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1005" windowWidth="11460" windowHeight="5805" tabRatio="927"/>
  </bookViews>
  <sheets>
    <sheet name="Списки участников" sheetId="52" r:id="rId1"/>
    <sheet name="жеребьевка" sheetId="140" state="hidden" r:id="rId2"/>
    <sheet name="по алф с отчест" sheetId="188" r:id="rId3"/>
    <sheet name="гр (1-4)" sheetId="107" r:id="rId4"/>
    <sheet name="бег1гр" sheetId="148" state="hidden" r:id="rId5"/>
    <sheet name="бег1" sheetId="172" state="hidden" r:id="rId6"/>
    <sheet name="бег2гр" sheetId="149" state="hidden" r:id="rId7"/>
    <sheet name="бег2" sheetId="173" state="hidden" r:id="rId8"/>
    <sheet name="бег3гр" sheetId="150" state="hidden" r:id="rId9"/>
    <sheet name="бег3" sheetId="174" state="hidden" r:id="rId10"/>
    <sheet name="бег4гр" sheetId="151" state="hidden" r:id="rId11"/>
    <sheet name="бег4" sheetId="175" state="hidden" r:id="rId12"/>
    <sheet name="гр (5-8)" sheetId="135" r:id="rId13"/>
    <sheet name="бег5гр" sheetId="152" state="hidden" r:id="rId14"/>
    <sheet name="бег5" sheetId="176" state="hidden" r:id="rId15"/>
    <sheet name="бег6гр" sheetId="155" state="hidden" r:id="rId16"/>
    <sheet name="бег6" sheetId="177" state="hidden" r:id="rId17"/>
    <sheet name="бег7гр" sheetId="154" state="hidden" r:id="rId18"/>
    <sheet name="бег7" sheetId="178" state="hidden" r:id="rId19"/>
    <sheet name="бег8гр" sheetId="153" state="hidden" r:id="rId20"/>
    <sheet name="бег8" sheetId="179" state="hidden" r:id="rId21"/>
    <sheet name="гр (9-12)" sheetId="136" r:id="rId22"/>
    <sheet name="бег9гр" sheetId="159" state="hidden" r:id="rId23"/>
    <sheet name="бег9" sheetId="180" state="hidden" r:id="rId24"/>
    <sheet name="бег10гр" sheetId="158" state="hidden" r:id="rId25"/>
    <sheet name="бег10" sheetId="181" state="hidden" r:id="rId26"/>
    <sheet name="бег11гр" sheetId="157" state="hidden" r:id="rId27"/>
    <sheet name="бег11" sheetId="182" state="hidden" r:id="rId28"/>
    <sheet name="бег12гр" sheetId="156" state="hidden" r:id="rId29"/>
    <sheet name="бег12" sheetId="183" state="hidden" r:id="rId30"/>
    <sheet name="гр (13-16)" sheetId="137" r:id="rId31"/>
    <sheet name="бег13гр" sheetId="163" state="hidden" r:id="rId32"/>
    <sheet name="бег13" sheetId="184" state="hidden" r:id="rId33"/>
    <sheet name="бег14гр" sheetId="162" state="hidden" r:id="rId34"/>
    <sheet name="бег14" sheetId="185" state="hidden" r:id="rId35"/>
    <sheet name="бег15гр" sheetId="161" state="hidden" r:id="rId36"/>
    <sheet name="бег15" sheetId="186" state="hidden" r:id="rId37"/>
    <sheet name="бег16гр" sheetId="160" state="hidden" r:id="rId38"/>
    <sheet name="бег16" sheetId="187" state="hidden" r:id="rId39"/>
    <sheet name="2 этап" sheetId="142" r:id="rId40"/>
    <sheet name="Юноши 1ф" sheetId="86" state="hidden" r:id="rId41"/>
    <sheet name="Юноши 2ф" sheetId="99" state="hidden" r:id="rId42"/>
    <sheet name="Юноши 3ф" sheetId="100" state="hidden" r:id="rId43"/>
    <sheet name="Юноши 4ф" sheetId="101" state="hidden" r:id="rId44"/>
    <sheet name="утеш фин" sheetId="105" r:id="rId45"/>
    <sheet name="Протокол 2ф" sheetId="106" state="hidden" r:id="rId46"/>
    <sheet name="5ф" sheetId="138" state="hidden" r:id="rId47"/>
    <sheet name="Протокол 5ф" sheetId="139" state="hidden" r:id="rId48"/>
    <sheet name="16 с розыг" sheetId="112" state="hidden" r:id="rId49"/>
    <sheet name="16 (-2)" sheetId="113" state="hidden" r:id="rId50"/>
    <sheet name="Порядок встреч 1Ф" sheetId="114" state="hidden" r:id="rId51"/>
    <sheet name="Порядок встреч 2Ф" sheetId="117" state="hidden" r:id="rId52"/>
    <sheet name="Порядок встреч 3Ф" sheetId="118" state="hidden" r:id="rId53"/>
    <sheet name="Порядок встреч 4Ф" sheetId="119" state="hidden" r:id="rId54"/>
    <sheet name="св.прот дев 1ф" sheetId="115" state="hidden" r:id="rId55"/>
    <sheet name="Бегунки 1Ф" sheetId="121" state="hidden" r:id="rId56"/>
    <sheet name="Бегунки 2Ф" sheetId="120" state="hidden" r:id="rId57"/>
    <sheet name="Бегунки 3Ф" sheetId="122" state="hidden" r:id="rId58"/>
    <sheet name="Бегунки 4Ф" sheetId="123" state="hidden" r:id="rId59"/>
    <sheet name="Лист1" sheetId="124" state="hidden" r:id="rId60"/>
    <sheet name="Плейофф" sheetId="133" state="hidden" r:id="rId61"/>
    <sheet name="ОФП и СФП" sheetId="109" state="hidden" r:id="rId62"/>
    <sheet name="бег1гр2эт" sheetId="167" state="hidden" r:id="rId63"/>
    <sheet name="бег2гр2эт" sheetId="166" state="hidden" r:id="rId64"/>
    <sheet name="бег3гр2эт" sheetId="165" state="hidden" r:id="rId65"/>
    <sheet name="бег4гр2эт" sheetId="164" state="hidden" r:id="rId66"/>
    <sheet name="финалы" sheetId="141" r:id="rId67"/>
    <sheet name="бег1-8" sheetId="171" state="hidden" r:id="rId68"/>
    <sheet name="бег9-16" sheetId="170" state="hidden" r:id="rId69"/>
    <sheet name="бег17-24" sheetId="169" state="hidden" r:id="rId70"/>
    <sheet name="бег25-32" sheetId="168" state="hidden" r:id="rId71"/>
    <sheet name="Места в группе" sheetId="134" state="hidden" r:id="rId72"/>
    <sheet name="R-Муж" sheetId="77" r:id="rId73"/>
    <sheet name="рейт 1 янв" sheetId="146" r:id="rId74"/>
  </sheets>
  <externalReferences>
    <externalReference r:id="rId75"/>
    <externalReference r:id="rId76"/>
    <externalReference r:id="rId77"/>
    <externalReference r:id="rId78"/>
  </externalReferences>
  <definedNames>
    <definedName name="_xlnm._FilterDatabase" localSheetId="72" hidden="1">'R-Муж'!#REF!</definedName>
    <definedName name="_xlnm._FilterDatabase" localSheetId="47" hidden="1">'Протокол 5ф'!$A$2:$S$97</definedName>
    <definedName name="_xlnm._FilterDatabase" localSheetId="0" hidden="1">'Списки участников'!$B$8:$I$122</definedName>
    <definedName name="h" localSheetId="46">#REF!</definedName>
    <definedName name="h" localSheetId="55">#REF!</definedName>
    <definedName name="h" localSheetId="56">#REF!</definedName>
    <definedName name="h" localSheetId="57">#REF!</definedName>
    <definedName name="h" localSheetId="58">#REF!</definedName>
    <definedName name="h" localSheetId="30">#REF!</definedName>
    <definedName name="h" localSheetId="12">#REF!</definedName>
    <definedName name="h" localSheetId="21">#REF!</definedName>
    <definedName name="h" localSheetId="51">#REF!</definedName>
    <definedName name="h" localSheetId="52">#REF!</definedName>
    <definedName name="h" localSheetId="53">#REF!</definedName>
    <definedName name="h" localSheetId="47">#REF!</definedName>
    <definedName name="h">#REF!</definedName>
    <definedName name="№ГР1">'гр (1-4)'!$A$5:$A$22</definedName>
    <definedName name="№ГР2">'гр (1-4)'!$A$25:$A$42</definedName>
    <definedName name="№ГР3">'гр (1-4)'!$A$45:$A$62</definedName>
    <definedName name="№ГР4">'гр (1-4)'!$A$65:$A$82</definedName>
    <definedName name="№ГР5">'гр (5-8)'!$A$5:$A$22</definedName>
    <definedName name="№ГР6">'гр (5-8)'!$A$25:$A$42</definedName>
    <definedName name="№ГР7">'гр (5-8)'!$A$45:$A$62</definedName>
    <definedName name="№ГР8">'гр (5-8)'!$A$65:$A$82</definedName>
    <definedName name="№ИГР">'гр (13-16)'!$B$45:$B$62</definedName>
    <definedName name="№ИГР1">'гр (1-4)'!$B$5:$B$22</definedName>
    <definedName name="№ИГР10">'гр (9-12)'!$B$25:$B$42</definedName>
    <definedName name="№ИГР11">'гр (9-12)'!$B$45:$B$62</definedName>
    <definedName name="№ИГР12">'гр (9-12)'!$B$65:$B$82</definedName>
    <definedName name="№ИГР13">'гр (13-16)'!$B$5:$B$22</definedName>
    <definedName name="№ИГР14">'гр (13-16)'!$B$25:$B$42</definedName>
    <definedName name="№ИГР15">'гр (13-16)'!$B$45:$B$62</definedName>
    <definedName name="№ИГР16">'гр (13-16)'!$B$65:$B$82</definedName>
    <definedName name="№ИГР2">'гр (1-4)'!$B$25:$B$42</definedName>
    <definedName name="№ИГР3">'гр (1-4)'!$B$45:$B$62</definedName>
    <definedName name="№ИГР4">'гр (1-4)'!$B$65:$B$82</definedName>
    <definedName name="№ИГР5">'гр (5-8)'!$B$5:$B$22</definedName>
    <definedName name="№ИГР6">'гр (5-8)'!$B$25:$B$42</definedName>
    <definedName name="№ИГР7">'гр (5-8)'!$B$45:$B$62</definedName>
    <definedName name="№ИГР8">'гр (5-8)'!$B$65:$B$82</definedName>
    <definedName name="№ИГР9">'гр (9-12)'!$B$5:$B$22</definedName>
    <definedName name="Z_4C88A418_0CDB_4E0D_88E3_A2526FF3F750_.wvu.Cols" localSheetId="40" hidden="1">'Юноши 1ф'!$AN:$AY</definedName>
    <definedName name="Z_4C88A418_0CDB_4E0D_88E3_A2526FF3F750_.wvu.Cols" localSheetId="41" hidden="1">'Юноши 2ф'!$AN:$AY</definedName>
    <definedName name="Z_4C88A418_0CDB_4E0D_88E3_A2526FF3F750_.wvu.Cols" localSheetId="42" hidden="1">'Юноши 3ф'!$AN:$AY</definedName>
    <definedName name="Z_4C88A418_0CDB_4E0D_88E3_A2526FF3F750_.wvu.Cols" localSheetId="43" hidden="1">'Юноши 4ф'!$AN:$AY</definedName>
    <definedName name="Z_4C88A418_0CDB_4E0D_88E3_A2526FF3F750_.wvu.Rows" localSheetId="40" hidden="1">'Юноши 1ф'!$29:$36</definedName>
    <definedName name="Z_4C88A418_0CDB_4E0D_88E3_A2526FF3F750_.wvu.Rows" localSheetId="41" hidden="1">'Юноши 2ф'!$29:$36</definedName>
    <definedName name="Z_4C88A418_0CDB_4E0D_88E3_A2526FF3F750_.wvu.Rows" localSheetId="42" hidden="1">'Юноши 3ф'!$29:$36</definedName>
    <definedName name="Z_4C88A418_0CDB_4E0D_88E3_A2526FF3F750_.wvu.Rows" localSheetId="43" hidden="1">'Юноши 4ф'!$29:$36</definedName>
    <definedName name="Zuordnung">[1]Verknüpfungen!$C$1:$C$48</definedName>
    <definedName name="_xlnm.Database" localSheetId="46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30">#REF!</definedName>
    <definedName name="_xlnm.Database" localSheetId="12">#REF!</definedName>
    <definedName name="_xlnm.Database" localSheetId="21">#REF!</definedName>
    <definedName name="_xlnm.Database" localSheetId="60">#REF!</definedName>
    <definedName name="_xlnm.Database" localSheetId="51">#REF!</definedName>
    <definedName name="_xlnm.Database" localSheetId="53">#REF!</definedName>
    <definedName name="_xlnm.Database" localSheetId="47">#REF!</definedName>
    <definedName name="_xlnm.Database">#REF!</definedName>
    <definedName name="БЕГ" localSheetId="61">'ОФП и СФП'!$H$9:$H$105</definedName>
    <definedName name="ГР10М">'гр (9-12)'!$AH$25:$AH$42</definedName>
    <definedName name="ГР10О">'гр (9-12)'!$AE$25:$AF$42</definedName>
    <definedName name="ГР11М">'гр (9-12)'!$AH$45:$AH$62</definedName>
    <definedName name="ГР11О">'гр (9-12)'!$AE$45:$AF$62</definedName>
    <definedName name="ГР12М">'гр (9-12)'!$AH$65:$AH$82</definedName>
    <definedName name="ГР12О">'гр (9-12)'!$AE$65:$AF$82</definedName>
    <definedName name="ГР13М">'гр (13-16)'!$AH$5:$AH$22</definedName>
    <definedName name="ГР13О">'гр (13-16)'!$AE$5:$AF$22</definedName>
    <definedName name="ГР14М">'гр (13-16)'!$AH$25:$AH$42</definedName>
    <definedName name="ГР14О">'гр (13-16)'!$AE$25:$AF$42</definedName>
    <definedName name="ГР15М">'гр (13-16)'!$AH$45:$AH$62</definedName>
    <definedName name="ГР15О">'гр (13-16)'!$AE$45:$AF$62</definedName>
    <definedName name="ГР16М">'гр (13-16)'!$AH$65:$AH$82</definedName>
    <definedName name="ГР16О">'гр (13-16)'!$AE$65:$AF$82</definedName>
    <definedName name="ГР1М" localSheetId="30">'гр (13-16)'!$AH$5:$AH$22</definedName>
    <definedName name="ГР1М" localSheetId="21">'гр (9-12)'!$AH$5:$AH$22</definedName>
    <definedName name="ГР1М">'гр (1-4)'!$AH$5:$AH$22</definedName>
    <definedName name="ГР1О" localSheetId="39">'2 этап'!$AE$5:$AF$22</definedName>
    <definedName name="ГР1О" localSheetId="3">'гр (1-4)'!$AE$5:$AF$22</definedName>
    <definedName name="ГР1О" localSheetId="66">финалы!$AE$5:$AF$22</definedName>
    <definedName name="ГР2М">'гр (1-4)'!$AH$25:$AH$42</definedName>
    <definedName name="ГР2О" localSheetId="39">'2 этап'!$AE$25:$AF$42</definedName>
    <definedName name="ГР2О" localSheetId="3">'гр (1-4)'!$AE$25:$AF$42</definedName>
    <definedName name="ГР2О" localSheetId="66">финалы!$AE$25:$AF$42</definedName>
    <definedName name="ГР3М">'гр (1-4)'!$AH$45:$AH$62</definedName>
    <definedName name="ГР3О" localSheetId="39">'2 этап'!$AE$45:$AF$62</definedName>
    <definedName name="ГР3О" localSheetId="3">'гр (1-4)'!$AE$45:$AF$62</definedName>
    <definedName name="ГР3О" localSheetId="66">финалы!$AE$45:$AF$62</definedName>
    <definedName name="ГР4М">'гр (1-4)'!$AH$65:$AH$82</definedName>
    <definedName name="ГР4О" localSheetId="39">'2 этап'!$AE$65:$AF$82</definedName>
    <definedName name="ГР4О" localSheetId="3">'гр (1-4)'!$AE$65:$AF$82</definedName>
    <definedName name="ГР4О" localSheetId="66">финалы!$AE$65:$AF$82</definedName>
    <definedName name="ГР5М">'гр (5-8)'!$AH$5:$AH$22</definedName>
    <definedName name="ГР5О">'гр (5-8)'!$AE$5:$AF$22</definedName>
    <definedName name="ГР6М">'гр (5-8)'!$AH$25:$AH$42</definedName>
    <definedName name="ГР6О">'гр (5-8)'!$AE$25:$AF$42</definedName>
    <definedName name="ГР7М">'гр (5-8)'!$AH$45:$AH$62</definedName>
    <definedName name="ГР7О">'гр (5-8)'!$AE$45:$AF$62</definedName>
    <definedName name="ГР8М">'гр (5-8)'!$AH$65:$AH$82</definedName>
    <definedName name="ГР8О">'гр (5-8)'!$AE$65:$AF$82</definedName>
    <definedName name="ГР9М">'гр (9-12)'!$AH$5:$AH$22</definedName>
    <definedName name="ГР9О">'гр (9-12)'!$AE$5:$AF$22</definedName>
    <definedName name="ДЛИНА" localSheetId="61">'ОФП и СФП'!$J$9:$J$105</definedName>
    <definedName name="КВАДР" localSheetId="61">'ОФП и СФП'!$R$9:$R$105</definedName>
    <definedName name="_xlnm.Print_Area" localSheetId="69">'бег17-24'!$A$16:$N$150</definedName>
    <definedName name="_xlnm.Print_Area" localSheetId="67">'бег1-8'!$A$16:$N$150</definedName>
    <definedName name="_xlnm.Print_Area" localSheetId="70">'бег25-32'!$A$16:$N$150</definedName>
    <definedName name="_xlnm.Print_Area" localSheetId="6">бег2гр!$A$1:$N$150</definedName>
    <definedName name="_xlnm.Print_Area" localSheetId="68">'бег9-16'!$A$16:$N$150</definedName>
    <definedName name="_xlnm.Print_Area" localSheetId="55">'Бегунки 1Ф'!$A$1:$AB$32</definedName>
    <definedName name="_xlnm.Print_Area" localSheetId="56">'Бегунки 2Ф'!$A$1:$AB$32</definedName>
    <definedName name="_xlnm.Print_Area" localSheetId="57">'Бегунки 3Ф'!$A$1:$AB$32</definedName>
    <definedName name="_xlnm.Print_Area" localSheetId="58">'Бегунки 4Ф'!$A$1:$AB$32</definedName>
    <definedName name="_xlnm.Print_Area" localSheetId="71">'Места в группе'!$A$1:$F$174</definedName>
    <definedName name="_xlnm.Print_Area" localSheetId="2">'по алф с отчест'!$A$1:$I$121</definedName>
    <definedName name="_xlnm.Print_Area" localSheetId="50">'Порядок встреч 1Ф'!$A$1:$P$68</definedName>
    <definedName name="_xlnm.Print_Area" localSheetId="51">'Порядок встреч 2Ф'!$A$1:$P$68</definedName>
    <definedName name="_xlnm.Print_Area" localSheetId="52">'Порядок встреч 3Ф'!$A$1:$P$68</definedName>
    <definedName name="_xlnm.Print_Area" localSheetId="53">'Порядок встреч 4Ф'!$A$1:$P$68</definedName>
    <definedName name="_xlnm.Print_Area" localSheetId="0">'Списки участников'!$A$1:$M$122</definedName>
    <definedName name="ОТЖИМ" localSheetId="61">'ОФП и СФП'!$N$9:$N$101</definedName>
    <definedName name="ПРЕСС" localSheetId="61">'ОФП и СФП'!$P$9:$P$105</definedName>
    <definedName name="СКАК">'ОФП и СФП'!$L$9:$L$105</definedName>
    <definedName name="Сумма_мест">'ОФП и СФП'!$T$9:$T$105</definedName>
    <definedName name="Ф1Оч">'Юноши 1ф'!$AZ$5:$BA$36</definedName>
    <definedName name="Ф2Оч">'Юноши 2ф'!$AZ$5:$BA$36</definedName>
    <definedName name="Ф3Оч">'Юноши 3ф'!$AZ$5:$BA$36</definedName>
    <definedName name="Ф4Оч">'Юноши 4ф'!$AZ$5:$BA$36</definedName>
  </definedNames>
  <calcPr calcId="145621"/>
  <fileRecoveryPr autoRecover="0"/>
</workbook>
</file>

<file path=xl/calcChain.xml><?xml version="1.0" encoding="utf-8"?>
<calcChain xmlns="http://schemas.openxmlformats.org/spreadsheetml/2006/main">
  <c r="AH57" i="141" l="1"/>
  <c r="AH53" i="141"/>
  <c r="AH47" i="141"/>
  <c r="Z74" i="141"/>
  <c r="D33" i="141"/>
  <c r="G33" i="141"/>
  <c r="M33" i="141"/>
  <c r="B17" i="171"/>
  <c r="C18" i="171"/>
  <c r="BH44" i="105" l="1"/>
  <c r="AY7" i="105"/>
  <c r="AV6" i="105"/>
  <c r="AV18" i="105"/>
  <c r="AV17" i="105"/>
  <c r="AV15" i="105"/>
  <c r="AV14" i="105"/>
  <c r="AV12" i="105"/>
  <c r="AV11" i="105"/>
  <c r="AV9" i="105"/>
  <c r="AV8" i="105"/>
  <c r="AZ45" i="105" l="1"/>
  <c r="BG42" i="105"/>
  <c r="BE42" i="105"/>
  <c r="BG41" i="105"/>
  <c r="BH41" i="105" s="1"/>
  <c r="BE40" i="105"/>
  <c r="BE39" i="105"/>
  <c r="BH38" i="105"/>
  <c r="BE38" i="105"/>
  <c r="BB38" i="105"/>
  <c r="BE36" i="105"/>
  <c r="BB36" i="105"/>
  <c r="BE35" i="105"/>
  <c r="BE56" i="105"/>
  <c r="BB56" i="105"/>
  <c r="BH33" i="105"/>
  <c r="AY30" i="105"/>
  <c r="BH28" i="105"/>
  <c r="BE28" i="105"/>
  <c r="BE27" i="105"/>
  <c r="BB27" i="105"/>
  <c r="AY27" i="105"/>
  <c r="BB26" i="105"/>
  <c r="BE25" i="105"/>
  <c r="BE24" i="105"/>
  <c r="BB24" i="105"/>
  <c r="AY24" i="105"/>
  <c r="BE23" i="105"/>
  <c r="BB23" i="105"/>
  <c r="AY23" i="105"/>
  <c r="AU29" i="105"/>
  <c r="AV29" i="105" s="1"/>
  <c r="AU27" i="105"/>
  <c r="AU26" i="105"/>
  <c r="AU24" i="105"/>
  <c r="AU23" i="105"/>
  <c r="AV21" i="105"/>
  <c r="AU21" i="105"/>
  <c r="AV20" i="105"/>
  <c r="AX29" i="105"/>
  <c r="AY19" i="105"/>
  <c r="AV19" i="105"/>
  <c r="AY18" i="105"/>
  <c r="AY16" i="105"/>
  <c r="AY15" i="105"/>
  <c r="AY13" i="105"/>
  <c r="AY12" i="105"/>
  <c r="AX26" i="105"/>
  <c r="AY26" i="105" s="1"/>
  <c r="AY10" i="105"/>
  <c r="AY9" i="105"/>
  <c r="AX25" i="105"/>
  <c r="AT4" i="105"/>
  <c r="AP66" i="105"/>
  <c r="AP64" i="105"/>
  <c r="AP62" i="105"/>
  <c r="AP61" i="105"/>
  <c r="AP60" i="105"/>
  <c r="AP58" i="105"/>
  <c r="AP57" i="105"/>
  <c r="AP56" i="105"/>
  <c r="AP54" i="105"/>
  <c r="AP51" i="105"/>
  <c r="AP50" i="105"/>
  <c r="AP49" i="105"/>
  <c r="AP48" i="105"/>
  <c r="AP47" i="105"/>
  <c r="AP46" i="105"/>
  <c r="AP44" i="105"/>
  <c r="AP43" i="105"/>
  <c r="AP42" i="105"/>
  <c r="AP40" i="105"/>
  <c r="AP37" i="105"/>
  <c r="AP36" i="105"/>
  <c r="AP35" i="105"/>
  <c r="AP33" i="105"/>
  <c r="AP32" i="105"/>
  <c r="AP31" i="105"/>
  <c r="AP29" i="105"/>
  <c r="AP27" i="105"/>
  <c r="AP26" i="105"/>
  <c r="AP24" i="105"/>
  <c r="AP23" i="105"/>
  <c r="AP22" i="105"/>
  <c r="AP21" i="105"/>
  <c r="AP20" i="105"/>
  <c r="AP19" i="105"/>
  <c r="AP18" i="105"/>
  <c r="AP17" i="105"/>
  <c r="AP16" i="105"/>
  <c r="AP15" i="105"/>
  <c r="AP14" i="105"/>
  <c r="AP13" i="105"/>
  <c r="AP11" i="105"/>
  <c r="AS66" i="105"/>
  <c r="AS60" i="105"/>
  <c r="AS54" i="105"/>
  <c r="AS47" i="105"/>
  <c r="AS40" i="105"/>
  <c r="AS35" i="105"/>
  <c r="AS29" i="105"/>
  <c r="AS18" i="105"/>
  <c r="AM62" i="105"/>
  <c r="AM60" i="105"/>
  <c r="AM58" i="105"/>
  <c r="AP68" i="105"/>
  <c r="AM52" i="105"/>
  <c r="AM51" i="105"/>
  <c r="AM49" i="105"/>
  <c r="AM48" i="105"/>
  <c r="AM46" i="105"/>
  <c r="AM45" i="105"/>
  <c r="AM43" i="105"/>
  <c r="AJ52" i="105"/>
  <c r="AJ49" i="105"/>
  <c r="AJ46" i="105"/>
  <c r="AJ43" i="105"/>
  <c r="AM56" i="105"/>
  <c r="AM55" i="105"/>
  <c r="AM54" i="105"/>
  <c r="AM42" i="105"/>
  <c r="AM41" i="105"/>
  <c r="AM40" i="105"/>
  <c r="AM39" i="105"/>
  <c r="AM37" i="105"/>
  <c r="AM35" i="105"/>
  <c r="AM33" i="105"/>
  <c r="AM31" i="105"/>
  <c r="AM30" i="105"/>
  <c r="AM29" i="105"/>
  <c r="AM27" i="105"/>
  <c r="AM26" i="105"/>
  <c r="AM25" i="105"/>
  <c r="AM24" i="105"/>
  <c r="AM23" i="105"/>
  <c r="AM22" i="105"/>
  <c r="AM20" i="105"/>
  <c r="AM19" i="105"/>
  <c r="AM18" i="105"/>
  <c r="AM17" i="105"/>
  <c r="AM15" i="105"/>
  <c r="AM14" i="105"/>
  <c r="AM13" i="105"/>
  <c r="AM12" i="105"/>
  <c r="AM11" i="105"/>
  <c r="AM10" i="105"/>
  <c r="AM8" i="105"/>
  <c r="AJ28" i="105"/>
  <c r="AJ27" i="105"/>
  <c r="AJ25" i="105"/>
  <c r="AJ24" i="105"/>
  <c r="AJ22" i="105"/>
  <c r="AJ21" i="105"/>
  <c r="AJ19" i="105"/>
  <c r="AJ18" i="105"/>
  <c r="AJ16" i="105"/>
  <c r="AJ15" i="105"/>
  <c r="AJ13" i="105"/>
  <c r="AJ12" i="105"/>
  <c r="AJ10" i="105"/>
  <c r="AJ9" i="105"/>
  <c r="AG29" i="105"/>
  <c r="AG28" i="105"/>
  <c r="AG27" i="105"/>
  <c r="AG26" i="105"/>
  <c r="AG25" i="105"/>
  <c r="AG24" i="105"/>
  <c r="AG23" i="105"/>
  <c r="AG22" i="105"/>
  <c r="AG21" i="105"/>
  <c r="AG20" i="105"/>
  <c r="AG19" i="105"/>
  <c r="AG18" i="105"/>
  <c r="AG17" i="105"/>
  <c r="AG16" i="105"/>
  <c r="AG15" i="105"/>
  <c r="AG14" i="105"/>
  <c r="AG13" i="105"/>
  <c r="AG12" i="105"/>
  <c r="AG11" i="105"/>
  <c r="AG10" i="105"/>
  <c r="AG9" i="105"/>
  <c r="AG7" i="105"/>
  <c r="AG6" i="105"/>
  <c r="AD63" i="105"/>
  <c r="AD55" i="105"/>
  <c r="AA63" i="105"/>
  <c r="AA61" i="105"/>
  <c r="AA60" i="105"/>
  <c r="AA59" i="105"/>
  <c r="AA57" i="105"/>
  <c r="AA56" i="105"/>
  <c r="AA55" i="105"/>
  <c r="AA53" i="105"/>
  <c r="X59" i="105"/>
  <c r="X57" i="105"/>
  <c r="X55" i="105"/>
  <c r="X53" i="105"/>
  <c r="AD47" i="105"/>
  <c r="AD37" i="105"/>
  <c r="AA49" i="105"/>
  <c r="AA47" i="105"/>
  <c r="AA45" i="105"/>
  <c r="AA44" i="105"/>
  <c r="AA43" i="105"/>
  <c r="AA41" i="105"/>
  <c r="AA40" i="105"/>
  <c r="AA39" i="105"/>
  <c r="AA38" i="105"/>
  <c r="AA37" i="105"/>
  <c r="AA36" i="105"/>
  <c r="AA35" i="105"/>
  <c r="AA33" i="105"/>
  <c r="X43" i="105"/>
  <c r="X42" i="105"/>
  <c r="X41" i="105"/>
  <c r="X39" i="105"/>
  <c r="X38" i="105"/>
  <c r="X37" i="105"/>
  <c r="X35" i="105"/>
  <c r="X34" i="105"/>
  <c r="X33" i="105"/>
  <c r="X31" i="105"/>
  <c r="AD25" i="105"/>
  <c r="AA25" i="105"/>
  <c r="AD17" i="105"/>
  <c r="AD9" i="105"/>
  <c r="AA19" i="105"/>
  <c r="AA18" i="105"/>
  <c r="AA17" i="105"/>
  <c r="AA15" i="105"/>
  <c r="AA10" i="105"/>
  <c r="AA9" i="105"/>
  <c r="AA8" i="105"/>
  <c r="X20" i="105"/>
  <c r="X19" i="105"/>
  <c r="X18" i="105"/>
  <c r="X17" i="105"/>
  <c r="X16" i="105"/>
  <c r="X15" i="105"/>
  <c r="X14" i="105"/>
  <c r="X13" i="105"/>
  <c r="U44" i="105"/>
  <c r="U43" i="105"/>
  <c r="U42" i="105"/>
  <c r="U41" i="105"/>
  <c r="U40" i="105"/>
  <c r="U39" i="105"/>
  <c r="U38" i="105"/>
  <c r="U37" i="105"/>
  <c r="U36" i="105"/>
  <c r="U35" i="105"/>
  <c r="U34" i="105"/>
  <c r="U33" i="105"/>
  <c r="U32" i="105"/>
  <c r="U31" i="105"/>
  <c r="U30" i="105"/>
  <c r="R60" i="105"/>
  <c r="R38" i="105"/>
  <c r="O54" i="105"/>
  <c r="O53" i="105"/>
  <c r="O52" i="105"/>
  <c r="O51" i="105"/>
  <c r="O50" i="105"/>
  <c r="O49" i="105"/>
  <c r="O48" i="105"/>
  <c r="O47" i="105"/>
  <c r="O46" i="105"/>
  <c r="O45" i="105"/>
  <c r="O44" i="105"/>
  <c r="O43" i="105"/>
  <c r="O42" i="105"/>
  <c r="O41" i="105"/>
  <c r="O40" i="105"/>
  <c r="O39" i="105"/>
  <c r="O38" i="105"/>
  <c r="O37" i="105"/>
  <c r="O36" i="105"/>
  <c r="O35" i="105"/>
  <c r="O34" i="105"/>
  <c r="O33" i="105"/>
  <c r="O32" i="105"/>
  <c r="O31" i="105"/>
  <c r="O30" i="105"/>
  <c r="O29" i="105"/>
  <c r="O28" i="105"/>
  <c r="O27" i="105"/>
  <c r="O26" i="105"/>
  <c r="O25" i="105"/>
  <c r="O24" i="105"/>
  <c r="O22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4" i="105"/>
  <c r="I66" i="105"/>
  <c r="I65" i="105"/>
  <c r="I64" i="105"/>
  <c r="I63" i="105"/>
  <c r="I62" i="105"/>
  <c r="I61" i="105"/>
  <c r="I60" i="105"/>
  <c r="I58" i="105"/>
  <c r="I57" i="105"/>
  <c r="I56" i="105"/>
  <c r="I55" i="105"/>
  <c r="I54" i="105"/>
  <c r="I53" i="105"/>
  <c r="I52" i="105"/>
  <c r="I50" i="105"/>
  <c r="I49" i="105"/>
  <c r="I48" i="105"/>
  <c r="I47" i="105"/>
  <c r="I46" i="105"/>
  <c r="I45" i="105"/>
  <c r="I44" i="105"/>
  <c r="I42" i="105"/>
  <c r="I41" i="105"/>
  <c r="I40" i="105"/>
  <c r="I39" i="105"/>
  <c r="I38" i="105"/>
  <c r="I37" i="105"/>
  <c r="I36" i="105"/>
  <c r="I34" i="105"/>
  <c r="I33" i="105"/>
  <c r="I32" i="105"/>
  <c r="I31" i="105"/>
  <c r="I30" i="105"/>
  <c r="I29" i="105"/>
  <c r="I28" i="105"/>
  <c r="I26" i="105"/>
  <c r="I25" i="105"/>
  <c r="I24" i="105"/>
  <c r="I23" i="105"/>
  <c r="I22" i="105"/>
  <c r="I21" i="105"/>
  <c r="I20" i="105"/>
  <c r="I18" i="105"/>
  <c r="I17" i="105"/>
  <c r="I16" i="105"/>
  <c r="I15" i="105"/>
  <c r="I14" i="105"/>
  <c r="I13" i="105"/>
  <c r="I12" i="105"/>
  <c r="I10" i="105"/>
  <c r="F68" i="105"/>
  <c r="F67" i="105"/>
  <c r="F66" i="105"/>
  <c r="F64" i="105"/>
  <c r="F63" i="105"/>
  <c r="F62" i="105"/>
  <c r="F60" i="105"/>
  <c r="F59" i="105"/>
  <c r="F58" i="105"/>
  <c r="F56" i="105"/>
  <c r="F55" i="105"/>
  <c r="F54" i="105"/>
  <c r="F52" i="105"/>
  <c r="F51" i="105"/>
  <c r="F50" i="105"/>
  <c r="F48" i="105"/>
  <c r="F47" i="105"/>
  <c r="F46" i="105"/>
  <c r="F44" i="105"/>
  <c r="F43" i="105"/>
  <c r="F42" i="105"/>
  <c r="F40" i="105"/>
  <c r="F39" i="105"/>
  <c r="F38" i="105"/>
  <c r="F36" i="105"/>
  <c r="F35" i="105"/>
  <c r="F34" i="105"/>
  <c r="F32" i="105"/>
  <c r="F31" i="105"/>
  <c r="F30" i="105"/>
  <c r="F28" i="105"/>
  <c r="F27" i="105"/>
  <c r="F26" i="105"/>
  <c r="F24" i="105"/>
  <c r="F23" i="105"/>
  <c r="F22" i="105"/>
  <c r="F20" i="105"/>
  <c r="F19" i="105"/>
  <c r="F18" i="105"/>
  <c r="F16" i="105"/>
  <c r="F15" i="105"/>
  <c r="F14" i="105"/>
  <c r="F12" i="105"/>
  <c r="F11" i="105"/>
  <c r="F10" i="105"/>
  <c r="F8" i="105"/>
  <c r="BA35" i="105" l="1"/>
  <c r="AY25" i="105"/>
  <c r="AY29" i="105"/>
  <c r="AX28" i="105"/>
  <c r="C4" i="140"/>
  <c r="C6" i="140"/>
  <c r="C8" i="140"/>
  <c r="C10" i="140"/>
  <c r="C12" i="140"/>
  <c r="C14" i="140"/>
  <c r="BA37" i="105" l="1"/>
  <c r="BB37" i="105" s="1"/>
  <c r="AY28" i="105"/>
  <c r="BB35" i="105"/>
  <c r="Z16" i="137"/>
  <c r="N119" i="188"/>
  <c r="K119" i="188"/>
  <c r="J119" i="188"/>
  <c r="N118" i="188"/>
  <c r="K118" i="188"/>
  <c r="J118" i="188"/>
  <c r="N117" i="188"/>
  <c r="K117" i="188"/>
  <c r="J117" i="188"/>
  <c r="N116" i="188"/>
  <c r="K116" i="188"/>
  <c r="J116" i="188"/>
  <c r="N115" i="188"/>
  <c r="K115" i="188"/>
  <c r="J115" i="188"/>
  <c r="N114" i="188"/>
  <c r="K114" i="188"/>
  <c r="J114" i="188"/>
  <c r="N113" i="188"/>
  <c r="K113" i="188"/>
  <c r="J113" i="188"/>
  <c r="N112" i="188"/>
  <c r="K112" i="188"/>
  <c r="J112" i="188"/>
  <c r="N111" i="188"/>
  <c r="K111" i="188"/>
  <c r="J111" i="188"/>
  <c r="L111" i="188" s="1"/>
  <c r="N110" i="188"/>
  <c r="K110" i="188"/>
  <c r="J110" i="188"/>
  <c r="N109" i="188"/>
  <c r="K109" i="188"/>
  <c r="J109" i="188"/>
  <c r="N108" i="188"/>
  <c r="K108" i="188"/>
  <c r="J108" i="188"/>
  <c r="N107" i="188"/>
  <c r="K107" i="188"/>
  <c r="J107" i="188"/>
  <c r="L107" i="188" s="1"/>
  <c r="N106" i="188"/>
  <c r="K106" i="188"/>
  <c r="J106" i="188"/>
  <c r="N105" i="188"/>
  <c r="K105" i="188"/>
  <c r="J105" i="188"/>
  <c r="N104" i="188"/>
  <c r="K104" i="188"/>
  <c r="J104" i="188"/>
  <c r="N103" i="188"/>
  <c r="K103" i="188"/>
  <c r="J103" i="188"/>
  <c r="N102" i="188"/>
  <c r="K102" i="188"/>
  <c r="J102" i="188"/>
  <c r="N101" i="188"/>
  <c r="K101" i="188"/>
  <c r="J101" i="188"/>
  <c r="N100" i="188"/>
  <c r="K100" i="188"/>
  <c r="J100" i="188"/>
  <c r="N99" i="188"/>
  <c r="K99" i="188"/>
  <c r="J99" i="188"/>
  <c r="N98" i="188"/>
  <c r="K98" i="188"/>
  <c r="J98" i="188"/>
  <c r="N97" i="188"/>
  <c r="K97" i="188"/>
  <c r="J97" i="188"/>
  <c r="N96" i="188"/>
  <c r="K96" i="188"/>
  <c r="J96" i="188"/>
  <c r="N95" i="188"/>
  <c r="K95" i="188"/>
  <c r="J95" i="188"/>
  <c r="N94" i="188"/>
  <c r="K94" i="188"/>
  <c r="J94" i="188"/>
  <c r="N93" i="188"/>
  <c r="K93" i="188"/>
  <c r="J93" i="188"/>
  <c r="N92" i="188"/>
  <c r="K92" i="188"/>
  <c r="J92" i="188"/>
  <c r="N91" i="188"/>
  <c r="K91" i="188"/>
  <c r="J91" i="188"/>
  <c r="N90" i="188"/>
  <c r="K90" i="188"/>
  <c r="J90" i="188"/>
  <c r="N89" i="188"/>
  <c r="K89" i="188"/>
  <c r="J89" i="188"/>
  <c r="N88" i="188"/>
  <c r="K88" i="188"/>
  <c r="J88" i="188"/>
  <c r="N87" i="188"/>
  <c r="K87" i="188"/>
  <c r="J87" i="188"/>
  <c r="N86" i="188"/>
  <c r="K86" i="188"/>
  <c r="J86" i="188"/>
  <c r="N85" i="188"/>
  <c r="K85" i="188"/>
  <c r="J85" i="188"/>
  <c r="N84" i="188"/>
  <c r="K84" i="188"/>
  <c r="J84" i="188"/>
  <c r="N83" i="188"/>
  <c r="K83" i="188"/>
  <c r="J83" i="188"/>
  <c r="N82" i="188"/>
  <c r="K82" i="188"/>
  <c r="J82" i="188"/>
  <c r="N81" i="188"/>
  <c r="K81" i="188"/>
  <c r="J81" i="188"/>
  <c r="N80" i="188"/>
  <c r="K80" i="188"/>
  <c r="J80" i="188"/>
  <c r="N79" i="188"/>
  <c r="K79" i="188"/>
  <c r="J79" i="188"/>
  <c r="N78" i="188"/>
  <c r="K78" i="188"/>
  <c r="J78" i="188"/>
  <c r="N77" i="188"/>
  <c r="K77" i="188"/>
  <c r="J77" i="188"/>
  <c r="N76" i="188"/>
  <c r="K76" i="188"/>
  <c r="L76" i="188" s="1"/>
  <c r="J76" i="188"/>
  <c r="N75" i="188"/>
  <c r="K75" i="188"/>
  <c r="J75" i="188"/>
  <c r="N74" i="188"/>
  <c r="K74" i="188"/>
  <c r="J74" i="188"/>
  <c r="N73" i="188"/>
  <c r="K73" i="188"/>
  <c r="J73" i="188"/>
  <c r="N72" i="188"/>
  <c r="K72" i="188"/>
  <c r="J72" i="188"/>
  <c r="N71" i="188"/>
  <c r="K71" i="188"/>
  <c r="J71" i="188"/>
  <c r="L71" i="188" s="1"/>
  <c r="N70" i="188"/>
  <c r="K70" i="188"/>
  <c r="J70" i="188"/>
  <c r="N69" i="188"/>
  <c r="K69" i="188"/>
  <c r="J69" i="188"/>
  <c r="N68" i="188"/>
  <c r="K68" i="188"/>
  <c r="J68" i="188"/>
  <c r="N67" i="188"/>
  <c r="K67" i="188"/>
  <c r="J67" i="188"/>
  <c r="N66" i="188"/>
  <c r="K66" i="188"/>
  <c r="J66" i="188"/>
  <c r="N65" i="188"/>
  <c r="K65" i="188"/>
  <c r="J65" i="188"/>
  <c r="N64" i="188"/>
  <c r="K64" i="188"/>
  <c r="L64" i="188" s="1"/>
  <c r="J64" i="188"/>
  <c r="N63" i="188"/>
  <c r="K63" i="188"/>
  <c r="J63" i="188"/>
  <c r="N62" i="188"/>
  <c r="K62" i="188"/>
  <c r="J62" i="188"/>
  <c r="N61" i="188"/>
  <c r="K61" i="188"/>
  <c r="J61" i="188"/>
  <c r="N60" i="188"/>
  <c r="K60" i="188"/>
  <c r="J60" i="188"/>
  <c r="N59" i="188"/>
  <c r="K59" i="188"/>
  <c r="J59" i="188"/>
  <c r="N58" i="188"/>
  <c r="K58" i="188"/>
  <c r="J58" i="188"/>
  <c r="L58" i="188" s="1"/>
  <c r="N57" i="188"/>
  <c r="K57" i="188"/>
  <c r="J57" i="188"/>
  <c r="N56" i="188"/>
  <c r="K56" i="188"/>
  <c r="J56" i="188"/>
  <c r="N55" i="188"/>
  <c r="M55" i="188"/>
  <c r="K55" i="188"/>
  <c r="J55" i="188"/>
  <c r="N54" i="188"/>
  <c r="M54" i="188"/>
  <c r="K54" i="188"/>
  <c r="J54" i="188"/>
  <c r="N53" i="188"/>
  <c r="M53" i="188"/>
  <c r="K53" i="188"/>
  <c r="J53" i="188"/>
  <c r="N52" i="188"/>
  <c r="M52" i="188"/>
  <c r="K52" i="188"/>
  <c r="J52" i="188"/>
  <c r="N51" i="188"/>
  <c r="M51" i="188"/>
  <c r="K51" i="188"/>
  <c r="J51" i="188"/>
  <c r="N50" i="188"/>
  <c r="M50" i="188"/>
  <c r="K50" i="188"/>
  <c r="J50" i="188"/>
  <c r="N49" i="188"/>
  <c r="M49" i="188"/>
  <c r="K49" i="188"/>
  <c r="J49" i="188"/>
  <c r="N48" i="188"/>
  <c r="M48" i="188"/>
  <c r="K48" i="188"/>
  <c r="J48" i="188"/>
  <c r="N47" i="188"/>
  <c r="M47" i="188"/>
  <c r="K47" i="188"/>
  <c r="J47" i="188"/>
  <c r="N46" i="188"/>
  <c r="M46" i="188"/>
  <c r="K46" i="188"/>
  <c r="J46" i="188"/>
  <c r="N45" i="188"/>
  <c r="M45" i="188"/>
  <c r="K45" i="188"/>
  <c r="J45" i="188"/>
  <c r="N44" i="188"/>
  <c r="M44" i="188"/>
  <c r="K44" i="188"/>
  <c r="J44" i="188"/>
  <c r="N43" i="188"/>
  <c r="M43" i="188"/>
  <c r="K43" i="188"/>
  <c r="J43" i="188"/>
  <c r="N42" i="188"/>
  <c r="M42" i="188"/>
  <c r="K42" i="188"/>
  <c r="J42" i="188"/>
  <c r="N41" i="188"/>
  <c r="M41" i="188"/>
  <c r="K41" i="188"/>
  <c r="J41" i="188"/>
  <c r="N40" i="188"/>
  <c r="M40" i="188"/>
  <c r="K40" i="188"/>
  <c r="J40" i="188"/>
  <c r="N39" i="188"/>
  <c r="M39" i="188"/>
  <c r="K39" i="188"/>
  <c r="J39" i="188"/>
  <c r="N38" i="188"/>
  <c r="M38" i="188"/>
  <c r="K38" i="188"/>
  <c r="J38" i="188"/>
  <c r="N37" i="188"/>
  <c r="M37" i="188"/>
  <c r="K37" i="188"/>
  <c r="J37" i="188"/>
  <c r="N36" i="188"/>
  <c r="M36" i="188"/>
  <c r="K36" i="188"/>
  <c r="J36" i="188"/>
  <c r="N35" i="188"/>
  <c r="M35" i="188"/>
  <c r="K35" i="188"/>
  <c r="J35" i="188"/>
  <c r="N34" i="188"/>
  <c r="M34" i="188"/>
  <c r="K34" i="188"/>
  <c r="J34" i="188"/>
  <c r="N33" i="188"/>
  <c r="M33" i="188"/>
  <c r="K33" i="188"/>
  <c r="J33" i="188"/>
  <c r="N32" i="188"/>
  <c r="M32" i="188"/>
  <c r="K32" i="188"/>
  <c r="J32" i="188"/>
  <c r="N31" i="188"/>
  <c r="M31" i="188"/>
  <c r="K31" i="188"/>
  <c r="J31" i="188"/>
  <c r="N30" i="188"/>
  <c r="M30" i="188"/>
  <c r="K30" i="188"/>
  <c r="J30" i="188"/>
  <c r="N29" i="188"/>
  <c r="M29" i="188"/>
  <c r="K29" i="188"/>
  <c r="J29" i="188"/>
  <c r="N28" i="188"/>
  <c r="M28" i="188"/>
  <c r="K28" i="188"/>
  <c r="J28" i="188"/>
  <c r="N27" i="188"/>
  <c r="M27" i="188"/>
  <c r="K27" i="188"/>
  <c r="J27" i="188"/>
  <c r="N26" i="188"/>
  <c r="M26" i="188"/>
  <c r="K26" i="188"/>
  <c r="J26" i="188"/>
  <c r="N25" i="188"/>
  <c r="M25" i="188"/>
  <c r="K25" i="188"/>
  <c r="J25" i="188"/>
  <c r="N24" i="188"/>
  <c r="M24" i="188"/>
  <c r="K24" i="188"/>
  <c r="J24" i="188"/>
  <c r="N23" i="188"/>
  <c r="M23" i="188"/>
  <c r="K23" i="188"/>
  <c r="J23" i="188"/>
  <c r="N22" i="188"/>
  <c r="M22" i="188"/>
  <c r="K22" i="188"/>
  <c r="J22" i="188"/>
  <c r="N21" i="188"/>
  <c r="M21" i="188"/>
  <c r="K21" i="188"/>
  <c r="J21" i="188"/>
  <c r="N20" i="188"/>
  <c r="M20" i="188"/>
  <c r="K20" i="188"/>
  <c r="J20" i="188"/>
  <c r="N19" i="188"/>
  <c r="M19" i="188"/>
  <c r="K19" i="188"/>
  <c r="J19" i="188"/>
  <c r="N18" i="188"/>
  <c r="M18" i="188"/>
  <c r="K18" i="188"/>
  <c r="J18" i="188"/>
  <c r="N17" i="188"/>
  <c r="M17" i="188"/>
  <c r="K17" i="188"/>
  <c r="J17" i="188"/>
  <c r="N16" i="188"/>
  <c r="M16" i="188"/>
  <c r="K16" i="188"/>
  <c r="J16" i="188"/>
  <c r="N15" i="188"/>
  <c r="M15" i="188"/>
  <c r="K15" i="188"/>
  <c r="J15" i="188"/>
  <c r="N14" i="188"/>
  <c r="M14" i="188"/>
  <c r="K14" i="188"/>
  <c r="J14" i="188"/>
  <c r="N13" i="188"/>
  <c r="M13" i="188"/>
  <c r="K13" i="188"/>
  <c r="J13" i="188"/>
  <c r="N12" i="188"/>
  <c r="K12" i="188"/>
  <c r="J12" i="188"/>
  <c r="N11" i="188"/>
  <c r="K11" i="188"/>
  <c r="J11" i="188"/>
  <c r="N10" i="188"/>
  <c r="K10" i="188"/>
  <c r="J10" i="188"/>
  <c r="N9" i="188"/>
  <c r="K9" i="188"/>
  <c r="J9" i="188"/>
  <c r="D7" i="137"/>
  <c r="F87" i="52"/>
  <c r="E87" i="52"/>
  <c r="D87" i="52"/>
  <c r="F33" i="52"/>
  <c r="E33" i="52"/>
  <c r="D33" i="52"/>
  <c r="C17" i="137"/>
  <c r="F102" i="52"/>
  <c r="E102" i="52"/>
  <c r="D102" i="52"/>
  <c r="F108" i="52"/>
  <c r="E108" i="52"/>
  <c r="D108" i="52"/>
  <c r="H6" i="140"/>
  <c r="H4" i="140"/>
  <c r="F57" i="52"/>
  <c r="E57" i="52"/>
  <c r="D57" i="52"/>
  <c r="F59" i="52"/>
  <c r="E59" i="52"/>
  <c r="D59" i="52"/>
  <c r="E80" i="52"/>
  <c r="F79" i="52"/>
  <c r="E79" i="52"/>
  <c r="D79" i="52"/>
  <c r="F56" i="52"/>
  <c r="E56" i="52"/>
  <c r="D56" i="52"/>
  <c r="F38" i="52"/>
  <c r="E38" i="52"/>
  <c r="D38" i="52"/>
  <c r="F100" i="52"/>
  <c r="E100" i="52"/>
  <c r="D100" i="52"/>
  <c r="F65" i="52"/>
  <c r="E65" i="52"/>
  <c r="D65" i="52"/>
  <c r="F20" i="52"/>
  <c r="E20" i="52"/>
  <c r="D20" i="52"/>
  <c r="F109" i="52"/>
  <c r="E109" i="52"/>
  <c r="D109" i="52"/>
  <c r="F35" i="52"/>
  <c r="E35" i="52"/>
  <c r="D35" i="52"/>
  <c r="N120" i="52"/>
  <c r="K120" i="52"/>
  <c r="J120" i="52"/>
  <c r="F19" i="52"/>
  <c r="H13" i="140" s="1"/>
  <c r="E19" i="52"/>
  <c r="D19" i="52"/>
  <c r="N119" i="52"/>
  <c r="K119" i="52"/>
  <c r="J119" i="52"/>
  <c r="F39" i="52"/>
  <c r="E39" i="52"/>
  <c r="D39" i="52"/>
  <c r="F29" i="52"/>
  <c r="E29" i="52"/>
  <c r="D29" i="52"/>
  <c r="N118" i="52"/>
  <c r="K118" i="52"/>
  <c r="J118" i="52"/>
  <c r="F89" i="52"/>
  <c r="E89" i="52"/>
  <c r="D89" i="52"/>
  <c r="N117" i="52"/>
  <c r="K117" i="52"/>
  <c r="J117" i="52"/>
  <c r="F71" i="52"/>
  <c r="E71" i="52"/>
  <c r="D71" i="52"/>
  <c r="N116" i="52"/>
  <c r="K116" i="52"/>
  <c r="J116" i="52"/>
  <c r="F43" i="52"/>
  <c r="E43" i="52"/>
  <c r="D43" i="52"/>
  <c r="N115" i="52"/>
  <c r="K115" i="52"/>
  <c r="J115" i="52"/>
  <c r="F31" i="52"/>
  <c r="E31" i="52"/>
  <c r="D31" i="52"/>
  <c r="N114" i="52"/>
  <c r="K114" i="52"/>
  <c r="J114" i="52"/>
  <c r="F49" i="52"/>
  <c r="E49" i="52"/>
  <c r="D49" i="52"/>
  <c r="N113" i="52"/>
  <c r="K113" i="52"/>
  <c r="J113" i="52"/>
  <c r="N112" i="52"/>
  <c r="K112" i="52"/>
  <c r="J112" i="52"/>
  <c r="N111" i="52"/>
  <c r="K111" i="52"/>
  <c r="J111" i="52"/>
  <c r="F111" i="52"/>
  <c r="E111" i="52"/>
  <c r="D111" i="52"/>
  <c r="N110" i="52"/>
  <c r="K110" i="52"/>
  <c r="J110" i="52"/>
  <c r="F95" i="52"/>
  <c r="E95" i="52"/>
  <c r="D95" i="52"/>
  <c r="L13" i="188" l="1"/>
  <c r="L15" i="188"/>
  <c r="L42" i="188"/>
  <c r="L44" i="188"/>
  <c r="L46" i="188"/>
  <c r="L48" i="188"/>
  <c r="L50" i="188"/>
  <c r="L52" i="188"/>
  <c r="L54" i="188"/>
  <c r="L56" i="188"/>
  <c r="L60" i="188"/>
  <c r="L74" i="188"/>
  <c r="L109" i="188"/>
  <c r="L113" i="188"/>
  <c r="L116" i="52"/>
  <c r="L28" i="188"/>
  <c r="L32" i="188"/>
  <c r="L34" i="188"/>
  <c r="L36" i="188"/>
  <c r="L38" i="188"/>
  <c r="L41" i="188"/>
  <c r="L59" i="188"/>
  <c r="L61" i="188"/>
  <c r="L69" i="188"/>
  <c r="L72" i="188"/>
  <c r="L81" i="188"/>
  <c r="L96" i="188"/>
  <c r="L57" i="188"/>
  <c r="L103" i="188"/>
  <c r="L85" i="188"/>
  <c r="L93" i="188"/>
  <c r="L118" i="188"/>
  <c r="L14" i="188"/>
  <c r="L80" i="188"/>
  <c r="L79" i="188"/>
  <c r="L9" i="188"/>
  <c r="L11" i="188"/>
  <c r="L16" i="188"/>
  <c r="L20" i="188"/>
  <c r="L24" i="188"/>
  <c r="L67" i="188"/>
  <c r="L82" i="188"/>
  <c r="L84" i="188"/>
  <c r="L88" i="188"/>
  <c r="L92" i="188"/>
  <c r="L99" i="188"/>
  <c r="L101" i="188"/>
  <c r="L115" i="188"/>
  <c r="L12" i="188"/>
  <c r="L18" i="188"/>
  <c r="L22" i="188"/>
  <c r="L26" i="188"/>
  <c r="L66" i="188"/>
  <c r="L68" i="188"/>
  <c r="L77" i="188"/>
  <c r="L83" i="188"/>
  <c r="L89" i="188"/>
  <c r="L100" i="188"/>
  <c r="L106" i="188"/>
  <c r="L117" i="188"/>
  <c r="L119" i="188"/>
  <c r="L10" i="188"/>
  <c r="L17" i="188"/>
  <c r="L21" i="188"/>
  <c r="L25" i="188"/>
  <c r="L29" i="188"/>
  <c r="L31" i="188"/>
  <c r="L35" i="188"/>
  <c r="L39" i="188"/>
  <c r="L43" i="188"/>
  <c r="L47" i="188"/>
  <c r="L51" i="188"/>
  <c r="L55" i="188"/>
  <c r="L63" i="188"/>
  <c r="L70" i="188"/>
  <c r="L73" i="188"/>
  <c r="L86" i="188"/>
  <c r="L91" i="188"/>
  <c r="L94" i="188"/>
  <c r="L97" i="188"/>
  <c r="L105" i="188"/>
  <c r="L110" i="188"/>
  <c r="L114" i="188"/>
  <c r="L98" i="188"/>
  <c r="L116" i="188"/>
  <c r="L19" i="188"/>
  <c r="L23" i="188"/>
  <c r="L27" i="188"/>
  <c r="L33" i="188"/>
  <c r="L37" i="188"/>
  <c r="L40" i="188"/>
  <c r="L45" i="188"/>
  <c r="L49" i="188"/>
  <c r="L53" i="188"/>
  <c r="L62" i="188"/>
  <c r="L65" i="188"/>
  <c r="L75" i="188"/>
  <c r="L78" i="188"/>
  <c r="L87" i="188"/>
  <c r="L90" i="188"/>
  <c r="L95" i="188"/>
  <c r="L102" i="188"/>
  <c r="L104" i="188"/>
  <c r="L108" i="188"/>
  <c r="L112" i="188"/>
  <c r="L30" i="188"/>
  <c r="L120" i="52"/>
  <c r="L119" i="52"/>
  <c r="L118" i="52"/>
  <c r="L117" i="52"/>
  <c r="L115" i="52"/>
  <c r="L114" i="52"/>
  <c r="L113" i="52"/>
  <c r="L112" i="52"/>
  <c r="L111" i="52"/>
  <c r="L110" i="52"/>
  <c r="M63" i="187" l="1"/>
  <c r="H63" i="187"/>
  <c r="C63" i="187"/>
  <c r="L62" i="187"/>
  <c r="G62" i="187"/>
  <c r="B62" i="187"/>
  <c r="M48" i="187"/>
  <c r="H48" i="187"/>
  <c r="C48" i="187"/>
  <c r="L47" i="187"/>
  <c r="G47" i="187"/>
  <c r="B47" i="187"/>
  <c r="M33" i="187"/>
  <c r="H33" i="187"/>
  <c r="C33" i="187"/>
  <c r="L32" i="187"/>
  <c r="G32" i="187"/>
  <c r="B32" i="187"/>
  <c r="M18" i="187"/>
  <c r="H18" i="187"/>
  <c r="C18" i="187"/>
  <c r="L17" i="187"/>
  <c r="G17" i="187"/>
  <c r="B17" i="187"/>
  <c r="M3" i="187"/>
  <c r="H3" i="187"/>
  <c r="L2" i="187"/>
  <c r="G2" i="187"/>
  <c r="M63" i="186"/>
  <c r="H63" i="186"/>
  <c r="C63" i="186"/>
  <c r="L62" i="186"/>
  <c r="G62" i="186"/>
  <c r="B62" i="186"/>
  <c r="M48" i="186"/>
  <c r="H48" i="186"/>
  <c r="C48" i="186"/>
  <c r="L47" i="186"/>
  <c r="G47" i="186"/>
  <c r="B47" i="186"/>
  <c r="M33" i="186"/>
  <c r="H33" i="186"/>
  <c r="C33" i="186"/>
  <c r="L32" i="186"/>
  <c r="G32" i="186"/>
  <c r="B32" i="186"/>
  <c r="M18" i="186"/>
  <c r="H18" i="186"/>
  <c r="C18" i="186"/>
  <c r="L17" i="186"/>
  <c r="G17" i="186"/>
  <c r="B17" i="186"/>
  <c r="M3" i="186"/>
  <c r="H3" i="186"/>
  <c r="L2" i="186"/>
  <c r="G2" i="186"/>
  <c r="M63" i="185"/>
  <c r="H63" i="185"/>
  <c r="C63" i="185"/>
  <c r="L62" i="185"/>
  <c r="G62" i="185"/>
  <c r="B62" i="185"/>
  <c r="M48" i="185"/>
  <c r="H48" i="185"/>
  <c r="C48" i="185"/>
  <c r="L47" i="185"/>
  <c r="G47" i="185"/>
  <c r="B47" i="185"/>
  <c r="M33" i="185"/>
  <c r="H33" i="185"/>
  <c r="C33" i="185"/>
  <c r="L32" i="185"/>
  <c r="G32" i="185"/>
  <c r="B32" i="185"/>
  <c r="M18" i="185"/>
  <c r="H18" i="185"/>
  <c r="C18" i="185"/>
  <c r="L17" i="185"/>
  <c r="G17" i="185"/>
  <c r="B17" i="185"/>
  <c r="M3" i="185"/>
  <c r="H3" i="185"/>
  <c r="L2" i="185"/>
  <c r="G2" i="185"/>
  <c r="M63" i="184"/>
  <c r="H63" i="184"/>
  <c r="C63" i="184"/>
  <c r="L62" i="184"/>
  <c r="G62" i="184"/>
  <c r="B62" i="184"/>
  <c r="M48" i="184"/>
  <c r="H48" i="184"/>
  <c r="C48" i="184"/>
  <c r="L47" i="184"/>
  <c r="G47" i="184"/>
  <c r="B47" i="184"/>
  <c r="M33" i="184"/>
  <c r="H33" i="184"/>
  <c r="C33" i="184"/>
  <c r="L32" i="184"/>
  <c r="G32" i="184"/>
  <c r="B32" i="184"/>
  <c r="M18" i="184"/>
  <c r="H18" i="184"/>
  <c r="C18" i="184"/>
  <c r="L17" i="184"/>
  <c r="G17" i="184"/>
  <c r="B17" i="184"/>
  <c r="M3" i="184"/>
  <c r="H3" i="184"/>
  <c r="L2" i="184"/>
  <c r="G2" i="184"/>
  <c r="M63" i="183"/>
  <c r="H63" i="183"/>
  <c r="C63" i="183"/>
  <c r="L62" i="183"/>
  <c r="G62" i="183"/>
  <c r="B62" i="183"/>
  <c r="M48" i="183"/>
  <c r="H48" i="183"/>
  <c r="C48" i="183"/>
  <c r="L47" i="183"/>
  <c r="G47" i="183"/>
  <c r="B47" i="183"/>
  <c r="M33" i="183"/>
  <c r="H33" i="183"/>
  <c r="C33" i="183"/>
  <c r="L32" i="183"/>
  <c r="G32" i="183"/>
  <c r="B32" i="183"/>
  <c r="M18" i="183"/>
  <c r="H18" i="183"/>
  <c r="C18" i="183"/>
  <c r="L17" i="183"/>
  <c r="G17" i="183"/>
  <c r="B17" i="183"/>
  <c r="M3" i="183"/>
  <c r="H3" i="183"/>
  <c r="L2" i="183"/>
  <c r="G2" i="183"/>
  <c r="M63" i="182"/>
  <c r="H63" i="182"/>
  <c r="C63" i="182"/>
  <c r="L62" i="182"/>
  <c r="G62" i="182"/>
  <c r="B62" i="182"/>
  <c r="M48" i="182"/>
  <c r="H48" i="182"/>
  <c r="C48" i="182"/>
  <c r="L47" i="182"/>
  <c r="G47" i="182"/>
  <c r="B47" i="182"/>
  <c r="M33" i="182"/>
  <c r="H33" i="182"/>
  <c r="C33" i="182"/>
  <c r="L32" i="182"/>
  <c r="G32" i="182"/>
  <c r="B32" i="182"/>
  <c r="M18" i="182"/>
  <c r="H18" i="182"/>
  <c r="C18" i="182"/>
  <c r="L17" i="182"/>
  <c r="G17" i="182"/>
  <c r="B17" i="182"/>
  <c r="M3" i="182"/>
  <c r="H3" i="182"/>
  <c r="L2" i="182"/>
  <c r="G2" i="182"/>
  <c r="M63" i="181"/>
  <c r="H63" i="181"/>
  <c r="C63" i="181"/>
  <c r="L62" i="181"/>
  <c r="G62" i="181"/>
  <c r="B62" i="181"/>
  <c r="M48" i="181"/>
  <c r="H48" i="181"/>
  <c r="C48" i="181"/>
  <c r="L47" i="181"/>
  <c r="G47" i="181"/>
  <c r="B47" i="181"/>
  <c r="M33" i="181"/>
  <c r="H33" i="181"/>
  <c r="C33" i="181"/>
  <c r="L32" i="181"/>
  <c r="G32" i="181"/>
  <c r="B32" i="181"/>
  <c r="M18" i="181"/>
  <c r="H18" i="181"/>
  <c r="C18" i="181"/>
  <c r="L17" i="181"/>
  <c r="G17" i="181"/>
  <c r="B17" i="181"/>
  <c r="M3" i="181"/>
  <c r="H3" i="181"/>
  <c r="L2" i="181"/>
  <c r="G2" i="181"/>
  <c r="M63" i="180"/>
  <c r="H63" i="180"/>
  <c r="C63" i="180"/>
  <c r="L62" i="180"/>
  <c r="G62" i="180"/>
  <c r="B62" i="180"/>
  <c r="M48" i="180"/>
  <c r="H48" i="180"/>
  <c r="C48" i="180"/>
  <c r="L47" i="180"/>
  <c r="G47" i="180"/>
  <c r="B47" i="180"/>
  <c r="M33" i="180"/>
  <c r="H33" i="180"/>
  <c r="C33" i="180"/>
  <c r="L32" i="180"/>
  <c r="G32" i="180"/>
  <c r="B32" i="180"/>
  <c r="M18" i="180"/>
  <c r="H18" i="180"/>
  <c r="C18" i="180"/>
  <c r="L17" i="180"/>
  <c r="G17" i="180"/>
  <c r="B17" i="180"/>
  <c r="M3" i="180"/>
  <c r="H3" i="180"/>
  <c r="L2" i="180"/>
  <c r="G2" i="180"/>
  <c r="M63" i="179"/>
  <c r="H63" i="179"/>
  <c r="C63" i="179"/>
  <c r="L62" i="179"/>
  <c r="G62" i="179"/>
  <c r="B62" i="179"/>
  <c r="M48" i="179"/>
  <c r="H48" i="179"/>
  <c r="C48" i="179"/>
  <c r="L47" i="179"/>
  <c r="G47" i="179"/>
  <c r="B47" i="179"/>
  <c r="M33" i="179"/>
  <c r="H33" i="179"/>
  <c r="C33" i="179"/>
  <c r="L32" i="179"/>
  <c r="G32" i="179"/>
  <c r="B32" i="179"/>
  <c r="M18" i="179"/>
  <c r="H18" i="179"/>
  <c r="C18" i="179"/>
  <c r="L17" i="179"/>
  <c r="G17" i="179"/>
  <c r="B17" i="179"/>
  <c r="M3" i="179"/>
  <c r="H3" i="179"/>
  <c r="L2" i="179"/>
  <c r="G2" i="179"/>
  <c r="M63" i="178"/>
  <c r="H63" i="178"/>
  <c r="C63" i="178"/>
  <c r="L62" i="178"/>
  <c r="G62" i="178"/>
  <c r="B62" i="178"/>
  <c r="M48" i="178"/>
  <c r="H48" i="178"/>
  <c r="C48" i="178"/>
  <c r="L47" i="178"/>
  <c r="G47" i="178"/>
  <c r="B47" i="178"/>
  <c r="M33" i="178"/>
  <c r="H33" i="178"/>
  <c r="C33" i="178"/>
  <c r="L32" i="178"/>
  <c r="G32" i="178"/>
  <c r="B32" i="178"/>
  <c r="M18" i="178"/>
  <c r="H18" i="178"/>
  <c r="C18" i="178"/>
  <c r="L17" i="178"/>
  <c r="G17" i="178"/>
  <c r="B17" i="178"/>
  <c r="M3" i="178"/>
  <c r="H3" i="178"/>
  <c r="L2" i="178"/>
  <c r="G2" i="178"/>
  <c r="M63" i="177"/>
  <c r="H63" i="177"/>
  <c r="C63" i="177"/>
  <c r="L62" i="177"/>
  <c r="G62" i="177"/>
  <c r="B62" i="177"/>
  <c r="M48" i="177"/>
  <c r="H48" i="177"/>
  <c r="C48" i="177"/>
  <c r="L47" i="177"/>
  <c r="G47" i="177"/>
  <c r="B47" i="177"/>
  <c r="M33" i="177"/>
  <c r="H33" i="177"/>
  <c r="C33" i="177"/>
  <c r="L32" i="177"/>
  <c r="G32" i="177"/>
  <c r="B32" i="177"/>
  <c r="M18" i="177"/>
  <c r="H18" i="177"/>
  <c r="C18" i="177"/>
  <c r="L17" i="177"/>
  <c r="G17" i="177"/>
  <c r="B17" i="177"/>
  <c r="M3" i="177"/>
  <c r="H3" i="177"/>
  <c r="L2" i="177"/>
  <c r="G2" i="177"/>
  <c r="M63" i="176"/>
  <c r="H63" i="176"/>
  <c r="C63" i="176"/>
  <c r="L62" i="176"/>
  <c r="G62" i="176"/>
  <c r="B62" i="176"/>
  <c r="M48" i="176"/>
  <c r="H48" i="176"/>
  <c r="C48" i="176"/>
  <c r="L47" i="176"/>
  <c r="G47" i="176"/>
  <c r="B47" i="176"/>
  <c r="M33" i="176"/>
  <c r="H33" i="176"/>
  <c r="C33" i="176"/>
  <c r="L32" i="176"/>
  <c r="G32" i="176"/>
  <c r="B32" i="176"/>
  <c r="M18" i="176"/>
  <c r="H18" i="176"/>
  <c r="C18" i="176"/>
  <c r="L17" i="176"/>
  <c r="G17" i="176"/>
  <c r="B17" i="176"/>
  <c r="M3" i="176"/>
  <c r="H3" i="176"/>
  <c r="L2" i="176"/>
  <c r="G2" i="176"/>
  <c r="M63" i="175"/>
  <c r="H63" i="175"/>
  <c r="C63" i="175"/>
  <c r="L62" i="175"/>
  <c r="G62" i="175"/>
  <c r="B62" i="175"/>
  <c r="M48" i="175"/>
  <c r="H48" i="175"/>
  <c r="C48" i="175"/>
  <c r="L47" i="175"/>
  <c r="G47" i="175"/>
  <c r="B47" i="175"/>
  <c r="M33" i="175"/>
  <c r="H33" i="175"/>
  <c r="C33" i="175"/>
  <c r="L32" i="175"/>
  <c r="G32" i="175"/>
  <c r="B32" i="175"/>
  <c r="M18" i="175"/>
  <c r="H18" i="175"/>
  <c r="C18" i="175"/>
  <c r="L17" i="175"/>
  <c r="G17" i="175"/>
  <c r="B17" i="175"/>
  <c r="M3" i="175"/>
  <c r="H3" i="175"/>
  <c r="L2" i="175"/>
  <c r="G2" i="175"/>
  <c r="M63" i="174"/>
  <c r="H63" i="174"/>
  <c r="C63" i="174"/>
  <c r="L62" i="174"/>
  <c r="G62" i="174"/>
  <c r="B62" i="174"/>
  <c r="M48" i="174"/>
  <c r="H48" i="174"/>
  <c r="C48" i="174"/>
  <c r="L47" i="174"/>
  <c r="G47" i="174"/>
  <c r="B47" i="174"/>
  <c r="M33" i="174"/>
  <c r="H33" i="174"/>
  <c r="C33" i="174"/>
  <c r="L32" i="174"/>
  <c r="G32" i="174"/>
  <c r="B32" i="174"/>
  <c r="M18" i="174"/>
  <c r="H18" i="174"/>
  <c r="C18" i="174"/>
  <c r="L17" i="174"/>
  <c r="G17" i="174"/>
  <c r="B17" i="174"/>
  <c r="M3" i="174"/>
  <c r="H3" i="174"/>
  <c r="L2" i="174"/>
  <c r="G2" i="174"/>
  <c r="M63" i="173"/>
  <c r="H63" i="173"/>
  <c r="C63" i="173"/>
  <c r="L62" i="173"/>
  <c r="G62" i="173"/>
  <c r="B62" i="173"/>
  <c r="M48" i="173"/>
  <c r="H48" i="173"/>
  <c r="C48" i="173"/>
  <c r="L47" i="173"/>
  <c r="G47" i="173"/>
  <c r="B47" i="173"/>
  <c r="M33" i="173"/>
  <c r="H33" i="173"/>
  <c r="C33" i="173"/>
  <c r="L32" i="173"/>
  <c r="G32" i="173"/>
  <c r="B32" i="173"/>
  <c r="M18" i="173"/>
  <c r="H18" i="173"/>
  <c r="C18" i="173"/>
  <c r="L17" i="173"/>
  <c r="G17" i="173"/>
  <c r="B17" i="173"/>
  <c r="M3" i="173"/>
  <c r="H3" i="173"/>
  <c r="L2" i="173"/>
  <c r="G2" i="173"/>
  <c r="M63" i="172"/>
  <c r="H63" i="172"/>
  <c r="C63" i="172"/>
  <c r="L62" i="172"/>
  <c r="G62" i="172"/>
  <c r="B62" i="172"/>
  <c r="M48" i="172"/>
  <c r="H48" i="172"/>
  <c r="C48" i="172"/>
  <c r="L47" i="172"/>
  <c r="G47" i="172"/>
  <c r="B47" i="172"/>
  <c r="M33" i="172"/>
  <c r="H33" i="172"/>
  <c r="C33" i="172"/>
  <c r="L32" i="172"/>
  <c r="G32" i="172"/>
  <c r="B32" i="172"/>
  <c r="M18" i="172"/>
  <c r="H18" i="172"/>
  <c r="C18" i="172"/>
  <c r="L17" i="172"/>
  <c r="G17" i="172"/>
  <c r="B17" i="172"/>
  <c r="M3" i="172"/>
  <c r="H3" i="172"/>
  <c r="L2" i="172"/>
  <c r="G2" i="172"/>
  <c r="C138" i="168"/>
  <c r="B137" i="168"/>
  <c r="M123" i="168"/>
  <c r="H123" i="168"/>
  <c r="C123" i="168"/>
  <c r="L122" i="168"/>
  <c r="G122" i="168"/>
  <c r="B122" i="168"/>
  <c r="M108" i="168"/>
  <c r="H108" i="168"/>
  <c r="C108" i="168"/>
  <c r="L107" i="168"/>
  <c r="G107" i="168"/>
  <c r="B107" i="168"/>
  <c r="M93" i="168"/>
  <c r="H93" i="168"/>
  <c r="C93" i="168"/>
  <c r="L92" i="168"/>
  <c r="G92" i="168"/>
  <c r="B92" i="168"/>
  <c r="M78" i="168"/>
  <c r="H78" i="168"/>
  <c r="C78" i="168"/>
  <c r="L77" i="168"/>
  <c r="G77" i="168"/>
  <c r="B77" i="168"/>
  <c r="M63" i="168"/>
  <c r="H63" i="168"/>
  <c r="C63" i="168"/>
  <c r="L62" i="168"/>
  <c r="G62" i="168"/>
  <c r="B62" i="168"/>
  <c r="M48" i="168"/>
  <c r="H48" i="168"/>
  <c r="C48" i="168"/>
  <c r="L47" i="168"/>
  <c r="G47" i="168"/>
  <c r="B47" i="168"/>
  <c r="M33" i="168"/>
  <c r="H33" i="168"/>
  <c r="C33" i="168"/>
  <c r="L32" i="168"/>
  <c r="G32" i="168"/>
  <c r="B32" i="168"/>
  <c r="M18" i="168"/>
  <c r="H18" i="168"/>
  <c r="C18" i="168"/>
  <c r="L17" i="168"/>
  <c r="G17" i="168"/>
  <c r="B17" i="168"/>
  <c r="M3" i="168"/>
  <c r="H3" i="168"/>
  <c r="L2" i="168"/>
  <c r="G2" i="168"/>
  <c r="C138" i="164"/>
  <c r="B137" i="164"/>
  <c r="M123" i="164"/>
  <c r="H123" i="164"/>
  <c r="C123" i="164"/>
  <c r="L122" i="164"/>
  <c r="G122" i="164"/>
  <c r="B122" i="164"/>
  <c r="M108" i="164"/>
  <c r="H108" i="164"/>
  <c r="C108" i="164"/>
  <c r="L107" i="164"/>
  <c r="G107" i="164"/>
  <c r="B107" i="164"/>
  <c r="M93" i="164"/>
  <c r="H93" i="164"/>
  <c r="C93" i="164"/>
  <c r="L92" i="164"/>
  <c r="G92" i="164"/>
  <c r="B92" i="164"/>
  <c r="M78" i="164"/>
  <c r="H78" i="164"/>
  <c r="C78" i="164"/>
  <c r="L77" i="164"/>
  <c r="G77" i="164"/>
  <c r="B77" i="164"/>
  <c r="M63" i="164"/>
  <c r="H63" i="164"/>
  <c r="C63" i="164"/>
  <c r="L62" i="164"/>
  <c r="G62" i="164"/>
  <c r="B62" i="164"/>
  <c r="M48" i="164"/>
  <c r="H48" i="164"/>
  <c r="C48" i="164"/>
  <c r="L47" i="164"/>
  <c r="G47" i="164"/>
  <c r="B47" i="164"/>
  <c r="M33" i="164"/>
  <c r="H33" i="164"/>
  <c r="C33" i="164"/>
  <c r="L32" i="164"/>
  <c r="G32" i="164"/>
  <c r="B32" i="164"/>
  <c r="M18" i="164"/>
  <c r="H18" i="164"/>
  <c r="C18" i="164"/>
  <c r="L17" i="164"/>
  <c r="G17" i="164"/>
  <c r="B17" i="164"/>
  <c r="M3" i="164"/>
  <c r="H3" i="164"/>
  <c r="L2" i="164"/>
  <c r="G2" i="164"/>
  <c r="C138" i="160"/>
  <c r="B137" i="160"/>
  <c r="M123" i="160"/>
  <c r="H123" i="160"/>
  <c r="C123" i="160"/>
  <c r="L122" i="160"/>
  <c r="G122" i="160"/>
  <c r="B122" i="160"/>
  <c r="M108" i="160"/>
  <c r="H108" i="160"/>
  <c r="C108" i="160"/>
  <c r="L107" i="160"/>
  <c r="G107" i="160"/>
  <c r="B107" i="160"/>
  <c r="M93" i="160"/>
  <c r="H93" i="160"/>
  <c r="C93" i="160"/>
  <c r="L92" i="160"/>
  <c r="G92" i="160"/>
  <c r="B92" i="160"/>
  <c r="M78" i="160"/>
  <c r="H78" i="160"/>
  <c r="C78" i="160"/>
  <c r="L77" i="160"/>
  <c r="G77" i="160"/>
  <c r="B77" i="160"/>
  <c r="M63" i="160"/>
  <c r="H63" i="160"/>
  <c r="C63" i="160"/>
  <c r="L62" i="160"/>
  <c r="G62" i="160"/>
  <c r="B62" i="160"/>
  <c r="M48" i="160"/>
  <c r="H48" i="160"/>
  <c r="C48" i="160"/>
  <c r="L47" i="160"/>
  <c r="G47" i="160"/>
  <c r="B47" i="160"/>
  <c r="M33" i="160"/>
  <c r="H33" i="160"/>
  <c r="C33" i="160"/>
  <c r="L32" i="160"/>
  <c r="G32" i="160"/>
  <c r="B32" i="160"/>
  <c r="M18" i="160"/>
  <c r="H18" i="160"/>
  <c r="C18" i="160"/>
  <c r="L17" i="160"/>
  <c r="G17" i="160"/>
  <c r="B17" i="160"/>
  <c r="M3" i="160"/>
  <c r="H3" i="160"/>
  <c r="L2" i="160"/>
  <c r="G2" i="160"/>
  <c r="C138" i="169"/>
  <c r="B137" i="169"/>
  <c r="M123" i="169"/>
  <c r="H123" i="169"/>
  <c r="C123" i="169"/>
  <c r="L122" i="169"/>
  <c r="G122" i="169"/>
  <c r="B122" i="169"/>
  <c r="M108" i="169"/>
  <c r="H108" i="169"/>
  <c r="C108" i="169"/>
  <c r="L107" i="169"/>
  <c r="G107" i="169"/>
  <c r="B107" i="169"/>
  <c r="M93" i="169"/>
  <c r="H93" i="169"/>
  <c r="C93" i="169"/>
  <c r="L92" i="169"/>
  <c r="G92" i="169"/>
  <c r="B92" i="169"/>
  <c r="M78" i="169"/>
  <c r="H78" i="169"/>
  <c r="C78" i="169"/>
  <c r="L77" i="169"/>
  <c r="G77" i="169"/>
  <c r="B77" i="169"/>
  <c r="M63" i="169"/>
  <c r="H63" i="169"/>
  <c r="C63" i="169"/>
  <c r="L62" i="169"/>
  <c r="G62" i="169"/>
  <c r="B62" i="169"/>
  <c r="M48" i="169"/>
  <c r="H48" i="169"/>
  <c r="C48" i="169"/>
  <c r="L47" i="169"/>
  <c r="G47" i="169"/>
  <c r="B47" i="169"/>
  <c r="M33" i="169"/>
  <c r="H33" i="169"/>
  <c r="C33" i="169"/>
  <c r="L32" i="169"/>
  <c r="G32" i="169"/>
  <c r="B32" i="169"/>
  <c r="M18" i="169"/>
  <c r="H18" i="169"/>
  <c r="C18" i="169"/>
  <c r="L17" i="169"/>
  <c r="G17" i="169"/>
  <c r="B17" i="169"/>
  <c r="M3" i="169"/>
  <c r="H3" i="169"/>
  <c r="L2" i="169"/>
  <c r="G2" i="169"/>
  <c r="C138" i="165"/>
  <c r="B137" i="165"/>
  <c r="M123" i="165"/>
  <c r="H123" i="165"/>
  <c r="C123" i="165"/>
  <c r="L122" i="165"/>
  <c r="G122" i="165"/>
  <c r="B122" i="165"/>
  <c r="M108" i="165"/>
  <c r="H108" i="165"/>
  <c r="C108" i="165"/>
  <c r="L107" i="165"/>
  <c r="G107" i="165"/>
  <c r="B107" i="165"/>
  <c r="M93" i="165"/>
  <c r="H93" i="165"/>
  <c r="C93" i="165"/>
  <c r="L92" i="165"/>
  <c r="G92" i="165"/>
  <c r="B92" i="165"/>
  <c r="M78" i="165"/>
  <c r="H78" i="165"/>
  <c r="C78" i="165"/>
  <c r="L77" i="165"/>
  <c r="G77" i="165"/>
  <c r="B77" i="165"/>
  <c r="M63" i="165"/>
  <c r="H63" i="165"/>
  <c r="C63" i="165"/>
  <c r="L62" i="165"/>
  <c r="G62" i="165"/>
  <c r="B62" i="165"/>
  <c r="M48" i="165"/>
  <c r="H48" i="165"/>
  <c r="C48" i="165"/>
  <c r="L47" i="165"/>
  <c r="G47" i="165"/>
  <c r="B47" i="165"/>
  <c r="M33" i="165"/>
  <c r="H33" i="165"/>
  <c r="C33" i="165"/>
  <c r="L32" i="165"/>
  <c r="G32" i="165"/>
  <c r="B32" i="165"/>
  <c r="M18" i="165"/>
  <c r="H18" i="165"/>
  <c r="C18" i="165"/>
  <c r="L17" i="165"/>
  <c r="G17" i="165"/>
  <c r="B17" i="165"/>
  <c r="M3" i="165"/>
  <c r="H3" i="165"/>
  <c r="L2" i="165"/>
  <c r="G2" i="165"/>
  <c r="C138" i="161"/>
  <c r="B137" i="161"/>
  <c r="M123" i="161"/>
  <c r="H123" i="161"/>
  <c r="C123" i="161"/>
  <c r="L122" i="161"/>
  <c r="G122" i="161"/>
  <c r="B122" i="161"/>
  <c r="M108" i="161"/>
  <c r="H108" i="161"/>
  <c r="C108" i="161"/>
  <c r="L107" i="161"/>
  <c r="G107" i="161"/>
  <c r="B107" i="161"/>
  <c r="M93" i="161"/>
  <c r="H93" i="161"/>
  <c r="C93" i="161"/>
  <c r="L92" i="161"/>
  <c r="G92" i="161"/>
  <c r="B92" i="161"/>
  <c r="M78" i="161"/>
  <c r="H78" i="161"/>
  <c r="C78" i="161"/>
  <c r="L77" i="161"/>
  <c r="G77" i="161"/>
  <c r="B77" i="161"/>
  <c r="M63" i="161"/>
  <c r="H63" i="161"/>
  <c r="C63" i="161"/>
  <c r="L62" i="161"/>
  <c r="G62" i="161"/>
  <c r="B62" i="161"/>
  <c r="M48" i="161"/>
  <c r="H48" i="161"/>
  <c r="C48" i="161"/>
  <c r="L47" i="161"/>
  <c r="G47" i="161"/>
  <c r="B47" i="161"/>
  <c r="M33" i="161"/>
  <c r="H33" i="161"/>
  <c r="C33" i="161"/>
  <c r="L32" i="161"/>
  <c r="G32" i="161"/>
  <c r="B32" i="161"/>
  <c r="M18" i="161"/>
  <c r="H18" i="161"/>
  <c r="C18" i="161"/>
  <c r="L17" i="161"/>
  <c r="G17" i="161"/>
  <c r="B17" i="161"/>
  <c r="M3" i="161"/>
  <c r="H3" i="161"/>
  <c r="L2" i="161"/>
  <c r="G2" i="161"/>
  <c r="C138" i="170"/>
  <c r="B137" i="170"/>
  <c r="M123" i="170"/>
  <c r="H123" i="170"/>
  <c r="C123" i="170"/>
  <c r="L122" i="170"/>
  <c r="G122" i="170"/>
  <c r="B122" i="170"/>
  <c r="M108" i="170"/>
  <c r="H108" i="170"/>
  <c r="C108" i="170"/>
  <c r="L107" i="170"/>
  <c r="G107" i="170"/>
  <c r="B107" i="170"/>
  <c r="M93" i="170"/>
  <c r="H93" i="170"/>
  <c r="C93" i="170"/>
  <c r="L92" i="170"/>
  <c r="G92" i="170"/>
  <c r="B92" i="170"/>
  <c r="M78" i="170"/>
  <c r="H78" i="170"/>
  <c r="C78" i="170"/>
  <c r="L77" i="170"/>
  <c r="G77" i="170"/>
  <c r="B77" i="170"/>
  <c r="M63" i="170"/>
  <c r="H63" i="170"/>
  <c r="C63" i="170"/>
  <c r="L62" i="170"/>
  <c r="G62" i="170"/>
  <c r="B62" i="170"/>
  <c r="M48" i="170"/>
  <c r="H48" i="170"/>
  <c r="C48" i="170"/>
  <c r="L47" i="170"/>
  <c r="G47" i="170"/>
  <c r="B47" i="170"/>
  <c r="M33" i="170"/>
  <c r="H33" i="170"/>
  <c r="C33" i="170"/>
  <c r="L32" i="170"/>
  <c r="G32" i="170"/>
  <c r="B32" i="170"/>
  <c r="M18" i="170"/>
  <c r="H18" i="170"/>
  <c r="C18" i="170"/>
  <c r="L17" i="170"/>
  <c r="G17" i="170"/>
  <c r="B17" i="170"/>
  <c r="M3" i="170"/>
  <c r="H3" i="170"/>
  <c r="L2" i="170"/>
  <c r="G2" i="170"/>
  <c r="C138" i="166"/>
  <c r="B137" i="166"/>
  <c r="M123" i="166"/>
  <c r="H123" i="166"/>
  <c r="C123" i="166"/>
  <c r="L122" i="166"/>
  <c r="G122" i="166"/>
  <c r="B122" i="166"/>
  <c r="M108" i="166"/>
  <c r="H108" i="166"/>
  <c r="C108" i="166"/>
  <c r="L107" i="166"/>
  <c r="G107" i="166"/>
  <c r="B107" i="166"/>
  <c r="M93" i="166"/>
  <c r="H93" i="166"/>
  <c r="C93" i="166"/>
  <c r="L92" i="166"/>
  <c r="G92" i="166"/>
  <c r="B92" i="166"/>
  <c r="M78" i="166"/>
  <c r="H78" i="166"/>
  <c r="C78" i="166"/>
  <c r="L77" i="166"/>
  <c r="G77" i="166"/>
  <c r="B77" i="166"/>
  <c r="M63" i="166"/>
  <c r="H63" i="166"/>
  <c r="C63" i="166"/>
  <c r="L62" i="166"/>
  <c r="G62" i="166"/>
  <c r="B62" i="166"/>
  <c r="M48" i="166"/>
  <c r="H48" i="166"/>
  <c r="C48" i="166"/>
  <c r="L47" i="166"/>
  <c r="G47" i="166"/>
  <c r="B47" i="166"/>
  <c r="M33" i="166"/>
  <c r="H33" i="166"/>
  <c r="C33" i="166"/>
  <c r="L32" i="166"/>
  <c r="G32" i="166"/>
  <c r="B32" i="166"/>
  <c r="M18" i="166"/>
  <c r="H18" i="166"/>
  <c r="C18" i="166"/>
  <c r="L17" i="166"/>
  <c r="G17" i="166"/>
  <c r="B17" i="166"/>
  <c r="M3" i="166"/>
  <c r="H3" i="166"/>
  <c r="L2" i="166"/>
  <c r="G2" i="166"/>
  <c r="C138" i="162"/>
  <c r="B137" i="162"/>
  <c r="M123" i="162"/>
  <c r="H123" i="162"/>
  <c r="C123" i="162"/>
  <c r="L122" i="162"/>
  <c r="G122" i="162"/>
  <c r="B122" i="162"/>
  <c r="M108" i="162"/>
  <c r="H108" i="162"/>
  <c r="C108" i="162"/>
  <c r="L107" i="162"/>
  <c r="G107" i="162"/>
  <c r="B107" i="162"/>
  <c r="M93" i="162"/>
  <c r="H93" i="162"/>
  <c r="C93" i="162"/>
  <c r="L92" i="162"/>
  <c r="G92" i="162"/>
  <c r="B92" i="162"/>
  <c r="M78" i="162"/>
  <c r="H78" i="162"/>
  <c r="C78" i="162"/>
  <c r="L77" i="162"/>
  <c r="G77" i="162"/>
  <c r="B77" i="162"/>
  <c r="M63" i="162"/>
  <c r="H63" i="162"/>
  <c r="C63" i="162"/>
  <c r="L62" i="162"/>
  <c r="G62" i="162"/>
  <c r="B62" i="162"/>
  <c r="M48" i="162"/>
  <c r="H48" i="162"/>
  <c r="C48" i="162"/>
  <c r="L47" i="162"/>
  <c r="G47" i="162"/>
  <c r="B47" i="162"/>
  <c r="M33" i="162"/>
  <c r="H33" i="162"/>
  <c r="C33" i="162"/>
  <c r="L32" i="162"/>
  <c r="G32" i="162"/>
  <c r="B32" i="162"/>
  <c r="M18" i="162"/>
  <c r="H18" i="162"/>
  <c r="C18" i="162"/>
  <c r="L17" i="162"/>
  <c r="G17" i="162"/>
  <c r="B17" i="162"/>
  <c r="M3" i="162"/>
  <c r="H3" i="162"/>
  <c r="L2" i="162"/>
  <c r="G2" i="162"/>
  <c r="C138" i="171"/>
  <c r="B137" i="171"/>
  <c r="M123" i="171"/>
  <c r="H123" i="171"/>
  <c r="C123" i="171"/>
  <c r="L122" i="171"/>
  <c r="G122" i="171"/>
  <c r="B122" i="171"/>
  <c r="M108" i="171"/>
  <c r="H108" i="171"/>
  <c r="C108" i="171"/>
  <c r="L107" i="171"/>
  <c r="G107" i="171"/>
  <c r="B107" i="171"/>
  <c r="M93" i="171"/>
  <c r="H93" i="171"/>
  <c r="C93" i="171"/>
  <c r="L92" i="171"/>
  <c r="G92" i="171"/>
  <c r="B92" i="171"/>
  <c r="M78" i="171"/>
  <c r="H78" i="171"/>
  <c r="C78" i="171"/>
  <c r="L77" i="171"/>
  <c r="G77" i="171"/>
  <c r="B77" i="171"/>
  <c r="M63" i="171"/>
  <c r="H63" i="171"/>
  <c r="C63" i="171"/>
  <c r="L62" i="171"/>
  <c r="G62" i="171"/>
  <c r="B62" i="171"/>
  <c r="M48" i="171"/>
  <c r="H48" i="171"/>
  <c r="C48" i="171"/>
  <c r="L47" i="171"/>
  <c r="G47" i="171"/>
  <c r="B47" i="171"/>
  <c r="M33" i="171"/>
  <c r="H33" i="171"/>
  <c r="C33" i="171"/>
  <c r="L32" i="171"/>
  <c r="G32" i="171"/>
  <c r="B32" i="171"/>
  <c r="M18" i="171"/>
  <c r="H18" i="171"/>
  <c r="L17" i="171"/>
  <c r="G17" i="171"/>
  <c r="M3" i="171"/>
  <c r="H3" i="171"/>
  <c r="L2" i="171"/>
  <c r="G2" i="171"/>
  <c r="C138" i="167"/>
  <c r="B137" i="167"/>
  <c r="M123" i="167"/>
  <c r="H123" i="167"/>
  <c r="C123" i="167"/>
  <c r="L122" i="167"/>
  <c r="G122" i="167"/>
  <c r="B122" i="167"/>
  <c r="M108" i="167"/>
  <c r="H108" i="167"/>
  <c r="C108" i="167"/>
  <c r="L107" i="167"/>
  <c r="G107" i="167"/>
  <c r="B107" i="167"/>
  <c r="M93" i="167"/>
  <c r="H93" i="167"/>
  <c r="C93" i="167"/>
  <c r="L92" i="167"/>
  <c r="G92" i="167"/>
  <c r="B92" i="167"/>
  <c r="M78" i="167"/>
  <c r="H78" i="167"/>
  <c r="C78" i="167"/>
  <c r="L77" i="167"/>
  <c r="G77" i="167"/>
  <c r="B77" i="167"/>
  <c r="M63" i="167"/>
  <c r="H63" i="167"/>
  <c r="C63" i="167"/>
  <c r="L62" i="167"/>
  <c r="G62" i="167"/>
  <c r="B62" i="167"/>
  <c r="M48" i="167"/>
  <c r="H48" i="167"/>
  <c r="C48" i="167"/>
  <c r="L47" i="167"/>
  <c r="G47" i="167"/>
  <c r="B47" i="167"/>
  <c r="M33" i="167"/>
  <c r="H33" i="167"/>
  <c r="C33" i="167"/>
  <c r="L32" i="167"/>
  <c r="G32" i="167"/>
  <c r="B32" i="167"/>
  <c r="M18" i="167"/>
  <c r="H18" i="167"/>
  <c r="C18" i="167"/>
  <c r="L17" i="167"/>
  <c r="G17" i="167"/>
  <c r="B17" i="167"/>
  <c r="M3" i="167"/>
  <c r="H3" i="167"/>
  <c r="L2" i="167"/>
  <c r="G2" i="167"/>
  <c r="C138" i="163"/>
  <c r="B137" i="163"/>
  <c r="M123" i="163"/>
  <c r="H123" i="163"/>
  <c r="C123" i="163"/>
  <c r="L122" i="163"/>
  <c r="G122" i="163"/>
  <c r="B122" i="163"/>
  <c r="M108" i="163"/>
  <c r="H108" i="163"/>
  <c r="C108" i="163"/>
  <c r="L107" i="163"/>
  <c r="G107" i="163"/>
  <c r="B107" i="163"/>
  <c r="M93" i="163"/>
  <c r="H93" i="163"/>
  <c r="C93" i="163"/>
  <c r="L92" i="163"/>
  <c r="G92" i="163"/>
  <c r="B92" i="163"/>
  <c r="M78" i="163"/>
  <c r="H78" i="163"/>
  <c r="C78" i="163"/>
  <c r="L77" i="163"/>
  <c r="G77" i="163"/>
  <c r="B77" i="163"/>
  <c r="M63" i="163"/>
  <c r="H63" i="163"/>
  <c r="C63" i="163"/>
  <c r="L62" i="163"/>
  <c r="G62" i="163"/>
  <c r="B62" i="163"/>
  <c r="M48" i="163"/>
  <c r="H48" i="163"/>
  <c r="C48" i="163"/>
  <c r="L47" i="163"/>
  <c r="G47" i="163"/>
  <c r="B47" i="163"/>
  <c r="M33" i="163"/>
  <c r="H33" i="163"/>
  <c r="C33" i="163"/>
  <c r="L32" i="163"/>
  <c r="G32" i="163"/>
  <c r="B32" i="163"/>
  <c r="M18" i="163"/>
  <c r="H18" i="163"/>
  <c r="C18" i="163"/>
  <c r="L17" i="163"/>
  <c r="G17" i="163"/>
  <c r="B17" i="163"/>
  <c r="M3" i="163"/>
  <c r="H3" i="163"/>
  <c r="L2" i="163"/>
  <c r="G2" i="163"/>
  <c r="C138" i="156"/>
  <c r="B137" i="156"/>
  <c r="M123" i="156"/>
  <c r="H123" i="156"/>
  <c r="C123" i="156"/>
  <c r="L122" i="156"/>
  <c r="G122" i="156"/>
  <c r="B122" i="156"/>
  <c r="M108" i="156"/>
  <c r="H108" i="156"/>
  <c r="C108" i="156"/>
  <c r="L107" i="156"/>
  <c r="G107" i="156"/>
  <c r="B107" i="156"/>
  <c r="M93" i="156"/>
  <c r="H93" i="156"/>
  <c r="C93" i="156"/>
  <c r="L92" i="156"/>
  <c r="G92" i="156"/>
  <c r="B92" i="156"/>
  <c r="M78" i="156"/>
  <c r="H78" i="156"/>
  <c r="C78" i="156"/>
  <c r="L77" i="156"/>
  <c r="G77" i="156"/>
  <c r="B77" i="156"/>
  <c r="M63" i="156"/>
  <c r="H63" i="156"/>
  <c r="C63" i="156"/>
  <c r="L62" i="156"/>
  <c r="G62" i="156"/>
  <c r="B62" i="156"/>
  <c r="M48" i="156"/>
  <c r="H48" i="156"/>
  <c r="C48" i="156"/>
  <c r="L47" i="156"/>
  <c r="G47" i="156"/>
  <c r="B47" i="156"/>
  <c r="M33" i="156"/>
  <c r="H33" i="156"/>
  <c r="C33" i="156"/>
  <c r="L32" i="156"/>
  <c r="G32" i="156"/>
  <c r="B32" i="156"/>
  <c r="M18" i="156"/>
  <c r="H18" i="156"/>
  <c r="C18" i="156"/>
  <c r="L17" i="156"/>
  <c r="G17" i="156"/>
  <c r="B17" i="156"/>
  <c r="M3" i="156"/>
  <c r="H3" i="156"/>
  <c r="L2" i="156"/>
  <c r="G2" i="156"/>
  <c r="C138" i="157"/>
  <c r="B137" i="157"/>
  <c r="M123" i="157"/>
  <c r="H123" i="157"/>
  <c r="C123" i="157"/>
  <c r="L122" i="157"/>
  <c r="G122" i="157"/>
  <c r="B122" i="157"/>
  <c r="M108" i="157"/>
  <c r="H108" i="157"/>
  <c r="C108" i="157"/>
  <c r="L107" i="157"/>
  <c r="G107" i="157"/>
  <c r="B107" i="157"/>
  <c r="M93" i="157"/>
  <c r="H93" i="157"/>
  <c r="C93" i="157"/>
  <c r="L92" i="157"/>
  <c r="G92" i="157"/>
  <c r="B92" i="157"/>
  <c r="M78" i="157"/>
  <c r="H78" i="157"/>
  <c r="C78" i="157"/>
  <c r="L77" i="157"/>
  <c r="G77" i="157"/>
  <c r="B77" i="157"/>
  <c r="M63" i="157"/>
  <c r="H63" i="157"/>
  <c r="C63" i="157"/>
  <c r="L62" i="157"/>
  <c r="G62" i="157"/>
  <c r="B62" i="157"/>
  <c r="M48" i="157"/>
  <c r="H48" i="157"/>
  <c r="C48" i="157"/>
  <c r="L47" i="157"/>
  <c r="G47" i="157"/>
  <c r="B47" i="157"/>
  <c r="M33" i="157"/>
  <c r="H33" i="157"/>
  <c r="C33" i="157"/>
  <c r="L32" i="157"/>
  <c r="G32" i="157"/>
  <c r="B32" i="157"/>
  <c r="M18" i="157"/>
  <c r="H18" i="157"/>
  <c r="C18" i="157"/>
  <c r="L17" i="157"/>
  <c r="G17" i="157"/>
  <c r="B17" i="157"/>
  <c r="M3" i="157"/>
  <c r="H3" i="157"/>
  <c r="L2" i="157"/>
  <c r="G2" i="157"/>
  <c r="C138" i="158"/>
  <c r="B137" i="158"/>
  <c r="M123" i="158"/>
  <c r="H123" i="158"/>
  <c r="C123" i="158"/>
  <c r="L122" i="158"/>
  <c r="G122" i="158"/>
  <c r="B122" i="158"/>
  <c r="M108" i="158"/>
  <c r="H108" i="158"/>
  <c r="C108" i="158"/>
  <c r="L107" i="158"/>
  <c r="G107" i="158"/>
  <c r="B107" i="158"/>
  <c r="M93" i="158"/>
  <c r="H93" i="158"/>
  <c r="C93" i="158"/>
  <c r="L92" i="158"/>
  <c r="G92" i="158"/>
  <c r="B92" i="158"/>
  <c r="M78" i="158"/>
  <c r="H78" i="158"/>
  <c r="C78" i="158"/>
  <c r="L77" i="158"/>
  <c r="G77" i="158"/>
  <c r="B77" i="158"/>
  <c r="M63" i="158"/>
  <c r="H63" i="158"/>
  <c r="C63" i="158"/>
  <c r="L62" i="158"/>
  <c r="G62" i="158"/>
  <c r="B62" i="158"/>
  <c r="M48" i="158"/>
  <c r="H48" i="158"/>
  <c r="C48" i="158"/>
  <c r="L47" i="158"/>
  <c r="G47" i="158"/>
  <c r="B47" i="158"/>
  <c r="M33" i="158"/>
  <c r="H33" i="158"/>
  <c r="C33" i="158"/>
  <c r="L32" i="158"/>
  <c r="G32" i="158"/>
  <c r="B32" i="158"/>
  <c r="M18" i="158"/>
  <c r="H18" i="158"/>
  <c r="C18" i="158"/>
  <c r="L17" i="158"/>
  <c r="G17" i="158"/>
  <c r="B17" i="158"/>
  <c r="M3" i="158"/>
  <c r="H3" i="158"/>
  <c r="L2" i="158"/>
  <c r="G2" i="158"/>
  <c r="C138" i="159"/>
  <c r="B137" i="159"/>
  <c r="M123" i="159"/>
  <c r="H123" i="159"/>
  <c r="C123" i="159"/>
  <c r="L122" i="159"/>
  <c r="G122" i="159"/>
  <c r="B122" i="159"/>
  <c r="M108" i="159"/>
  <c r="H108" i="159"/>
  <c r="C108" i="159"/>
  <c r="L107" i="159"/>
  <c r="G107" i="159"/>
  <c r="B107" i="159"/>
  <c r="M93" i="159"/>
  <c r="H93" i="159"/>
  <c r="C93" i="159"/>
  <c r="L92" i="159"/>
  <c r="G92" i="159"/>
  <c r="B92" i="159"/>
  <c r="M78" i="159"/>
  <c r="H78" i="159"/>
  <c r="C78" i="159"/>
  <c r="L77" i="159"/>
  <c r="G77" i="159"/>
  <c r="B77" i="159"/>
  <c r="M63" i="159"/>
  <c r="H63" i="159"/>
  <c r="C63" i="159"/>
  <c r="L62" i="159"/>
  <c r="G62" i="159"/>
  <c r="B62" i="159"/>
  <c r="M48" i="159"/>
  <c r="H48" i="159"/>
  <c r="C48" i="159"/>
  <c r="L47" i="159"/>
  <c r="G47" i="159"/>
  <c r="B47" i="159"/>
  <c r="M33" i="159"/>
  <c r="H33" i="159"/>
  <c r="C33" i="159"/>
  <c r="L32" i="159"/>
  <c r="G32" i="159"/>
  <c r="B32" i="159"/>
  <c r="M18" i="159"/>
  <c r="H18" i="159"/>
  <c r="C18" i="159"/>
  <c r="L17" i="159"/>
  <c r="G17" i="159"/>
  <c r="B17" i="159"/>
  <c r="M3" i="159"/>
  <c r="H3" i="159"/>
  <c r="L2" i="159"/>
  <c r="G2" i="159"/>
  <c r="C138" i="153"/>
  <c r="B137" i="153"/>
  <c r="M123" i="153"/>
  <c r="H123" i="153"/>
  <c r="C123" i="153"/>
  <c r="L122" i="153"/>
  <c r="G122" i="153"/>
  <c r="B122" i="153"/>
  <c r="M108" i="153"/>
  <c r="H108" i="153"/>
  <c r="C108" i="153"/>
  <c r="L107" i="153"/>
  <c r="G107" i="153"/>
  <c r="B107" i="153"/>
  <c r="M93" i="153"/>
  <c r="H93" i="153"/>
  <c r="C93" i="153"/>
  <c r="L92" i="153"/>
  <c r="G92" i="153"/>
  <c r="B92" i="153"/>
  <c r="M78" i="153"/>
  <c r="H78" i="153"/>
  <c r="C78" i="153"/>
  <c r="L77" i="153"/>
  <c r="G77" i="153"/>
  <c r="B77" i="153"/>
  <c r="M63" i="153"/>
  <c r="H63" i="153"/>
  <c r="C63" i="153"/>
  <c r="L62" i="153"/>
  <c r="G62" i="153"/>
  <c r="B62" i="153"/>
  <c r="M48" i="153"/>
  <c r="H48" i="153"/>
  <c r="C48" i="153"/>
  <c r="L47" i="153"/>
  <c r="G47" i="153"/>
  <c r="B47" i="153"/>
  <c r="M33" i="153"/>
  <c r="H33" i="153"/>
  <c r="C33" i="153"/>
  <c r="L32" i="153"/>
  <c r="G32" i="153"/>
  <c r="B32" i="153"/>
  <c r="M18" i="153"/>
  <c r="H18" i="153"/>
  <c r="C18" i="153"/>
  <c r="L17" i="153"/>
  <c r="G17" i="153"/>
  <c r="B17" i="153"/>
  <c r="M3" i="153"/>
  <c r="H3" i="153"/>
  <c r="L2" i="153"/>
  <c r="G2" i="153"/>
  <c r="C138" i="154"/>
  <c r="B137" i="154"/>
  <c r="M123" i="154"/>
  <c r="H123" i="154"/>
  <c r="C123" i="154"/>
  <c r="L122" i="154"/>
  <c r="G122" i="154"/>
  <c r="B122" i="154"/>
  <c r="M108" i="154"/>
  <c r="H108" i="154"/>
  <c r="C108" i="154"/>
  <c r="L107" i="154"/>
  <c r="G107" i="154"/>
  <c r="B107" i="154"/>
  <c r="M93" i="154"/>
  <c r="H93" i="154"/>
  <c r="C93" i="154"/>
  <c r="L92" i="154"/>
  <c r="G92" i="154"/>
  <c r="B92" i="154"/>
  <c r="M78" i="154"/>
  <c r="H78" i="154"/>
  <c r="C78" i="154"/>
  <c r="L77" i="154"/>
  <c r="G77" i="154"/>
  <c r="B77" i="154"/>
  <c r="M63" i="154"/>
  <c r="H63" i="154"/>
  <c r="C63" i="154"/>
  <c r="L62" i="154"/>
  <c r="G62" i="154"/>
  <c r="B62" i="154"/>
  <c r="M48" i="154"/>
  <c r="H48" i="154"/>
  <c r="C48" i="154"/>
  <c r="L47" i="154"/>
  <c r="G47" i="154"/>
  <c r="B47" i="154"/>
  <c r="M33" i="154"/>
  <c r="H33" i="154"/>
  <c r="C33" i="154"/>
  <c r="L32" i="154"/>
  <c r="G32" i="154"/>
  <c r="B32" i="154"/>
  <c r="M18" i="154"/>
  <c r="H18" i="154"/>
  <c r="C18" i="154"/>
  <c r="L17" i="154"/>
  <c r="G17" i="154"/>
  <c r="B17" i="154"/>
  <c r="M3" i="154"/>
  <c r="H3" i="154"/>
  <c r="L2" i="154"/>
  <c r="G2" i="154"/>
  <c r="C138" i="155"/>
  <c r="B137" i="155"/>
  <c r="M123" i="155"/>
  <c r="H123" i="155"/>
  <c r="C123" i="155"/>
  <c r="L122" i="155"/>
  <c r="G122" i="155"/>
  <c r="B122" i="155"/>
  <c r="M108" i="155"/>
  <c r="H108" i="155"/>
  <c r="C108" i="155"/>
  <c r="L107" i="155"/>
  <c r="G107" i="155"/>
  <c r="B107" i="155"/>
  <c r="M93" i="155"/>
  <c r="H93" i="155"/>
  <c r="C93" i="155"/>
  <c r="L92" i="155"/>
  <c r="G92" i="155"/>
  <c r="B92" i="155"/>
  <c r="M78" i="155"/>
  <c r="H78" i="155"/>
  <c r="C78" i="155"/>
  <c r="L77" i="155"/>
  <c r="G77" i="155"/>
  <c r="B77" i="155"/>
  <c r="M63" i="155"/>
  <c r="H63" i="155"/>
  <c r="C63" i="155"/>
  <c r="L62" i="155"/>
  <c r="G62" i="155"/>
  <c r="B62" i="155"/>
  <c r="M48" i="155"/>
  <c r="H48" i="155"/>
  <c r="C48" i="155"/>
  <c r="L47" i="155"/>
  <c r="G47" i="155"/>
  <c r="B47" i="155"/>
  <c r="M33" i="155"/>
  <c r="H33" i="155"/>
  <c r="C33" i="155"/>
  <c r="L32" i="155"/>
  <c r="G32" i="155"/>
  <c r="B32" i="155"/>
  <c r="M18" i="155"/>
  <c r="H18" i="155"/>
  <c r="C18" i="155"/>
  <c r="L17" i="155"/>
  <c r="G17" i="155"/>
  <c r="B17" i="155"/>
  <c r="M3" i="155"/>
  <c r="H3" i="155"/>
  <c r="L2" i="155"/>
  <c r="G2" i="155"/>
  <c r="C138" i="152"/>
  <c r="B137" i="152"/>
  <c r="M123" i="152"/>
  <c r="H123" i="152"/>
  <c r="C123" i="152"/>
  <c r="L122" i="152"/>
  <c r="G122" i="152"/>
  <c r="B122" i="152"/>
  <c r="M108" i="152"/>
  <c r="H108" i="152"/>
  <c r="C108" i="152"/>
  <c r="L107" i="152"/>
  <c r="G107" i="152"/>
  <c r="B107" i="152"/>
  <c r="M93" i="152"/>
  <c r="H93" i="152"/>
  <c r="C93" i="152"/>
  <c r="L92" i="152"/>
  <c r="G92" i="152"/>
  <c r="B92" i="152"/>
  <c r="M78" i="152"/>
  <c r="H78" i="152"/>
  <c r="C78" i="152"/>
  <c r="L77" i="152"/>
  <c r="G77" i="152"/>
  <c r="B77" i="152"/>
  <c r="M63" i="152"/>
  <c r="H63" i="152"/>
  <c r="C63" i="152"/>
  <c r="L62" i="152"/>
  <c r="G62" i="152"/>
  <c r="B62" i="152"/>
  <c r="M48" i="152"/>
  <c r="H48" i="152"/>
  <c r="C48" i="152"/>
  <c r="L47" i="152"/>
  <c r="G47" i="152"/>
  <c r="B47" i="152"/>
  <c r="M33" i="152"/>
  <c r="H33" i="152"/>
  <c r="C33" i="152"/>
  <c r="L32" i="152"/>
  <c r="G32" i="152"/>
  <c r="B32" i="152"/>
  <c r="M18" i="152"/>
  <c r="H18" i="152"/>
  <c r="C18" i="152"/>
  <c r="L17" i="152"/>
  <c r="G17" i="152"/>
  <c r="B17" i="152"/>
  <c r="M3" i="152"/>
  <c r="H3" i="152"/>
  <c r="L2" i="152"/>
  <c r="G2" i="152"/>
  <c r="C138" i="151"/>
  <c r="B137" i="151"/>
  <c r="M123" i="151"/>
  <c r="H123" i="151"/>
  <c r="C123" i="151"/>
  <c r="L122" i="151"/>
  <c r="G122" i="151"/>
  <c r="B122" i="151"/>
  <c r="M108" i="151"/>
  <c r="H108" i="151"/>
  <c r="C108" i="151"/>
  <c r="L107" i="151"/>
  <c r="G107" i="151"/>
  <c r="B107" i="151"/>
  <c r="M93" i="151"/>
  <c r="H93" i="151"/>
  <c r="C93" i="151"/>
  <c r="L92" i="151"/>
  <c r="G92" i="151"/>
  <c r="B92" i="151"/>
  <c r="M78" i="151"/>
  <c r="H78" i="151"/>
  <c r="C78" i="151"/>
  <c r="L77" i="151"/>
  <c r="G77" i="151"/>
  <c r="B77" i="151"/>
  <c r="M63" i="151"/>
  <c r="H63" i="151"/>
  <c r="C63" i="151"/>
  <c r="L62" i="151"/>
  <c r="G62" i="151"/>
  <c r="B62" i="151"/>
  <c r="M48" i="151"/>
  <c r="H48" i="151"/>
  <c r="C48" i="151"/>
  <c r="L47" i="151"/>
  <c r="G47" i="151"/>
  <c r="B47" i="151"/>
  <c r="M33" i="151"/>
  <c r="H33" i="151"/>
  <c r="C33" i="151"/>
  <c r="L32" i="151"/>
  <c r="G32" i="151"/>
  <c r="B32" i="151"/>
  <c r="M18" i="151"/>
  <c r="H18" i="151"/>
  <c r="C18" i="151"/>
  <c r="L17" i="151"/>
  <c r="G17" i="151"/>
  <c r="B17" i="151"/>
  <c r="M3" i="151"/>
  <c r="H3" i="151"/>
  <c r="L2" i="151"/>
  <c r="G2" i="151"/>
  <c r="C138" i="150"/>
  <c r="B137" i="150"/>
  <c r="M123" i="150"/>
  <c r="H123" i="150"/>
  <c r="C123" i="150"/>
  <c r="L122" i="150"/>
  <c r="G122" i="150"/>
  <c r="B122" i="150"/>
  <c r="M108" i="150"/>
  <c r="H108" i="150"/>
  <c r="C108" i="150"/>
  <c r="L107" i="150"/>
  <c r="G107" i="150"/>
  <c r="B107" i="150"/>
  <c r="M93" i="150"/>
  <c r="H93" i="150"/>
  <c r="C93" i="150"/>
  <c r="L92" i="150"/>
  <c r="G92" i="150"/>
  <c r="B92" i="150"/>
  <c r="M78" i="150"/>
  <c r="H78" i="150"/>
  <c r="C78" i="150"/>
  <c r="L77" i="150"/>
  <c r="G77" i="150"/>
  <c r="B77" i="150"/>
  <c r="M63" i="150"/>
  <c r="H63" i="150"/>
  <c r="C63" i="150"/>
  <c r="L62" i="150"/>
  <c r="G62" i="150"/>
  <c r="B62" i="150"/>
  <c r="M48" i="150"/>
  <c r="H48" i="150"/>
  <c r="C48" i="150"/>
  <c r="L47" i="150"/>
  <c r="G47" i="150"/>
  <c r="B47" i="150"/>
  <c r="M33" i="150"/>
  <c r="H33" i="150"/>
  <c r="C33" i="150"/>
  <c r="L32" i="150"/>
  <c r="G32" i="150"/>
  <c r="B32" i="150"/>
  <c r="M18" i="150"/>
  <c r="H18" i="150"/>
  <c r="C18" i="150"/>
  <c r="L17" i="150"/>
  <c r="G17" i="150"/>
  <c r="B17" i="150"/>
  <c r="M3" i="150"/>
  <c r="H3" i="150"/>
  <c r="L2" i="150"/>
  <c r="G2" i="150"/>
  <c r="C138" i="149"/>
  <c r="B137" i="149"/>
  <c r="M123" i="149"/>
  <c r="H123" i="149"/>
  <c r="C123" i="149"/>
  <c r="L122" i="149"/>
  <c r="G122" i="149"/>
  <c r="B122" i="149"/>
  <c r="M108" i="149"/>
  <c r="H108" i="149"/>
  <c r="C108" i="149"/>
  <c r="L107" i="149"/>
  <c r="G107" i="149"/>
  <c r="B107" i="149"/>
  <c r="M93" i="149"/>
  <c r="H93" i="149"/>
  <c r="C93" i="149"/>
  <c r="L92" i="149"/>
  <c r="G92" i="149"/>
  <c r="B92" i="149"/>
  <c r="M78" i="149"/>
  <c r="H78" i="149"/>
  <c r="C78" i="149"/>
  <c r="L77" i="149"/>
  <c r="G77" i="149"/>
  <c r="B77" i="149"/>
  <c r="M63" i="149"/>
  <c r="H63" i="149"/>
  <c r="C63" i="149"/>
  <c r="L62" i="149"/>
  <c r="G62" i="149"/>
  <c r="B62" i="149"/>
  <c r="M48" i="149"/>
  <c r="H48" i="149"/>
  <c r="C48" i="149"/>
  <c r="L47" i="149"/>
  <c r="G47" i="149"/>
  <c r="B47" i="149"/>
  <c r="M33" i="149"/>
  <c r="H33" i="149"/>
  <c r="C33" i="149"/>
  <c r="L32" i="149"/>
  <c r="G32" i="149"/>
  <c r="B32" i="149"/>
  <c r="M18" i="149"/>
  <c r="H18" i="149"/>
  <c r="C18" i="149"/>
  <c r="L17" i="149"/>
  <c r="G17" i="149"/>
  <c r="B17" i="149"/>
  <c r="M3" i="149"/>
  <c r="H3" i="149"/>
  <c r="L2" i="149"/>
  <c r="G2" i="149"/>
  <c r="C138" i="148"/>
  <c r="B137" i="148"/>
  <c r="M123" i="148"/>
  <c r="H123" i="148"/>
  <c r="C123" i="148"/>
  <c r="L122" i="148"/>
  <c r="G122" i="148"/>
  <c r="B122" i="148"/>
  <c r="M108" i="148"/>
  <c r="H108" i="148"/>
  <c r="C108" i="148"/>
  <c r="L107" i="148"/>
  <c r="G107" i="148"/>
  <c r="B107" i="148"/>
  <c r="M93" i="148"/>
  <c r="H93" i="148"/>
  <c r="C93" i="148"/>
  <c r="L92" i="148"/>
  <c r="G92" i="148"/>
  <c r="B92" i="148"/>
  <c r="M78" i="148"/>
  <c r="H78" i="148"/>
  <c r="C78" i="148"/>
  <c r="L77" i="148"/>
  <c r="G77" i="148"/>
  <c r="B77" i="148"/>
  <c r="M63" i="148"/>
  <c r="H63" i="148"/>
  <c r="C63" i="148"/>
  <c r="L62" i="148"/>
  <c r="G62" i="148"/>
  <c r="B62" i="148"/>
  <c r="M48" i="148"/>
  <c r="H48" i="148"/>
  <c r="C48" i="148"/>
  <c r="L47" i="148"/>
  <c r="G47" i="148"/>
  <c r="B47" i="148"/>
  <c r="M33" i="148"/>
  <c r="H33" i="148"/>
  <c r="C33" i="148"/>
  <c r="L32" i="148"/>
  <c r="G32" i="148"/>
  <c r="B32" i="148"/>
  <c r="M18" i="148"/>
  <c r="H18" i="148"/>
  <c r="C18" i="148"/>
  <c r="L17" i="148"/>
  <c r="G17" i="148"/>
  <c r="B17" i="148"/>
  <c r="M3" i="148"/>
  <c r="H3" i="148"/>
  <c r="L2" i="148"/>
  <c r="G2" i="148"/>
  <c r="C61" i="141" l="1"/>
  <c r="D61" i="141"/>
  <c r="D62" i="141"/>
  <c r="E62" i="141"/>
  <c r="F62" i="141"/>
  <c r="G62" i="141"/>
  <c r="H62" i="141"/>
  <c r="I62" i="141"/>
  <c r="J62" i="141"/>
  <c r="K62" i="141"/>
  <c r="L62" i="141"/>
  <c r="M62" i="141"/>
  <c r="N62" i="141"/>
  <c r="O62" i="141"/>
  <c r="P62" i="141"/>
  <c r="Q62" i="141"/>
  <c r="R62" i="141"/>
  <c r="S62" i="141"/>
  <c r="T62" i="141"/>
  <c r="U62" i="141"/>
  <c r="V62" i="141"/>
  <c r="W62" i="141"/>
  <c r="X62" i="141"/>
  <c r="Y62" i="141"/>
  <c r="Z62" i="141"/>
  <c r="AA62" i="141"/>
  <c r="AC84" i="141"/>
  <c r="D84" i="141"/>
  <c r="AA82" i="141"/>
  <c r="Y82" i="141"/>
  <c r="X82" i="141"/>
  <c r="W82" i="141"/>
  <c r="V82" i="141"/>
  <c r="U82" i="141"/>
  <c r="T82" i="141"/>
  <c r="S82" i="141"/>
  <c r="R82" i="141"/>
  <c r="P82" i="141"/>
  <c r="O82" i="141"/>
  <c r="M82" i="141"/>
  <c r="L82" i="141"/>
  <c r="J82" i="141"/>
  <c r="I82" i="141"/>
  <c r="G82" i="141"/>
  <c r="F82" i="141"/>
  <c r="D82" i="141"/>
  <c r="Y81" i="141"/>
  <c r="V81" i="141"/>
  <c r="S81" i="141"/>
  <c r="P81" i="141"/>
  <c r="M81" i="141"/>
  <c r="J81" i="141"/>
  <c r="G81" i="141"/>
  <c r="D81" i="141"/>
  <c r="B81" i="141"/>
  <c r="AC80" i="141"/>
  <c r="Z82" i="141" s="1"/>
  <c r="X80" i="141"/>
  <c r="V80" i="141"/>
  <c r="U80" i="141"/>
  <c r="S80" i="141"/>
  <c r="R80" i="141"/>
  <c r="P80" i="141"/>
  <c r="O80" i="141"/>
  <c r="M80" i="141"/>
  <c r="L80" i="141"/>
  <c r="J80" i="141"/>
  <c r="I80" i="141"/>
  <c r="G80" i="141"/>
  <c r="F80" i="141"/>
  <c r="D80" i="141"/>
  <c r="C80" i="141"/>
  <c r="V79" i="141"/>
  <c r="P79" i="141"/>
  <c r="M79" i="141"/>
  <c r="J79" i="141"/>
  <c r="G79" i="141"/>
  <c r="D79" i="141"/>
  <c r="C79" i="141"/>
  <c r="AC78" i="141"/>
  <c r="Z78" i="141"/>
  <c r="W80" i="141" s="1"/>
  <c r="F78" i="141"/>
  <c r="D78" i="141"/>
  <c r="P77" i="141"/>
  <c r="M77" i="141"/>
  <c r="J77" i="141"/>
  <c r="G77" i="141"/>
  <c r="D77" i="141"/>
  <c r="C78" i="141"/>
  <c r="AC76" i="141"/>
  <c r="Z76" i="141"/>
  <c r="T80" i="141" s="1"/>
  <c r="W76" i="141"/>
  <c r="T78" i="141" s="1"/>
  <c r="P75" i="141"/>
  <c r="M75" i="141"/>
  <c r="J75" i="141"/>
  <c r="G75" i="141"/>
  <c r="D75" i="141"/>
  <c r="AC74" i="141"/>
  <c r="Q82" i="141" s="1"/>
  <c r="Q80" i="141"/>
  <c r="W74" i="141"/>
  <c r="Q78" i="141" s="1"/>
  <c r="T74" i="141"/>
  <c r="Q76" i="141" s="1"/>
  <c r="O74" i="141"/>
  <c r="M74" i="141"/>
  <c r="L74" i="141"/>
  <c r="J74" i="141"/>
  <c r="I74" i="141"/>
  <c r="G74" i="141"/>
  <c r="F74" i="141"/>
  <c r="D74" i="141"/>
  <c r="M73" i="141"/>
  <c r="J73" i="141"/>
  <c r="G73" i="141"/>
  <c r="D73" i="141"/>
  <c r="C73" i="141"/>
  <c r="C74" i="141"/>
  <c r="AC72" i="141"/>
  <c r="N82" i="141" s="1"/>
  <c r="Z72" i="141"/>
  <c r="N80" i="141" s="1"/>
  <c r="W72" i="141"/>
  <c r="N78" i="141" s="1"/>
  <c r="T72" i="141"/>
  <c r="N76" i="141" s="1"/>
  <c r="Q72" i="141"/>
  <c r="N74" i="141" s="1"/>
  <c r="L72" i="141"/>
  <c r="K72" i="141"/>
  <c r="J72" i="141"/>
  <c r="I72" i="141"/>
  <c r="G72" i="141"/>
  <c r="F72" i="141"/>
  <c r="D72" i="141"/>
  <c r="C72" i="141"/>
  <c r="J71" i="141"/>
  <c r="G71" i="141"/>
  <c r="D71" i="141"/>
  <c r="AC70" i="141"/>
  <c r="K82" i="141" s="1"/>
  <c r="Z70" i="141"/>
  <c r="K80" i="141" s="1"/>
  <c r="W70" i="141"/>
  <c r="K78" i="141" s="1"/>
  <c r="T70" i="141"/>
  <c r="K76" i="141" s="1"/>
  <c r="Q70" i="141"/>
  <c r="K74" i="141" s="1"/>
  <c r="N70" i="141"/>
  <c r="I70" i="141"/>
  <c r="G70" i="141"/>
  <c r="F70" i="141"/>
  <c r="D70" i="141"/>
  <c r="C70" i="141"/>
  <c r="G69" i="141"/>
  <c r="D69" i="141"/>
  <c r="AC68" i="141"/>
  <c r="H82" i="141" s="1"/>
  <c r="Z68" i="141"/>
  <c r="H80" i="141" s="1"/>
  <c r="W68" i="141"/>
  <c r="H78" i="141" s="1"/>
  <c r="T68" i="141"/>
  <c r="H76" i="141" s="1"/>
  <c r="Q68" i="141"/>
  <c r="H74" i="141" s="1"/>
  <c r="N68" i="141"/>
  <c r="H72" i="141" s="1"/>
  <c r="K68" i="141"/>
  <c r="H70" i="141" s="1"/>
  <c r="F68" i="141"/>
  <c r="E68" i="141"/>
  <c r="D68" i="141"/>
  <c r="D67" i="141"/>
  <c r="AE67" i="141" s="1"/>
  <c r="C68" i="141"/>
  <c r="AC66" i="141"/>
  <c r="E82" i="141" s="1"/>
  <c r="Z66" i="141"/>
  <c r="E80" i="141" s="1"/>
  <c r="W66" i="141"/>
  <c r="E78" i="141" s="1"/>
  <c r="T66" i="141"/>
  <c r="E76" i="141" s="1"/>
  <c r="Q66" i="141"/>
  <c r="E74" i="141" s="1"/>
  <c r="N66" i="141"/>
  <c r="E72" i="141" s="1"/>
  <c r="K66" i="141"/>
  <c r="E70" i="141" s="1"/>
  <c r="H66" i="141"/>
  <c r="AE65" i="141"/>
  <c r="AC60" i="141"/>
  <c r="X60" i="141"/>
  <c r="V60" i="141"/>
  <c r="U60" i="141"/>
  <c r="S60" i="141"/>
  <c r="O60" i="141"/>
  <c r="M60" i="141"/>
  <c r="L60" i="141"/>
  <c r="J60" i="141"/>
  <c r="I60" i="141"/>
  <c r="G60" i="141"/>
  <c r="F60" i="141"/>
  <c r="D60" i="141"/>
  <c r="C60" i="141"/>
  <c r="V59" i="141"/>
  <c r="S59" i="141"/>
  <c r="P59" i="141"/>
  <c r="M59" i="141"/>
  <c r="J59" i="141"/>
  <c r="G59" i="141"/>
  <c r="D59" i="141"/>
  <c r="AC58" i="141"/>
  <c r="Z58" i="141"/>
  <c r="W60" i="141" s="1"/>
  <c r="U58" i="141"/>
  <c r="S58" i="141"/>
  <c r="R58" i="141"/>
  <c r="P58" i="141"/>
  <c r="O58" i="141"/>
  <c r="M58" i="141"/>
  <c r="L58" i="141"/>
  <c r="J58" i="141"/>
  <c r="I58" i="141"/>
  <c r="G58" i="141"/>
  <c r="F58" i="141"/>
  <c r="D58" i="141"/>
  <c r="C58" i="141"/>
  <c r="S57" i="141"/>
  <c r="P57" i="141"/>
  <c r="M57" i="141"/>
  <c r="J57" i="141"/>
  <c r="G57" i="141"/>
  <c r="D57" i="141"/>
  <c r="C57" i="141"/>
  <c r="AC56" i="141"/>
  <c r="Z56" i="141"/>
  <c r="T60" i="141" s="1"/>
  <c r="W56" i="141"/>
  <c r="T58" i="141" s="1"/>
  <c r="O56" i="141"/>
  <c r="M56" i="141"/>
  <c r="L56" i="141"/>
  <c r="J56" i="141"/>
  <c r="I56" i="141"/>
  <c r="G56" i="141"/>
  <c r="F56" i="141"/>
  <c r="D56" i="141"/>
  <c r="C56" i="141"/>
  <c r="P55" i="141"/>
  <c r="M55" i="141"/>
  <c r="J55" i="141"/>
  <c r="G55" i="141"/>
  <c r="D55" i="141"/>
  <c r="C55" i="141"/>
  <c r="AC54" i="141"/>
  <c r="Z54" i="141"/>
  <c r="Q60" i="141" s="1"/>
  <c r="W54" i="141"/>
  <c r="Q58" i="141" s="1"/>
  <c r="T54" i="141"/>
  <c r="Q56" i="141" s="1"/>
  <c r="O54" i="141"/>
  <c r="M54" i="141"/>
  <c r="L54" i="141"/>
  <c r="J54" i="141"/>
  <c r="I54" i="141"/>
  <c r="G54" i="141"/>
  <c r="F54" i="141"/>
  <c r="D54" i="141"/>
  <c r="M53" i="141"/>
  <c r="J53" i="141"/>
  <c r="G53" i="141"/>
  <c r="D53" i="141"/>
  <c r="C53" i="141"/>
  <c r="AC52" i="141"/>
  <c r="Z52" i="141"/>
  <c r="N60" i="141" s="1"/>
  <c r="W52" i="141"/>
  <c r="N58" i="141" s="1"/>
  <c r="T52" i="141"/>
  <c r="N56" i="141" s="1"/>
  <c r="Q52" i="141"/>
  <c r="N54" i="141" s="1"/>
  <c r="L52" i="141"/>
  <c r="J52" i="141"/>
  <c r="I52" i="141"/>
  <c r="G52" i="141"/>
  <c r="F52" i="141"/>
  <c r="D52" i="141"/>
  <c r="J51" i="141"/>
  <c r="G51" i="141"/>
  <c r="D51" i="141"/>
  <c r="C52" i="141"/>
  <c r="AC50" i="141"/>
  <c r="Z50" i="141"/>
  <c r="K60" i="141" s="1"/>
  <c r="W50" i="141"/>
  <c r="K58" i="141" s="1"/>
  <c r="T50" i="141"/>
  <c r="K56" i="141" s="1"/>
  <c r="Q50" i="141"/>
  <c r="K54" i="141" s="1"/>
  <c r="N50" i="141"/>
  <c r="K52" i="141" s="1"/>
  <c r="I50" i="141"/>
  <c r="G50" i="141"/>
  <c r="F50" i="141"/>
  <c r="D50" i="141"/>
  <c r="G49" i="141"/>
  <c r="D49" i="141"/>
  <c r="C50" i="141"/>
  <c r="AC48" i="141"/>
  <c r="Z48" i="141"/>
  <c r="H60" i="141" s="1"/>
  <c r="W48" i="141"/>
  <c r="H58" i="141" s="1"/>
  <c r="T48" i="141"/>
  <c r="Q48" i="141"/>
  <c r="H54" i="141" s="1"/>
  <c r="N48" i="141"/>
  <c r="H52" i="141" s="1"/>
  <c r="K48" i="141"/>
  <c r="H50" i="141" s="1"/>
  <c r="F48" i="141"/>
  <c r="E48" i="141"/>
  <c r="D48" i="141"/>
  <c r="D47" i="141"/>
  <c r="AE47" i="141" s="1"/>
  <c r="C48" i="141"/>
  <c r="AC46" i="141"/>
  <c r="Z46" i="141"/>
  <c r="E60" i="141" s="1"/>
  <c r="W46" i="141"/>
  <c r="E58" i="141" s="1"/>
  <c r="T46" i="141"/>
  <c r="E56" i="141" s="1"/>
  <c r="Q46" i="141"/>
  <c r="E54" i="141" s="1"/>
  <c r="N46" i="141"/>
  <c r="E52" i="141" s="1"/>
  <c r="K46" i="141"/>
  <c r="E50" i="141" s="1"/>
  <c r="H46" i="141"/>
  <c r="AA42" i="141"/>
  <c r="Y42" i="141"/>
  <c r="X42" i="141"/>
  <c r="V42" i="141"/>
  <c r="U42" i="141"/>
  <c r="T42" i="141"/>
  <c r="S42" i="141"/>
  <c r="R42" i="141"/>
  <c r="Q42" i="141"/>
  <c r="P42" i="141"/>
  <c r="O42" i="141"/>
  <c r="M42" i="141"/>
  <c r="L42" i="141"/>
  <c r="J42" i="141"/>
  <c r="I42" i="141"/>
  <c r="G42" i="141"/>
  <c r="F42" i="141"/>
  <c r="D42" i="141"/>
  <c r="Y41" i="141"/>
  <c r="V41" i="141"/>
  <c r="S41" i="141"/>
  <c r="P41" i="141"/>
  <c r="M41" i="141"/>
  <c r="J41" i="141"/>
  <c r="G41" i="141"/>
  <c r="D41" i="141"/>
  <c r="C41" i="141"/>
  <c r="B41" i="141"/>
  <c r="C42" i="141" s="1"/>
  <c r="AC40" i="141"/>
  <c r="Z42" i="141" s="1"/>
  <c r="X40" i="141"/>
  <c r="V40" i="141"/>
  <c r="U40" i="141"/>
  <c r="S40" i="141"/>
  <c r="R40" i="141"/>
  <c r="P40" i="141"/>
  <c r="O40" i="141"/>
  <c r="M40" i="141"/>
  <c r="L40" i="141"/>
  <c r="J40" i="141"/>
  <c r="I40" i="141"/>
  <c r="G40" i="141"/>
  <c r="F40" i="141"/>
  <c r="D40" i="141"/>
  <c r="C40" i="141"/>
  <c r="V39" i="141"/>
  <c r="S39" i="141"/>
  <c r="P39" i="141"/>
  <c r="M39" i="141"/>
  <c r="J39" i="141"/>
  <c r="G39" i="141"/>
  <c r="D39" i="141"/>
  <c r="AC38" i="141"/>
  <c r="W42" i="141" s="1"/>
  <c r="Z38" i="141"/>
  <c r="W40" i="141" s="1"/>
  <c r="U38" i="141"/>
  <c r="S38" i="141"/>
  <c r="R38" i="141"/>
  <c r="P38" i="141"/>
  <c r="O38" i="141"/>
  <c r="M38" i="141"/>
  <c r="L38" i="141"/>
  <c r="J38" i="141"/>
  <c r="I38" i="141"/>
  <c r="G38" i="141"/>
  <c r="F38" i="141"/>
  <c r="D38" i="141"/>
  <c r="C38" i="141"/>
  <c r="S37" i="141"/>
  <c r="P37" i="141"/>
  <c r="M37" i="141"/>
  <c r="J37" i="141"/>
  <c r="G37" i="141"/>
  <c r="D37" i="141"/>
  <c r="C37" i="141"/>
  <c r="AC36" i="141"/>
  <c r="Z36" i="141"/>
  <c r="T40" i="141" s="1"/>
  <c r="W36" i="141"/>
  <c r="T38" i="141" s="1"/>
  <c r="R36" i="141"/>
  <c r="P36" i="141"/>
  <c r="O36" i="141"/>
  <c r="M36" i="141"/>
  <c r="L36" i="141"/>
  <c r="J36" i="141"/>
  <c r="I36" i="141"/>
  <c r="G36" i="141"/>
  <c r="F36" i="141"/>
  <c r="D36" i="141"/>
  <c r="C36" i="141"/>
  <c r="P35" i="141"/>
  <c r="M35" i="141"/>
  <c r="J35" i="141"/>
  <c r="G35" i="141"/>
  <c r="D35" i="141"/>
  <c r="C35" i="141"/>
  <c r="AC34" i="141"/>
  <c r="Z34" i="141"/>
  <c r="Q40" i="141" s="1"/>
  <c r="W34" i="141"/>
  <c r="Q38" i="141" s="1"/>
  <c r="T34" i="141"/>
  <c r="Q36" i="141" s="1"/>
  <c r="O34" i="141"/>
  <c r="M34" i="141"/>
  <c r="L34" i="141"/>
  <c r="J34" i="141"/>
  <c r="I34" i="141"/>
  <c r="G34" i="141"/>
  <c r="F34" i="141"/>
  <c r="D34" i="141"/>
  <c r="J33" i="141"/>
  <c r="AE33" i="141"/>
  <c r="C33" i="141"/>
  <c r="AC32" i="141"/>
  <c r="N42" i="141" s="1"/>
  <c r="Z32" i="141"/>
  <c r="N40" i="141" s="1"/>
  <c r="W32" i="141"/>
  <c r="N38" i="141" s="1"/>
  <c r="T32" i="141"/>
  <c r="N36" i="141" s="1"/>
  <c r="Q32" i="141"/>
  <c r="N34" i="141" s="1"/>
  <c r="L32" i="141"/>
  <c r="J32" i="141"/>
  <c r="I32" i="141"/>
  <c r="G32" i="141"/>
  <c r="F32" i="141"/>
  <c r="D32" i="141"/>
  <c r="J31" i="141"/>
  <c r="G31" i="141"/>
  <c r="D31" i="141"/>
  <c r="C32" i="141"/>
  <c r="AC30" i="141"/>
  <c r="K42" i="141" s="1"/>
  <c r="Z30" i="141"/>
  <c r="K40" i="141" s="1"/>
  <c r="W30" i="141"/>
  <c r="K38" i="141" s="1"/>
  <c r="T30" i="141"/>
  <c r="K36" i="141" s="1"/>
  <c r="Q30" i="141"/>
  <c r="K34" i="141" s="1"/>
  <c r="N30" i="141"/>
  <c r="K32" i="141" s="1"/>
  <c r="I30" i="141"/>
  <c r="G30" i="141"/>
  <c r="F30" i="141"/>
  <c r="D30" i="141"/>
  <c r="C30" i="141"/>
  <c r="G29" i="141"/>
  <c r="D29" i="141"/>
  <c r="AC28" i="141"/>
  <c r="H42" i="141" s="1"/>
  <c r="Z28" i="141"/>
  <c r="H40" i="141" s="1"/>
  <c r="W28" i="141"/>
  <c r="H38" i="141" s="1"/>
  <c r="T28" i="141"/>
  <c r="H36" i="141" s="1"/>
  <c r="Q28" i="141"/>
  <c r="H34" i="141" s="1"/>
  <c r="N28" i="141"/>
  <c r="H32" i="141" s="1"/>
  <c r="K28" i="141"/>
  <c r="H30" i="141" s="1"/>
  <c r="F28" i="141"/>
  <c r="E28" i="141"/>
  <c r="D28" i="141"/>
  <c r="D27" i="141"/>
  <c r="AE27" i="141" s="1"/>
  <c r="C28" i="141"/>
  <c r="AC26" i="141"/>
  <c r="E42" i="141" s="1"/>
  <c r="Z26" i="141"/>
  <c r="E40" i="141" s="1"/>
  <c r="W26" i="141"/>
  <c r="E38" i="141" s="1"/>
  <c r="T26" i="141"/>
  <c r="E36" i="141" s="1"/>
  <c r="Q26" i="141"/>
  <c r="E34" i="141" s="1"/>
  <c r="N26" i="141"/>
  <c r="E32" i="141" s="1"/>
  <c r="K26" i="141"/>
  <c r="E30" i="141" s="1"/>
  <c r="H26" i="141"/>
  <c r="AE25" i="141"/>
  <c r="AA22" i="141"/>
  <c r="Y22" i="141"/>
  <c r="X22" i="141"/>
  <c r="W22" i="141"/>
  <c r="V22" i="141"/>
  <c r="U22" i="141"/>
  <c r="T22" i="141"/>
  <c r="S22" i="141"/>
  <c r="R22" i="141"/>
  <c r="P22" i="141"/>
  <c r="O22" i="141"/>
  <c r="M22" i="141"/>
  <c r="L22" i="141"/>
  <c r="K22" i="141"/>
  <c r="J22" i="141"/>
  <c r="I22" i="141"/>
  <c r="G22" i="141"/>
  <c r="F22" i="141"/>
  <c r="D22" i="141"/>
  <c r="Y21" i="141"/>
  <c r="V21" i="141"/>
  <c r="S21" i="141"/>
  <c r="P21" i="141"/>
  <c r="M21" i="141"/>
  <c r="J21" i="141"/>
  <c r="G21" i="141"/>
  <c r="D21" i="141"/>
  <c r="B21" i="141"/>
  <c r="AC20" i="141"/>
  <c r="Z22" i="141" s="1"/>
  <c r="X20" i="141"/>
  <c r="V20" i="141"/>
  <c r="U20" i="141"/>
  <c r="S20" i="141"/>
  <c r="R20" i="141"/>
  <c r="P20" i="141"/>
  <c r="O20" i="141"/>
  <c r="M20" i="141"/>
  <c r="L20" i="141"/>
  <c r="J20" i="141"/>
  <c r="I20" i="141"/>
  <c r="G20" i="141"/>
  <c r="F20" i="141"/>
  <c r="D20" i="141"/>
  <c r="V19" i="141"/>
  <c r="S19" i="141"/>
  <c r="P19" i="141"/>
  <c r="M19" i="141"/>
  <c r="J19" i="141"/>
  <c r="G19" i="141"/>
  <c r="D19" i="141"/>
  <c r="AC18" i="141"/>
  <c r="Z18" i="141"/>
  <c r="W20" i="141" s="1"/>
  <c r="U18" i="141"/>
  <c r="S18" i="141"/>
  <c r="R18" i="141"/>
  <c r="P18" i="141"/>
  <c r="O18" i="141"/>
  <c r="M18" i="141"/>
  <c r="L18" i="141"/>
  <c r="J18" i="141"/>
  <c r="I18" i="141"/>
  <c r="G18" i="141"/>
  <c r="F18" i="141"/>
  <c r="D18" i="141"/>
  <c r="S17" i="141"/>
  <c r="P17" i="141"/>
  <c r="M17" i="141"/>
  <c r="J17" i="141"/>
  <c r="G17" i="141"/>
  <c r="D17" i="141"/>
  <c r="AC16" i="141"/>
  <c r="Z16" i="141"/>
  <c r="T20" i="141" s="1"/>
  <c r="W16" i="141"/>
  <c r="T18" i="141" s="1"/>
  <c r="R16" i="141"/>
  <c r="P16" i="141"/>
  <c r="O16" i="141"/>
  <c r="M16" i="141"/>
  <c r="L16" i="141"/>
  <c r="J16" i="141"/>
  <c r="I16" i="141"/>
  <c r="G16" i="141"/>
  <c r="F16" i="141"/>
  <c r="D16" i="141"/>
  <c r="P15" i="141"/>
  <c r="M15" i="141"/>
  <c r="J15" i="141"/>
  <c r="G15" i="141"/>
  <c r="D15" i="141"/>
  <c r="C15" i="141"/>
  <c r="AC14" i="141"/>
  <c r="Q22" i="141" s="1"/>
  <c r="Z14" i="141"/>
  <c r="Q20" i="141" s="1"/>
  <c r="W14" i="141"/>
  <c r="Q18" i="141" s="1"/>
  <c r="T14" i="141"/>
  <c r="Q16" i="141" s="1"/>
  <c r="O14" i="141"/>
  <c r="M14" i="141"/>
  <c r="L14" i="141"/>
  <c r="J14" i="141"/>
  <c r="I14" i="141"/>
  <c r="G14" i="141"/>
  <c r="F14" i="141"/>
  <c r="D14" i="141"/>
  <c r="M13" i="141"/>
  <c r="J13" i="141"/>
  <c r="G13" i="141"/>
  <c r="D13" i="141"/>
  <c r="C13" i="141"/>
  <c r="AC12" i="141"/>
  <c r="N22" i="141" s="1"/>
  <c r="Z12" i="141"/>
  <c r="N20" i="141" s="1"/>
  <c r="W12" i="141"/>
  <c r="N18" i="141" s="1"/>
  <c r="T12" i="141"/>
  <c r="N16" i="141" s="1"/>
  <c r="Q12" i="141"/>
  <c r="N14" i="141" s="1"/>
  <c r="L12" i="141"/>
  <c r="J12" i="141"/>
  <c r="I12" i="141"/>
  <c r="G12" i="141"/>
  <c r="F12" i="141"/>
  <c r="D12" i="141"/>
  <c r="J11" i="141"/>
  <c r="G11" i="141"/>
  <c r="D11" i="141"/>
  <c r="C12" i="141"/>
  <c r="AC10" i="141"/>
  <c r="Z10" i="141"/>
  <c r="K20" i="141" s="1"/>
  <c r="W10" i="141"/>
  <c r="K18" i="141" s="1"/>
  <c r="T10" i="141"/>
  <c r="K16" i="141" s="1"/>
  <c r="Q10" i="141"/>
  <c r="K14" i="141" s="1"/>
  <c r="N10" i="141"/>
  <c r="K12" i="141" s="1"/>
  <c r="I10" i="141"/>
  <c r="G10" i="141"/>
  <c r="F10" i="141"/>
  <c r="D10" i="141"/>
  <c r="G9" i="141"/>
  <c r="D9" i="141"/>
  <c r="C10" i="141"/>
  <c r="AC8" i="141"/>
  <c r="H22" i="141" s="1"/>
  <c r="Z8" i="141"/>
  <c r="H20" i="141" s="1"/>
  <c r="W8" i="141"/>
  <c r="H18" i="141" s="1"/>
  <c r="T8" i="141"/>
  <c r="Q8" i="141"/>
  <c r="H14" i="141" s="1"/>
  <c r="N8" i="141"/>
  <c r="H12" i="141" s="1"/>
  <c r="K8" i="141"/>
  <c r="H10" i="141" s="1"/>
  <c r="F8" i="141"/>
  <c r="E8" i="141"/>
  <c r="D8" i="141"/>
  <c r="D7" i="141"/>
  <c r="C8" i="141"/>
  <c r="AC6" i="141"/>
  <c r="E22" i="141" s="1"/>
  <c r="Z6" i="141"/>
  <c r="E20" i="141" s="1"/>
  <c r="W6" i="141"/>
  <c r="E18" i="141" s="1"/>
  <c r="T6" i="141"/>
  <c r="E16" i="141" s="1"/>
  <c r="Q6" i="141"/>
  <c r="E14" i="141" s="1"/>
  <c r="N6" i="141"/>
  <c r="E12" i="141" s="1"/>
  <c r="K6" i="141"/>
  <c r="E10" i="141" s="1"/>
  <c r="H6" i="141"/>
  <c r="C3" i="141"/>
  <c r="AB2" i="141"/>
  <c r="D2" i="141"/>
  <c r="C2" i="141"/>
  <c r="C1" i="141"/>
  <c r="AC84" i="142"/>
  <c r="D84" i="142"/>
  <c r="AA82" i="142"/>
  <c r="Y82" i="142"/>
  <c r="X82" i="142"/>
  <c r="V82" i="142"/>
  <c r="U82" i="142"/>
  <c r="S82" i="142"/>
  <c r="R82" i="142"/>
  <c r="P82" i="142"/>
  <c r="O82" i="142"/>
  <c r="M82" i="142"/>
  <c r="L82" i="142"/>
  <c r="J82" i="142"/>
  <c r="I82" i="142"/>
  <c r="G82" i="142"/>
  <c r="F82" i="142"/>
  <c r="D82" i="142"/>
  <c r="Y81" i="142"/>
  <c r="V81" i="142"/>
  <c r="S81" i="142"/>
  <c r="P81" i="142"/>
  <c r="M81" i="142"/>
  <c r="J81" i="142"/>
  <c r="G81" i="142"/>
  <c r="D81" i="142"/>
  <c r="C81" i="142"/>
  <c r="B81" i="142"/>
  <c r="AC80" i="142"/>
  <c r="Z82" i="142" s="1"/>
  <c r="X80" i="142"/>
  <c r="V80" i="142"/>
  <c r="U80" i="142"/>
  <c r="S80" i="142"/>
  <c r="R80" i="142"/>
  <c r="P80" i="142"/>
  <c r="O80" i="142"/>
  <c r="M80" i="142"/>
  <c r="L80" i="142"/>
  <c r="J80" i="142"/>
  <c r="I80" i="142"/>
  <c r="G80" i="142"/>
  <c r="F80" i="142"/>
  <c r="D80" i="142"/>
  <c r="V79" i="142"/>
  <c r="S79" i="142"/>
  <c r="P79" i="142"/>
  <c r="M79" i="142"/>
  <c r="J79" i="142"/>
  <c r="G79" i="142"/>
  <c r="D79" i="142"/>
  <c r="C79" i="142"/>
  <c r="AC78" i="142"/>
  <c r="W82" i="142" s="1"/>
  <c r="Z78" i="142"/>
  <c r="W80" i="142" s="1"/>
  <c r="U78" i="142"/>
  <c r="S78" i="142"/>
  <c r="R78" i="142"/>
  <c r="P78" i="142"/>
  <c r="O78" i="142"/>
  <c r="M78" i="142"/>
  <c r="L78" i="142"/>
  <c r="J78" i="142"/>
  <c r="I78" i="142"/>
  <c r="G78" i="142"/>
  <c r="F78" i="142"/>
  <c r="D78" i="142"/>
  <c r="S77" i="142"/>
  <c r="P77" i="142"/>
  <c r="M77" i="142"/>
  <c r="J77" i="142"/>
  <c r="G77" i="142"/>
  <c r="D77" i="142"/>
  <c r="AC76" i="142"/>
  <c r="T82" i="142" s="1"/>
  <c r="Z76" i="142"/>
  <c r="T80" i="142" s="1"/>
  <c r="W76" i="142"/>
  <c r="T78" i="142" s="1"/>
  <c r="R76" i="142"/>
  <c r="P76" i="142"/>
  <c r="O76" i="142"/>
  <c r="M76" i="142"/>
  <c r="L76" i="142"/>
  <c r="J76" i="142"/>
  <c r="I76" i="142"/>
  <c r="G76" i="142"/>
  <c r="F76" i="142"/>
  <c r="D76" i="142"/>
  <c r="P75" i="142"/>
  <c r="M75" i="142"/>
  <c r="J75" i="142"/>
  <c r="G75" i="142"/>
  <c r="D75" i="142"/>
  <c r="AC74" i="142"/>
  <c r="Q82" i="142" s="1"/>
  <c r="Q80" i="142"/>
  <c r="W74" i="142"/>
  <c r="Q78" i="142" s="1"/>
  <c r="T74" i="142"/>
  <c r="Q76" i="142" s="1"/>
  <c r="O74" i="142"/>
  <c r="M74" i="142"/>
  <c r="L74" i="142"/>
  <c r="J74" i="142"/>
  <c r="I74" i="142"/>
  <c r="G74" i="142"/>
  <c r="F74" i="142"/>
  <c r="D74" i="142"/>
  <c r="M73" i="142"/>
  <c r="J73" i="142"/>
  <c r="G73" i="142"/>
  <c r="D73" i="142"/>
  <c r="C73" i="142"/>
  <c r="AC72" i="142"/>
  <c r="N82" i="142" s="1"/>
  <c r="Z72" i="142"/>
  <c r="N80" i="142" s="1"/>
  <c r="W72" i="142"/>
  <c r="N78" i="142" s="1"/>
  <c r="T72" i="142"/>
  <c r="N76" i="142" s="1"/>
  <c r="Q72" i="142"/>
  <c r="N74" i="142" s="1"/>
  <c r="L72" i="142"/>
  <c r="J72" i="142"/>
  <c r="I72" i="142"/>
  <c r="G72" i="142"/>
  <c r="F72" i="142"/>
  <c r="D72" i="142"/>
  <c r="J71" i="142"/>
  <c r="G71" i="142"/>
  <c r="D71" i="142"/>
  <c r="C71" i="142"/>
  <c r="AC70" i="142"/>
  <c r="K82" i="142" s="1"/>
  <c r="Z70" i="142"/>
  <c r="K80" i="142" s="1"/>
  <c r="W70" i="142"/>
  <c r="K78" i="142" s="1"/>
  <c r="T70" i="142"/>
  <c r="K76" i="142" s="1"/>
  <c r="Q70" i="142"/>
  <c r="K74" i="142" s="1"/>
  <c r="N70" i="142"/>
  <c r="K72" i="142" s="1"/>
  <c r="I70" i="142"/>
  <c r="G70" i="142"/>
  <c r="F70" i="142"/>
  <c r="D70" i="142"/>
  <c r="G69" i="142"/>
  <c r="D69" i="142"/>
  <c r="AC68" i="142"/>
  <c r="H82" i="142" s="1"/>
  <c r="Z68" i="142"/>
  <c r="H80" i="142" s="1"/>
  <c r="W68" i="142"/>
  <c r="H78" i="142" s="1"/>
  <c r="T68" i="142"/>
  <c r="H76" i="142" s="1"/>
  <c r="Q68" i="142"/>
  <c r="H74" i="142" s="1"/>
  <c r="N68" i="142"/>
  <c r="H72" i="142" s="1"/>
  <c r="K68" i="142"/>
  <c r="H70" i="142" s="1"/>
  <c r="F68" i="142"/>
  <c r="E68" i="142"/>
  <c r="D68" i="142"/>
  <c r="D67" i="142"/>
  <c r="AC66" i="142"/>
  <c r="E82" i="142" s="1"/>
  <c r="Z66" i="142"/>
  <c r="E80" i="142" s="1"/>
  <c r="W66" i="142"/>
  <c r="E78" i="142" s="1"/>
  <c r="T66" i="142"/>
  <c r="E76" i="142" s="1"/>
  <c r="Q66" i="142"/>
  <c r="E74" i="142" s="1"/>
  <c r="N66" i="142"/>
  <c r="E72" i="142" s="1"/>
  <c r="K66" i="142"/>
  <c r="E70" i="142" s="1"/>
  <c r="H66" i="142"/>
  <c r="C65" i="142"/>
  <c r="AE65" i="142"/>
  <c r="AA62" i="142"/>
  <c r="Y62" i="142"/>
  <c r="X62" i="142"/>
  <c r="W62" i="142"/>
  <c r="V62" i="142"/>
  <c r="U62" i="142"/>
  <c r="S62" i="142"/>
  <c r="R62" i="142"/>
  <c r="P62" i="142"/>
  <c r="O62" i="142"/>
  <c r="M62" i="142"/>
  <c r="L62" i="142"/>
  <c r="K62" i="142"/>
  <c r="J62" i="142"/>
  <c r="I62" i="142"/>
  <c r="G62" i="142"/>
  <c r="F62" i="142"/>
  <c r="D62" i="142"/>
  <c r="Y61" i="142"/>
  <c r="V61" i="142"/>
  <c r="S61" i="142"/>
  <c r="P61" i="142"/>
  <c r="M61" i="142"/>
  <c r="J61" i="142"/>
  <c r="G61" i="142"/>
  <c r="D61" i="142"/>
  <c r="B61" i="142"/>
  <c r="AC60" i="142"/>
  <c r="Z62" i="142" s="1"/>
  <c r="X60" i="142"/>
  <c r="V60" i="142"/>
  <c r="U60" i="142"/>
  <c r="T60" i="142"/>
  <c r="S60" i="142"/>
  <c r="R60" i="142"/>
  <c r="P60" i="142"/>
  <c r="O60" i="142"/>
  <c r="M60" i="142"/>
  <c r="L60" i="142"/>
  <c r="J60" i="142"/>
  <c r="I60" i="142"/>
  <c r="G60" i="142"/>
  <c r="F60" i="142"/>
  <c r="D60" i="142"/>
  <c r="V59" i="142"/>
  <c r="S59" i="142"/>
  <c r="P59" i="142"/>
  <c r="M59" i="142"/>
  <c r="J59" i="142"/>
  <c r="G59" i="142"/>
  <c r="D59" i="142"/>
  <c r="AC58" i="142"/>
  <c r="Z58" i="142"/>
  <c r="W60" i="142" s="1"/>
  <c r="U58" i="142"/>
  <c r="S58" i="142"/>
  <c r="R58" i="142"/>
  <c r="P58" i="142"/>
  <c r="O58" i="142"/>
  <c r="M58" i="142"/>
  <c r="L58" i="142"/>
  <c r="J58" i="142"/>
  <c r="I58" i="142"/>
  <c r="G58" i="142"/>
  <c r="F58" i="142"/>
  <c r="D58" i="142"/>
  <c r="S57" i="142"/>
  <c r="P57" i="142"/>
  <c r="M57" i="142"/>
  <c r="J57" i="142"/>
  <c r="G57" i="142"/>
  <c r="D57" i="142"/>
  <c r="C57" i="142"/>
  <c r="AC56" i="142"/>
  <c r="T62" i="142" s="1"/>
  <c r="Z56" i="142"/>
  <c r="W56" i="142"/>
  <c r="T58" i="142" s="1"/>
  <c r="R56" i="142"/>
  <c r="P56" i="142"/>
  <c r="O56" i="142"/>
  <c r="M56" i="142"/>
  <c r="L56" i="142"/>
  <c r="J56" i="142"/>
  <c r="I56" i="142"/>
  <c r="G56" i="142"/>
  <c r="F56" i="142"/>
  <c r="D56" i="142"/>
  <c r="P55" i="142"/>
  <c r="M55" i="142"/>
  <c r="J55" i="142"/>
  <c r="G55" i="142"/>
  <c r="D55" i="142"/>
  <c r="C55" i="142"/>
  <c r="AC54" i="142"/>
  <c r="Q62" i="142" s="1"/>
  <c r="Z54" i="142"/>
  <c r="Q60" i="142" s="1"/>
  <c r="W54" i="142"/>
  <c r="Q58" i="142" s="1"/>
  <c r="T54" i="142"/>
  <c r="Q56" i="142" s="1"/>
  <c r="O54" i="142"/>
  <c r="M54" i="142"/>
  <c r="L54" i="142"/>
  <c r="J54" i="142"/>
  <c r="I54" i="142"/>
  <c r="G54" i="142"/>
  <c r="F54" i="142"/>
  <c r="D54" i="142"/>
  <c r="M53" i="142"/>
  <c r="J53" i="142"/>
  <c r="G53" i="142"/>
  <c r="D53" i="142"/>
  <c r="C53" i="142"/>
  <c r="AC52" i="142"/>
  <c r="N62" i="142" s="1"/>
  <c r="Z52" i="142"/>
  <c r="N60" i="142" s="1"/>
  <c r="W52" i="142"/>
  <c r="N58" i="142" s="1"/>
  <c r="T52" i="142"/>
  <c r="N56" i="142" s="1"/>
  <c r="Q52" i="142"/>
  <c r="N54" i="142" s="1"/>
  <c r="L52" i="142"/>
  <c r="J52" i="142"/>
  <c r="I52" i="142"/>
  <c r="G52" i="142"/>
  <c r="F52" i="142"/>
  <c r="D52" i="142"/>
  <c r="J51" i="142"/>
  <c r="G51" i="142"/>
  <c r="D51" i="142"/>
  <c r="AC50" i="142"/>
  <c r="Z50" i="142"/>
  <c r="K60" i="142" s="1"/>
  <c r="W50" i="142"/>
  <c r="K58" i="142" s="1"/>
  <c r="T50" i="142"/>
  <c r="K56" i="142" s="1"/>
  <c r="Q50" i="142"/>
  <c r="K54" i="142" s="1"/>
  <c r="N50" i="142"/>
  <c r="K52" i="142" s="1"/>
  <c r="I50" i="142"/>
  <c r="F50" i="142"/>
  <c r="D50" i="142"/>
  <c r="G49" i="142"/>
  <c r="D49" i="142"/>
  <c r="C49" i="142"/>
  <c r="AC48" i="142"/>
  <c r="H62" i="142" s="1"/>
  <c r="Z48" i="142"/>
  <c r="H60" i="142" s="1"/>
  <c r="W48" i="142"/>
  <c r="H58" i="142" s="1"/>
  <c r="T48" i="142"/>
  <c r="Q48" i="142"/>
  <c r="H54" i="142" s="1"/>
  <c r="N48" i="142"/>
  <c r="H52" i="142" s="1"/>
  <c r="K48" i="142"/>
  <c r="H50" i="142" s="1"/>
  <c r="F48" i="142"/>
  <c r="E48" i="142"/>
  <c r="D48" i="142"/>
  <c r="D47" i="142"/>
  <c r="AE47" i="142" s="1"/>
  <c r="C47" i="142"/>
  <c r="AC46" i="142"/>
  <c r="E62" i="142" s="1"/>
  <c r="Z46" i="142"/>
  <c r="E60" i="142" s="1"/>
  <c r="W46" i="142"/>
  <c r="E58" i="142" s="1"/>
  <c r="T46" i="142"/>
  <c r="E56" i="142" s="1"/>
  <c r="Q46" i="142"/>
  <c r="E54" i="142" s="1"/>
  <c r="N46" i="142"/>
  <c r="E52" i="142" s="1"/>
  <c r="K46" i="142"/>
  <c r="E50" i="142" s="1"/>
  <c r="H46" i="142"/>
  <c r="AA42" i="142"/>
  <c r="Y42" i="142"/>
  <c r="X42" i="142"/>
  <c r="V42" i="142"/>
  <c r="U42" i="142"/>
  <c r="S42" i="142"/>
  <c r="R42" i="142"/>
  <c r="P42" i="142"/>
  <c r="O42" i="142"/>
  <c r="N42" i="142"/>
  <c r="M42" i="142"/>
  <c r="L42" i="142"/>
  <c r="J42" i="142"/>
  <c r="I42" i="142"/>
  <c r="H42" i="142"/>
  <c r="G42" i="142"/>
  <c r="F42" i="142"/>
  <c r="D42" i="142"/>
  <c r="Y41" i="142"/>
  <c r="V41" i="142"/>
  <c r="S41" i="142"/>
  <c r="P41" i="142"/>
  <c r="M41" i="142"/>
  <c r="J41" i="142"/>
  <c r="G41" i="142"/>
  <c r="D41" i="142"/>
  <c r="C41" i="142"/>
  <c r="B41" i="142"/>
  <c r="C42" i="142" s="1"/>
  <c r="AC40" i="142"/>
  <c r="Z42" i="142" s="1"/>
  <c r="X40" i="142"/>
  <c r="W40" i="142"/>
  <c r="V40" i="142"/>
  <c r="U40" i="142"/>
  <c r="S40" i="142"/>
  <c r="R40" i="142"/>
  <c r="P40" i="142"/>
  <c r="O40" i="142"/>
  <c r="M40" i="142"/>
  <c r="L40" i="142"/>
  <c r="J40" i="142"/>
  <c r="I40" i="142"/>
  <c r="G40" i="142"/>
  <c r="F40" i="142"/>
  <c r="D40" i="142"/>
  <c r="V39" i="142"/>
  <c r="S39" i="142"/>
  <c r="P39" i="142"/>
  <c r="M39" i="142"/>
  <c r="J39" i="142"/>
  <c r="G39" i="142"/>
  <c r="D39" i="142"/>
  <c r="C39" i="142"/>
  <c r="AC38" i="142"/>
  <c r="W42" i="142" s="1"/>
  <c r="Z38" i="142"/>
  <c r="U38" i="142"/>
  <c r="S38" i="142"/>
  <c r="R38" i="142"/>
  <c r="P38" i="142"/>
  <c r="O38" i="142"/>
  <c r="M38" i="142"/>
  <c r="L38" i="142"/>
  <c r="J38" i="142"/>
  <c r="I38" i="142"/>
  <c r="G38" i="142"/>
  <c r="F38" i="142"/>
  <c r="D38" i="142"/>
  <c r="S37" i="142"/>
  <c r="P37" i="142"/>
  <c r="M37" i="142"/>
  <c r="J37" i="142"/>
  <c r="G37" i="142"/>
  <c r="D37" i="142"/>
  <c r="C37" i="142"/>
  <c r="AC36" i="142"/>
  <c r="T42" i="142" s="1"/>
  <c r="Z36" i="142"/>
  <c r="T40" i="142" s="1"/>
  <c r="W36" i="142"/>
  <c r="T38" i="142" s="1"/>
  <c r="R36" i="142"/>
  <c r="P36" i="142"/>
  <c r="O36" i="142"/>
  <c r="M36" i="142"/>
  <c r="L36" i="142"/>
  <c r="K36" i="142"/>
  <c r="J36" i="142"/>
  <c r="I36" i="142"/>
  <c r="G36" i="142"/>
  <c r="F36" i="142"/>
  <c r="D36" i="142"/>
  <c r="P35" i="142"/>
  <c r="M35" i="142"/>
  <c r="J35" i="142"/>
  <c r="G35" i="142"/>
  <c r="D35" i="142"/>
  <c r="C35" i="142"/>
  <c r="AC34" i="142"/>
  <c r="Q42" i="142" s="1"/>
  <c r="Z34" i="142"/>
  <c r="Q40" i="142" s="1"/>
  <c r="W34" i="142"/>
  <c r="Q38" i="142" s="1"/>
  <c r="T34" i="142"/>
  <c r="Q36" i="142" s="1"/>
  <c r="O34" i="142"/>
  <c r="M34" i="142"/>
  <c r="L34" i="142"/>
  <c r="J34" i="142"/>
  <c r="I34" i="142"/>
  <c r="G34" i="142"/>
  <c r="F34" i="142"/>
  <c r="D34" i="142"/>
  <c r="M33" i="142"/>
  <c r="J33" i="142"/>
  <c r="G33" i="142"/>
  <c r="D33" i="142"/>
  <c r="C33" i="142"/>
  <c r="AC32" i="142"/>
  <c r="Z32" i="142"/>
  <c r="N40" i="142" s="1"/>
  <c r="W32" i="142"/>
  <c r="N38" i="142" s="1"/>
  <c r="T32" i="142"/>
  <c r="N36" i="142" s="1"/>
  <c r="Q32" i="142"/>
  <c r="N34" i="142" s="1"/>
  <c r="L32" i="142"/>
  <c r="J32" i="142"/>
  <c r="I32" i="142"/>
  <c r="G32" i="142"/>
  <c r="F32" i="142"/>
  <c r="D32" i="142"/>
  <c r="J31" i="142"/>
  <c r="G31" i="142"/>
  <c r="D31" i="142"/>
  <c r="C31" i="142"/>
  <c r="AC30" i="142"/>
  <c r="K42" i="142" s="1"/>
  <c r="Z30" i="142"/>
  <c r="K40" i="142" s="1"/>
  <c r="W30" i="142"/>
  <c r="K38" i="142" s="1"/>
  <c r="T30" i="142"/>
  <c r="Q30" i="142"/>
  <c r="K34" i="142" s="1"/>
  <c r="N30" i="142"/>
  <c r="K32" i="142" s="1"/>
  <c r="I30" i="142"/>
  <c r="G30" i="142"/>
  <c r="F30" i="142"/>
  <c r="E30" i="142"/>
  <c r="D30" i="142"/>
  <c r="G29" i="142"/>
  <c r="D29" i="142"/>
  <c r="AC28" i="142"/>
  <c r="Z28" i="142"/>
  <c r="H40" i="142" s="1"/>
  <c r="W28" i="142"/>
  <c r="H38" i="142" s="1"/>
  <c r="T28" i="142"/>
  <c r="H36" i="142" s="1"/>
  <c r="Q28" i="142"/>
  <c r="H34" i="142" s="1"/>
  <c r="N28" i="142"/>
  <c r="H32" i="142" s="1"/>
  <c r="K28" i="142"/>
  <c r="H30" i="142" s="1"/>
  <c r="F28" i="142"/>
  <c r="E28" i="142"/>
  <c r="D28" i="142"/>
  <c r="D27" i="142"/>
  <c r="AC26" i="142"/>
  <c r="E42" i="142" s="1"/>
  <c r="Z26" i="142"/>
  <c r="E40" i="142" s="1"/>
  <c r="W26" i="142"/>
  <c r="E38" i="142" s="1"/>
  <c r="T26" i="142"/>
  <c r="E36" i="142" s="1"/>
  <c r="Q26" i="142"/>
  <c r="E34" i="142" s="1"/>
  <c r="N26" i="142"/>
  <c r="E32" i="142" s="1"/>
  <c r="K26" i="142"/>
  <c r="H26" i="142"/>
  <c r="C25" i="142"/>
  <c r="AE25" i="142"/>
  <c r="AA22" i="142"/>
  <c r="Y22" i="142"/>
  <c r="X22" i="142"/>
  <c r="W22" i="142"/>
  <c r="V22" i="142"/>
  <c r="U22" i="142"/>
  <c r="S22" i="142"/>
  <c r="R22" i="142"/>
  <c r="P22" i="142"/>
  <c r="O22" i="142"/>
  <c r="M22" i="142"/>
  <c r="L22" i="142"/>
  <c r="K22" i="142"/>
  <c r="J22" i="142"/>
  <c r="I22" i="142"/>
  <c r="G22" i="142"/>
  <c r="F22" i="142"/>
  <c r="D22" i="142"/>
  <c r="Y21" i="142"/>
  <c r="V21" i="142"/>
  <c r="S21" i="142"/>
  <c r="P21" i="142"/>
  <c r="M21" i="142"/>
  <c r="J21" i="142"/>
  <c r="G21" i="142"/>
  <c r="D21" i="142"/>
  <c r="B21" i="142"/>
  <c r="AC20" i="142"/>
  <c r="Z22" i="142" s="1"/>
  <c r="X20" i="142"/>
  <c r="V20" i="142"/>
  <c r="U20" i="142"/>
  <c r="T20" i="142"/>
  <c r="S20" i="142"/>
  <c r="R20" i="142"/>
  <c r="P20" i="142"/>
  <c r="O20" i="142"/>
  <c r="M20" i="142"/>
  <c r="L20" i="142"/>
  <c r="J20" i="142"/>
  <c r="I20" i="142"/>
  <c r="G20" i="142"/>
  <c r="F20" i="142"/>
  <c r="D20" i="142"/>
  <c r="V19" i="142"/>
  <c r="S19" i="142"/>
  <c r="P19" i="142"/>
  <c r="M19" i="142"/>
  <c r="J19" i="142"/>
  <c r="G19" i="142"/>
  <c r="D19" i="142"/>
  <c r="AC18" i="142"/>
  <c r="Z18" i="142"/>
  <c r="W20" i="142" s="1"/>
  <c r="U18" i="142"/>
  <c r="S18" i="142"/>
  <c r="R18" i="142"/>
  <c r="P18" i="142"/>
  <c r="O18" i="142"/>
  <c r="M18" i="142"/>
  <c r="L18" i="142"/>
  <c r="J18" i="142"/>
  <c r="I18" i="142"/>
  <c r="G18" i="142"/>
  <c r="F18" i="142"/>
  <c r="D18" i="142"/>
  <c r="S17" i="142"/>
  <c r="P17" i="142"/>
  <c r="M17" i="142"/>
  <c r="J17" i="142"/>
  <c r="G17" i="142"/>
  <c r="D17" i="142"/>
  <c r="C17" i="142"/>
  <c r="AC16" i="142"/>
  <c r="T22" i="142" s="1"/>
  <c r="Z16" i="142"/>
  <c r="W16" i="142"/>
  <c r="T18" i="142" s="1"/>
  <c r="R16" i="142"/>
  <c r="P16" i="142"/>
  <c r="O16" i="142"/>
  <c r="M16" i="142"/>
  <c r="L16" i="142"/>
  <c r="J16" i="142"/>
  <c r="I16" i="142"/>
  <c r="G16" i="142"/>
  <c r="F16" i="142"/>
  <c r="D16" i="142"/>
  <c r="P15" i="142"/>
  <c r="M15" i="142"/>
  <c r="J15" i="142"/>
  <c r="G15" i="142"/>
  <c r="D15" i="142"/>
  <c r="C15" i="142"/>
  <c r="AC14" i="142"/>
  <c r="Q22" i="142" s="1"/>
  <c r="Z14" i="142"/>
  <c r="Q20" i="142" s="1"/>
  <c r="W14" i="142"/>
  <c r="Q18" i="142" s="1"/>
  <c r="T14" i="142"/>
  <c r="Q16" i="142" s="1"/>
  <c r="O14" i="142"/>
  <c r="M14" i="142"/>
  <c r="L14" i="142"/>
  <c r="J14" i="142"/>
  <c r="I14" i="142"/>
  <c r="G14" i="142"/>
  <c r="F14" i="142"/>
  <c r="D14" i="142"/>
  <c r="M13" i="142"/>
  <c r="J13" i="142"/>
  <c r="G13" i="142"/>
  <c r="D13" i="142"/>
  <c r="C13" i="142"/>
  <c r="AC12" i="142"/>
  <c r="N22" i="142" s="1"/>
  <c r="Z12" i="142"/>
  <c r="N20" i="142" s="1"/>
  <c r="W12" i="142"/>
  <c r="N18" i="142" s="1"/>
  <c r="T12" i="142"/>
  <c r="N16" i="142" s="1"/>
  <c r="Q12" i="142"/>
  <c r="N14" i="142" s="1"/>
  <c r="L12" i="142"/>
  <c r="J12" i="142"/>
  <c r="I12" i="142"/>
  <c r="G12" i="142"/>
  <c r="F12" i="142"/>
  <c r="D12" i="142"/>
  <c r="J11" i="142"/>
  <c r="G11" i="142"/>
  <c r="D11" i="142"/>
  <c r="AC10" i="142"/>
  <c r="Z10" i="142"/>
  <c r="K20" i="142" s="1"/>
  <c r="W10" i="142"/>
  <c r="K18" i="142" s="1"/>
  <c r="T10" i="142"/>
  <c r="K16" i="142" s="1"/>
  <c r="Q10" i="142"/>
  <c r="K14" i="142" s="1"/>
  <c r="N10" i="142"/>
  <c r="K12" i="142" s="1"/>
  <c r="I10" i="142"/>
  <c r="G10" i="142"/>
  <c r="F10" i="142"/>
  <c r="D10" i="142"/>
  <c r="G9" i="142"/>
  <c r="D9" i="142"/>
  <c r="C9" i="142"/>
  <c r="AC8" i="142"/>
  <c r="H22" i="142" s="1"/>
  <c r="Z8" i="142"/>
  <c r="H20" i="142" s="1"/>
  <c r="W8" i="142"/>
  <c r="H18" i="142" s="1"/>
  <c r="T8" i="142"/>
  <c r="Q8" i="142"/>
  <c r="H14" i="142" s="1"/>
  <c r="N8" i="142"/>
  <c r="H12" i="142" s="1"/>
  <c r="K8" i="142"/>
  <c r="H10" i="142" s="1"/>
  <c r="F8" i="142"/>
  <c r="E8" i="142"/>
  <c r="D8" i="142"/>
  <c r="C8" i="142"/>
  <c r="D7" i="142"/>
  <c r="AE7" i="142" s="1"/>
  <c r="C7" i="142"/>
  <c r="AC6" i="142"/>
  <c r="E22" i="142" s="1"/>
  <c r="Z6" i="142"/>
  <c r="E20" i="142" s="1"/>
  <c r="W6" i="142"/>
  <c r="E18" i="142" s="1"/>
  <c r="T6" i="142"/>
  <c r="E16" i="142" s="1"/>
  <c r="Q6" i="142"/>
  <c r="E14" i="142" s="1"/>
  <c r="N6" i="142"/>
  <c r="E12" i="142" s="1"/>
  <c r="K6" i="142"/>
  <c r="E10" i="142" s="1"/>
  <c r="H6" i="142"/>
  <c r="C3" i="142"/>
  <c r="AB2" i="142"/>
  <c r="D2" i="142"/>
  <c r="C2" i="142"/>
  <c r="C1" i="142"/>
  <c r="AC6" i="137"/>
  <c r="AC8" i="137"/>
  <c r="AC10" i="137"/>
  <c r="AC12" i="137"/>
  <c r="AC14" i="137"/>
  <c r="AC16" i="137"/>
  <c r="AC18" i="137"/>
  <c r="AC20" i="137"/>
  <c r="B21" i="137"/>
  <c r="C21" i="137" s="1"/>
  <c r="D21" i="137"/>
  <c r="G21" i="137"/>
  <c r="J21" i="137"/>
  <c r="M21" i="137"/>
  <c r="P21" i="137"/>
  <c r="S21" i="137"/>
  <c r="V21" i="137"/>
  <c r="Y21" i="137"/>
  <c r="D22" i="137"/>
  <c r="E22" i="137"/>
  <c r="F22" i="137"/>
  <c r="G22" i="137"/>
  <c r="H22" i="137"/>
  <c r="I22" i="137"/>
  <c r="J22" i="137"/>
  <c r="K22" i="137"/>
  <c r="L22" i="137"/>
  <c r="M22" i="137"/>
  <c r="N22" i="137"/>
  <c r="O22" i="137"/>
  <c r="P22" i="137"/>
  <c r="Q22" i="137"/>
  <c r="R22" i="137"/>
  <c r="S22" i="137"/>
  <c r="T22" i="137"/>
  <c r="U22" i="137"/>
  <c r="V22" i="137"/>
  <c r="W22" i="137"/>
  <c r="X22" i="137"/>
  <c r="Y22" i="137"/>
  <c r="Z22" i="137"/>
  <c r="AA22" i="137"/>
  <c r="AC46" i="137"/>
  <c r="AC48" i="137"/>
  <c r="AC50" i="137"/>
  <c r="AC52" i="137"/>
  <c r="AC54" i="137"/>
  <c r="AC56" i="137"/>
  <c r="AC58" i="137"/>
  <c r="AC60" i="137"/>
  <c r="AC26" i="137"/>
  <c r="AC28" i="137"/>
  <c r="AC30" i="137"/>
  <c r="AC32" i="137"/>
  <c r="AC34" i="137"/>
  <c r="AC36" i="137"/>
  <c r="AC38" i="137"/>
  <c r="AC40" i="137"/>
  <c r="AC66" i="137"/>
  <c r="AC68" i="137"/>
  <c r="AC70" i="137"/>
  <c r="AC72" i="137"/>
  <c r="AC74" i="137"/>
  <c r="AC76" i="137"/>
  <c r="AC78" i="137"/>
  <c r="AC80" i="137"/>
  <c r="B81" i="137"/>
  <c r="B75" i="137"/>
  <c r="B73" i="137"/>
  <c r="B71" i="137"/>
  <c r="B69" i="137"/>
  <c r="B67" i="137"/>
  <c r="B65" i="137"/>
  <c r="B61" i="137"/>
  <c r="B55" i="137"/>
  <c r="B53" i="137"/>
  <c r="B51" i="137"/>
  <c r="B49" i="137"/>
  <c r="B47" i="137"/>
  <c r="B45" i="137"/>
  <c r="B41" i="137"/>
  <c r="B35" i="137"/>
  <c r="B33" i="137"/>
  <c r="B31" i="137"/>
  <c r="B29" i="137"/>
  <c r="B27" i="137"/>
  <c r="B25" i="137"/>
  <c r="B15" i="137"/>
  <c r="B13" i="137"/>
  <c r="B11" i="137"/>
  <c r="B9" i="137"/>
  <c r="B7" i="137"/>
  <c r="B5" i="137"/>
  <c r="B81" i="136"/>
  <c r="B77" i="136"/>
  <c r="B75" i="136"/>
  <c r="B73" i="136"/>
  <c r="B71" i="136"/>
  <c r="B69" i="136"/>
  <c r="B67" i="136"/>
  <c r="B65" i="136"/>
  <c r="B61" i="136"/>
  <c r="B57" i="136"/>
  <c r="B55" i="136"/>
  <c r="B53" i="136"/>
  <c r="B51" i="136"/>
  <c r="B49" i="136"/>
  <c r="B47" i="136"/>
  <c r="B45" i="136"/>
  <c r="B41" i="136"/>
  <c r="B37" i="136"/>
  <c r="B35" i="136"/>
  <c r="B33" i="136"/>
  <c r="B31" i="136"/>
  <c r="B29" i="136"/>
  <c r="B27" i="136"/>
  <c r="B25" i="136"/>
  <c r="B21" i="136"/>
  <c r="B17" i="136"/>
  <c r="B15" i="136"/>
  <c r="B13" i="136"/>
  <c r="B11" i="136"/>
  <c r="B9" i="136"/>
  <c r="B7" i="136"/>
  <c r="B5" i="136"/>
  <c r="B21" i="135"/>
  <c r="B15" i="135"/>
  <c r="B13" i="135"/>
  <c r="B11" i="135"/>
  <c r="B9" i="135"/>
  <c r="B7" i="135"/>
  <c r="B41" i="135"/>
  <c r="B37" i="135"/>
  <c r="B35" i="135"/>
  <c r="B33" i="135"/>
  <c r="B31" i="135"/>
  <c r="B29" i="135"/>
  <c r="B27" i="135"/>
  <c r="B61" i="135"/>
  <c r="B57" i="135"/>
  <c r="B55" i="135"/>
  <c r="B53" i="135"/>
  <c r="B51" i="135"/>
  <c r="B49" i="135"/>
  <c r="B47" i="135"/>
  <c r="B81" i="135"/>
  <c r="B77" i="135"/>
  <c r="B75" i="135"/>
  <c r="B73" i="135"/>
  <c r="B71" i="135"/>
  <c r="B69" i="135"/>
  <c r="B67" i="135"/>
  <c r="B65" i="135"/>
  <c r="B45" i="135"/>
  <c r="B25" i="135"/>
  <c r="B5" i="135"/>
  <c r="B61" i="107"/>
  <c r="B57" i="107"/>
  <c r="B55" i="107"/>
  <c r="B53" i="107"/>
  <c r="B51" i="107"/>
  <c r="B49" i="107"/>
  <c r="B47" i="107"/>
  <c r="B45" i="107"/>
  <c r="B81" i="107"/>
  <c r="B77" i="107"/>
  <c r="B73" i="107"/>
  <c r="B71" i="107"/>
  <c r="B69" i="107"/>
  <c r="B67" i="107"/>
  <c r="B65" i="107"/>
  <c r="B41" i="107"/>
  <c r="B37" i="107"/>
  <c r="B35" i="107"/>
  <c r="B33" i="107"/>
  <c r="B31" i="107"/>
  <c r="B29" i="107"/>
  <c r="B27" i="107"/>
  <c r="B25" i="107"/>
  <c r="B21" i="107"/>
  <c r="B5" i="107"/>
  <c r="U3" i="140"/>
  <c r="R89" i="140"/>
  <c r="S88" i="140"/>
  <c r="R88" i="140"/>
  <c r="R87" i="140"/>
  <c r="S86" i="140"/>
  <c r="R86" i="140"/>
  <c r="R85" i="140"/>
  <c r="S84" i="140"/>
  <c r="R84" i="140"/>
  <c r="R83" i="140"/>
  <c r="S82" i="140"/>
  <c r="R82" i="140"/>
  <c r="S80" i="140"/>
  <c r="R80" i="140"/>
  <c r="S78" i="140"/>
  <c r="R78" i="140"/>
  <c r="S76" i="140"/>
  <c r="R76" i="140"/>
  <c r="S74" i="140"/>
  <c r="R74" i="140"/>
  <c r="S72" i="140"/>
  <c r="R72" i="140"/>
  <c r="S70" i="140"/>
  <c r="R70" i="140"/>
  <c r="M89" i="140"/>
  <c r="N88" i="140"/>
  <c r="M88" i="140"/>
  <c r="M87" i="140"/>
  <c r="N86" i="140"/>
  <c r="M86" i="140"/>
  <c r="M85" i="140"/>
  <c r="N84" i="140"/>
  <c r="M84" i="140"/>
  <c r="N82" i="140"/>
  <c r="M82" i="140"/>
  <c r="N80" i="140"/>
  <c r="M80" i="140"/>
  <c r="N78" i="140"/>
  <c r="M78" i="140"/>
  <c r="N76" i="140"/>
  <c r="M76" i="140"/>
  <c r="N74" i="140"/>
  <c r="M74" i="140"/>
  <c r="N72" i="140"/>
  <c r="M72" i="140"/>
  <c r="N70" i="140"/>
  <c r="M70" i="140"/>
  <c r="H89" i="140"/>
  <c r="I88" i="140"/>
  <c r="H88" i="140"/>
  <c r="H87" i="140"/>
  <c r="I86" i="140"/>
  <c r="H86" i="140"/>
  <c r="H85" i="140"/>
  <c r="I84" i="140"/>
  <c r="H84" i="140"/>
  <c r="H83" i="140"/>
  <c r="I82" i="140"/>
  <c r="H82" i="140"/>
  <c r="I80" i="140"/>
  <c r="H80" i="140"/>
  <c r="I78" i="140"/>
  <c r="H78" i="140"/>
  <c r="I76" i="140"/>
  <c r="H76" i="140"/>
  <c r="I74" i="140"/>
  <c r="H74" i="140"/>
  <c r="I72" i="140"/>
  <c r="H72" i="140"/>
  <c r="I70" i="140"/>
  <c r="H70" i="140"/>
  <c r="C89" i="140"/>
  <c r="D88" i="140"/>
  <c r="C88" i="140"/>
  <c r="C87" i="140"/>
  <c r="D86" i="140"/>
  <c r="C86" i="140"/>
  <c r="C85" i="140"/>
  <c r="D84" i="140"/>
  <c r="C84" i="140"/>
  <c r="D82" i="140"/>
  <c r="C82" i="140"/>
  <c r="D80" i="140"/>
  <c r="C80" i="140"/>
  <c r="D78" i="140"/>
  <c r="C78" i="140"/>
  <c r="C77" i="140"/>
  <c r="D76" i="140"/>
  <c r="C76" i="140"/>
  <c r="D74" i="140"/>
  <c r="C74" i="140"/>
  <c r="D72" i="140"/>
  <c r="C72" i="140"/>
  <c r="D70" i="140"/>
  <c r="C70" i="140"/>
  <c r="R67" i="140"/>
  <c r="S66" i="140"/>
  <c r="R66" i="140"/>
  <c r="R65" i="140"/>
  <c r="S64" i="140"/>
  <c r="R64" i="140"/>
  <c r="R63" i="140"/>
  <c r="S62" i="140"/>
  <c r="R62" i="140"/>
  <c r="S60" i="140"/>
  <c r="R60" i="140"/>
  <c r="S58" i="140"/>
  <c r="R58" i="140"/>
  <c r="S56" i="140"/>
  <c r="R56" i="140"/>
  <c r="S54" i="140"/>
  <c r="R54" i="140"/>
  <c r="S52" i="140"/>
  <c r="R52" i="140"/>
  <c r="S50" i="140"/>
  <c r="R50" i="140"/>
  <c r="S48" i="140"/>
  <c r="R48" i="140"/>
  <c r="H67" i="140"/>
  <c r="I66" i="140"/>
  <c r="H66" i="140"/>
  <c r="H65" i="140"/>
  <c r="I64" i="140"/>
  <c r="H64" i="140"/>
  <c r="H63" i="140"/>
  <c r="I62" i="140"/>
  <c r="H62" i="140"/>
  <c r="H61" i="140"/>
  <c r="I60" i="140"/>
  <c r="H60" i="140"/>
  <c r="I58" i="140"/>
  <c r="H58" i="140"/>
  <c r="I56" i="140"/>
  <c r="H56" i="140"/>
  <c r="I54" i="140"/>
  <c r="H54" i="140"/>
  <c r="I52" i="140"/>
  <c r="H52" i="140"/>
  <c r="I50" i="140"/>
  <c r="H50" i="140"/>
  <c r="I48" i="140"/>
  <c r="H48" i="140"/>
  <c r="M67" i="140"/>
  <c r="N66" i="140"/>
  <c r="M66" i="140"/>
  <c r="M65" i="140"/>
  <c r="N64" i="140"/>
  <c r="M64" i="140"/>
  <c r="M63" i="140"/>
  <c r="N62" i="140"/>
  <c r="M62" i="140"/>
  <c r="N60" i="140"/>
  <c r="M60" i="140"/>
  <c r="N58" i="140"/>
  <c r="M58" i="140"/>
  <c r="N56" i="140"/>
  <c r="M56" i="140"/>
  <c r="N54" i="140"/>
  <c r="M54" i="140"/>
  <c r="N52" i="140"/>
  <c r="M52" i="140"/>
  <c r="N50" i="140"/>
  <c r="M50" i="140"/>
  <c r="N48" i="140"/>
  <c r="M48" i="140"/>
  <c r="C67" i="140"/>
  <c r="D66" i="140"/>
  <c r="C66" i="140"/>
  <c r="C65" i="140"/>
  <c r="D64" i="140"/>
  <c r="C64" i="140"/>
  <c r="C63" i="140"/>
  <c r="D62" i="140"/>
  <c r="C62" i="140"/>
  <c r="C61" i="140"/>
  <c r="D60" i="140"/>
  <c r="C60" i="140"/>
  <c r="D58" i="140"/>
  <c r="C58" i="140"/>
  <c r="D56" i="140"/>
  <c r="C56" i="140"/>
  <c r="D54" i="140"/>
  <c r="C54" i="140"/>
  <c r="D52" i="140"/>
  <c r="C52" i="140"/>
  <c r="D50" i="140"/>
  <c r="C50" i="140"/>
  <c r="D48" i="140"/>
  <c r="C48" i="140"/>
  <c r="R45" i="140"/>
  <c r="S44" i="140"/>
  <c r="R44" i="140"/>
  <c r="R43" i="140"/>
  <c r="S42" i="140"/>
  <c r="R42" i="140"/>
  <c r="R41" i="140"/>
  <c r="S40" i="140"/>
  <c r="R40" i="140"/>
  <c r="R39" i="140"/>
  <c r="S38" i="140"/>
  <c r="R38" i="140"/>
  <c r="S36" i="140"/>
  <c r="R36" i="140"/>
  <c r="S34" i="140"/>
  <c r="R34" i="140"/>
  <c r="S32" i="140"/>
  <c r="R32" i="140"/>
  <c r="S30" i="140"/>
  <c r="R30" i="140"/>
  <c r="R29" i="140"/>
  <c r="S28" i="140"/>
  <c r="R28" i="140"/>
  <c r="S26" i="140"/>
  <c r="R26" i="140"/>
  <c r="M45" i="140"/>
  <c r="N44" i="140"/>
  <c r="M44" i="140"/>
  <c r="M43" i="140"/>
  <c r="N42" i="140"/>
  <c r="M42" i="140"/>
  <c r="M41" i="140"/>
  <c r="N40" i="140"/>
  <c r="M40" i="140"/>
  <c r="N38" i="140"/>
  <c r="M38" i="140"/>
  <c r="N36" i="140"/>
  <c r="M36" i="140"/>
  <c r="N34" i="140"/>
  <c r="M34" i="140"/>
  <c r="N32" i="140"/>
  <c r="M32" i="140"/>
  <c r="N30" i="140"/>
  <c r="M30" i="140"/>
  <c r="N28" i="140"/>
  <c r="M28" i="140"/>
  <c r="N26" i="140"/>
  <c r="M26" i="140"/>
  <c r="H45" i="140"/>
  <c r="I44" i="140"/>
  <c r="H44" i="140"/>
  <c r="H43" i="140"/>
  <c r="I42" i="140"/>
  <c r="H42" i="140"/>
  <c r="H41" i="140"/>
  <c r="I40" i="140"/>
  <c r="H40" i="140"/>
  <c r="I38" i="140"/>
  <c r="H38" i="140"/>
  <c r="I36" i="140"/>
  <c r="H36" i="140"/>
  <c r="I34" i="140"/>
  <c r="H34" i="140"/>
  <c r="I32" i="140"/>
  <c r="H32" i="140"/>
  <c r="I30" i="140"/>
  <c r="H30" i="140"/>
  <c r="I28" i="140"/>
  <c r="H28" i="140"/>
  <c r="I26" i="140"/>
  <c r="H26" i="140"/>
  <c r="C45" i="140"/>
  <c r="D44" i="140"/>
  <c r="C44" i="140"/>
  <c r="C43" i="140"/>
  <c r="D42" i="140"/>
  <c r="C42" i="140"/>
  <c r="C41" i="140"/>
  <c r="D40" i="140"/>
  <c r="C40" i="140"/>
  <c r="D36" i="140"/>
  <c r="C36" i="140"/>
  <c r="D34" i="140"/>
  <c r="C34" i="140"/>
  <c r="D32" i="140"/>
  <c r="C32" i="140"/>
  <c r="D30" i="140"/>
  <c r="C30" i="140"/>
  <c r="D28" i="140"/>
  <c r="C28" i="140"/>
  <c r="D26" i="140"/>
  <c r="C26" i="140"/>
  <c r="R23" i="140"/>
  <c r="S22" i="140"/>
  <c r="R22" i="140"/>
  <c r="R21" i="140"/>
  <c r="S20" i="140"/>
  <c r="R20" i="140"/>
  <c r="R19" i="140"/>
  <c r="S18" i="140"/>
  <c r="R18" i="140"/>
  <c r="R17" i="140"/>
  <c r="S16" i="140"/>
  <c r="R16" i="140"/>
  <c r="S12" i="140"/>
  <c r="R12" i="140"/>
  <c r="S10" i="140"/>
  <c r="R10" i="140"/>
  <c r="S8" i="140"/>
  <c r="R8" i="140"/>
  <c r="S6" i="140"/>
  <c r="R6" i="140"/>
  <c r="S4" i="140"/>
  <c r="R4" i="140"/>
  <c r="M23" i="140"/>
  <c r="N22" i="140"/>
  <c r="M22" i="140"/>
  <c r="M21" i="140"/>
  <c r="N20" i="140"/>
  <c r="M20" i="140"/>
  <c r="M19" i="140"/>
  <c r="N18" i="140"/>
  <c r="M18" i="140"/>
  <c r="N16" i="140"/>
  <c r="N14" i="140"/>
  <c r="N12" i="140"/>
  <c r="N10" i="140"/>
  <c r="N8" i="140"/>
  <c r="N6" i="140"/>
  <c r="N4" i="140"/>
  <c r="M4" i="140"/>
  <c r="H23" i="140"/>
  <c r="I22" i="140"/>
  <c r="H22" i="140"/>
  <c r="H21" i="140"/>
  <c r="I20" i="140"/>
  <c r="H20" i="140"/>
  <c r="H19" i="140"/>
  <c r="I18" i="140"/>
  <c r="H18" i="140"/>
  <c r="I16" i="140"/>
  <c r="I14" i="140"/>
  <c r="I12" i="140"/>
  <c r="I10" i="140"/>
  <c r="I8" i="140"/>
  <c r="I6" i="140"/>
  <c r="I4" i="140"/>
  <c r="C23" i="140"/>
  <c r="D22" i="140"/>
  <c r="C22" i="140"/>
  <c r="C21" i="140"/>
  <c r="D20" i="140"/>
  <c r="C20" i="140"/>
  <c r="D18" i="140"/>
  <c r="D16" i="140"/>
  <c r="D14" i="140"/>
  <c r="D12" i="140"/>
  <c r="D10" i="140"/>
  <c r="D8" i="140"/>
  <c r="D6" i="140"/>
  <c r="D4" i="140"/>
  <c r="AB42" i="140"/>
  <c r="AA42" i="140"/>
  <c r="Z42" i="140"/>
  <c r="Y42" i="140"/>
  <c r="X42" i="140"/>
  <c r="W42" i="140"/>
  <c r="V42" i="140"/>
  <c r="U42" i="140"/>
  <c r="AB40" i="140"/>
  <c r="AA40" i="140"/>
  <c r="Z40" i="140"/>
  <c r="Y40" i="140"/>
  <c r="X40" i="140"/>
  <c r="W40" i="140"/>
  <c r="V40" i="140"/>
  <c r="U40" i="140"/>
  <c r="AB38" i="140"/>
  <c r="AA38" i="140"/>
  <c r="Z38" i="140"/>
  <c r="Y38" i="140"/>
  <c r="X38" i="140"/>
  <c r="W38" i="140"/>
  <c r="V38" i="140"/>
  <c r="U38" i="140"/>
  <c r="AB36" i="140"/>
  <c r="AA36" i="140"/>
  <c r="Z36" i="140"/>
  <c r="Y36" i="140"/>
  <c r="X36" i="140"/>
  <c r="W36" i="140"/>
  <c r="V36" i="140"/>
  <c r="U36" i="140"/>
  <c r="AB34" i="140"/>
  <c r="AA34" i="140"/>
  <c r="Z34" i="140"/>
  <c r="Y34" i="140"/>
  <c r="X34" i="140"/>
  <c r="W34" i="140"/>
  <c r="V34" i="140"/>
  <c r="U34" i="140"/>
  <c r="AB32" i="140"/>
  <c r="AA32" i="140"/>
  <c r="Z32" i="140"/>
  <c r="Y32" i="140"/>
  <c r="X32" i="140"/>
  <c r="W32" i="140"/>
  <c r="V32" i="140"/>
  <c r="U32" i="140"/>
  <c r="AB30" i="140"/>
  <c r="AA30" i="140"/>
  <c r="Z30" i="140"/>
  <c r="Y30" i="140"/>
  <c r="X30" i="140"/>
  <c r="W30" i="140"/>
  <c r="V30" i="140"/>
  <c r="U30" i="140"/>
  <c r="AB28" i="140"/>
  <c r="AA28" i="140"/>
  <c r="Z28" i="140"/>
  <c r="Y28" i="140"/>
  <c r="X28" i="140"/>
  <c r="W28" i="140"/>
  <c r="V28" i="140"/>
  <c r="U28" i="140"/>
  <c r="AB26" i="140"/>
  <c r="AA26" i="140"/>
  <c r="Z26" i="140"/>
  <c r="Y26" i="140"/>
  <c r="X26" i="140"/>
  <c r="W26" i="140"/>
  <c r="V26" i="140"/>
  <c r="U26" i="140"/>
  <c r="AB24" i="140"/>
  <c r="AA24" i="140"/>
  <c r="Z24" i="140"/>
  <c r="Y24" i="140"/>
  <c r="X24" i="140"/>
  <c r="W24" i="140"/>
  <c r="V24" i="140"/>
  <c r="U24" i="140"/>
  <c r="AB22" i="140"/>
  <c r="AA22" i="140"/>
  <c r="Z22" i="140"/>
  <c r="Y22" i="140"/>
  <c r="X22" i="140"/>
  <c r="W22" i="140"/>
  <c r="V22" i="140"/>
  <c r="U22" i="140"/>
  <c r="AB20" i="140"/>
  <c r="AA20" i="140"/>
  <c r="Z20" i="140"/>
  <c r="Y20" i="140"/>
  <c r="X20" i="140"/>
  <c r="W20" i="140"/>
  <c r="V20" i="140"/>
  <c r="U20" i="140"/>
  <c r="AB18" i="140"/>
  <c r="AA18" i="140"/>
  <c r="Z18" i="140"/>
  <c r="Y18" i="140"/>
  <c r="X18" i="140"/>
  <c r="W18" i="140"/>
  <c r="V18" i="140"/>
  <c r="U18" i="140"/>
  <c r="AB16" i="140"/>
  <c r="AA16" i="140"/>
  <c r="Z16" i="140"/>
  <c r="Y16" i="140"/>
  <c r="X16" i="140"/>
  <c r="W16" i="140"/>
  <c r="V16" i="140"/>
  <c r="U16" i="140"/>
  <c r="AB14" i="140"/>
  <c r="AA14" i="140"/>
  <c r="Z14" i="140"/>
  <c r="Y14" i="140"/>
  <c r="X14" i="140"/>
  <c r="W14" i="140"/>
  <c r="V14" i="140"/>
  <c r="U14" i="140"/>
  <c r="AB12" i="140"/>
  <c r="AA12" i="140"/>
  <c r="Z12" i="140"/>
  <c r="Y12" i="140"/>
  <c r="X12" i="140"/>
  <c r="W12" i="140"/>
  <c r="V12" i="140"/>
  <c r="U12" i="140"/>
  <c r="AB10" i="140"/>
  <c r="AA10" i="140"/>
  <c r="Z10" i="140"/>
  <c r="Y10" i="140"/>
  <c r="X10" i="140"/>
  <c r="W10" i="140"/>
  <c r="V10" i="140"/>
  <c r="U10" i="140"/>
  <c r="AB8" i="140"/>
  <c r="AA8" i="140"/>
  <c r="Z8" i="140"/>
  <c r="Y8" i="140"/>
  <c r="X8" i="140"/>
  <c r="W8" i="140"/>
  <c r="V8" i="140"/>
  <c r="U8" i="140"/>
  <c r="AB6" i="140"/>
  <c r="AA6" i="140"/>
  <c r="Z6" i="140"/>
  <c r="Y6" i="140"/>
  <c r="X6" i="140"/>
  <c r="W6" i="140"/>
  <c r="V6" i="140"/>
  <c r="U6" i="140"/>
  <c r="AB4" i="140"/>
  <c r="AA4" i="140"/>
  <c r="Z4" i="140"/>
  <c r="Y4" i="140"/>
  <c r="X4" i="140"/>
  <c r="W4" i="140"/>
  <c r="V4" i="140"/>
  <c r="U4" i="140"/>
  <c r="Y3" i="140"/>
  <c r="A1" i="140"/>
  <c r="AE17" i="141" l="1"/>
  <c r="AE59" i="141"/>
  <c r="AE73" i="141"/>
  <c r="AE57" i="141"/>
  <c r="AE53" i="141"/>
  <c r="AE55" i="141"/>
  <c r="AE79" i="141"/>
  <c r="AE75" i="141"/>
  <c r="AE13" i="141"/>
  <c r="AE19" i="141"/>
  <c r="AE37" i="141"/>
  <c r="AE35" i="141"/>
  <c r="AE57" i="142"/>
  <c r="AE75" i="142"/>
  <c r="AE59" i="142"/>
  <c r="AE17" i="142"/>
  <c r="AE53" i="142"/>
  <c r="AE55" i="142"/>
  <c r="AE13" i="142"/>
  <c r="AE37" i="142"/>
  <c r="AE79" i="142"/>
  <c r="AE19" i="142"/>
  <c r="AE33" i="142"/>
  <c r="AE35" i="142"/>
  <c r="AE21" i="137"/>
  <c r="AE71" i="142"/>
  <c r="AE15" i="142"/>
  <c r="AE31" i="142"/>
  <c r="AE39" i="142"/>
  <c r="AE41" i="141"/>
  <c r="AE81" i="142"/>
  <c r="AE81" i="141"/>
  <c r="M110" i="167"/>
  <c r="H5" i="167"/>
  <c r="G65" i="167"/>
  <c r="M35" i="167"/>
  <c r="L125" i="167"/>
  <c r="B95" i="167"/>
  <c r="G20" i="167"/>
  <c r="M110" i="166"/>
  <c r="H5" i="166"/>
  <c r="G65" i="166"/>
  <c r="M35" i="166"/>
  <c r="L125" i="166"/>
  <c r="B95" i="166"/>
  <c r="G20" i="166"/>
  <c r="C110" i="165"/>
  <c r="C125" i="165"/>
  <c r="M65" i="165"/>
  <c r="H20" i="165"/>
  <c r="L80" i="165"/>
  <c r="B50" i="165"/>
  <c r="B5" i="165"/>
  <c r="H125" i="164"/>
  <c r="M80" i="164"/>
  <c r="H65" i="164"/>
  <c r="H35" i="164"/>
  <c r="L95" i="164"/>
  <c r="B20" i="164"/>
  <c r="G50" i="164"/>
  <c r="M110" i="171"/>
  <c r="H5" i="171"/>
  <c r="M35" i="171"/>
  <c r="L125" i="171"/>
  <c r="B95" i="171"/>
  <c r="G65" i="171"/>
  <c r="G20" i="171"/>
  <c r="M110" i="170"/>
  <c r="H5" i="170"/>
  <c r="M35" i="170"/>
  <c r="L125" i="170"/>
  <c r="B95" i="170"/>
  <c r="G20" i="170"/>
  <c r="G65" i="170"/>
  <c r="M20" i="166"/>
  <c r="M95" i="166"/>
  <c r="C65" i="166"/>
  <c r="B125" i="166"/>
  <c r="G80" i="166"/>
  <c r="L35" i="166"/>
  <c r="L5" i="166"/>
  <c r="H125" i="166"/>
  <c r="M80" i="166"/>
  <c r="H65" i="166"/>
  <c r="H35" i="166"/>
  <c r="B20" i="166"/>
  <c r="L95" i="166"/>
  <c r="G50" i="166"/>
  <c r="C140" i="166"/>
  <c r="H95" i="166"/>
  <c r="C50" i="166"/>
  <c r="C20" i="166"/>
  <c r="L110" i="166"/>
  <c r="B65" i="166"/>
  <c r="B35" i="166"/>
  <c r="M110" i="165"/>
  <c r="H5" i="165"/>
  <c r="M35" i="165"/>
  <c r="G65" i="165"/>
  <c r="G20" i="165"/>
  <c r="L125" i="165"/>
  <c r="B95" i="165"/>
  <c r="M20" i="164"/>
  <c r="M95" i="164"/>
  <c r="C65" i="164"/>
  <c r="B125" i="164"/>
  <c r="G80" i="164"/>
  <c r="L35" i="164"/>
  <c r="L5" i="164"/>
  <c r="M110" i="169"/>
  <c r="H5" i="169"/>
  <c r="M35" i="169"/>
  <c r="L125" i="169"/>
  <c r="B95" i="169"/>
  <c r="G20" i="169"/>
  <c r="G65" i="169"/>
  <c r="M50" i="169"/>
  <c r="C95" i="169"/>
  <c r="M5" i="169"/>
  <c r="G110" i="169"/>
  <c r="L65" i="169"/>
  <c r="B140" i="169"/>
  <c r="G35" i="169"/>
  <c r="C140" i="168"/>
  <c r="H95" i="168"/>
  <c r="C50" i="168"/>
  <c r="C20" i="168"/>
  <c r="B65" i="168"/>
  <c r="B35" i="168"/>
  <c r="L110" i="168"/>
  <c r="C80" i="167"/>
  <c r="G125" i="167"/>
  <c r="B110" i="167"/>
  <c r="L50" i="167"/>
  <c r="G5" i="167"/>
  <c r="H80" i="167"/>
  <c r="C35" i="167"/>
  <c r="M50" i="167"/>
  <c r="B140" i="167"/>
  <c r="G35" i="167"/>
  <c r="C95" i="167"/>
  <c r="M5" i="167"/>
  <c r="G110" i="167"/>
  <c r="L65" i="167"/>
  <c r="M50" i="166"/>
  <c r="G35" i="166"/>
  <c r="B140" i="166"/>
  <c r="C95" i="166"/>
  <c r="M5" i="166"/>
  <c r="G110" i="166"/>
  <c r="L65" i="166"/>
  <c r="M50" i="165"/>
  <c r="C95" i="165"/>
  <c r="M5" i="165"/>
  <c r="B140" i="165"/>
  <c r="G35" i="165"/>
  <c r="G110" i="165"/>
  <c r="L65" i="165"/>
  <c r="M110" i="164"/>
  <c r="H5" i="164"/>
  <c r="M35" i="164"/>
  <c r="G65" i="164"/>
  <c r="G20" i="164"/>
  <c r="L125" i="164"/>
  <c r="B95" i="164"/>
  <c r="C140" i="164"/>
  <c r="H95" i="164"/>
  <c r="C50" i="164"/>
  <c r="C20" i="164"/>
  <c r="B65" i="164"/>
  <c r="L110" i="164"/>
  <c r="B35" i="164"/>
  <c r="M125" i="171"/>
  <c r="H110" i="171"/>
  <c r="H50" i="171"/>
  <c r="C5" i="171"/>
  <c r="L20" i="171"/>
  <c r="G95" i="171"/>
  <c r="B80" i="171"/>
  <c r="M125" i="170"/>
  <c r="H110" i="170"/>
  <c r="H50" i="170"/>
  <c r="C5" i="170"/>
  <c r="B80" i="170"/>
  <c r="L20" i="170"/>
  <c r="G95" i="170"/>
  <c r="M50" i="170"/>
  <c r="C95" i="170"/>
  <c r="M5" i="170"/>
  <c r="G110" i="170"/>
  <c r="L65" i="170"/>
  <c r="G35" i="170"/>
  <c r="B140" i="170"/>
  <c r="M110" i="168"/>
  <c r="H5" i="168"/>
  <c r="M35" i="168"/>
  <c r="L125" i="168"/>
  <c r="B95" i="168"/>
  <c r="G20" i="168"/>
  <c r="G65" i="168"/>
  <c r="C110" i="167"/>
  <c r="L80" i="167"/>
  <c r="B50" i="167"/>
  <c r="C125" i="167"/>
  <c r="M65" i="167"/>
  <c r="H20" i="167"/>
  <c r="B5" i="167"/>
  <c r="G95" i="167"/>
  <c r="B80" i="167"/>
  <c r="L20" i="167"/>
  <c r="M125" i="167"/>
  <c r="H110" i="167"/>
  <c r="H50" i="167"/>
  <c r="C5" i="167"/>
  <c r="M125" i="166"/>
  <c r="G95" i="166"/>
  <c r="B80" i="166"/>
  <c r="L20" i="166"/>
  <c r="H110" i="166"/>
  <c r="H50" i="166"/>
  <c r="C5" i="166"/>
  <c r="C80" i="165"/>
  <c r="H80" i="165"/>
  <c r="C35" i="165"/>
  <c r="G125" i="165"/>
  <c r="B110" i="165"/>
  <c r="G5" i="165"/>
  <c r="L50" i="165"/>
  <c r="M125" i="165"/>
  <c r="H110" i="165"/>
  <c r="H50" i="165"/>
  <c r="C5" i="165"/>
  <c r="L20" i="165"/>
  <c r="G95" i="165"/>
  <c r="B80" i="165"/>
  <c r="M125" i="169"/>
  <c r="H110" i="169"/>
  <c r="H50" i="169"/>
  <c r="C5" i="169"/>
  <c r="L20" i="169"/>
  <c r="G95" i="169"/>
  <c r="B80" i="169"/>
  <c r="C20" i="141"/>
  <c r="C17" i="141"/>
  <c r="C18" i="141"/>
  <c r="C16" i="141"/>
  <c r="AE15" i="141"/>
  <c r="AE7" i="141"/>
  <c r="C22" i="141"/>
  <c r="C46" i="141"/>
  <c r="AE77" i="141"/>
  <c r="C6" i="141"/>
  <c r="AE9" i="141"/>
  <c r="C11" i="141"/>
  <c r="B20" i="171" s="1"/>
  <c r="AE11" i="141"/>
  <c r="C21" i="141"/>
  <c r="C45" i="141"/>
  <c r="AE49" i="141"/>
  <c r="C51" i="141"/>
  <c r="AE51" i="141"/>
  <c r="H56" i="141"/>
  <c r="C66" i="141"/>
  <c r="C75" i="141"/>
  <c r="C76" i="141"/>
  <c r="C77" i="141"/>
  <c r="C82" i="141"/>
  <c r="C26" i="141"/>
  <c r="AE5" i="141"/>
  <c r="C7" i="141"/>
  <c r="C9" i="141"/>
  <c r="C14" i="141"/>
  <c r="AE21" i="141"/>
  <c r="C25" i="141"/>
  <c r="AE29" i="141"/>
  <c r="C31" i="141"/>
  <c r="AE31" i="141"/>
  <c r="C34" i="141"/>
  <c r="C39" i="141"/>
  <c r="AE39" i="141"/>
  <c r="AE45" i="141"/>
  <c r="C47" i="141"/>
  <c r="C49" i="141"/>
  <c r="C54" i="141"/>
  <c r="C65" i="141"/>
  <c r="AE69" i="141"/>
  <c r="C71" i="141"/>
  <c r="AE71" i="141"/>
  <c r="C81" i="141"/>
  <c r="C5" i="141"/>
  <c r="H16" i="141"/>
  <c r="C19" i="141"/>
  <c r="C20" i="171" s="1"/>
  <c r="C27" i="141"/>
  <c r="C29" i="141"/>
  <c r="C59" i="141"/>
  <c r="C67" i="141"/>
  <c r="C69" i="141"/>
  <c r="C62" i="142"/>
  <c r="AE77" i="142"/>
  <c r="C22" i="142"/>
  <c r="C5" i="142"/>
  <c r="AE9" i="142"/>
  <c r="C11" i="142"/>
  <c r="AE11" i="142"/>
  <c r="H16" i="142"/>
  <c r="C21" i="142"/>
  <c r="AE27" i="142"/>
  <c r="AE41" i="142"/>
  <c r="C45" i="142"/>
  <c r="AE49" i="142"/>
  <c r="C51" i="142"/>
  <c r="AE51" i="142"/>
  <c r="H56" i="142"/>
  <c r="C61" i="142"/>
  <c r="AE67" i="142"/>
  <c r="AE73" i="142"/>
  <c r="C75" i="142"/>
  <c r="C77" i="142"/>
  <c r="C82" i="142"/>
  <c r="AE29" i="142"/>
  <c r="AE45" i="142"/>
  <c r="AE61" i="142"/>
  <c r="AE69" i="142"/>
  <c r="AE5" i="142"/>
  <c r="AE21" i="142"/>
  <c r="C19" i="142"/>
  <c r="C27" i="142"/>
  <c r="C29" i="142"/>
  <c r="C59" i="142"/>
  <c r="C67" i="142"/>
  <c r="C69" i="142"/>
  <c r="C22" i="137"/>
  <c r="AH29" i="141" l="1"/>
  <c r="AH33" i="141"/>
  <c r="AH35" i="141"/>
  <c r="AH31" i="141"/>
  <c r="AH27" i="141"/>
  <c r="AH77" i="141"/>
  <c r="AH75" i="141"/>
  <c r="AH67" i="141"/>
  <c r="AH73" i="141"/>
  <c r="AH65" i="141"/>
  <c r="AH71" i="141"/>
  <c r="AH33" i="142"/>
  <c r="AH29" i="142"/>
  <c r="AH31" i="142"/>
  <c r="AH37" i="142"/>
  <c r="AH47" i="142"/>
  <c r="AH35" i="142"/>
  <c r="AH67" i="142"/>
  <c r="AH27" i="142"/>
  <c r="AH61" i="142"/>
  <c r="AH81" i="142"/>
  <c r="C140" i="165"/>
  <c r="H95" i="165"/>
  <c r="C50" i="165"/>
  <c r="C20" i="165"/>
  <c r="B65" i="165"/>
  <c r="L110" i="165"/>
  <c r="B35" i="165"/>
  <c r="H125" i="167"/>
  <c r="M80" i="167"/>
  <c r="H65" i="167"/>
  <c r="H35" i="167"/>
  <c r="B20" i="167"/>
  <c r="L95" i="167"/>
  <c r="G50" i="167"/>
  <c r="C80" i="168"/>
  <c r="H80" i="168"/>
  <c r="C35" i="168"/>
  <c r="G125" i="168"/>
  <c r="G5" i="168"/>
  <c r="B110" i="168"/>
  <c r="L50" i="168"/>
  <c r="C110" i="170"/>
  <c r="C125" i="170"/>
  <c r="M65" i="170"/>
  <c r="H20" i="170"/>
  <c r="B5" i="170"/>
  <c r="L80" i="170"/>
  <c r="B50" i="170"/>
  <c r="M20" i="168"/>
  <c r="M95" i="168"/>
  <c r="C65" i="168"/>
  <c r="B125" i="168"/>
  <c r="G80" i="168"/>
  <c r="L35" i="168"/>
  <c r="L5" i="168"/>
  <c r="C80" i="169"/>
  <c r="H80" i="169"/>
  <c r="C35" i="169"/>
  <c r="B110" i="169"/>
  <c r="L50" i="169"/>
  <c r="G125" i="169"/>
  <c r="G5" i="169"/>
  <c r="C140" i="170"/>
  <c r="H95" i="170"/>
  <c r="C50" i="170"/>
  <c r="C20" i="170"/>
  <c r="B65" i="170"/>
  <c r="B35" i="170"/>
  <c r="L110" i="170"/>
  <c r="C80" i="171"/>
  <c r="H80" i="171"/>
  <c r="C35" i="171"/>
  <c r="B110" i="171"/>
  <c r="G5" i="171"/>
  <c r="L50" i="171"/>
  <c r="G125" i="171"/>
  <c r="M50" i="171"/>
  <c r="C95" i="171"/>
  <c r="M5" i="171"/>
  <c r="G110" i="171"/>
  <c r="L65" i="171"/>
  <c r="B140" i="171"/>
  <c r="G35" i="171"/>
  <c r="M125" i="164"/>
  <c r="H110" i="164"/>
  <c r="H50" i="164"/>
  <c r="C5" i="164"/>
  <c r="L20" i="164"/>
  <c r="G95" i="164"/>
  <c r="B80" i="164"/>
  <c r="C80" i="166"/>
  <c r="G125" i="166"/>
  <c r="B110" i="166"/>
  <c r="L50" i="166"/>
  <c r="G5" i="166"/>
  <c r="H80" i="166"/>
  <c r="C35" i="166"/>
  <c r="H125" i="165"/>
  <c r="M80" i="165"/>
  <c r="H65" i="165"/>
  <c r="H35" i="165"/>
  <c r="L95" i="165"/>
  <c r="B20" i="165"/>
  <c r="G50" i="165"/>
  <c r="C110" i="168"/>
  <c r="C125" i="168"/>
  <c r="M65" i="168"/>
  <c r="H20" i="168"/>
  <c r="B5" i="168"/>
  <c r="L80" i="168"/>
  <c r="B50" i="168"/>
  <c r="C140" i="171"/>
  <c r="H95" i="171"/>
  <c r="C50" i="171"/>
  <c r="B65" i="171"/>
  <c r="B35" i="171"/>
  <c r="L110" i="171"/>
  <c r="C110" i="169"/>
  <c r="C125" i="169"/>
  <c r="M65" i="169"/>
  <c r="H20" i="169"/>
  <c r="B5" i="169"/>
  <c r="L80" i="169"/>
  <c r="B50" i="169"/>
  <c r="M20" i="170"/>
  <c r="M95" i="170"/>
  <c r="C65" i="170"/>
  <c r="B125" i="170"/>
  <c r="G80" i="170"/>
  <c r="L35" i="170"/>
  <c r="L5" i="170"/>
  <c r="C110" i="171"/>
  <c r="C125" i="171"/>
  <c r="M65" i="171"/>
  <c r="H20" i="171"/>
  <c r="B5" i="171"/>
  <c r="L80" i="171"/>
  <c r="B50" i="171"/>
  <c r="M50" i="168"/>
  <c r="B140" i="168"/>
  <c r="C95" i="168"/>
  <c r="M5" i="168"/>
  <c r="G110" i="168"/>
  <c r="L65" i="168"/>
  <c r="G35" i="168"/>
  <c r="H125" i="171"/>
  <c r="M80" i="171"/>
  <c r="H65" i="171"/>
  <c r="H35" i="171"/>
  <c r="L95" i="171"/>
  <c r="G50" i="171"/>
  <c r="C80" i="164"/>
  <c r="H80" i="164"/>
  <c r="C35" i="164"/>
  <c r="G125" i="164"/>
  <c r="B110" i="164"/>
  <c r="G5" i="164"/>
  <c r="L50" i="164"/>
  <c r="C110" i="166"/>
  <c r="L80" i="166"/>
  <c r="B50" i="166"/>
  <c r="C125" i="166"/>
  <c r="M65" i="166"/>
  <c r="H20" i="166"/>
  <c r="B5" i="166"/>
  <c r="M50" i="164"/>
  <c r="C95" i="164"/>
  <c r="M5" i="164"/>
  <c r="B140" i="164"/>
  <c r="G35" i="164"/>
  <c r="G110" i="164"/>
  <c r="L65" i="164"/>
  <c r="M20" i="167"/>
  <c r="M95" i="167"/>
  <c r="C65" i="167"/>
  <c r="B125" i="167"/>
  <c r="G80" i="167"/>
  <c r="L35" i="167"/>
  <c r="L5" i="167"/>
  <c r="C140" i="169"/>
  <c r="H95" i="169"/>
  <c r="C50" i="169"/>
  <c r="C20" i="169"/>
  <c r="B65" i="169"/>
  <c r="B35" i="169"/>
  <c r="L110" i="169"/>
  <c r="H125" i="168"/>
  <c r="M80" i="168"/>
  <c r="H65" i="168"/>
  <c r="H35" i="168"/>
  <c r="L95" i="168"/>
  <c r="G50" i="168"/>
  <c r="B20" i="168"/>
  <c r="M20" i="169"/>
  <c r="M95" i="169"/>
  <c r="C65" i="169"/>
  <c r="B125" i="169"/>
  <c r="G80" i="169"/>
  <c r="L35" i="169"/>
  <c r="L5" i="169"/>
  <c r="C110" i="164"/>
  <c r="C125" i="164"/>
  <c r="M65" i="164"/>
  <c r="H20" i="164"/>
  <c r="L80" i="164"/>
  <c r="B50" i="164"/>
  <c r="B5" i="164"/>
  <c r="C140" i="167"/>
  <c r="H95" i="167"/>
  <c r="C50" i="167"/>
  <c r="C20" i="167"/>
  <c r="L110" i="167"/>
  <c r="B65" i="167"/>
  <c r="B35" i="167"/>
  <c r="M20" i="165"/>
  <c r="M95" i="165"/>
  <c r="C65" i="165"/>
  <c r="B125" i="165"/>
  <c r="G80" i="165"/>
  <c r="L35" i="165"/>
  <c r="L5" i="165"/>
  <c r="C80" i="170"/>
  <c r="H80" i="170"/>
  <c r="C35" i="170"/>
  <c r="G125" i="170"/>
  <c r="G5" i="170"/>
  <c r="B110" i="170"/>
  <c r="L50" i="170"/>
  <c r="M20" i="171"/>
  <c r="M95" i="171"/>
  <c r="C65" i="171"/>
  <c r="B125" i="171"/>
  <c r="G80" i="171"/>
  <c r="L35" i="171"/>
  <c r="L5" i="171"/>
  <c r="H125" i="170"/>
  <c r="M80" i="170"/>
  <c r="H65" i="170"/>
  <c r="H35" i="170"/>
  <c r="L95" i="170"/>
  <c r="G50" i="170"/>
  <c r="B20" i="170"/>
  <c r="M125" i="168"/>
  <c r="H110" i="168"/>
  <c r="H50" i="168"/>
  <c r="C5" i="168"/>
  <c r="B80" i="168"/>
  <c r="L20" i="168"/>
  <c r="G95" i="168"/>
  <c r="H125" i="169"/>
  <c r="M80" i="169"/>
  <c r="H65" i="169"/>
  <c r="H35" i="169"/>
  <c r="L95" i="169"/>
  <c r="G50" i="169"/>
  <c r="B20" i="169"/>
  <c r="AH7" i="141"/>
  <c r="AH21" i="142"/>
  <c r="AH5" i="141"/>
  <c r="AH21" i="141"/>
  <c r="AH13" i="141"/>
  <c r="AH19" i="141"/>
  <c r="AH11" i="141"/>
  <c r="AH17" i="141"/>
  <c r="AH15" i="141"/>
  <c r="AH9" i="141"/>
  <c r="AH81" i="141"/>
  <c r="AH41" i="141"/>
  <c r="AH25" i="142"/>
  <c r="AH11" i="142"/>
  <c r="AH5" i="142"/>
  <c r="AH77" i="142"/>
  <c r="AH73" i="142"/>
  <c r="AH41" i="142"/>
  <c r="AH13" i="142"/>
  <c r="AH71" i="142"/>
  <c r="AH39" i="142"/>
  <c r="AH7" i="142"/>
  <c r="AH51" i="142"/>
  <c r="AH75" i="142"/>
  <c r="AH79" i="142"/>
  <c r="AH69" i="142"/>
  <c r="AH49" i="142"/>
  <c r="AH57" i="142"/>
  <c r="AH65" i="142"/>
  <c r="AH55" i="142"/>
  <c r="AH19" i="142"/>
  <c r="AH53" i="142"/>
  <c r="AH9" i="142"/>
  <c r="AH45" i="142"/>
  <c r="AH59" i="142"/>
  <c r="F28" i="52" l="1"/>
  <c r="C73" i="140" s="1"/>
  <c r="E28" i="52"/>
  <c r="D28" i="52"/>
  <c r="F64" i="52"/>
  <c r="E64" i="52"/>
  <c r="D64" i="52"/>
  <c r="E12" i="52"/>
  <c r="D12" i="52"/>
  <c r="F97" i="52"/>
  <c r="E97" i="52"/>
  <c r="D97" i="52"/>
  <c r="F77" i="52"/>
  <c r="E77" i="52"/>
  <c r="D77" i="52"/>
  <c r="F106" i="52"/>
  <c r="E106" i="52"/>
  <c r="D106" i="52"/>
  <c r="F44" i="52"/>
  <c r="E44" i="52"/>
  <c r="D44" i="52"/>
  <c r="F62" i="52"/>
  <c r="E62" i="52"/>
  <c r="D62" i="52"/>
  <c r="F55" i="52"/>
  <c r="M75" i="140" s="1"/>
  <c r="E55" i="52"/>
  <c r="D55" i="52"/>
  <c r="E45" i="52"/>
  <c r="F81" i="52"/>
  <c r="E81" i="52"/>
  <c r="D81" i="52"/>
  <c r="F84" i="52"/>
  <c r="E84" i="52"/>
  <c r="D84" i="52"/>
  <c r="F112" i="52"/>
  <c r="H39" i="140" s="1"/>
  <c r="E112" i="52"/>
  <c r="D112" i="52"/>
  <c r="F72" i="52"/>
  <c r="E72" i="52"/>
  <c r="D72" i="52"/>
  <c r="F66" i="52"/>
  <c r="E66" i="52"/>
  <c r="D66" i="52"/>
  <c r="F67" i="52"/>
  <c r="E67" i="52"/>
  <c r="D67" i="52"/>
  <c r="F88" i="52"/>
  <c r="M79" i="140" s="1"/>
  <c r="E88" i="52"/>
  <c r="D88" i="52"/>
  <c r="F25" i="52"/>
  <c r="E25" i="52"/>
  <c r="D25" i="52"/>
  <c r="F83" i="52"/>
  <c r="E83" i="52"/>
  <c r="D83" i="52"/>
  <c r="F110" i="52"/>
  <c r="E110" i="52"/>
  <c r="D110" i="52"/>
  <c r="F105" i="52"/>
  <c r="M15" i="140" s="1"/>
  <c r="E105" i="52"/>
  <c r="D105" i="52"/>
  <c r="F73" i="52"/>
  <c r="E73" i="52"/>
  <c r="D73" i="52"/>
  <c r="F68" i="52"/>
  <c r="E68" i="52"/>
  <c r="D68" i="52"/>
  <c r="F70" i="52"/>
  <c r="E70" i="52"/>
  <c r="D70" i="52"/>
  <c r="F27" i="52"/>
  <c r="E27" i="52"/>
  <c r="D27" i="52"/>
  <c r="F17" i="52"/>
  <c r="C49" i="140" s="1"/>
  <c r="E17" i="52"/>
  <c r="D17" i="52"/>
  <c r="F10" i="52"/>
  <c r="E10" i="52"/>
  <c r="D10" i="52"/>
  <c r="F40" i="52"/>
  <c r="M37" i="140" s="1"/>
  <c r="E40" i="52"/>
  <c r="D40" i="52"/>
  <c r="F93" i="52"/>
  <c r="E93" i="52"/>
  <c r="D93" i="52"/>
  <c r="F14" i="52"/>
  <c r="E14" i="52"/>
  <c r="D14" i="52"/>
  <c r="F101" i="52"/>
  <c r="E101" i="52"/>
  <c r="D101" i="52"/>
  <c r="F90" i="52"/>
  <c r="E90" i="52"/>
  <c r="D90" i="52"/>
  <c r="F103" i="52"/>
  <c r="C37" i="140" s="1"/>
  <c r="E103" i="52"/>
  <c r="D103" i="52"/>
  <c r="E9" i="52"/>
  <c r="F86" i="52"/>
  <c r="E86" i="52"/>
  <c r="D86" i="52"/>
  <c r="F24" i="52"/>
  <c r="D24" i="52"/>
  <c r="E61" i="52"/>
  <c r="F51" i="52"/>
  <c r="E51" i="52"/>
  <c r="D51" i="52"/>
  <c r="F36" i="52"/>
  <c r="E36" i="52"/>
  <c r="D36" i="52"/>
  <c r="F26" i="52"/>
  <c r="E26" i="52"/>
  <c r="D26" i="52"/>
  <c r="F52" i="52"/>
  <c r="E52" i="52"/>
  <c r="D52" i="52"/>
  <c r="F60" i="52"/>
  <c r="E60" i="52"/>
  <c r="D60" i="52"/>
  <c r="F82" i="52"/>
  <c r="E82" i="52"/>
  <c r="D82" i="52"/>
  <c r="F21" i="52"/>
  <c r="E21" i="52"/>
  <c r="D21" i="52"/>
  <c r="F37" i="52"/>
  <c r="E37" i="52"/>
  <c r="D37" i="52"/>
  <c r="F58" i="52"/>
  <c r="E58" i="52"/>
  <c r="D58" i="52"/>
  <c r="F46" i="52"/>
  <c r="R9" i="140" s="1"/>
  <c r="E46" i="52"/>
  <c r="D46" i="52"/>
  <c r="F41" i="52"/>
  <c r="C9" i="140" s="1"/>
  <c r="E41" i="52"/>
  <c r="D41" i="52"/>
  <c r="F69" i="52"/>
  <c r="M11" i="140" s="1"/>
  <c r="E69" i="52"/>
  <c r="D69" i="52"/>
  <c r="F15" i="52"/>
  <c r="E15" i="52"/>
  <c r="D15" i="52"/>
  <c r="F13" i="52"/>
  <c r="E13" i="52"/>
  <c r="D13" i="52"/>
  <c r="F16" i="52"/>
  <c r="E16" i="52"/>
  <c r="F53" i="52"/>
  <c r="E53" i="52"/>
  <c r="D53" i="52"/>
  <c r="C17" i="140"/>
  <c r="E18" i="52"/>
  <c r="F54" i="52"/>
  <c r="E54" i="52"/>
  <c r="D54" i="52"/>
  <c r="F22" i="52"/>
  <c r="E22" i="52"/>
  <c r="F11" i="52"/>
  <c r="R59" i="140" s="1"/>
  <c r="E11" i="52"/>
  <c r="D11" i="52"/>
  <c r="F30" i="52"/>
  <c r="E30" i="52"/>
  <c r="D30" i="52"/>
  <c r="F47" i="52"/>
  <c r="E47" i="52"/>
  <c r="D47" i="52"/>
  <c r="F96" i="52"/>
  <c r="C81" i="140" s="1"/>
  <c r="E96" i="52"/>
  <c r="D96" i="52"/>
  <c r="F78" i="52"/>
  <c r="R13" i="140" s="1"/>
  <c r="E78" i="52"/>
  <c r="D78" i="52"/>
  <c r="F48" i="52"/>
  <c r="H31" i="140" s="1"/>
  <c r="E48" i="52"/>
  <c r="D48" i="52"/>
  <c r="F23" i="52"/>
  <c r="E23" i="52"/>
  <c r="D23" i="52"/>
  <c r="F42" i="52"/>
  <c r="E42" i="52"/>
  <c r="D42" i="52"/>
  <c r="F91" i="52"/>
  <c r="E91" i="52"/>
  <c r="D91" i="52"/>
  <c r="F85" i="52"/>
  <c r="M57" i="140" s="1"/>
  <c r="E85" i="52"/>
  <c r="D85" i="52"/>
  <c r="F63" i="52"/>
  <c r="E63" i="52"/>
  <c r="D63" i="52"/>
  <c r="F98" i="52"/>
  <c r="E98" i="52"/>
  <c r="D98" i="52"/>
  <c r="F50" i="52"/>
  <c r="E50" i="52"/>
  <c r="D50" i="52"/>
  <c r="F92" i="52"/>
  <c r="C29" i="140" s="1"/>
  <c r="E92" i="52"/>
  <c r="D92" i="52"/>
  <c r="F34" i="52"/>
  <c r="E34" i="52"/>
  <c r="D34" i="52"/>
  <c r="F99" i="52"/>
  <c r="E99" i="52"/>
  <c r="D99" i="52"/>
  <c r="F32" i="52"/>
  <c r="E32" i="52"/>
  <c r="D32" i="52"/>
  <c r="F104" i="52"/>
  <c r="C7" i="140" s="1"/>
  <c r="E104" i="52"/>
  <c r="D104" i="52"/>
  <c r="F75" i="52"/>
  <c r="E75" i="52"/>
  <c r="D75" i="52"/>
  <c r="C19" i="140" l="1"/>
  <c r="M13" i="140"/>
  <c r="C15" i="140"/>
  <c r="H81" i="140"/>
  <c r="R55" i="140"/>
  <c r="H75" i="140"/>
  <c r="H79" i="140"/>
  <c r="H53" i="140"/>
  <c r="R11" i="140"/>
  <c r="C13" i="140"/>
  <c r="H57" i="140"/>
  <c r="C11" i="140"/>
  <c r="C6" i="142"/>
  <c r="C5" i="140"/>
  <c r="C18" i="135"/>
  <c r="C39" i="140"/>
  <c r="R57" i="140"/>
  <c r="C18" i="137"/>
  <c r="C83" i="140"/>
  <c r="R7" i="140"/>
  <c r="C34" i="142"/>
  <c r="R75" i="140"/>
  <c r="H35" i="140"/>
  <c r="H77" i="140"/>
  <c r="R37" i="140"/>
  <c r="M33" i="140"/>
  <c r="C57" i="140"/>
  <c r="H55" i="140"/>
  <c r="C55" i="140"/>
  <c r="M35" i="140"/>
  <c r="H15" i="140"/>
  <c r="M61" i="140"/>
  <c r="M55" i="140"/>
  <c r="R35" i="140"/>
  <c r="M51" i="140"/>
  <c r="C79" i="140"/>
  <c r="H17" i="140"/>
  <c r="C33" i="140"/>
  <c r="R33" i="140"/>
  <c r="H9" i="140"/>
  <c r="C50" i="142"/>
  <c r="M49" i="140"/>
  <c r="M71" i="140"/>
  <c r="R61" i="140"/>
  <c r="C54" i="142"/>
  <c r="M31" i="140"/>
  <c r="R81" i="140"/>
  <c r="M39" i="140"/>
  <c r="M81" i="140"/>
  <c r="M9" i="140"/>
  <c r="M59" i="140"/>
  <c r="R77" i="140"/>
  <c r="M83" i="140"/>
  <c r="C20" i="142"/>
  <c r="H33" i="140"/>
  <c r="R49" i="140"/>
  <c r="C70" i="142"/>
  <c r="H11" i="140"/>
  <c r="M77" i="140"/>
  <c r="C35" i="140"/>
  <c r="C59" i="140"/>
  <c r="H37" i="140"/>
  <c r="M5" i="140"/>
  <c r="C46" i="142"/>
  <c r="C78" i="142"/>
  <c r="M53" i="140"/>
  <c r="C28" i="142"/>
  <c r="M27" i="140"/>
  <c r="C53" i="140"/>
  <c r="C38" i="142"/>
  <c r="H5" i="140"/>
  <c r="C26" i="142"/>
  <c r="C75" i="140"/>
  <c r="C40" i="142"/>
  <c r="H51" i="140"/>
  <c r="C58" i="142"/>
  <c r="R79" i="140"/>
  <c r="C51" i="140"/>
  <c r="C10" i="142"/>
  <c r="R51" i="140"/>
  <c r="C18" i="142"/>
  <c r="C30" i="142"/>
  <c r="H49" i="140"/>
  <c r="C27" i="140"/>
  <c r="C68" i="142"/>
  <c r="M29" i="140"/>
  <c r="C56" i="142"/>
  <c r="M7" i="140"/>
  <c r="C14" i="142"/>
  <c r="R5" i="140"/>
  <c r="C66" i="142"/>
  <c r="C31" i="140"/>
  <c r="C16" i="142"/>
  <c r="R27" i="140"/>
  <c r="C76" i="142"/>
  <c r="C52" i="142"/>
  <c r="C71" i="140"/>
  <c r="C80" i="142"/>
  <c r="R73" i="140"/>
  <c r="C72" i="142"/>
  <c r="M73" i="140"/>
  <c r="R31" i="140"/>
  <c r="C62" i="141"/>
  <c r="H59" i="140"/>
  <c r="H7" i="140"/>
  <c r="C74" i="142"/>
  <c r="H71" i="140"/>
  <c r="C60" i="142"/>
  <c r="H29" i="140"/>
  <c r="C36" i="142"/>
  <c r="R53" i="140"/>
  <c r="R15" i="140"/>
  <c r="C48" i="142"/>
  <c r="H27" i="140"/>
  <c r="C12" i="142"/>
  <c r="R71" i="140"/>
  <c r="C32" i="142"/>
  <c r="H73" i="140"/>
  <c r="Q5" i="139"/>
  <c r="Q6" i="139"/>
  <c r="Q7" i="139"/>
  <c r="Q8" i="139"/>
  <c r="Q9" i="139"/>
  <c r="Q10" i="139"/>
  <c r="Q11" i="139"/>
  <c r="Q12" i="139"/>
  <c r="Q13" i="139"/>
  <c r="Q14" i="139"/>
  <c r="Q15" i="139"/>
  <c r="Q16" i="139"/>
  <c r="Q17" i="139"/>
  <c r="Q18" i="139"/>
  <c r="Q19" i="139"/>
  <c r="Q20" i="139"/>
  <c r="Q21" i="139"/>
  <c r="Q22" i="139"/>
  <c r="Q23" i="139"/>
  <c r="Q24" i="139"/>
  <c r="Q25" i="139"/>
  <c r="Q26" i="139"/>
  <c r="Q27" i="139"/>
  <c r="Q28" i="139"/>
  <c r="Q29" i="139"/>
  <c r="Q30" i="139"/>
  <c r="Q31" i="139"/>
  <c r="Q32" i="139"/>
  <c r="Q33" i="139"/>
  <c r="Q34" i="139"/>
  <c r="Q35" i="139"/>
  <c r="Q36" i="139"/>
  <c r="Q37" i="139"/>
  <c r="Q38" i="139"/>
  <c r="Q39" i="139"/>
  <c r="Q40" i="139"/>
  <c r="Q41" i="139"/>
  <c r="Q42" i="139"/>
  <c r="Q43" i="139"/>
  <c r="Q44" i="139"/>
  <c r="Q45" i="139"/>
  <c r="Q46" i="139"/>
  <c r="Q47" i="139"/>
  <c r="Q48" i="139"/>
  <c r="Q49" i="139"/>
  <c r="Q50" i="139"/>
  <c r="Q51" i="139"/>
  <c r="Q52" i="139"/>
  <c r="Q53" i="139"/>
  <c r="Q54" i="139"/>
  <c r="Q55" i="139"/>
  <c r="Q56" i="139"/>
  <c r="Q57" i="139"/>
  <c r="Q58" i="139"/>
  <c r="Q59" i="139"/>
  <c r="Q60" i="139"/>
  <c r="Q61" i="139"/>
  <c r="Q62" i="139"/>
  <c r="Q63" i="139"/>
  <c r="Q64" i="139"/>
  <c r="Q65" i="139"/>
  <c r="Q66" i="139"/>
  <c r="Q67" i="139"/>
  <c r="Q68" i="139"/>
  <c r="Q69" i="139"/>
  <c r="Q70" i="139"/>
  <c r="Q71" i="139"/>
  <c r="Q72" i="139"/>
  <c r="Q73" i="139"/>
  <c r="Q74" i="139"/>
  <c r="Q75" i="139"/>
  <c r="Q76" i="139"/>
  <c r="Q77" i="139"/>
  <c r="Q78" i="139"/>
  <c r="Q79" i="139"/>
  <c r="Q80" i="139"/>
  <c r="Q81" i="139"/>
  <c r="Q82" i="139"/>
  <c r="Q83" i="139"/>
  <c r="Q84" i="139"/>
  <c r="Q85" i="139"/>
  <c r="Q86" i="139"/>
  <c r="Q87" i="139"/>
  <c r="Q88" i="139"/>
  <c r="Q89" i="139"/>
  <c r="Q90" i="139"/>
  <c r="Q91" i="139"/>
  <c r="Q92" i="139"/>
  <c r="Q93" i="139"/>
  <c r="Q94" i="139"/>
  <c r="Q95" i="139"/>
  <c r="Q96" i="139"/>
  <c r="Q97" i="139"/>
  <c r="O5" i="139"/>
  <c r="O6" i="139"/>
  <c r="O7" i="139"/>
  <c r="O8" i="139"/>
  <c r="O9" i="139"/>
  <c r="O10" i="139"/>
  <c r="O11" i="139"/>
  <c r="O12" i="139"/>
  <c r="O13" i="139"/>
  <c r="O14" i="139"/>
  <c r="O15" i="139"/>
  <c r="O16" i="139"/>
  <c r="O17" i="139"/>
  <c r="O18" i="139"/>
  <c r="O19" i="139"/>
  <c r="O20" i="139"/>
  <c r="O21" i="139"/>
  <c r="O22" i="139"/>
  <c r="O23" i="139"/>
  <c r="O24" i="139"/>
  <c r="O25" i="139"/>
  <c r="O26" i="139"/>
  <c r="O27" i="139"/>
  <c r="O28" i="139"/>
  <c r="O29" i="139"/>
  <c r="O30" i="139"/>
  <c r="O31" i="139"/>
  <c r="O32" i="139"/>
  <c r="O33" i="139"/>
  <c r="O34" i="139"/>
  <c r="O35" i="139"/>
  <c r="O36" i="139"/>
  <c r="O37" i="139"/>
  <c r="O38" i="139"/>
  <c r="O39" i="139"/>
  <c r="O40" i="139"/>
  <c r="O41" i="139"/>
  <c r="O42" i="139"/>
  <c r="O43" i="139"/>
  <c r="O44" i="139"/>
  <c r="O45" i="139"/>
  <c r="O46" i="139"/>
  <c r="O47" i="139"/>
  <c r="O48" i="139"/>
  <c r="O49" i="139"/>
  <c r="O50" i="139"/>
  <c r="O51" i="139"/>
  <c r="O52" i="139"/>
  <c r="O53" i="139"/>
  <c r="O54" i="139"/>
  <c r="O55" i="139"/>
  <c r="O56" i="139"/>
  <c r="O57" i="139"/>
  <c r="O58" i="139"/>
  <c r="O59" i="139"/>
  <c r="O60" i="139"/>
  <c r="O61" i="139"/>
  <c r="O62" i="139"/>
  <c r="O63" i="139"/>
  <c r="O64" i="139"/>
  <c r="O65" i="139"/>
  <c r="O66" i="139"/>
  <c r="O67" i="139"/>
  <c r="O68" i="139"/>
  <c r="O69" i="139"/>
  <c r="O70" i="139"/>
  <c r="O71" i="139"/>
  <c r="O72" i="139"/>
  <c r="O73" i="139"/>
  <c r="O74" i="139"/>
  <c r="O75" i="139"/>
  <c r="O76" i="139"/>
  <c r="O77" i="139"/>
  <c r="O78" i="139"/>
  <c r="O79" i="139"/>
  <c r="O80" i="139"/>
  <c r="O81" i="139"/>
  <c r="O82" i="139"/>
  <c r="O83" i="139"/>
  <c r="O84" i="139"/>
  <c r="O85" i="139"/>
  <c r="O86" i="139"/>
  <c r="O87" i="139"/>
  <c r="O88" i="139"/>
  <c r="O89" i="139"/>
  <c r="O90" i="139"/>
  <c r="O91" i="139"/>
  <c r="O92" i="139"/>
  <c r="O93" i="139"/>
  <c r="O94" i="139"/>
  <c r="O95" i="139"/>
  <c r="O96" i="139"/>
  <c r="O97" i="139"/>
  <c r="AZ35" i="101"/>
  <c r="AZ33" i="101"/>
  <c r="AZ31" i="101"/>
  <c r="AZ29" i="101"/>
  <c r="AZ27" i="101"/>
  <c r="AZ25" i="101"/>
  <c r="AZ23" i="101"/>
  <c r="AZ21" i="101"/>
  <c r="AZ19" i="101"/>
  <c r="AZ17" i="101"/>
  <c r="AZ15" i="101"/>
  <c r="AZ13" i="101"/>
  <c r="AZ11" i="101"/>
  <c r="AZ9" i="101"/>
  <c r="AZ7" i="101"/>
  <c r="AZ5" i="101"/>
  <c r="AZ35" i="100"/>
  <c r="AZ33" i="100"/>
  <c r="AZ31" i="100"/>
  <c r="AZ29" i="100"/>
  <c r="AZ27" i="100"/>
  <c r="AZ25" i="100"/>
  <c r="AZ23" i="100"/>
  <c r="AZ21" i="100"/>
  <c r="AZ19" i="100"/>
  <c r="AZ17" i="100"/>
  <c r="AZ15" i="100"/>
  <c r="AZ13" i="100"/>
  <c r="AZ11" i="100"/>
  <c r="AZ9" i="100"/>
  <c r="AZ7" i="100"/>
  <c r="AZ5" i="100"/>
  <c r="AZ35" i="99"/>
  <c r="AZ33" i="99"/>
  <c r="AZ31" i="99"/>
  <c r="AZ29" i="99"/>
  <c r="AZ27" i="99"/>
  <c r="AZ25" i="99"/>
  <c r="AZ23" i="99"/>
  <c r="AZ21" i="99"/>
  <c r="AZ19" i="99"/>
  <c r="AZ17" i="99"/>
  <c r="AZ15" i="99"/>
  <c r="AZ13" i="99"/>
  <c r="AZ11" i="99"/>
  <c r="AZ9" i="99"/>
  <c r="AZ7" i="99"/>
  <c r="AZ5" i="99"/>
  <c r="AZ7" i="86"/>
  <c r="AZ9" i="86"/>
  <c r="AZ11" i="86"/>
  <c r="AZ13" i="86"/>
  <c r="AZ15" i="86"/>
  <c r="AZ17" i="86"/>
  <c r="AZ19" i="86"/>
  <c r="AZ21" i="86"/>
  <c r="AZ23" i="86"/>
  <c r="AZ25" i="86"/>
  <c r="AZ27" i="86"/>
  <c r="AZ29" i="86"/>
  <c r="AZ31" i="86"/>
  <c r="AZ33" i="86"/>
  <c r="AZ35" i="86"/>
  <c r="AZ5" i="86"/>
  <c r="BC5" i="86" s="1"/>
  <c r="AX32" i="86"/>
  <c r="AF44" i="113"/>
  <c r="AF41" i="113"/>
  <c r="W41" i="113"/>
  <c r="W36" i="113"/>
  <c r="AF37" i="113"/>
  <c r="AF34" i="113"/>
  <c r="W31" i="113"/>
  <c r="W26" i="113"/>
  <c r="AF31" i="113"/>
  <c r="AF27" i="113"/>
  <c r="AF24" i="113"/>
  <c r="AF20" i="113"/>
  <c r="AF17" i="113"/>
  <c r="AF10" i="113"/>
  <c r="N39" i="113"/>
  <c r="N25" i="113"/>
  <c r="Q73" i="112"/>
  <c r="Q71" i="112"/>
  <c r="Q69" i="112"/>
  <c r="Q66" i="112"/>
  <c r="Q63" i="112"/>
  <c r="Q61" i="112"/>
  <c r="Q58" i="112"/>
  <c r="Q53" i="112"/>
  <c r="Q46" i="112"/>
  <c r="Q44" i="112"/>
  <c r="Q42" i="112"/>
  <c r="Q39" i="112"/>
  <c r="Q36" i="112"/>
  <c r="Q34" i="112"/>
  <c r="Q31" i="112"/>
  <c r="Q19" i="112"/>
  <c r="BC7" i="100"/>
  <c r="BC9" i="100"/>
  <c r="BC11" i="100"/>
  <c r="BC13" i="100"/>
  <c r="BC15" i="100"/>
  <c r="BC17" i="100"/>
  <c r="BC19" i="100"/>
  <c r="BC21" i="100"/>
  <c r="BC23" i="100"/>
  <c r="BC25" i="100"/>
  <c r="BC27" i="100"/>
  <c r="BC29" i="100"/>
  <c r="BC31" i="100"/>
  <c r="BC33" i="100"/>
  <c r="BC35" i="100"/>
  <c r="BC7" i="99"/>
  <c r="BC9" i="99"/>
  <c r="BC11" i="99"/>
  <c r="BC13" i="99"/>
  <c r="BC15" i="99"/>
  <c r="BC17" i="99"/>
  <c r="BC19" i="99"/>
  <c r="BC21" i="99"/>
  <c r="BC23" i="99"/>
  <c r="BC25" i="99"/>
  <c r="BC27" i="99"/>
  <c r="BC29" i="99"/>
  <c r="BC31" i="99"/>
  <c r="BC33" i="99"/>
  <c r="BC35" i="99"/>
  <c r="BC9" i="86"/>
  <c r="BC11" i="86"/>
  <c r="BC13" i="86"/>
  <c r="BC15" i="86"/>
  <c r="BC17" i="86"/>
  <c r="BC19" i="86"/>
  <c r="BC21" i="86"/>
  <c r="BC23" i="86"/>
  <c r="BC25" i="86"/>
  <c r="BC27" i="86"/>
  <c r="BC29" i="86"/>
  <c r="BC31" i="86"/>
  <c r="BC33" i="86"/>
  <c r="BC35" i="86"/>
  <c r="F69" i="138" l="1"/>
  <c r="AI68" i="138"/>
  <c r="E68" i="138"/>
  <c r="BD67" i="138"/>
  <c r="H66" i="138"/>
  <c r="W64" i="138"/>
  <c r="E64" i="138"/>
  <c r="AU62" i="138"/>
  <c r="Z62" i="138"/>
  <c r="K62" i="138"/>
  <c r="AX60" i="138"/>
  <c r="W60" i="138"/>
  <c r="E60" i="138"/>
  <c r="AU58" i="138"/>
  <c r="H58" i="138"/>
  <c r="F57" i="138"/>
  <c r="AI56" i="138"/>
  <c r="E56" i="138"/>
  <c r="N54" i="138"/>
  <c r="BD53" i="138"/>
  <c r="F53" i="138"/>
  <c r="W52" i="138"/>
  <c r="E52" i="138"/>
  <c r="Z50" i="138"/>
  <c r="H50" i="138"/>
  <c r="AR49" i="138"/>
  <c r="F49" i="138"/>
  <c r="W48" i="138"/>
  <c r="E48" i="138"/>
  <c r="AU47" i="138"/>
  <c r="K46" i="138"/>
  <c r="AR45" i="138"/>
  <c r="AL45" i="138"/>
  <c r="F45" i="138"/>
  <c r="E44" i="138"/>
  <c r="AX43" i="138"/>
  <c r="H42" i="138"/>
  <c r="AR41" i="138"/>
  <c r="F41" i="138"/>
  <c r="E40" i="138"/>
  <c r="AU39" i="138"/>
  <c r="Q38" i="138"/>
  <c r="Q60" i="138" s="1"/>
  <c r="AR37" i="138"/>
  <c r="AL37" i="138"/>
  <c r="T37" i="138"/>
  <c r="F37" i="138"/>
  <c r="BD36" i="138"/>
  <c r="W36" i="138"/>
  <c r="E36" i="138"/>
  <c r="Z35" i="138"/>
  <c r="T35" i="138"/>
  <c r="H34" i="138"/>
  <c r="W22" i="138" s="1"/>
  <c r="AC33" i="138"/>
  <c r="T33" i="138"/>
  <c r="F33" i="138"/>
  <c r="W32" i="138"/>
  <c r="E32" i="138"/>
  <c r="AF31" i="138"/>
  <c r="Z31" i="138"/>
  <c r="T31" i="138"/>
  <c r="AU30" i="138"/>
  <c r="K30" i="138"/>
  <c r="AC29" i="138"/>
  <c r="T29" i="138"/>
  <c r="AX28" i="138"/>
  <c r="W28" i="138"/>
  <c r="E28" i="138"/>
  <c r="AI27" i="138"/>
  <c r="Z27" i="138"/>
  <c r="T27" i="138"/>
  <c r="AU26" i="138"/>
  <c r="H26" i="138"/>
  <c r="AC25" i="138"/>
  <c r="T25" i="138"/>
  <c r="F25" i="138"/>
  <c r="AL24" i="138"/>
  <c r="W24" i="138"/>
  <c r="E24" i="138"/>
  <c r="T15" i="138" s="1"/>
  <c r="AF23" i="138"/>
  <c r="Z23" i="138"/>
  <c r="T23" i="138"/>
  <c r="N22" i="138"/>
  <c r="BD21" i="138"/>
  <c r="AC21" i="138"/>
  <c r="T21" i="138"/>
  <c r="F21" i="138"/>
  <c r="W20" i="138"/>
  <c r="E20" i="138"/>
  <c r="T13" i="138" s="1"/>
  <c r="Z19" i="138"/>
  <c r="T19" i="138"/>
  <c r="W18" i="138"/>
  <c r="H18" i="138"/>
  <c r="AR17" i="138"/>
  <c r="AC17" i="138"/>
  <c r="T17" i="138"/>
  <c r="F17" i="138"/>
  <c r="AL16" i="138"/>
  <c r="W16" i="138"/>
  <c r="E16" i="138"/>
  <c r="AU15" i="138"/>
  <c r="AF15" i="138"/>
  <c r="Z15" i="138"/>
  <c r="W14" i="138"/>
  <c r="K14" i="138"/>
  <c r="AR13" i="138"/>
  <c r="W12" i="138"/>
  <c r="E12" i="138"/>
  <c r="T9" i="138" s="1"/>
  <c r="AX11" i="138"/>
  <c r="AI11" i="138"/>
  <c r="Z11" i="138"/>
  <c r="T11" i="138"/>
  <c r="W10" i="138"/>
  <c r="H10" i="138"/>
  <c r="AR9" i="138"/>
  <c r="AC9" i="138"/>
  <c r="F9" i="138"/>
  <c r="AL8" i="138"/>
  <c r="W8" i="138"/>
  <c r="E8" i="138"/>
  <c r="AU7" i="138"/>
  <c r="AF7" i="138"/>
  <c r="Z7" i="138"/>
  <c r="T7" i="138"/>
  <c r="W6" i="138"/>
  <c r="AR5" i="138"/>
  <c r="D19" i="139"/>
  <c r="B19" i="139"/>
  <c r="D18" i="139"/>
  <c r="B18" i="139"/>
  <c r="D17" i="139"/>
  <c r="B17" i="139"/>
  <c r="D16" i="139"/>
  <c r="B16" i="139"/>
  <c r="D15" i="139"/>
  <c r="B15" i="139"/>
  <c r="D14" i="139"/>
  <c r="B14" i="139"/>
  <c r="D13" i="139"/>
  <c r="B13" i="139"/>
  <c r="D12" i="139"/>
  <c r="B12" i="139"/>
  <c r="D11" i="139"/>
  <c r="B11" i="139"/>
  <c r="D10" i="139"/>
  <c r="B10" i="139"/>
  <c r="D9" i="139"/>
  <c r="B9" i="139"/>
  <c r="D8" i="139"/>
  <c r="B8" i="139"/>
  <c r="D7" i="139"/>
  <c r="B7" i="139"/>
  <c r="D6" i="139"/>
  <c r="B6" i="139"/>
  <c r="D5" i="139"/>
  <c r="B5" i="139"/>
  <c r="D4" i="139"/>
  <c r="B4" i="139"/>
  <c r="K109" i="52"/>
  <c r="J109" i="52"/>
  <c r="BE69" i="138"/>
  <c r="BE65" i="138"/>
  <c r="AY63" i="138"/>
  <c r="AY58" i="138"/>
  <c r="BE55" i="138"/>
  <c r="BE51" i="138"/>
  <c r="AY48" i="138"/>
  <c r="AY41" i="138"/>
  <c r="BE38" i="138"/>
  <c r="BE34" i="138"/>
  <c r="AY31" i="138"/>
  <c r="AY26" i="138"/>
  <c r="BE23" i="138"/>
  <c r="BE19" i="138"/>
  <c r="AY16" i="138"/>
  <c r="AY9" i="138"/>
  <c r="AA65" i="138"/>
  <c r="AA60" i="138"/>
  <c r="AJ58" i="138"/>
  <c r="AJ54" i="138"/>
  <c r="AA53" i="138"/>
  <c r="AA48" i="138"/>
  <c r="AM47" i="138"/>
  <c r="AM43" i="138"/>
  <c r="AM39" i="138"/>
  <c r="AM35" i="138"/>
  <c r="AM30" i="138"/>
  <c r="AM14" i="138"/>
  <c r="AJ70" i="138"/>
  <c r="AJ66" i="138"/>
  <c r="R58" i="138"/>
  <c r="R36" i="138"/>
  <c r="BE68" i="138"/>
  <c r="P97" i="139"/>
  <c r="P96" i="139"/>
  <c r="AY61" i="138"/>
  <c r="D96" i="139"/>
  <c r="B96" i="139"/>
  <c r="P95" i="139"/>
  <c r="AV63" i="138"/>
  <c r="P94" i="139"/>
  <c r="AV59" i="138"/>
  <c r="P93" i="139"/>
  <c r="BE54" i="138"/>
  <c r="P92" i="139"/>
  <c r="AY44" i="138"/>
  <c r="D92" i="139"/>
  <c r="B92" i="139"/>
  <c r="P91" i="139"/>
  <c r="AV48" i="138"/>
  <c r="D91" i="139"/>
  <c r="B91" i="139"/>
  <c r="P90" i="139"/>
  <c r="AV40" i="138"/>
  <c r="D90" i="139"/>
  <c r="B90" i="139"/>
  <c r="P89" i="139"/>
  <c r="AS50" i="138"/>
  <c r="P88" i="139"/>
  <c r="AS46" i="138"/>
  <c r="AS42" i="138"/>
  <c r="P87" i="139"/>
  <c r="P86" i="139"/>
  <c r="AS38" i="138"/>
  <c r="BE37" i="138"/>
  <c r="P85" i="139"/>
  <c r="P84" i="139"/>
  <c r="AY29" i="138"/>
  <c r="D84" i="139"/>
  <c r="B84" i="139"/>
  <c r="AV31" i="138"/>
  <c r="P83" i="139"/>
  <c r="P82" i="139"/>
  <c r="AV27" i="138"/>
  <c r="P81" i="139"/>
  <c r="BE22" i="138"/>
  <c r="P80" i="139"/>
  <c r="R80" i="139"/>
  <c r="AY12" i="138" s="1"/>
  <c r="D80" i="139"/>
  <c r="B80" i="139"/>
  <c r="P79" i="139"/>
  <c r="AV16" i="138"/>
  <c r="D79" i="139"/>
  <c r="B79" i="139"/>
  <c r="P78" i="139"/>
  <c r="R78" i="139"/>
  <c r="AV8" i="138" s="1"/>
  <c r="D78" i="139"/>
  <c r="B78" i="139"/>
  <c r="B81" i="139" s="1"/>
  <c r="P77" i="139"/>
  <c r="R77" i="139"/>
  <c r="AS18" i="138" s="1"/>
  <c r="P76" i="139"/>
  <c r="R76" i="139"/>
  <c r="AS14" i="138" s="1"/>
  <c r="P75" i="139"/>
  <c r="R75" i="139"/>
  <c r="AS10" i="138" s="1"/>
  <c r="P74" i="139"/>
  <c r="R74" i="139"/>
  <c r="AS6" i="138" s="1"/>
  <c r="P73" i="139"/>
  <c r="R73" i="139"/>
  <c r="AJ69" i="138" s="1"/>
  <c r="R72" i="139"/>
  <c r="AA63" i="138" s="1"/>
  <c r="P72" i="139"/>
  <c r="D72" i="139"/>
  <c r="B72" i="139"/>
  <c r="P71" i="139"/>
  <c r="R71" i="139"/>
  <c r="X65" i="138" s="1"/>
  <c r="P70" i="139"/>
  <c r="R70" i="139"/>
  <c r="X61" i="138" s="1"/>
  <c r="P69" i="139"/>
  <c r="R69" i="139"/>
  <c r="AJ57" i="138" s="1"/>
  <c r="R68" i="139"/>
  <c r="AA51" i="138" s="1"/>
  <c r="P68" i="139"/>
  <c r="D68" i="139"/>
  <c r="B68" i="139"/>
  <c r="P67" i="139"/>
  <c r="R67" i="139"/>
  <c r="X53" i="138" s="1"/>
  <c r="R66" i="139"/>
  <c r="X49" i="138" s="1"/>
  <c r="P66" i="139"/>
  <c r="P65" i="139"/>
  <c r="R65" i="139"/>
  <c r="AM46" i="138" s="1"/>
  <c r="P64" i="139"/>
  <c r="R64" i="139"/>
  <c r="AM38" i="138" s="1"/>
  <c r="P63" i="139"/>
  <c r="R63" i="139"/>
  <c r="AM17" i="138" s="1"/>
  <c r="D63" i="139"/>
  <c r="B63" i="139"/>
  <c r="R62" i="139"/>
  <c r="AM25" i="138" s="1"/>
  <c r="P62" i="139"/>
  <c r="B62" i="139"/>
  <c r="P61" i="139"/>
  <c r="R61" i="139"/>
  <c r="AM9" i="138" s="1"/>
  <c r="B61" i="139"/>
  <c r="P60" i="139"/>
  <c r="R60" i="139"/>
  <c r="AJ28" i="138" s="1"/>
  <c r="D60" i="139"/>
  <c r="B60" i="139"/>
  <c r="P59" i="139"/>
  <c r="R59" i="139"/>
  <c r="AJ12" i="138" s="1"/>
  <c r="D59" i="139"/>
  <c r="B59" i="139"/>
  <c r="R58" i="139"/>
  <c r="AG32" i="138" s="1"/>
  <c r="P58" i="139"/>
  <c r="B58" i="139"/>
  <c r="P57" i="139"/>
  <c r="R57" i="139"/>
  <c r="AG24" i="138" s="1"/>
  <c r="B57" i="139"/>
  <c r="R56" i="139"/>
  <c r="AG16" i="138" s="1"/>
  <c r="P56" i="139"/>
  <c r="B56" i="139"/>
  <c r="P55" i="139"/>
  <c r="R55" i="139"/>
  <c r="AG8" i="138" s="1"/>
  <c r="B55" i="139"/>
  <c r="P54" i="139"/>
  <c r="R54" i="139"/>
  <c r="AD34" i="138" s="1"/>
  <c r="D54" i="139"/>
  <c r="B54" i="139"/>
  <c r="R53" i="139"/>
  <c r="AD26" i="138" s="1"/>
  <c r="P53" i="139"/>
  <c r="D53" i="139"/>
  <c r="B53" i="139"/>
  <c r="R52" i="139"/>
  <c r="AD18" i="138" s="1"/>
  <c r="P52" i="139"/>
  <c r="D52" i="139"/>
  <c r="B52" i="139"/>
  <c r="P51" i="139"/>
  <c r="R51" i="139"/>
  <c r="AD10" i="138" s="1"/>
  <c r="D51" i="139"/>
  <c r="B51" i="139"/>
  <c r="P50" i="139"/>
  <c r="R50" i="139"/>
  <c r="AA36" i="138" s="1"/>
  <c r="B50" i="139"/>
  <c r="R49" i="139"/>
  <c r="AA32" i="138" s="1"/>
  <c r="P49" i="139"/>
  <c r="B49" i="139"/>
  <c r="AA28" i="138"/>
  <c r="P48" i="139"/>
  <c r="B48" i="139"/>
  <c r="P47" i="139"/>
  <c r="AA24" i="138"/>
  <c r="B47" i="139"/>
  <c r="P46" i="139"/>
  <c r="AA20" i="138"/>
  <c r="B46" i="139"/>
  <c r="P45" i="139"/>
  <c r="R45" i="139"/>
  <c r="AA16" i="138" s="1"/>
  <c r="B45" i="139"/>
  <c r="AA12" i="138"/>
  <c r="P44" i="139"/>
  <c r="B44" i="139"/>
  <c r="R43" i="139"/>
  <c r="AA8" i="138" s="1"/>
  <c r="P43" i="139"/>
  <c r="B43" i="139"/>
  <c r="X37" i="138"/>
  <c r="P42" i="139"/>
  <c r="D42" i="139"/>
  <c r="B42" i="139"/>
  <c r="P41" i="139"/>
  <c r="X33" i="138"/>
  <c r="D41" i="139"/>
  <c r="B41" i="139"/>
  <c r="P40" i="139"/>
  <c r="X29" i="138"/>
  <c r="D40" i="139"/>
  <c r="B40" i="139"/>
  <c r="P39" i="139"/>
  <c r="X25" i="138"/>
  <c r="D39" i="139"/>
  <c r="B39" i="139"/>
  <c r="X21" i="138"/>
  <c r="P38" i="139"/>
  <c r="D38" i="139"/>
  <c r="B38" i="139"/>
  <c r="P37" i="139"/>
  <c r="X17" i="138"/>
  <c r="D37" i="139"/>
  <c r="B37" i="139"/>
  <c r="X13" i="138"/>
  <c r="P36" i="139"/>
  <c r="D36" i="139"/>
  <c r="B36" i="139"/>
  <c r="P35" i="139"/>
  <c r="X9" i="138"/>
  <c r="D35" i="139"/>
  <c r="B35" i="139"/>
  <c r="P34" i="139"/>
  <c r="R34" i="139"/>
  <c r="R39" i="138" s="1"/>
  <c r="D34" i="139"/>
  <c r="B34" i="139"/>
  <c r="P33" i="139"/>
  <c r="R33" i="139"/>
  <c r="O55" i="138" s="1"/>
  <c r="D33" i="139"/>
  <c r="B33" i="139"/>
  <c r="R32" i="139"/>
  <c r="O23" i="138" s="1"/>
  <c r="P32" i="139"/>
  <c r="D32" i="139"/>
  <c r="B32" i="139"/>
  <c r="P31" i="139"/>
  <c r="R31" i="139"/>
  <c r="L63" i="138" s="1"/>
  <c r="D31" i="139"/>
  <c r="B31" i="139"/>
  <c r="D57" i="139" s="1"/>
  <c r="R30" i="139"/>
  <c r="L47" i="138" s="1"/>
  <c r="P30" i="139"/>
  <c r="D30" i="139"/>
  <c r="B30" i="139"/>
  <c r="D58" i="139" s="1"/>
  <c r="P29" i="139"/>
  <c r="R29" i="139"/>
  <c r="L31" i="138" s="1"/>
  <c r="D29" i="139"/>
  <c r="B29" i="139"/>
  <c r="R28" i="139"/>
  <c r="L15" i="138" s="1"/>
  <c r="P28" i="139"/>
  <c r="D28" i="139"/>
  <c r="B28" i="139"/>
  <c r="R27" i="139"/>
  <c r="I67" i="138" s="1"/>
  <c r="P27" i="139"/>
  <c r="D27" i="139"/>
  <c r="B27" i="139"/>
  <c r="P26" i="139"/>
  <c r="R26" i="139"/>
  <c r="I59" i="138" s="1"/>
  <c r="D26" i="139"/>
  <c r="B26" i="139"/>
  <c r="D44" i="139" s="1"/>
  <c r="P25" i="139"/>
  <c r="R25" i="139"/>
  <c r="I51" i="138" s="1"/>
  <c r="D25" i="139"/>
  <c r="B25" i="139"/>
  <c r="D45" i="139" s="1"/>
  <c r="R24" i="139"/>
  <c r="I43" i="138" s="1"/>
  <c r="P24" i="139"/>
  <c r="D24" i="139"/>
  <c r="B24" i="139"/>
  <c r="D46" i="139" s="1"/>
  <c r="P23" i="139"/>
  <c r="R23" i="139"/>
  <c r="I35" i="138" s="1"/>
  <c r="D23" i="139"/>
  <c r="B23" i="139"/>
  <c r="D47" i="139" s="1"/>
  <c r="P22" i="139"/>
  <c r="R22" i="139"/>
  <c r="I27" i="138" s="1"/>
  <c r="D22" i="139"/>
  <c r="B22" i="139"/>
  <c r="D48" i="139" s="1"/>
  <c r="W21" i="139"/>
  <c r="P21" i="139"/>
  <c r="R21" i="139"/>
  <c r="I19" i="138" s="1"/>
  <c r="D21" i="139"/>
  <c r="B21" i="139"/>
  <c r="D49" i="139" s="1"/>
  <c r="W20" i="139"/>
  <c r="P20" i="139"/>
  <c r="R20" i="139"/>
  <c r="I11" i="138" s="1"/>
  <c r="D20" i="139"/>
  <c r="B20" i="139"/>
  <c r="W19" i="139"/>
  <c r="P19" i="139"/>
  <c r="W18" i="139"/>
  <c r="R18" i="139"/>
  <c r="F65" i="138" s="1"/>
  <c r="P18" i="139"/>
  <c r="W17" i="139"/>
  <c r="R17" i="139"/>
  <c r="F61" i="138" s="1"/>
  <c r="P17" i="139"/>
  <c r="W16" i="139"/>
  <c r="P16" i="139"/>
  <c r="W15" i="139"/>
  <c r="P15" i="139"/>
  <c r="W14" i="139"/>
  <c r="P14" i="139"/>
  <c r="W13" i="139"/>
  <c r="P13" i="139"/>
  <c r="W12" i="139"/>
  <c r="P12" i="139"/>
  <c r="W11" i="139"/>
  <c r="P11" i="139"/>
  <c r="W10" i="139"/>
  <c r="P10" i="139"/>
  <c r="W9" i="139"/>
  <c r="R9" i="139"/>
  <c r="F29" i="138" s="1"/>
  <c r="P9" i="139"/>
  <c r="W8" i="139"/>
  <c r="P8" i="139"/>
  <c r="W7" i="139"/>
  <c r="P7" i="139"/>
  <c r="W6" i="139"/>
  <c r="P6" i="139"/>
  <c r="W5" i="139"/>
  <c r="P5" i="139"/>
  <c r="R5" i="139"/>
  <c r="F13" i="138" s="1"/>
  <c r="W4" i="139"/>
  <c r="Q4" i="139"/>
  <c r="P4" i="139"/>
  <c r="O4" i="139"/>
  <c r="AV71" i="138"/>
  <c r="AV69" i="138"/>
  <c r="D67" i="138"/>
  <c r="Z67" i="138"/>
  <c r="AX65" i="138"/>
  <c r="D57" i="138"/>
  <c r="D51" i="138"/>
  <c r="Z55" i="138"/>
  <c r="D49" i="138"/>
  <c r="BA54" i="138"/>
  <c r="D43" i="138"/>
  <c r="AY42" i="138"/>
  <c r="D41" i="138"/>
  <c r="BA52" i="138"/>
  <c r="D35" i="138"/>
  <c r="AX33" i="138"/>
  <c r="T65" i="138"/>
  <c r="D33" i="138"/>
  <c r="AO48" i="138"/>
  <c r="T53" i="138"/>
  <c r="AO46" i="138"/>
  <c r="AI46" i="138"/>
  <c r="T63" i="138"/>
  <c r="AF69" i="138" s="1"/>
  <c r="D25" i="138"/>
  <c r="AO44" i="138"/>
  <c r="T51" i="138"/>
  <c r="BE20" i="138"/>
  <c r="AO42" i="138"/>
  <c r="D19" i="138"/>
  <c r="AX18" i="138"/>
  <c r="T61" i="138"/>
  <c r="D17" i="138"/>
  <c r="AL32" i="138"/>
  <c r="BA22" i="138"/>
  <c r="AI44" i="138"/>
  <c r="D11" i="138"/>
  <c r="AO10" i="138"/>
  <c r="T59" i="138"/>
  <c r="AF67" i="138" s="1"/>
  <c r="AI72" i="138" s="1"/>
  <c r="D9" i="138"/>
  <c r="BA20" i="138"/>
  <c r="D7" i="138"/>
  <c r="AO6" i="138"/>
  <c r="AR25" i="138"/>
  <c r="AO4" i="138"/>
  <c r="I4" i="138"/>
  <c r="O3" i="138"/>
  <c r="A3" i="138"/>
  <c r="A2" i="138"/>
  <c r="S2" i="138" s="1"/>
  <c r="A1" i="138"/>
  <c r="AN1" i="138" s="1"/>
  <c r="AL49" i="138" l="1"/>
  <c r="B86" i="139"/>
  <c r="D87" i="139"/>
  <c r="B88" i="139"/>
  <c r="B89" i="139"/>
  <c r="B70" i="139"/>
  <c r="B73" i="139" s="1"/>
  <c r="D70" i="139"/>
  <c r="B71" i="139"/>
  <c r="D73" i="139" s="1"/>
  <c r="D71" i="139"/>
  <c r="D65" i="139"/>
  <c r="AO38" i="138"/>
  <c r="AO40" i="138"/>
  <c r="AR59" i="138" s="1"/>
  <c r="BD57" i="138"/>
  <c r="BE56" i="138" s="1"/>
  <c r="AI21" i="138"/>
  <c r="AI38" i="138" s="1"/>
  <c r="BD25" i="138"/>
  <c r="BE24" i="138" s="1"/>
  <c r="AF57" i="138"/>
  <c r="AR61" i="138"/>
  <c r="D50" i="139"/>
  <c r="D77" i="139" s="1"/>
  <c r="D43" i="139"/>
  <c r="B74" i="139" s="1"/>
  <c r="D56" i="139"/>
  <c r="D55" i="139"/>
  <c r="D62" i="139"/>
  <c r="D64" i="139" s="1"/>
  <c r="D61" i="139"/>
  <c r="B64" i="139" s="1"/>
  <c r="D86" i="139"/>
  <c r="B87" i="139"/>
  <c r="D94" i="139" s="1"/>
  <c r="D88" i="139"/>
  <c r="D89" i="139"/>
  <c r="D95" i="139" s="1"/>
  <c r="B65" i="139"/>
  <c r="D81" i="139"/>
  <c r="B93" i="139"/>
  <c r="D93" i="139"/>
  <c r="B94" i="139"/>
  <c r="B66" i="139"/>
  <c r="W34" i="138"/>
  <c r="AO18" i="138" s="1"/>
  <c r="AO36" i="138"/>
  <c r="AR57" i="138" s="1"/>
  <c r="BA66" i="138" s="1"/>
  <c r="W26" i="138"/>
  <c r="AO14" i="138" s="1"/>
  <c r="AC5" i="138"/>
  <c r="T47" i="138" s="1"/>
  <c r="AF55" i="138" s="1"/>
  <c r="AI60" i="138" s="1"/>
  <c r="AO12" i="138"/>
  <c r="AR29" i="138" s="1"/>
  <c r="B75" i="139"/>
  <c r="B77" i="139"/>
  <c r="B67" i="139"/>
  <c r="D67" i="139"/>
  <c r="D74" i="139"/>
  <c r="B76" i="139"/>
  <c r="D76" i="139"/>
  <c r="D66" i="139"/>
  <c r="AC13" i="138"/>
  <c r="T49" i="138" s="1"/>
  <c r="W30" i="138"/>
  <c r="AO16" i="138" s="1"/>
  <c r="AR31" i="138" s="1"/>
  <c r="BA37" i="138" s="1"/>
  <c r="AI5" i="138"/>
  <c r="AI36" i="138" s="1"/>
  <c r="D75" i="139"/>
  <c r="L109" i="52"/>
  <c r="AP36" i="138" s="1"/>
  <c r="S1" i="138"/>
  <c r="AN2" i="138"/>
  <c r="AO8" i="138"/>
  <c r="AR27" i="138" s="1"/>
  <c r="AS13" i="138"/>
  <c r="AY32" i="138"/>
  <c r="BE35" i="138"/>
  <c r="BE57" i="138"/>
  <c r="AO50" i="138"/>
  <c r="AP50" i="138" s="1"/>
  <c r="AX50" i="138"/>
  <c r="AY43" i="138"/>
  <c r="AY64" i="138"/>
  <c r="AV47" i="138"/>
  <c r="BE52" i="138"/>
  <c r="BE53" i="138"/>
  <c r="AY59" i="138"/>
  <c r="AY60" i="138"/>
  <c r="AV62" i="138"/>
  <c r="BE66" i="138"/>
  <c r="BE67" i="138"/>
  <c r="Q30" i="137"/>
  <c r="N10" i="52"/>
  <c r="N11" i="52"/>
  <c r="N12" i="52"/>
  <c r="N13" i="52"/>
  <c r="N14" i="52"/>
  <c r="N15" i="52"/>
  <c r="N16" i="52"/>
  <c r="N17" i="52"/>
  <c r="N18" i="52"/>
  <c r="N19" i="52"/>
  <c r="N20" i="52"/>
  <c r="N21" i="52"/>
  <c r="N22" i="52"/>
  <c r="N23" i="52"/>
  <c r="N24" i="52"/>
  <c r="N25" i="52"/>
  <c r="N26" i="52"/>
  <c r="N27" i="52"/>
  <c r="N28" i="52"/>
  <c r="N29" i="52"/>
  <c r="N30" i="52"/>
  <c r="N31" i="52"/>
  <c r="N32" i="52"/>
  <c r="N33" i="52"/>
  <c r="N34" i="52"/>
  <c r="N35" i="52"/>
  <c r="N36" i="52"/>
  <c r="N37" i="52"/>
  <c r="N38" i="52"/>
  <c r="N39" i="52"/>
  <c r="N40" i="52"/>
  <c r="N41" i="52"/>
  <c r="N42" i="52"/>
  <c r="N43" i="52"/>
  <c r="N44" i="52"/>
  <c r="N45" i="52"/>
  <c r="N46" i="52"/>
  <c r="N47" i="52"/>
  <c r="N48" i="52"/>
  <c r="N49" i="52"/>
  <c r="N50" i="52"/>
  <c r="N51" i="52"/>
  <c r="N52" i="52"/>
  <c r="N53" i="52"/>
  <c r="N54" i="52"/>
  <c r="N55" i="52"/>
  <c r="N56" i="52"/>
  <c r="N57" i="52"/>
  <c r="N58" i="52"/>
  <c r="N59" i="52"/>
  <c r="N60" i="52"/>
  <c r="N61" i="52"/>
  <c r="N62" i="52"/>
  <c r="N63" i="52"/>
  <c r="N64" i="52"/>
  <c r="N65" i="52"/>
  <c r="N66" i="52"/>
  <c r="N67" i="52"/>
  <c r="N68" i="52"/>
  <c r="N69" i="52"/>
  <c r="N70" i="52"/>
  <c r="N71" i="52"/>
  <c r="N72" i="52"/>
  <c r="N73" i="52"/>
  <c r="N74" i="52"/>
  <c r="N75" i="52"/>
  <c r="N76" i="52"/>
  <c r="N77" i="52"/>
  <c r="N78" i="52"/>
  <c r="N79" i="52"/>
  <c r="N80" i="52"/>
  <c r="N81" i="52"/>
  <c r="N82" i="52"/>
  <c r="N83" i="52"/>
  <c r="N84" i="52"/>
  <c r="N85" i="52"/>
  <c r="N86" i="52"/>
  <c r="N87" i="52"/>
  <c r="N88" i="52"/>
  <c r="N89" i="52"/>
  <c r="N90" i="52"/>
  <c r="N91" i="52"/>
  <c r="N92" i="52"/>
  <c r="N93" i="52"/>
  <c r="N94" i="52"/>
  <c r="N95" i="52"/>
  <c r="N96" i="52"/>
  <c r="N97" i="52"/>
  <c r="N98" i="52"/>
  <c r="N99" i="52"/>
  <c r="N100" i="52"/>
  <c r="N101" i="52"/>
  <c r="N102" i="52"/>
  <c r="N103" i="52"/>
  <c r="N104" i="52"/>
  <c r="N105" i="52"/>
  <c r="N106" i="52"/>
  <c r="N107" i="52"/>
  <c r="N108" i="52"/>
  <c r="Q30" i="135"/>
  <c r="Q30" i="136"/>
  <c r="B95" i="139" l="1"/>
  <c r="C95" i="139" s="1"/>
  <c r="B69" i="139"/>
  <c r="AL41" i="138"/>
  <c r="AM40" i="138" s="1"/>
  <c r="B97" i="139"/>
  <c r="C97" i="139" s="1"/>
  <c r="B82" i="139"/>
  <c r="D97" i="139"/>
  <c r="E97" i="139" s="1"/>
  <c r="B83" i="139"/>
  <c r="C83" i="139" s="1"/>
  <c r="D69" i="139"/>
  <c r="AR63" i="138"/>
  <c r="BA68" i="138" s="1"/>
  <c r="BD71" i="138" s="1"/>
  <c r="D83" i="139"/>
  <c r="AY65" i="138"/>
  <c r="BE36" i="138"/>
  <c r="AV26" i="138"/>
  <c r="BE25" i="138"/>
  <c r="E96" i="139"/>
  <c r="C93" i="139"/>
  <c r="E89" i="139"/>
  <c r="E81" i="139"/>
  <c r="E74" i="139"/>
  <c r="AS59" i="138"/>
  <c r="E94" i="139"/>
  <c r="E92" i="139"/>
  <c r="C87" i="139"/>
  <c r="C79" i="139"/>
  <c r="BB66" i="138"/>
  <c r="AS57" i="138"/>
  <c r="AP48" i="138"/>
  <c r="AP40" i="138"/>
  <c r="AP14" i="138"/>
  <c r="AP12" i="138"/>
  <c r="AP44" i="138"/>
  <c r="G95" i="139"/>
  <c r="G94" i="139"/>
  <c r="G93" i="139"/>
  <c r="G92" i="139"/>
  <c r="C92" i="139"/>
  <c r="E90" i="139"/>
  <c r="C90" i="139"/>
  <c r="G85" i="139"/>
  <c r="C84" i="139"/>
  <c r="G82" i="139"/>
  <c r="G76" i="139"/>
  <c r="AV58" i="138"/>
  <c r="AV39" i="138"/>
  <c r="AS37" i="138"/>
  <c r="G97" i="139"/>
  <c r="G96" i="139"/>
  <c r="C96" i="139"/>
  <c r="G91" i="139"/>
  <c r="G90" i="139"/>
  <c r="G89" i="139"/>
  <c r="G87" i="139"/>
  <c r="G86" i="139"/>
  <c r="AS49" i="138"/>
  <c r="AS41" i="138"/>
  <c r="C94" i="139"/>
  <c r="E91" i="139"/>
  <c r="C76" i="139"/>
  <c r="BB54" i="138"/>
  <c r="AP6" i="138"/>
  <c r="E95" i="139"/>
  <c r="E93" i="139"/>
  <c r="C89" i="139"/>
  <c r="C86" i="139"/>
  <c r="C82" i="139"/>
  <c r="E76" i="139"/>
  <c r="BB52" i="138"/>
  <c r="AY33" i="138"/>
  <c r="BB37" i="138"/>
  <c r="BB22" i="138"/>
  <c r="AS29" i="138"/>
  <c r="AP10" i="138"/>
  <c r="AS25" i="138"/>
  <c r="E75" i="139"/>
  <c r="D82" i="139"/>
  <c r="AS27" i="138"/>
  <c r="BA35" i="138"/>
  <c r="C91" i="139"/>
  <c r="E87" i="139"/>
  <c r="C47" i="139"/>
  <c r="E40" i="139"/>
  <c r="E38" i="139"/>
  <c r="E36" i="139"/>
  <c r="E88" i="139"/>
  <c r="C48" i="139"/>
  <c r="E42" i="139"/>
  <c r="E39" i="139"/>
  <c r="AP46" i="138"/>
  <c r="G88" i="139"/>
  <c r="G39" i="139"/>
  <c r="C19" i="139"/>
  <c r="C67" i="138"/>
  <c r="C57" i="138"/>
  <c r="AS45" i="138"/>
  <c r="C43" i="138"/>
  <c r="U37" i="138"/>
  <c r="C44" i="139"/>
  <c r="G40" i="139"/>
  <c r="C40" i="139"/>
  <c r="G38" i="139"/>
  <c r="G36" i="139"/>
  <c r="E16" i="139"/>
  <c r="C15" i="139"/>
  <c r="E14" i="139"/>
  <c r="C13" i="139"/>
  <c r="E12" i="139"/>
  <c r="C11" i="139"/>
  <c r="E10" i="139"/>
  <c r="E8" i="139"/>
  <c r="C7" i="139"/>
  <c r="E6" i="139"/>
  <c r="E4" i="139"/>
  <c r="C51" i="138"/>
  <c r="C49" i="138"/>
  <c r="C41" i="138"/>
  <c r="C35" i="138"/>
  <c r="U29" i="138"/>
  <c r="X28" i="138"/>
  <c r="U27" i="138"/>
  <c r="C33" i="138"/>
  <c r="U31" i="138"/>
  <c r="U13" i="138"/>
  <c r="U7" i="138"/>
  <c r="U25" i="138"/>
  <c r="C25" i="138"/>
  <c r="U23" i="138"/>
  <c r="U21" i="138"/>
  <c r="X20" i="138"/>
  <c r="C17" i="138"/>
  <c r="U15" i="138"/>
  <c r="X24" i="138"/>
  <c r="U19" i="138"/>
  <c r="C19" i="138"/>
  <c r="X12" i="138"/>
  <c r="U11" i="138"/>
  <c r="C88" i="139"/>
  <c r="C39" i="139"/>
  <c r="C37" i="139"/>
  <c r="C35" i="139"/>
  <c r="E86" i="139"/>
  <c r="C46" i="139"/>
  <c r="C41" i="139"/>
  <c r="C38" i="139"/>
  <c r="C36" i="139"/>
  <c r="AS61" i="138"/>
  <c r="AP42" i="138"/>
  <c r="AP38" i="138"/>
  <c r="AY50" i="138"/>
  <c r="AY49" i="138"/>
  <c r="Q30" i="107"/>
  <c r="K32" i="109"/>
  <c r="C105" i="109"/>
  <c r="C39" i="109"/>
  <c r="C14" i="109"/>
  <c r="C9" i="109"/>
  <c r="C13" i="109"/>
  <c r="C12" i="109"/>
  <c r="C86" i="109"/>
  <c r="C84" i="109"/>
  <c r="C102" i="109"/>
  <c r="C15" i="109"/>
  <c r="C75" i="109"/>
  <c r="C91" i="109"/>
  <c r="C79" i="109"/>
  <c r="C68" i="109"/>
  <c r="C92" i="109"/>
  <c r="C23" i="109"/>
  <c r="C80" i="109"/>
  <c r="C66" i="109"/>
  <c r="C69" i="109"/>
  <c r="C37" i="109"/>
  <c r="C87" i="109"/>
  <c r="C85" i="109"/>
  <c r="C40" i="109"/>
  <c r="C28" i="109"/>
  <c r="C43" i="109"/>
  <c r="C20" i="109"/>
  <c r="C88" i="109"/>
  <c r="C82" i="109"/>
  <c r="C58" i="109"/>
  <c r="C31" i="109"/>
  <c r="C70" i="109"/>
  <c r="C50" i="109"/>
  <c r="C18" i="109"/>
  <c r="C48" i="109"/>
  <c r="C29" i="109"/>
  <c r="C56" i="109"/>
  <c r="C26" i="109"/>
  <c r="C41" i="109"/>
  <c r="C101" i="109"/>
  <c r="C60" i="109"/>
  <c r="C47" i="109"/>
  <c r="C94" i="109"/>
  <c r="C57" i="109"/>
  <c r="C71" i="109"/>
  <c r="C44" i="109"/>
  <c r="C36" i="109"/>
  <c r="C98" i="109"/>
  <c r="C64" i="109"/>
  <c r="C46" i="109"/>
  <c r="C90" i="109"/>
  <c r="C96" i="109"/>
  <c r="C54" i="109"/>
  <c r="C83" i="109"/>
  <c r="C33" i="109"/>
  <c r="C21" i="109"/>
  <c r="C63" i="109"/>
  <c r="C30" i="109"/>
  <c r="C73" i="109"/>
  <c r="C78" i="109"/>
  <c r="C27" i="109"/>
  <c r="C81" i="109"/>
  <c r="C89" i="109"/>
  <c r="C100" i="109"/>
  <c r="C99" i="109"/>
  <c r="C51" i="109"/>
  <c r="C45" i="109"/>
  <c r="C52" i="109"/>
  <c r="C35" i="109"/>
  <c r="C77" i="109"/>
  <c r="C22" i="109"/>
  <c r="C67" i="109"/>
  <c r="C59" i="109"/>
  <c r="C24" i="109"/>
  <c r="C53" i="109"/>
  <c r="C19" i="109"/>
  <c r="C65" i="109"/>
  <c r="C17" i="109"/>
  <c r="C95" i="109"/>
  <c r="C25" i="109"/>
  <c r="C74" i="109"/>
  <c r="C62" i="109"/>
  <c r="C34" i="109"/>
  <c r="C11" i="109"/>
  <c r="C103" i="109"/>
  <c r="C61" i="109"/>
  <c r="C72" i="109"/>
  <c r="C16" i="109"/>
  <c r="C104" i="109"/>
  <c r="C76" i="109"/>
  <c r="C49" i="109"/>
  <c r="C93" i="109"/>
  <c r="C97" i="109"/>
  <c r="C42" i="109"/>
  <c r="C55" i="109"/>
  <c r="C32" i="109"/>
  <c r="C38" i="109"/>
  <c r="C10" i="109"/>
  <c r="BB68" i="138" l="1"/>
  <c r="AS63" i="138"/>
  <c r="D85" i="139"/>
  <c r="E85" i="139" s="1"/>
  <c r="BB35" i="138"/>
  <c r="BD40" i="138"/>
  <c r="BE70" i="138"/>
  <c r="BE71" i="138"/>
  <c r="E82" i="139"/>
  <c r="B85" i="139"/>
  <c r="C85" i="139" s="1"/>
  <c r="BE40" i="138" l="1"/>
  <c r="BE39" i="138"/>
  <c r="S55" i="109"/>
  <c r="S32" i="109"/>
  <c r="S38" i="109"/>
  <c r="Q55" i="109"/>
  <c r="Q32" i="109"/>
  <c r="Q38" i="109"/>
  <c r="M55" i="109"/>
  <c r="M32" i="109"/>
  <c r="M38" i="109"/>
  <c r="K55" i="109"/>
  <c r="K38" i="109"/>
  <c r="I55" i="109"/>
  <c r="I32" i="109"/>
  <c r="I38" i="109"/>
  <c r="D32" i="109"/>
  <c r="J94" i="52"/>
  <c r="K94" i="52"/>
  <c r="J57" i="52"/>
  <c r="K57" i="52"/>
  <c r="J85" i="52"/>
  <c r="K85" i="52"/>
  <c r="S42" i="109"/>
  <c r="Q42" i="109"/>
  <c r="M42" i="109"/>
  <c r="K42" i="109"/>
  <c r="I42" i="109"/>
  <c r="J107" i="52"/>
  <c r="K107" i="52"/>
  <c r="D42" i="109"/>
  <c r="AC84" i="137"/>
  <c r="D84" i="137"/>
  <c r="AA82" i="137"/>
  <c r="Y82" i="137"/>
  <c r="X82" i="137"/>
  <c r="V82" i="137"/>
  <c r="U82" i="137"/>
  <c r="S82" i="137"/>
  <c r="R82" i="137"/>
  <c r="P82" i="137"/>
  <c r="O82" i="137"/>
  <c r="M82" i="137"/>
  <c r="L82" i="137"/>
  <c r="J82" i="137"/>
  <c r="I82" i="137"/>
  <c r="G82" i="137"/>
  <c r="F82" i="137"/>
  <c r="D82" i="137"/>
  <c r="C82" i="137"/>
  <c r="Y81" i="137"/>
  <c r="V81" i="137"/>
  <c r="S81" i="137"/>
  <c r="P81" i="137"/>
  <c r="M81" i="137"/>
  <c r="J81" i="137"/>
  <c r="G81" i="137"/>
  <c r="D81" i="137"/>
  <c r="C81" i="137"/>
  <c r="Z82" i="137"/>
  <c r="X80" i="137"/>
  <c r="V80" i="137"/>
  <c r="U80" i="137"/>
  <c r="S80" i="137"/>
  <c r="R80" i="137"/>
  <c r="P80" i="137"/>
  <c r="O80" i="137"/>
  <c r="M80" i="137"/>
  <c r="L80" i="137"/>
  <c r="J80" i="137"/>
  <c r="I80" i="137"/>
  <c r="G80" i="137"/>
  <c r="F80" i="137"/>
  <c r="D80" i="137"/>
  <c r="C80" i="137"/>
  <c r="V79" i="137"/>
  <c r="S79" i="137"/>
  <c r="P79" i="137"/>
  <c r="M79" i="137"/>
  <c r="J79" i="137"/>
  <c r="G79" i="137"/>
  <c r="D79" i="137"/>
  <c r="C79" i="137"/>
  <c r="W82" i="137"/>
  <c r="Z78" i="137"/>
  <c r="W80" i="137" s="1"/>
  <c r="U78" i="137"/>
  <c r="S78" i="137"/>
  <c r="R78" i="137"/>
  <c r="P78" i="137"/>
  <c r="O78" i="137"/>
  <c r="M78" i="137"/>
  <c r="L78" i="137"/>
  <c r="J78" i="137"/>
  <c r="I78" i="137"/>
  <c r="G78" i="137"/>
  <c r="F78" i="137"/>
  <c r="D78" i="137"/>
  <c r="C78" i="137"/>
  <c r="S77" i="137"/>
  <c r="P77" i="137"/>
  <c r="M77" i="137"/>
  <c r="J77" i="137"/>
  <c r="G77" i="137"/>
  <c r="D77" i="137"/>
  <c r="C77" i="137"/>
  <c r="T82" i="137"/>
  <c r="Z76" i="137"/>
  <c r="T80" i="137" s="1"/>
  <c r="W76" i="137"/>
  <c r="T78" i="137" s="1"/>
  <c r="R76" i="137"/>
  <c r="P76" i="137"/>
  <c r="O76" i="137"/>
  <c r="M76" i="137"/>
  <c r="L76" i="137"/>
  <c r="J76" i="137"/>
  <c r="I76" i="137"/>
  <c r="G76" i="137"/>
  <c r="F76" i="137"/>
  <c r="D76" i="137"/>
  <c r="P75" i="137"/>
  <c r="M75" i="137"/>
  <c r="J75" i="137"/>
  <c r="G75" i="137"/>
  <c r="D75" i="137"/>
  <c r="C75" i="137"/>
  <c r="Q82" i="137"/>
  <c r="Z74" i="137"/>
  <c r="Q80" i="137" s="1"/>
  <c r="W74" i="137"/>
  <c r="Q78" i="137" s="1"/>
  <c r="T74" i="137"/>
  <c r="Q76" i="137" s="1"/>
  <c r="O74" i="137"/>
  <c r="M74" i="137"/>
  <c r="L74" i="137"/>
  <c r="J74" i="137"/>
  <c r="I74" i="137"/>
  <c r="G74" i="137"/>
  <c r="F74" i="137"/>
  <c r="D74" i="137"/>
  <c r="M73" i="137"/>
  <c r="J73" i="137"/>
  <c r="G73" i="137"/>
  <c r="D73" i="137"/>
  <c r="C73" i="137"/>
  <c r="N82" i="137"/>
  <c r="Z72" i="137"/>
  <c r="N80" i="137" s="1"/>
  <c r="W72" i="137"/>
  <c r="N78" i="137" s="1"/>
  <c r="T72" i="137"/>
  <c r="N76" i="137" s="1"/>
  <c r="Q72" i="137"/>
  <c r="N74" i="137" s="1"/>
  <c r="L72" i="137"/>
  <c r="J72" i="137"/>
  <c r="I72" i="137"/>
  <c r="G72" i="137"/>
  <c r="F72" i="137"/>
  <c r="D72" i="137"/>
  <c r="J71" i="137"/>
  <c r="G71" i="137"/>
  <c r="D71" i="137"/>
  <c r="C71" i="137"/>
  <c r="K82" i="137"/>
  <c r="Z70" i="137"/>
  <c r="K80" i="137" s="1"/>
  <c r="W70" i="137"/>
  <c r="K78" i="137" s="1"/>
  <c r="T70" i="137"/>
  <c r="K76" i="137" s="1"/>
  <c r="Q70" i="137"/>
  <c r="K74" i="137" s="1"/>
  <c r="N70" i="137"/>
  <c r="K72" i="137" s="1"/>
  <c r="I70" i="137"/>
  <c r="G70" i="137"/>
  <c r="F70" i="137"/>
  <c r="D70" i="137"/>
  <c r="G69" i="137"/>
  <c r="D69" i="137"/>
  <c r="C69" i="137"/>
  <c r="H82" i="137"/>
  <c r="Z68" i="137"/>
  <c r="H80" i="137" s="1"/>
  <c r="W68" i="137"/>
  <c r="H78" i="137" s="1"/>
  <c r="T68" i="137"/>
  <c r="Q68" i="137"/>
  <c r="H76" i="137" s="1"/>
  <c r="N68" i="137"/>
  <c r="H72" i="137" s="1"/>
  <c r="K68" i="137"/>
  <c r="H70" i="137" s="1"/>
  <c r="F68" i="137"/>
  <c r="E68" i="137"/>
  <c r="D68" i="137"/>
  <c r="D67" i="137"/>
  <c r="AE67" i="137" s="1"/>
  <c r="C67" i="137"/>
  <c r="E82" i="137"/>
  <c r="Z66" i="137"/>
  <c r="E80" i="137" s="1"/>
  <c r="W66" i="137"/>
  <c r="E78" i="137" s="1"/>
  <c r="T66" i="137"/>
  <c r="E76" i="137" s="1"/>
  <c r="Q66" i="137"/>
  <c r="E74" i="137" s="1"/>
  <c r="N66" i="137"/>
  <c r="E72" i="137" s="1"/>
  <c r="K66" i="137"/>
  <c r="E70" i="137" s="1"/>
  <c r="H66" i="137"/>
  <c r="AE65" i="137"/>
  <c r="C65" i="137"/>
  <c r="AA62" i="137"/>
  <c r="Y62" i="137"/>
  <c r="X62" i="137"/>
  <c r="V62" i="137"/>
  <c r="U62" i="137"/>
  <c r="S62" i="137"/>
  <c r="R62" i="137"/>
  <c r="P62" i="137"/>
  <c r="O62" i="137"/>
  <c r="M62" i="137"/>
  <c r="L62" i="137"/>
  <c r="J62" i="137"/>
  <c r="I62" i="137"/>
  <c r="G62" i="137"/>
  <c r="F62" i="137"/>
  <c r="D62" i="137"/>
  <c r="C62" i="137"/>
  <c r="Y61" i="137"/>
  <c r="V61" i="137"/>
  <c r="S61" i="137"/>
  <c r="P61" i="137"/>
  <c r="M61" i="137"/>
  <c r="J61" i="137"/>
  <c r="G61" i="137"/>
  <c r="D61" i="137"/>
  <c r="C61" i="137"/>
  <c r="Z62" i="137"/>
  <c r="X60" i="137"/>
  <c r="V60" i="137"/>
  <c r="U60" i="137"/>
  <c r="S60" i="137"/>
  <c r="R60" i="137"/>
  <c r="P60" i="137"/>
  <c r="O60" i="137"/>
  <c r="M60" i="137"/>
  <c r="L60" i="137"/>
  <c r="J60" i="137"/>
  <c r="I60" i="137"/>
  <c r="G60" i="137"/>
  <c r="F60" i="137"/>
  <c r="D60" i="137"/>
  <c r="C60" i="137"/>
  <c r="V59" i="137"/>
  <c r="S59" i="137"/>
  <c r="P59" i="137"/>
  <c r="M59" i="137"/>
  <c r="J59" i="137"/>
  <c r="G59" i="137"/>
  <c r="D59" i="137"/>
  <c r="C59" i="137"/>
  <c r="W62" i="137"/>
  <c r="Z58" i="137"/>
  <c r="W60" i="137" s="1"/>
  <c r="U58" i="137"/>
  <c r="S58" i="137"/>
  <c r="R58" i="137"/>
  <c r="P58" i="137"/>
  <c r="O58" i="137"/>
  <c r="M58" i="137"/>
  <c r="L58" i="137"/>
  <c r="J58" i="137"/>
  <c r="I58" i="137"/>
  <c r="G58" i="137"/>
  <c r="F58" i="137"/>
  <c r="D58" i="137"/>
  <c r="S57" i="137"/>
  <c r="P57" i="137"/>
  <c r="M57" i="137"/>
  <c r="J57" i="137"/>
  <c r="G57" i="137"/>
  <c r="D57" i="137"/>
  <c r="T62" i="137"/>
  <c r="Z56" i="137"/>
  <c r="T60" i="137" s="1"/>
  <c r="W56" i="137"/>
  <c r="T58" i="137" s="1"/>
  <c r="R56" i="137"/>
  <c r="P56" i="137"/>
  <c r="O56" i="137"/>
  <c r="M56" i="137"/>
  <c r="L56" i="137"/>
  <c r="J56" i="137"/>
  <c r="I56" i="137"/>
  <c r="G56" i="137"/>
  <c r="F56" i="137"/>
  <c r="D56" i="137"/>
  <c r="M55" i="137"/>
  <c r="J55" i="137"/>
  <c r="G55" i="137"/>
  <c r="D55" i="137"/>
  <c r="C55" i="137"/>
  <c r="Q62" i="137"/>
  <c r="Z54" i="137"/>
  <c r="Q60" i="137" s="1"/>
  <c r="W54" i="137"/>
  <c r="Q58" i="137" s="1"/>
  <c r="T54" i="137"/>
  <c r="Q56" i="137" s="1"/>
  <c r="O54" i="137"/>
  <c r="M54" i="137"/>
  <c r="L54" i="137"/>
  <c r="J54" i="137"/>
  <c r="I54" i="137"/>
  <c r="G54" i="137"/>
  <c r="F54" i="137"/>
  <c r="D54" i="137"/>
  <c r="M53" i="137"/>
  <c r="J53" i="137"/>
  <c r="G53" i="137"/>
  <c r="D53" i="137"/>
  <c r="AE53" i="137" s="1"/>
  <c r="C53" i="137"/>
  <c r="N62" i="137"/>
  <c r="Z52" i="137"/>
  <c r="N60" i="137" s="1"/>
  <c r="W52" i="137"/>
  <c r="N58" i="137" s="1"/>
  <c r="T52" i="137"/>
  <c r="N56" i="137" s="1"/>
  <c r="Q52" i="137"/>
  <c r="N54" i="137" s="1"/>
  <c r="L52" i="137"/>
  <c r="J52" i="137"/>
  <c r="I52" i="137"/>
  <c r="G52" i="137"/>
  <c r="F52" i="137"/>
  <c r="D52" i="137"/>
  <c r="J51" i="137"/>
  <c r="G51" i="137"/>
  <c r="D51" i="137"/>
  <c r="C51" i="137"/>
  <c r="K62" i="137"/>
  <c r="Z50" i="137"/>
  <c r="K60" i="137" s="1"/>
  <c r="W50" i="137"/>
  <c r="K58" i="137" s="1"/>
  <c r="T50" i="137"/>
  <c r="K56" i="137" s="1"/>
  <c r="Q50" i="137"/>
  <c r="K54" i="137" s="1"/>
  <c r="N50" i="137"/>
  <c r="K52" i="137" s="1"/>
  <c r="I50" i="137"/>
  <c r="G50" i="137"/>
  <c r="F50" i="137"/>
  <c r="D50" i="137"/>
  <c r="G49" i="137"/>
  <c r="D49" i="137"/>
  <c r="C49" i="137"/>
  <c r="H62" i="137"/>
  <c r="Z48" i="137"/>
  <c r="H60" i="137" s="1"/>
  <c r="W48" i="137"/>
  <c r="H58" i="137" s="1"/>
  <c r="T48" i="137"/>
  <c r="H56" i="137" s="1"/>
  <c r="Q48" i="137"/>
  <c r="N48" i="137"/>
  <c r="H52" i="137" s="1"/>
  <c r="K48" i="137"/>
  <c r="H50" i="137" s="1"/>
  <c r="F48" i="137"/>
  <c r="E48" i="137"/>
  <c r="D48" i="137"/>
  <c r="D47" i="137"/>
  <c r="AE47" i="137" s="1"/>
  <c r="C47" i="137"/>
  <c r="E62" i="137"/>
  <c r="Z46" i="137"/>
  <c r="E60" i="137" s="1"/>
  <c r="W46" i="137"/>
  <c r="E58" i="137" s="1"/>
  <c r="T46" i="137"/>
  <c r="E56" i="137" s="1"/>
  <c r="Q46" i="137"/>
  <c r="E54" i="137" s="1"/>
  <c r="N46" i="137"/>
  <c r="E52" i="137" s="1"/>
  <c r="K46" i="137"/>
  <c r="E50" i="137" s="1"/>
  <c r="H46" i="137"/>
  <c r="AE45" i="137"/>
  <c r="C45" i="137"/>
  <c r="AA42" i="137"/>
  <c r="Y42" i="137"/>
  <c r="X42" i="137"/>
  <c r="V42" i="137"/>
  <c r="U42" i="137"/>
  <c r="S42" i="137"/>
  <c r="R42" i="137"/>
  <c r="P42" i="137"/>
  <c r="O42" i="137"/>
  <c r="M42" i="137"/>
  <c r="L42" i="137"/>
  <c r="J42" i="137"/>
  <c r="I42" i="137"/>
  <c r="G42" i="137"/>
  <c r="F42" i="137"/>
  <c r="D42" i="137"/>
  <c r="C42" i="137"/>
  <c r="Y41" i="137"/>
  <c r="V41" i="137"/>
  <c r="S41" i="137"/>
  <c r="P41" i="137"/>
  <c r="M41" i="137"/>
  <c r="J41" i="137"/>
  <c r="G41" i="137"/>
  <c r="D41" i="137"/>
  <c r="C41" i="137"/>
  <c r="L35" i="186" s="1"/>
  <c r="Z42" i="137"/>
  <c r="X40" i="137"/>
  <c r="V40" i="137"/>
  <c r="U40" i="137"/>
  <c r="S40" i="137"/>
  <c r="R40" i="137"/>
  <c r="P40" i="137"/>
  <c r="O40" i="137"/>
  <c r="M40" i="137"/>
  <c r="L40" i="137"/>
  <c r="J40" i="137"/>
  <c r="I40" i="137"/>
  <c r="G40" i="137"/>
  <c r="F40" i="137"/>
  <c r="D40" i="137"/>
  <c r="C40" i="137"/>
  <c r="V39" i="137"/>
  <c r="S39" i="137"/>
  <c r="P39" i="137"/>
  <c r="M39" i="137"/>
  <c r="J39" i="137"/>
  <c r="G39" i="137"/>
  <c r="D39" i="137"/>
  <c r="C39" i="137"/>
  <c r="W42" i="137"/>
  <c r="Z38" i="137"/>
  <c r="W40" i="137" s="1"/>
  <c r="U38" i="137"/>
  <c r="S38" i="137"/>
  <c r="R38" i="137"/>
  <c r="P38" i="137"/>
  <c r="O38" i="137"/>
  <c r="M38" i="137"/>
  <c r="L38" i="137"/>
  <c r="J38" i="137"/>
  <c r="I38" i="137"/>
  <c r="G38" i="137"/>
  <c r="F38" i="137"/>
  <c r="D38" i="137"/>
  <c r="C38" i="137"/>
  <c r="S37" i="137"/>
  <c r="P37" i="137"/>
  <c r="M37" i="137"/>
  <c r="J37" i="137"/>
  <c r="G37" i="137"/>
  <c r="D37" i="137"/>
  <c r="C37" i="137"/>
  <c r="T42" i="137"/>
  <c r="Z36" i="137"/>
  <c r="T40" i="137" s="1"/>
  <c r="T38" i="137"/>
  <c r="R36" i="137"/>
  <c r="P36" i="137"/>
  <c r="O36" i="137"/>
  <c r="M36" i="137"/>
  <c r="L36" i="137"/>
  <c r="J36" i="137"/>
  <c r="I36" i="137"/>
  <c r="G36" i="137"/>
  <c r="F36" i="137"/>
  <c r="D36" i="137"/>
  <c r="P35" i="137"/>
  <c r="M35" i="137"/>
  <c r="J35" i="137"/>
  <c r="G35" i="137"/>
  <c r="D35" i="137"/>
  <c r="C35" i="137"/>
  <c r="Q42" i="137"/>
  <c r="Z34" i="137"/>
  <c r="Q40" i="137" s="1"/>
  <c r="Q38" i="137"/>
  <c r="T34" i="137"/>
  <c r="Q36" i="137" s="1"/>
  <c r="O34" i="137"/>
  <c r="M34" i="137"/>
  <c r="L34" i="137"/>
  <c r="K34" i="137"/>
  <c r="J34" i="137"/>
  <c r="I34" i="137"/>
  <c r="G34" i="137"/>
  <c r="F34" i="137"/>
  <c r="D34" i="137"/>
  <c r="M33" i="137"/>
  <c r="J33" i="137"/>
  <c r="G33" i="137"/>
  <c r="D33" i="137"/>
  <c r="C33" i="137"/>
  <c r="N42" i="137"/>
  <c r="Z32" i="137"/>
  <c r="N40" i="137" s="1"/>
  <c r="N38" i="137"/>
  <c r="T32" i="137"/>
  <c r="N36" i="137" s="1"/>
  <c r="Q32" i="137"/>
  <c r="N34" i="137" s="1"/>
  <c r="L32" i="137"/>
  <c r="J32" i="137"/>
  <c r="I32" i="137"/>
  <c r="G32" i="137"/>
  <c r="F32" i="137"/>
  <c r="D32" i="137"/>
  <c r="J31" i="137"/>
  <c r="G31" i="137"/>
  <c r="D31" i="137"/>
  <c r="C31" i="137"/>
  <c r="K42" i="137"/>
  <c r="Z30" i="137"/>
  <c r="K40" i="137" s="1"/>
  <c r="K38" i="137"/>
  <c r="T30" i="137"/>
  <c r="K36" i="137" s="1"/>
  <c r="N30" i="137"/>
  <c r="K32" i="137" s="1"/>
  <c r="I30" i="137"/>
  <c r="G30" i="137"/>
  <c r="F30" i="137"/>
  <c r="D30" i="137"/>
  <c r="G29" i="137"/>
  <c r="D29" i="137"/>
  <c r="C29" i="137"/>
  <c r="H42" i="137"/>
  <c r="Z28" i="137"/>
  <c r="H40" i="137" s="1"/>
  <c r="H38" i="137"/>
  <c r="T28" i="137"/>
  <c r="Q28" i="137"/>
  <c r="H36" i="137" s="1"/>
  <c r="N28" i="137"/>
  <c r="H32" i="137" s="1"/>
  <c r="K28" i="137"/>
  <c r="H30" i="137" s="1"/>
  <c r="F28" i="137"/>
  <c r="E28" i="137"/>
  <c r="D28" i="137"/>
  <c r="D27" i="137"/>
  <c r="AE27" i="137" s="1"/>
  <c r="C27" i="137"/>
  <c r="E42" i="137"/>
  <c r="Z26" i="137"/>
  <c r="E40" i="137" s="1"/>
  <c r="E38" i="137"/>
  <c r="T26" i="137"/>
  <c r="E36" i="137" s="1"/>
  <c r="Q26" i="137"/>
  <c r="E34" i="137" s="1"/>
  <c r="N26" i="137"/>
  <c r="E32" i="137" s="1"/>
  <c r="K26" i="137"/>
  <c r="E30" i="137" s="1"/>
  <c r="H26" i="137"/>
  <c r="AE25" i="137"/>
  <c r="C25" i="137"/>
  <c r="X20" i="137"/>
  <c r="V20" i="137"/>
  <c r="U20" i="137"/>
  <c r="S20" i="137"/>
  <c r="R20" i="137"/>
  <c r="P20" i="137"/>
  <c r="O20" i="137"/>
  <c r="M20" i="137"/>
  <c r="L20" i="137"/>
  <c r="J20" i="137"/>
  <c r="I20" i="137"/>
  <c r="G20" i="137"/>
  <c r="F20" i="137"/>
  <c r="D20" i="137"/>
  <c r="C20" i="137"/>
  <c r="V19" i="137"/>
  <c r="S19" i="137"/>
  <c r="P19" i="137"/>
  <c r="M19" i="137"/>
  <c r="J19" i="137"/>
  <c r="G19" i="137"/>
  <c r="D19" i="137"/>
  <c r="AE19" i="137" s="1"/>
  <c r="C19" i="137"/>
  <c r="Z18" i="137"/>
  <c r="W20" i="137" s="1"/>
  <c r="U18" i="137"/>
  <c r="S18" i="137"/>
  <c r="R18" i="137"/>
  <c r="P18" i="137"/>
  <c r="O18" i="137"/>
  <c r="M18" i="137"/>
  <c r="L18" i="137"/>
  <c r="J18" i="137"/>
  <c r="I18" i="137"/>
  <c r="G18" i="137"/>
  <c r="F18" i="137"/>
  <c r="D18" i="137"/>
  <c r="S17" i="137"/>
  <c r="P17" i="137"/>
  <c r="M17" i="137"/>
  <c r="J17" i="137"/>
  <c r="G17" i="137"/>
  <c r="D17" i="137"/>
  <c r="C50" i="184"/>
  <c r="T20" i="137"/>
  <c r="W16" i="137"/>
  <c r="T18" i="137" s="1"/>
  <c r="R16" i="137"/>
  <c r="P16" i="137"/>
  <c r="O16" i="137"/>
  <c r="M16" i="137"/>
  <c r="L16" i="137"/>
  <c r="J16" i="137"/>
  <c r="I16" i="137"/>
  <c r="G16" i="137"/>
  <c r="F16" i="137"/>
  <c r="D16" i="137"/>
  <c r="P15" i="137"/>
  <c r="M15" i="137"/>
  <c r="J15" i="137"/>
  <c r="G15" i="137"/>
  <c r="D15" i="137"/>
  <c r="C15" i="137"/>
  <c r="Z14" i="137"/>
  <c r="Q20" i="137" s="1"/>
  <c r="W14" i="137"/>
  <c r="Q18" i="137" s="1"/>
  <c r="T14" i="137"/>
  <c r="Q16" i="137" s="1"/>
  <c r="O14" i="137"/>
  <c r="M14" i="137"/>
  <c r="L14" i="137"/>
  <c r="J14" i="137"/>
  <c r="I14" i="137"/>
  <c r="G14" i="137"/>
  <c r="F14" i="137"/>
  <c r="D14" i="137"/>
  <c r="M13" i="137"/>
  <c r="J13" i="137"/>
  <c r="G13" i="137"/>
  <c r="D13" i="137"/>
  <c r="C13" i="137"/>
  <c r="Z12" i="137"/>
  <c r="N20" i="137" s="1"/>
  <c r="W12" i="137"/>
  <c r="N18" i="137" s="1"/>
  <c r="T12" i="137"/>
  <c r="N16" i="137" s="1"/>
  <c r="Q12" i="137"/>
  <c r="N14" i="137" s="1"/>
  <c r="L12" i="137"/>
  <c r="J12" i="137"/>
  <c r="I12" i="137"/>
  <c r="G12" i="137"/>
  <c r="F12" i="137"/>
  <c r="D12" i="137"/>
  <c r="J11" i="137"/>
  <c r="G11" i="137"/>
  <c r="D11" i="137"/>
  <c r="C11" i="137"/>
  <c r="Z10" i="137"/>
  <c r="K20" i="137" s="1"/>
  <c r="W10" i="137"/>
  <c r="K18" i="137" s="1"/>
  <c r="T10" i="137"/>
  <c r="K16" i="137" s="1"/>
  <c r="Q10" i="137"/>
  <c r="K14" i="137" s="1"/>
  <c r="N10" i="137"/>
  <c r="K12" i="137" s="1"/>
  <c r="I10" i="137"/>
  <c r="G10" i="137"/>
  <c r="F10" i="137"/>
  <c r="D10" i="137"/>
  <c r="G9" i="137"/>
  <c r="D9" i="137"/>
  <c r="C9" i="137"/>
  <c r="Z8" i="137"/>
  <c r="H20" i="137" s="1"/>
  <c r="W8" i="137"/>
  <c r="H18" i="137" s="1"/>
  <c r="T8" i="137"/>
  <c r="H16" i="137" s="1"/>
  <c r="Q8" i="137"/>
  <c r="H14" i="137" s="1"/>
  <c r="N8" i="137"/>
  <c r="H12" i="137" s="1"/>
  <c r="K8" i="137"/>
  <c r="H10" i="137" s="1"/>
  <c r="F8" i="137"/>
  <c r="E8" i="137"/>
  <c r="D8" i="137"/>
  <c r="AE7" i="137"/>
  <c r="C7" i="137"/>
  <c r="Z6" i="137"/>
  <c r="E20" i="137" s="1"/>
  <c r="W6" i="137"/>
  <c r="E18" i="137" s="1"/>
  <c r="T6" i="137"/>
  <c r="E16" i="137" s="1"/>
  <c r="Q6" i="137"/>
  <c r="E14" i="137" s="1"/>
  <c r="N6" i="137"/>
  <c r="E12" i="137" s="1"/>
  <c r="K6" i="137"/>
  <c r="E10" i="137" s="1"/>
  <c r="H6" i="137"/>
  <c r="C5" i="137"/>
  <c r="C3" i="137"/>
  <c r="AB2" i="137"/>
  <c r="D2" i="137"/>
  <c r="C2" i="137"/>
  <c r="C1" i="137"/>
  <c r="AC84" i="136"/>
  <c r="D84" i="136"/>
  <c r="AA82" i="136"/>
  <c r="Y82" i="136"/>
  <c r="X82" i="136"/>
  <c r="V82" i="136"/>
  <c r="U82" i="136"/>
  <c r="S82" i="136"/>
  <c r="R82" i="136"/>
  <c r="P82" i="136"/>
  <c r="O82" i="136"/>
  <c r="M82" i="136"/>
  <c r="L82" i="136"/>
  <c r="J82" i="136"/>
  <c r="I82" i="136"/>
  <c r="G82" i="136"/>
  <c r="F82" i="136"/>
  <c r="D82" i="136"/>
  <c r="C82" i="136"/>
  <c r="Y81" i="136"/>
  <c r="V81" i="136"/>
  <c r="S81" i="136"/>
  <c r="P81" i="136"/>
  <c r="M81" i="136"/>
  <c r="J81" i="136"/>
  <c r="G81" i="136"/>
  <c r="D81" i="136"/>
  <c r="AE81" i="136" s="1"/>
  <c r="C81" i="136"/>
  <c r="AC80" i="136"/>
  <c r="Z82" i="136" s="1"/>
  <c r="X80" i="136"/>
  <c r="V80" i="136"/>
  <c r="U80" i="136"/>
  <c r="S80" i="136"/>
  <c r="R80" i="136"/>
  <c r="P80" i="136"/>
  <c r="O80" i="136"/>
  <c r="M80" i="136"/>
  <c r="L80" i="136"/>
  <c r="J80" i="136"/>
  <c r="I80" i="136"/>
  <c r="G80" i="136"/>
  <c r="F80" i="136"/>
  <c r="D80" i="136"/>
  <c r="C80" i="136"/>
  <c r="V79" i="136"/>
  <c r="S79" i="136"/>
  <c r="P79" i="136"/>
  <c r="M79" i="136"/>
  <c r="J79" i="136"/>
  <c r="G79" i="136"/>
  <c r="D79" i="136"/>
  <c r="AE79" i="136" s="1"/>
  <c r="C79" i="136"/>
  <c r="AC78" i="136"/>
  <c r="W82" i="136" s="1"/>
  <c r="Z78" i="136"/>
  <c r="W80" i="136" s="1"/>
  <c r="U78" i="136"/>
  <c r="S78" i="136"/>
  <c r="R78" i="136"/>
  <c r="P78" i="136"/>
  <c r="O78" i="136"/>
  <c r="M78" i="136"/>
  <c r="L78" i="136"/>
  <c r="J78" i="136"/>
  <c r="I78" i="136"/>
  <c r="G78" i="136"/>
  <c r="F78" i="136"/>
  <c r="D78" i="136"/>
  <c r="C78" i="136"/>
  <c r="S77" i="136"/>
  <c r="P77" i="136"/>
  <c r="M77" i="136"/>
  <c r="J77" i="136"/>
  <c r="G77" i="136"/>
  <c r="D77" i="136"/>
  <c r="C77" i="136"/>
  <c r="AC76" i="136"/>
  <c r="T82" i="136" s="1"/>
  <c r="Z76" i="136"/>
  <c r="T80" i="136" s="1"/>
  <c r="W76" i="136"/>
  <c r="T78" i="136" s="1"/>
  <c r="R76" i="136"/>
  <c r="P76" i="136"/>
  <c r="O76" i="136"/>
  <c r="M76" i="136"/>
  <c r="L76" i="136"/>
  <c r="J76" i="136"/>
  <c r="I76" i="136"/>
  <c r="G76" i="136"/>
  <c r="F76" i="136"/>
  <c r="D76" i="136"/>
  <c r="P75" i="136"/>
  <c r="M75" i="136"/>
  <c r="J75" i="136"/>
  <c r="G75" i="136"/>
  <c r="D75" i="136"/>
  <c r="C75" i="136"/>
  <c r="AC74" i="136"/>
  <c r="Q82" i="136" s="1"/>
  <c r="Z74" i="136"/>
  <c r="Q80" i="136" s="1"/>
  <c r="W74" i="136"/>
  <c r="Q78" i="136" s="1"/>
  <c r="T74" i="136"/>
  <c r="Q76" i="136" s="1"/>
  <c r="O74" i="136"/>
  <c r="M74" i="136"/>
  <c r="L74" i="136"/>
  <c r="J74" i="136"/>
  <c r="I74" i="136"/>
  <c r="G74" i="136"/>
  <c r="F74" i="136"/>
  <c r="D74" i="136"/>
  <c r="M73" i="136"/>
  <c r="J73" i="136"/>
  <c r="G73" i="136"/>
  <c r="D73" i="136"/>
  <c r="C73" i="136"/>
  <c r="AC72" i="136"/>
  <c r="N82" i="136" s="1"/>
  <c r="Z72" i="136"/>
  <c r="N80" i="136" s="1"/>
  <c r="W72" i="136"/>
  <c r="N78" i="136" s="1"/>
  <c r="T72" i="136"/>
  <c r="N76" i="136" s="1"/>
  <c r="Q72" i="136"/>
  <c r="N74" i="136" s="1"/>
  <c r="L72" i="136"/>
  <c r="J72" i="136"/>
  <c r="I72" i="136"/>
  <c r="G72" i="136"/>
  <c r="F72" i="136"/>
  <c r="D72" i="136"/>
  <c r="J71" i="136"/>
  <c r="G71" i="136"/>
  <c r="D71" i="136"/>
  <c r="C71" i="136"/>
  <c r="AC70" i="136"/>
  <c r="K82" i="136" s="1"/>
  <c r="Z70" i="136"/>
  <c r="K80" i="136" s="1"/>
  <c r="W70" i="136"/>
  <c r="K78" i="136" s="1"/>
  <c r="T70" i="136"/>
  <c r="K76" i="136" s="1"/>
  <c r="Q70" i="136"/>
  <c r="K74" i="136" s="1"/>
  <c r="N70" i="136"/>
  <c r="K72" i="136" s="1"/>
  <c r="I70" i="136"/>
  <c r="G70" i="136"/>
  <c r="F70" i="136"/>
  <c r="D70" i="136"/>
  <c r="G69" i="136"/>
  <c r="D69" i="136"/>
  <c r="AE69" i="136" s="1"/>
  <c r="C69" i="136"/>
  <c r="AC68" i="136"/>
  <c r="H82" i="136" s="1"/>
  <c r="Z68" i="136"/>
  <c r="H80" i="136" s="1"/>
  <c r="W68" i="136"/>
  <c r="H78" i="136" s="1"/>
  <c r="T68" i="136"/>
  <c r="Q68" i="136"/>
  <c r="H76" i="136" s="1"/>
  <c r="N68" i="136"/>
  <c r="H72" i="136" s="1"/>
  <c r="K68" i="136"/>
  <c r="H70" i="136" s="1"/>
  <c r="F68" i="136"/>
  <c r="E68" i="136"/>
  <c r="D68" i="136"/>
  <c r="D67" i="136"/>
  <c r="AE67" i="136" s="1"/>
  <c r="C67" i="136"/>
  <c r="AC66" i="136"/>
  <c r="E82" i="136" s="1"/>
  <c r="Z66" i="136"/>
  <c r="E80" i="136" s="1"/>
  <c r="W66" i="136"/>
  <c r="E78" i="136" s="1"/>
  <c r="T66" i="136"/>
  <c r="E76" i="136" s="1"/>
  <c r="Q66" i="136"/>
  <c r="E74" i="136" s="1"/>
  <c r="N66" i="136"/>
  <c r="E72" i="136" s="1"/>
  <c r="K66" i="136"/>
  <c r="E70" i="136" s="1"/>
  <c r="H66" i="136"/>
  <c r="AE65" i="136"/>
  <c r="C65" i="136"/>
  <c r="AA62" i="136"/>
  <c r="Y62" i="136"/>
  <c r="X62" i="136"/>
  <c r="W62" i="136"/>
  <c r="V62" i="136"/>
  <c r="U62" i="136"/>
  <c r="S62" i="136"/>
  <c r="R62" i="136"/>
  <c r="P62" i="136"/>
  <c r="O62" i="136"/>
  <c r="M62" i="136"/>
  <c r="L62" i="136"/>
  <c r="J62" i="136"/>
  <c r="I62" i="136"/>
  <c r="G62" i="136"/>
  <c r="F62" i="136"/>
  <c r="D62" i="136"/>
  <c r="C62" i="136"/>
  <c r="Y61" i="136"/>
  <c r="V61" i="136"/>
  <c r="S61" i="136"/>
  <c r="P61" i="136"/>
  <c r="M61" i="136"/>
  <c r="J61" i="136"/>
  <c r="G61" i="136"/>
  <c r="D61" i="136"/>
  <c r="AE61" i="136" s="1"/>
  <c r="C61" i="136"/>
  <c r="AC60" i="136"/>
  <c r="Z62" i="136" s="1"/>
  <c r="X60" i="136"/>
  <c r="V60" i="136"/>
  <c r="U60" i="136"/>
  <c r="S60" i="136"/>
  <c r="R60" i="136"/>
  <c r="P60" i="136"/>
  <c r="O60" i="136"/>
  <c r="M60" i="136"/>
  <c r="L60" i="136"/>
  <c r="J60" i="136"/>
  <c r="I60" i="136"/>
  <c r="G60" i="136"/>
  <c r="F60" i="136"/>
  <c r="D60" i="136"/>
  <c r="C60" i="136"/>
  <c r="V59" i="136"/>
  <c r="S59" i="136"/>
  <c r="P59" i="136"/>
  <c r="M59" i="136"/>
  <c r="J59" i="136"/>
  <c r="G59" i="136"/>
  <c r="D59" i="136"/>
  <c r="AE59" i="136" s="1"/>
  <c r="C59" i="136"/>
  <c r="AC58" i="136"/>
  <c r="Z58" i="136"/>
  <c r="W60" i="136" s="1"/>
  <c r="U58" i="136"/>
  <c r="S58" i="136"/>
  <c r="R58" i="136"/>
  <c r="P58" i="136"/>
  <c r="O58" i="136"/>
  <c r="M58" i="136"/>
  <c r="L58" i="136"/>
  <c r="J58" i="136"/>
  <c r="I58" i="136"/>
  <c r="G58" i="136"/>
  <c r="F58" i="136"/>
  <c r="D58" i="136"/>
  <c r="C58" i="136"/>
  <c r="S57" i="136"/>
  <c r="P57" i="136"/>
  <c r="M57" i="136"/>
  <c r="J57" i="136"/>
  <c r="G57" i="136"/>
  <c r="D57" i="136"/>
  <c r="C57" i="136"/>
  <c r="AC56" i="136"/>
  <c r="T62" i="136" s="1"/>
  <c r="Z56" i="136"/>
  <c r="T60" i="136" s="1"/>
  <c r="W56" i="136"/>
  <c r="T58" i="136" s="1"/>
  <c r="R56" i="136"/>
  <c r="P56" i="136"/>
  <c r="O56" i="136"/>
  <c r="M56" i="136"/>
  <c r="L56" i="136"/>
  <c r="J56" i="136"/>
  <c r="I56" i="136"/>
  <c r="G56" i="136"/>
  <c r="F56" i="136"/>
  <c r="D56" i="136"/>
  <c r="P55" i="136"/>
  <c r="M55" i="136"/>
  <c r="J55" i="136"/>
  <c r="G55" i="136"/>
  <c r="D55" i="136"/>
  <c r="C55" i="136"/>
  <c r="AC54" i="136"/>
  <c r="Q62" i="136" s="1"/>
  <c r="Z54" i="136"/>
  <c r="Q60" i="136" s="1"/>
  <c r="W54" i="136"/>
  <c r="Q58" i="136" s="1"/>
  <c r="T54" i="136"/>
  <c r="Q56" i="136" s="1"/>
  <c r="O54" i="136"/>
  <c r="M54" i="136"/>
  <c r="L54" i="136"/>
  <c r="J54" i="136"/>
  <c r="I54" i="136"/>
  <c r="G54" i="136"/>
  <c r="F54" i="136"/>
  <c r="D54" i="136"/>
  <c r="M53" i="136"/>
  <c r="J53" i="136"/>
  <c r="G53" i="136"/>
  <c r="D53" i="136"/>
  <c r="C53" i="136"/>
  <c r="AC52" i="136"/>
  <c r="N62" i="136" s="1"/>
  <c r="Z52" i="136"/>
  <c r="N60" i="136" s="1"/>
  <c r="W52" i="136"/>
  <c r="N58" i="136" s="1"/>
  <c r="T52" i="136"/>
  <c r="N56" i="136" s="1"/>
  <c r="Q52" i="136"/>
  <c r="N54" i="136" s="1"/>
  <c r="L52" i="136"/>
  <c r="J52" i="136"/>
  <c r="I52" i="136"/>
  <c r="G52" i="136"/>
  <c r="F52" i="136"/>
  <c r="D52" i="136"/>
  <c r="J51" i="136"/>
  <c r="G51" i="136"/>
  <c r="D51" i="136"/>
  <c r="C51" i="136"/>
  <c r="AC50" i="136"/>
  <c r="K62" i="136" s="1"/>
  <c r="Z50" i="136"/>
  <c r="K60" i="136" s="1"/>
  <c r="W50" i="136"/>
  <c r="K58" i="136" s="1"/>
  <c r="T50" i="136"/>
  <c r="K56" i="136" s="1"/>
  <c r="Q50" i="136"/>
  <c r="K54" i="136" s="1"/>
  <c r="N50" i="136"/>
  <c r="K52" i="136" s="1"/>
  <c r="I50" i="136"/>
  <c r="G50" i="136"/>
  <c r="F50" i="136"/>
  <c r="D50" i="136"/>
  <c r="G49" i="136"/>
  <c r="D49" i="136"/>
  <c r="C49" i="136"/>
  <c r="AC48" i="136"/>
  <c r="H62" i="136" s="1"/>
  <c r="Z48" i="136"/>
  <c r="H60" i="136" s="1"/>
  <c r="W48" i="136"/>
  <c r="H58" i="136" s="1"/>
  <c r="T48" i="136"/>
  <c r="Q48" i="136"/>
  <c r="H54" i="136" s="1"/>
  <c r="N48" i="136"/>
  <c r="H52" i="136" s="1"/>
  <c r="H50" i="136"/>
  <c r="F48" i="136"/>
  <c r="E48" i="136"/>
  <c r="D48" i="136"/>
  <c r="D47" i="136"/>
  <c r="AE47" i="136" s="1"/>
  <c r="C47" i="136"/>
  <c r="AC46" i="136"/>
  <c r="E62" i="136" s="1"/>
  <c r="Z46" i="136"/>
  <c r="E60" i="136" s="1"/>
  <c r="W46" i="136"/>
  <c r="E58" i="136" s="1"/>
  <c r="T46" i="136"/>
  <c r="E56" i="136" s="1"/>
  <c r="Q46" i="136"/>
  <c r="E54" i="136" s="1"/>
  <c r="N46" i="136"/>
  <c r="E52" i="136" s="1"/>
  <c r="K46" i="136"/>
  <c r="E50" i="136" s="1"/>
  <c r="H46" i="136"/>
  <c r="AE45" i="136"/>
  <c r="C45" i="136"/>
  <c r="AA42" i="136"/>
  <c r="Y42" i="136"/>
  <c r="X42" i="136"/>
  <c r="V42" i="136"/>
  <c r="U42" i="136"/>
  <c r="S42" i="136"/>
  <c r="R42" i="136"/>
  <c r="P42" i="136"/>
  <c r="O42" i="136"/>
  <c r="M42" i="136"/>
  <c r="L42" i="136"/>
  <c r="J42" i="136"/>
  <c r="I42" i="136"/>
  <c r="G42" i="136"/>
  <c r="F42" i="136"/>
  <c r="D42" i="136"/>
  <c r="C42" i="136"/>
  <c r="Y41" i="136"/>
  <c r="V41" i="136"/>
  <c r="S41" i="136"/>
  <c r="P41" i="136"/>
  <c r="M41" i="136"/>
  <c r="J41" i="136"/>
  <c r="G41" i="136"/>
  <c r="D41" i="136"/>
  <c r="AE41" i="136" s="1"/>
  <c r="C41" i="136"/>
  <c r="AC40" i="136"/>
  <c r="Z42" i="136" s="1"/>
  <c r="X40" i="136"/>
  <c r="V40" i="136"/>
  <c r="U40" i="136"/>
  <c r="S40" i="136"/>
  <c r="R40" i="136"/>
  <c r="P40" i="136"/>
  <c r="O40" i="136"/>
  <c r="M40" i="136"/>
  <c r="L40" i="136"/>
  <c r="J40" i="136"/>
  <c r="I40" i="136"/>
  <c r="G40" i="136"/>
  <c r="F40" i="136"/>
  <c r="D40" i="136"/>
  <c r="C40" i="136"/>
  <c r="V39" i="136"/>
  <c r="S39" i="136"/>
  <c r="P39" i="136"/>
  <c r="M39" i="136"/>
  <c r="J39" i="136"/>
  <c r="G39" i="136"/>
  <c r="D39" i="136"/>
  <c r="AE39" i="136" s="1"/>
  <c r="C39" i="136"/>
  <c r="AC38" i="136"/>
  <c r="W42" i="136" s="1"/>
  <c r="Z38" i="136"/>
  <c r="W40" i="136" s="1"/>
  <c r="U38" i="136"/>
  <c r="S38" i="136"/>
  <c r="R38" i="136"/>
  <c r="P38" i="136"/>
  <c r="O38" i="136"/>
  <c r="M38" i="136"/>
  <c r="L38" i="136"/>
  <c r="J38" i="136"/>
  <c r="I38" i="136"/>
  <c r="G38" i="136"/>
  <c r="F38" i="136"/>
  <c r="D38" i="136"/>
  <c r="C38" i="136"/>
  <c r="S37" i="136"/>
  <c r="P37" i="136"/>
  <c r="M37" i="136"/>
  <c r="J37" i="136"/>
  <c r="G37" i="136"/>
  <c r="D37" i="136"/>
  <c r="C37" i="136"/>
  <c r="AC36" i="136"/>
  <c r="T42" i="136" s="1"/>
  <c r="Z36" i="136"/>
  <c r="T40" i="136" s="1"/>
  <c r="W36" i="136"/>
  <c r="T38" i="136" s="1"/>
  <c r="R36" i="136"/>
  <c r="P36" i="136"/>
  <c r="O36" i="136"/>
  <c r="M36" i="136"/>
  <c r="L36" i="136"/>
  <c r="J36" i="136"/>
  <c r="I36" i="136"/>
  <c r="G36" i="136"/>
  <c r="F36" i="136"/>
  <c r="D36" i="136"/>
  <c r="P35" i="136"/>
  <c r="M35" i="136"/>
  <c r="J35" i="136"/>
  <c r="G35" i="136"/>
  <c r="D35" i="136"/>
  <c r="C35" i="136"/>
  <c r="AC34" i="136"/>
  <c r="Q42" i="136" s="1"/>
  <c r="Z34" i="136"/>
  <c r="Q40" i="136" s="1"/>
  <c r="W34" i="136"/>
  <c r="Q38" i="136" s="1"/>
  <c r="T34" i="136"/>
  <c r="Q36" i="136" s="1"/>
  <c r="O34" i="136"/>
  <c r="M34" i="136"/>
  <c r="L34" i="136"/>
  <c r="K34" i="136"/>
  <c r="J34" i="136"/>
  <c r="I34" i="136"/>
  <c r="G34" i="136"/>
  <c r="F34" i="136"/>
  <c r="D34" i="136"/>
  <c r="M33" i="136"/>
  <c r="J33" i="136"/>
  <c r="G33" i="136"/>
  <c r="D33" i="136"/>
  <c r="C33" i="136"/>
  <c r="AC32" i="136"/>
  <c r="N42" i="136" s="1"/>
  <c r="Z32" i="136"/>
  <c r="N40" i="136" s="1"/>
  <c r="W32" i="136"/>
  <c r="N38" i="136" s="1"/>
  <c r="T32" i="136"/>
  <c r="N36" i="136" s="1"/>
  <c r="Q32" i="136"/>
  <c r="N34" i="136" s="1"/>
  <c r="L32" i="136"/>
  <c r="J32" i="136"/>
  <c r="I32" i="136"/>
  <c r="G32" i="136"/>
  <c r="F32" i="136"/>
  <c r="D32" i="136"/>
  <c r="J31" i="136"/>
  <c r="G31" i="136"/>
  <c r="D31" i="136"/>
  <c r="C31" i="136"/>
  <c r="AC30" i="136"/>
  <c r="K42" i="136" s="1"/>
  <c r="Z30" i="136"/>
  <c r="K40" i="136" s="1"/>
  <c r="W30" i="136"/>
  <c r="K38" i="136" s="1"/>
  <c r="T30" i="136"/>
  <c r="K36" i="136" s="1"/>
  <c r="N30" i="136"/>
  <c r="K32" i="136" s="1"/>
  <c r="I30" i="136"/>
  <c r="G30" i="136"/>
  <c r="F30" i="136"/>
  <c r="D30" i="136"/>
  <c r="G29" i="136"/>
  <c r="D29" i="136"/>
  <c r="C29" i="136"/>
  <c r="AC28" i="136"/>
  <c r="H42" i="136" s="1"/>
  <c r="Z28" i="136"/>
  <c r="H40" i="136" s="1"/>
  <c r="W28" i="136"/>
  <c r="H38" i="136" s="1"/>
  <c r="T28" i="136"/>
  <c r="Q28" i="136"/>
  <c r="H36" i="136" s="1"/>
  <c r="N28" i="136"/>
  <c r="H32" i="136" s="1"/>
  <c r="K28" i="136"/>
  <c r="H30" i="136" s="1"/>
  <c r="F28" i="136"/>
  <c r="E28" i="136"/>
  <c r="D28" i="136"/>
  <c r="D27" i="136"/>
  <c r="AE27" i="136" s="1"/>
  <c r="C27" i="136"/>
  <c r="AC26" i="136"/>
  <c r="E42" i="136" s="1"/>
  <c r="Z26" i="136"/>
  <c r="E40" i="136" s="1"/>
  <c r="W26" i="136"/>
  <c r="E38" i="136" s="1"/>
  <c r="T26" i="136"/>
  <c r="E36" i="136" s="1"/>
  <c r="Q26" i="136"/>
  <c r="E34" i="136" s="1"/>
  <c r="N26" i="136"/>
  <c r="E32" i="136" s="1"/>
  <c r="K26" i="136"/>
  <c r="E30" i="136" s="1"/>
  <c r="H26" i="136"/>
  <c r="AE25" i="136"/>
  <c r="C25" i="136"/>
  <c r="AA22" i="136"/>
  <c r="Z22" i="136"/>
  <c r="Y22" i="136"/>
  <c r="X22" i="136"/>
  <c r="V22" i="136"/>
  <c r="U22" i="136"/>
  <c r="S22" i="136"/>
  <c r="R22" i="136"/>
  <c r="P22" i="136"/>
  <c r="O22" i="136"/>
  <c r="M22" i="136"/>
  <c r="L22" i="136"/>
  <c r="J22" i="136"/>
  <c r="I22" i="136"/>
  <c r="G22" i="136"/>
  <c r="F22" i="136"/>
  <c r="D22" i="136"/>
  <c r="C22" i="136"/>
  <c r="Y21" i="136"/>
  <c r="V21" i="136"/>
  <c r="S21" i="136"/>
  <c r="P21" i="136"/>
  <c r="M21" i="136"/>
  <c r="J21" i="136"/>
  <c r="G21" i="136"/>
  <c r="D21" i="136"/>
  <c r="AE21" i="136" s="1"/>
  <c r="C21" i="136"/>
  <c r="AC20" i="136"/>
  <c r="X20" i="136"/>
  <c r="V20" i="136"/>
  <c r="U20" i="136"/>
  <c r="T20" i="136"/>
  <c r="S20" i="136"/>
  <c r="R20" i="136"/>
  <c r="P20" i="136"/>
  <c r="O20" i="136"/>
  <c r="M20" i="136"/>
  <c r="L20" i="136"/>
  <c r="J20" i="136"/>
  <c r="I20" i="136"/>
  <c r="H20" i="136"/>
  <c r="G20" i="136"/>
  <c r="F20" i="136"/>
  <c r="D20" i="136"/>
  <c r="C20" i="136"/>
  <c r="V19" i="136"/>
  <c r="S19" i="136"/>
  <c r="P19" i="136"/>
  <c r="M19" i="136"/>
  <c r="J19" i="136"/>
  <c r="G19" i="136"/>
  <c r="D19" i="136"/>
  <c r="AE19" i="136" s="1"/>
  <c r="C19" i="136"/>
  <c r="AC18" i="136"/>
  <c r="W22" i="136" s="1"/>
  <c r="Z18" i="136"/>
  <c r="W20" i="136" s="1"/>
  <c r="O18" i="136"/>
  <c r="M18" i="136"/>
  <c r="F18" i="136"/>
  <c r="D18" i="136"/>
  <c r="C18" i="136"/>
  <c r="S17" i="136"/>
  <c r="P17" i="136"/>
  <c r="M17" i="136"/>
  <c r="J17" i="136"/>
  <c r="G17" i="136"/>
  <c r="D17" i="136"/>
  <c r="C17" i="136"/>
  <c r="AC16" i="136"/>
  <c r="T22" i="136" s="1"/>
  <c r="Z16" i="136"/>
  <c r="W16" i="136"/>
  <c r="T18" i="136" s="1"/>
  <c r="R16" i="136"/>
  <c r="P16" i="136"/>
  <c r="O16" i="136"/>
  <c r="M16" i="136"/>
  <c r="L16" i="136"/>
  <c r="J16" i="136"/>
  <c r="I16" i="136"/>
  <c r="G16" i="136"/>
  <c r="F16" i="136"/>
  <c r="D16" i="136"/>
  <c r="P15" i="136"/>
  <c r="M15" i="136"/>
  <c r="J15" i="136"/>
  <c r="G15" i="136"/>
  <c r="D15" i="136"/>
  <c r="C15" i="136"/>
  <c r="AC14" i="136"/>
  <c r="Q22" i="136" s="1"/>
  <c r="Z14" i="136"/>
  <c r="Q20" i="136" s="1"/>
  <c r="W14" i="136"/>
  <c r="Q18" i="136" s="1"/>
  <c r="T14" i="136"/>
  <c r="Q16" i="136" s="1"/>
  <c r="O14" i="136"/>
  <c r="M14" i="136"/>
  <c r="L14" i="136"/>
  <c r="J14" i="136"/>
  <c r="I14" i="136"/>
  <c r="G14" i="136"/>
  <c r="F14" i="136"/>
  <c r="D14" i="136"/>
  <c r="M13" i="136"/>
  <c r="J13" i="136"/>
  <c r="G13" i="136"/>
  <c r="D13" i="136"/>
  <c r="C13" i="136"/>
  <c r="AC12" i="136"/>
  <c r="N22" i="136" s="1"/>
  <c r="Z12" i="136"/>
  <c r="N20" i="136" s="1"/>
  <c r="W12" i="136"/>
  <c r="N18" i="136" s="1"/>
  <c r="T12" i="136"/>
  <c r="N16" i="136" s="1"/>
  <c r="Q12" i="136"/>
  <c r="N14" i="136" s="1"/>
  <c r="L12" i="136"/>
  <c r="J12" i="136"/>
  <c r="I12" i="136"/>
  <c r="G12" i="136"/>
  <c r="F12" i="136"/>
  <c r="D12" i="136"/>
  <c r="J11" i="136"/>
  <c r="G11" i="136"/>
  <c r="D11" i="136"/>
  <c r="C11" i="136"/>
  <c r="AC10" i="136"/>
  <c r="K22" i="136" s="1"/>
  <c r="Z10" i="136"/>
  <c r="K20" i="136" s="1"/>
  <c r="W10" i="136"/>
  <c r="T10" i="136"/>
  <c r="K16" i="136" s="1"/>
  <c r="Q10" i="136"/>
  <c r="K14" i="136" s="1"/>
  <c r="N10" i="136"/>
  <c r="K12" i="136" s="1"/>
  <c r="I10" i="136"/>
  <c r="G10" i="136"/>
  <c r="F10" i="136"/>
  <c r="D10" i="136"/>
  <c r="G9" i="136"/>
  <c r="D9" i="136"/>
  <c r="C9" i="136"/>
  <c r="AC8" i="136"/>
  <c r="H22" i="136" s="1"/>
  <c r="Z8" i="136"/>
  <c r="W8" i="136"/>
  <c r="T8" i="136"/>
  <c r="Q8" i="136"/>
  <c r="H14" i="136" s="1"/>
  <c r="N8" i="136"/>
  <c r="H12" i="136" s="1"/>
  <c r="K8" i="136"/>
  <c r="H10" i="136" s="1"/>
  <c r="F8" i="136"/>
  <c r="E8" i="136"/>
  <c r="D8" i="136"/>
  <c r="D7" i="136"/>
  <c r="C7" i="136"/>
  <c r="AC6" i="136"/>
  <c r="E22" i="136" s="1"/>
  <c r="Z6" i="136"/>
  <c r="E20" i="136" s="1"/>
  <c r="W6" i="136"/>
  <c r="E18" i="136" s="1"/>
  <c r="T6" i="136"/>
  <c r="E16" i="136" s="1"/>
  <c r="Q6" i="136"/>
  <c r="E14" i="136" s="1"/>
  <c r="N6" i="136"/>
  <c r="E12" i="136" s="1"/>
  <c r="K6" i="136"/>
  <c r="E10" i="136" s="1"/>
  <c r="H6" i="136"/>
  <c r="C5" i="136"/>
  <c r="C3" i="136"/>
  <c r="AB2" i="136"/>
  <c r="D2" i="136"/>
  <c r="C2" i="136"/>
  <c r="C1" i="136"/>
  <c r="AE29" i="136" l="1"/>
  <c r="AE57" i="136"/>
  <c r="AE77" i="136"/>
  <c r="AE37" i="136"/>
  <c r="AE17" i="136"/>
  <c r="AE57" i="137"/>
  <c r="G65" i="180"/>
  <c r="B50" i="180"/>
  <c r="M20" i="180"/>
  <c r="L5" i="180"/>
  <c r="C35" i="180"/>
  <c r="C5" i="180"/>
  <c r="L35" i="180"/>
  <c r="H65" i="180"/>
  <c r="M50" i="180"/>
  <c r="B20" i="180"/>
  <c r="G20" i="181"/>
  <c r="M35" i="181"/>
  <c r="M65" i="181"/>
  <c r="G50" i="181"/>
  <c r="M5" i="181"/>
  <c r="G65" i="182"/>
  <c r="B50" i="182"/>
  <c r="M20" i="182"/>
  <c r="L5" i="182"/>
  <c r="C35" i="182"/>
  <c r="G5" i="183"/>
  <c r="H50" i="183"/>
  <c r="B35" i="183"/>
  <c r="C20" i="183"/>
  <c r="B65" i="183"/>
  <c r="H65" i="183"/>
  <c r="C5" i="183"/>
  <c r="B20" i="183"/>
  <c r="L35" i="183"/>
  <c r="M50" i="183"/>
  <c r="G5" i="181"/>
  <c r="H50" i="181"/>
  <c r="B35" i="181"/>
  <c r="C20" i="181"/>
  <c r="B65" i="181"/>
  <c r="C5" i="182"/>
  <c r="L35" i="182"/>
  <c r="H65" i="182"/>
  <c r="M50" i="182"/>
  <c r="B20" i="182"/>
  <c r="G20" i="182"/>
  <c r="M35" i="182"/>
  <c r="M65" i="182"/>
  <c r="G50" i="182"/>
  <c r="M5" i="182"/>
  <c r="H50" i="184"/>
  <c r="B35" i="184"/>
  <c r="C20" i="184"/>
  <c r="G5" i="184"/>
  <c r="B65" i="184"/>
  <c r="M35" i="185"/>
  <c r="M65" i="185"/>
  <c r="G50" i="185"/>
  <c r="M5" i="185"/>
  <c r="G20" i="185"/>
  <c r="L35" i="187"/>
  <c r="C5" i="187"/>
  <c r="M50" i="187"/>
  <c r="H65" i="187"/>
  <c r="B20" i="187"/>
  <c r="M65" i="187"/>
  <c r="G50" i="187"/>
  <c r="M5" i="187"/>
  <c r="G20" i="187"/>
  <c r="M35" i="187"/>
  <c r="L50" i="181"/>
  <c r="H5" i="181"/>
  <c r="L65" i="181"/>
  <c r="H35" i="181"/>
  <c r="L20" i="181"/>
  <c r="G5" i="182"/>
  <c r="H50" i="182"/>
  <c r="B35" i="182"/>
  <c r="C20" i="182"/>
  <c r="B65" i="182"/>
  <c r="G35" i="183"/>
  <c r="H20" i="183"/>
  <c r="C65" i="183"/>
  <c r="B5" i="183"/>
  <c r="C50" i="183"/>
  <c r="C65" i="184"/>
  <c r="G35" i="184"/>
  <c r="H20" i="184"/>
  <c r="B5" i="184"/>
  <c r="C35" i="184"/>
  <c r="M20" i="184"/>
  <c r="G65" i="184"/>
  <c r="B50" i="184"/>
  <c r="L5" i="184"/>
  <c r="L35" i="184"/>
  <c r="B20" i="184"/>
  <c r="C5" i="184"/>
  <c r="M50" i="184"/>
  <c r="H65" i="184"/>
  <c r="H50" i="185"/>
  <c r="B35" i="185"/>
  <c r="C20" i="185"/>
  <c r="B65" i="185"/>
  <c r="G5" i="185"/>
  <c r="C65" i="186"/>
  <c r="B5" i="186"/>
  <c r="C50" i="186"/>
  <c r="G35" i="186"/>
  <c r="H20" i="186"/>
  <c r="C35" i="186"/>
  <c r="M20" i="186"/>
  <c r="L5" i="186"/>
  <c r="G65" i="186"/>
  <c r="B50" i="186"/>
  <c r="L65" i="186"/>
  <c r="H35" i="186"/>
  <c r="L20" i="186"/>
  <c r="L50" i="186"/>
  <c r="H5" i="186"/>
  <c r="B65" i="187"/>
  <c r="H50" i="187"/>
  <c r="B35" i="187"/>
  <c r="C20" i="187"/>
  <c r="G5" i="187"/>
  <c r="L50" i="180"/>
  <c r="H5" i="180"/>
  <c r="L65" i="180"/>
  <c r="H35" i="180"/>
  <c r="L20" i="180"/>
  <c r="G35" i="181"/>
  <c r="H20" i="181"/>
  <c r="C65" i="181"/>
  <c r="B5" i="181"/>
  <c r="C50" i="181"/>
  <c r="G65" i="181"/>
  <c r="B50" i="181"/>
  <c r="C35" i="181"/>
  <c r="M20" i="181"/>
  <c r="L5" i="181"/>
  <c r="H65" i="181"/>
  <c r="C5" i="181"/>
  <c r="B20" i="181"/>
  <c r="L35" i="181"/>
  <c r="M50" i="181"/>
  <c r="G65" i="183"/>
  <c r="B50" i="183"/>
  <c r="C35" i="183"/>
  <c r="M20" i="183"/>
  <c r="L5" i="183"/>
  <c r="L50" i="183"/>
  <c r="H5" i="183"/>
  <c r="L65" i="183"/>
  <c r="H35" i="183"/>
  <c r="L20" i="183"/>
  <c r="H5" i="185"/>
  <c r="L65" i="185"/>
  <c r="H35" i="185"/>
  <c r="L20" i="185"/>
  <c r="L50" i="185"/>
  <c r="C5" i="186"/>
  <c r="B20" i="186"/>
  <c r="M50" i="186"/>
  <c r="H65" i="186"/>
  <c r="M35" i="186"/>
  <c r="M65" i="186"/>
  <c r="G50" i="186"/>
  <c r="M5" i="186"/>
  <c r="G20" i="186"/>
  <c r="G35" i="180"/>
  <c r="C65" i="180"/>
  <c r="H20" i="180"/>
  <c r="C50" i="180"/>
  <c r="B5" i="180"/>
  <c r="G5" i="180"/>
  <c r="H50" i="180"/>
  <c r="B35" i="180"/>
  <c r="C20" i="180"/>
  <c r="B65" i="180"/>
  <c r="G20" i="180"/>
  <c r="M35" i="180"/>
  <c r="M65" i="180"/>
  <c r="G50" i="180"/>
  <c r="M5" i="180"/>
  <c r="G35" i="182"/>
  <c r="C65" i="182"/>
  <c r="H20" i="182"/>
  <c r="C50" i="182"/>
  <c r="B5" i="182"/>
  <c r="L50" i="182"/>
  <c r="H5" i="182"/>
  <c r="L65" i="182"/>
  <c r="H35" i="182"/>
  <c r="L20" i="182"/>
  <c r="G20" i="183"/>
  <c r="M35" i="183"/>
  <c r="M65" i="183"/>
  <c r="G50" i="183"/>
  <c r="M5" i="183"/>
  <c r="L65" i="184"/>
  <c r="H35" i="184"/>
  <c r="L20" i="184"/>
  <c r="H5" i="184"/>
  <c r="L50" i="184"/>
  <c r="M35" i="184"/>
  <c r="M65" i="184"/>
  <c r="G50" i="184"/>
  <c r="M5" i="184"/>
  <c r="G20" i="184"/>
  <c r="C65" i="185"/>
  <c r="H20" i="185"/>
  <c r="C50" i="185"/>
  <c r="B5" i="185"/>
  <c r="G35" i="185"/>
  <c r="M20" i="185"/>
  <c r="L5" i="185"/>
  <c r="C35" i="185"/>
  <c r="G65" i="185"/>
  <c r="B50" i="185"/>
  <c r="C5" i="185"/>
  <c r="L35" i="185"/>
  <c r="H65" i="185"/>
  <c r="M50" i="185"/>
  <c r="B20" i="185"/>
  <c r="H50" i="186"/>
  <c r="B35" i="186"/>
  <c r="C20" i="186"/>
  <c r="B65" i="186"/>
  <c r="G5" i="186"/>
  <c r="C50" i="187"/>
  <c r="G35" i="187"/>
  <c r="H20" i="187"/>
  <c r="B5" i="187"/>
  <c r="C65" i="187"/>
  <c r="M20" i="187"/>
  <c r="L5" i="187"/>
  <c r="G65" i="187"/>
  <c r="B50" i="187"/>
  <c r="C35" i="187"/>
  <c r="L65" i="187"/>
  <c r="H35" i="187"/>
  <c r="L20" i="187"/>
  <c r="L50" i="187"/>
  <c r="H5" i="187"/>
  <c r="B140" i="159"/>
  <c r="G35" i="159"/>
  <c r="C95" i="159"/>
  <c r="M5" i="159"/>
  <c r="G110" i="159"/>
  <c r="L65" i="159"/>
  <c r="M50" i="159"/>
  <c r="B20" i="159"/>
  <c r="L95" i="159"/>
  <c r="G50" i="159"/>
  <c r="H125" i="159"/>
  <c r="M80" i="159"/>
  <c r="H65" i="159"/>
  <c r="H35" i="159"/>
  <c r="G95" i="158"/>
  <c r="B80" i="158"/>
  <c r="L20" i="158"/>
  <c r="M125" i="158"/>
  <c r="H110" i="158"/>
  <c r="H50" i="158"/>
  <c r="C5" i="158"/>
  <c r="G125" i="157"/>
  <c r="B110" i="157"/>
  <c r="L50" i="157"/>
  <c r="G5" i="157"/>
  <c r="H80" i="157"/>
  <c r="C35" i="157"/>
  <c r="C80" i="157"/>
  <c r="B140" i="157"/>
  <c r="G35" i="157"/>
  <c r="C95" i="157"/>
  <c r="M5" i="157"/>
  <c r="G110" i="157"/>
  <c r="L65" i="157"/>
  <c r="M50" i="157"/>
  <c r="M95" i="156"/>
  <c r="C65" i="156"/>
  <c r="B125" i="156"/>
  <c r="G80" i="156"/>
  <c r="L35" i="156"/>
  <c r="L5" i="156"/>
  <c r="M20" i="156"/>
  <c r="M95" i="158"/>
  <c r="C65" i="158"/>
  <c r="B125" i="158"/>
  <c r="G80" i="158"/>
  <c r="L35" i="158"/>
  <c r="L5" i="158"/>
  <c r="M20" i="158"/>
  <c r="B20" i="157"/>
  <c r="L95" i="157"/>
  <c r="G50" i="157"/>
  <c r="H125" i="157"/>
  <c r="M80" i="157"/>
  <c r="H65" i="157"/>
  <c r="H35" i="157"/>
  <c r="G95" i="157"/>
  <c r="B80" i="157"/>
  <c r="L20" i="157"/>
  <c r="M125" i="157"/>
  <c r="H110" i="157"/>
  <c r="H50" i="157"/>
  <c r="C5" i="157"/>
  <c r="M95" i="163"/>
  <c r="C65" i="163"/>
  <c r="B125" i="163"/>
  <c r="G80" i="163"/>
  <c r="L35" i="163"/>
  <c r="L5" i="163"/>
  <c r="M20" i="163"/>
  <c r="M125" i="162"/>
  <c r="G95" i="162"/>
  <c r="B80" i="162"/>
  <c r="L20" i="162"/>
  <c r="H110" i="162"/>
  <c r="H50" i="162"/>
  <c r="C5" i="162"/>
  <c r="H125" i="160"/>
  <c r="M80" i="160"/>
  <c r="H65" i="160"/>
  <c r="H35" i="160"/>
  <c r="B20" i="160"/>
  <c r="L95" i="160"/>
  <c r="G50" i="160"/>
  <c r="G95" i="160"/>
  <c r="B80" i="160"/>
  <c r="L20" i="160"/>
  <c r="M125" i="160"/>
  <c r="H110" i="160"/>
  <c r="H50" i="160"/>
  <c r="C5" i="160"/>
  <c r="L80" i="159"/>
  <c r="B50" i="159"/>
  <c r="C125" i="159"/>
  <c r="M65" i="159"/>
  <c r="H20" i="159"/>
  <c r="B5" i="159"/>
  <c r="C110" i="159"/>
  <c r="L110" i="159"/>
  <c r="B65" i="159"/>
  <c r="B35" i="159"/>
  <c r="C140" i="159"/>
  <c r="H95" i="159"/>
  <c r="C50" i="159"/>
  <c r="C20" i="159"/>
  <c r="G65" i="158"/>
  <c r="M35" i="158"/>
  <c r="L125" i="158"/>
  <c r="B95" i="158"/>
  <c r="G20" i="158"/>
  <c r="M110" i="158"/>
  <c r="H5" i="158"/>
  <c r="L110" i="158"/>
  <c r="B65" i="158"/>
  <c r="B35" i="158"/>
  <c r="C140" i="158"/>
  <c r="H95" i="158"/>
  <c r="C50" i="158"/>
  <c r="C20" i="158"/>
  <c r="M95" i="157"/>
  <c r="C65" i="157"/>
  <c r="B125" i="157"/>
  <c r="G80" i="157"/>
  <c r="L35" i="157"/>
  <c r="L5" i="157"/>
  <c r="M20" i="157"/>
  <c r="L80" i="156"/>
  <c r="B50" i="156"/>
  <c r="C125" i="156"/>
  <c r="M65" i="156"/>
  <c r="H20" i="156"/>
  <c r="B5" i="156"/>
  <c r="C110" i="156"/>
  <c r="L110" i="156"/>
  <c r="B65" i="156"/>
  <c r="B35" i="156"/>
  <c r="C140" i="156"/>
  <c r="H95" i="156"/>
  <c r="C50" i="156"/>
  <c r="C20" i="156"/>
  <c r="L80" i="163"/>
  <c r="B50" i="163"/>
  <c r="C125" i="163"/>
  <c r="M65" i="163"/>
  <c r="H20" i="163"/>
  <c r="B5" i="163"/>
  <c r="C110" i="163"/>
  <c r="G125" i="163"/>
  <c r="B110" i="163"/>
  <c r="L50" i="163"/>
  <c r="G5" i="163"/>
  <c r="H80" i="163"/>
  <c r="C35" i="163"/>
  <c r="C80" i="163"/>
  <c r="B20" i="163"/>
  <c r="L95" i="163"/>
  <c r="G50" i="163"/>
  <c r="H125" i="163"/>
  <c r="M80" i="163"/>
  <c r="H65" i="163"/>
  <c r="H35" i="163"/>
  <c r="B140" i="163"/>
  <c r="G35" i="163"/>
  <c r="C95" i="163"/>
  <c r="M5" i="163"/>
  <c r="G110" i="163"/>
  <c r="L65" i="163"/>
  <c r="M50" i="163"/>
  <c r="M95" i="162"/>
  <c r="C65" i="162"/>
  <c r="B125" i="162"/>
  <c r="G80" i="162"/>
  <c r="L35" i="162"/>
  <c r="L5" i="162"/>
  <c r="M20" i="162"/>
  <c r="C140" i="162"/>
  <c r="L110" i="162"/>
  <c r="B65" i="162"/>
  <c r="B35" i="162"/>
  <c r="H95" i="162"/>
  <c r="C50" i="162"/>
  <c r="C20" i="162"/>
  <c r="C110" i="161"/>
  <c r="L80" i="161"/>
  <c r="B50" i="161"/>
  <c r="C125" i="161"/>
  <c r="M65" i="161"/>
  <c r="H20" i="161"/>
  <c r="B5" i="161"/>
  <c r="C80" i="161"/>
  <c r="G125" i="161"/>
  <c r="B110" i="161"/>
  <c r="L50" i="161"/>
  <c r="G5" i="161"/>
  <c r="H80" i="161"/>
  <c r="C35" i="161"/>
  <c r="M110" i="161"/>
  <c r="H5" i="161"/>
  <c r="G65" i="161"/>
  <c r="M35" i="161"/>
  <c r="L125" i="161"/>
  <c r="B95" i="161"/>
  <c r="G20" i="161"/>
  <c r="M50" i="161"/>
  <c r="B140" i="161"/>
  <c r="G35" i="161"/>
  <c r="C95" i="161"/>
  <c r="M5" i="161"/>
  <c r="G110" i="161"/>
  <c r="L65" i="161"/>
  <c r="M20" i="160"/>
  <c r="M95" i="160"/>
  <c r="C65" i="160"/>
  <c r="B125" i="160"/>
  <c r="G80" i="160"/>
  <c r="L35" i="160"/>
  <c r="L5" i="160"/>
  <c r="C140" i="160"/>
  <c r="H95" i="160"/>
  <c r="C50" i="160"/>
  <c r="C20" i="160"/>
  <c r="L110" i="160"/>
  <c r="B65" i="160"/>
  <c r="B35" i="160"/>
  <c r="G65" i="159"/>
  <c r="M35" i="159"/>
  <c r="L125" i="159"/>
  <c r="B95" i="159"/>
  <c r="G20" i="159"/>
  <c r="M110" i="159"/>
  <c r="H5" i="159"/>
  <c r="L80" i="158"/>
  <c r="B50" i="158"/>
  <c r="C125" i="158"/>
  <c r="M65" i="158"/>
  <c r="H20" i="158"/>
  <c r="B5" i="158"/>
  <c r="C110" i="158"/>
  <c r="G125" i="158"/>
  <c r="B110" i="158"/>
  <c r="L50" i="158"/>
  <c r="G5" i="158"/>
  <c r="H80" i="158"/>
  <c r="C35" i="158"/>
  <c r="C80" i="158"/>
  <c r="B20" i="158"/>
  <c r="L95" i="158"/>
  <c r="G50" i="158"/>
  <c r="H125" i="158"/>
  <c r="M80" i="158"/>
  <c r="H65" i="158"/>
  <c r="H35" i="158"/>
  <c r="B140" i="158"/>
  <c r="G35" i="158"/>
  <c r="C95" i="158"/>
  <c r="M5" i="158"/>
  <c r="G110" i="158"/>
  <c r="L65" i="158"/>
  <c r="M50" i="158"/>
  <c r="L110" i="157"/>
  <c r="B65" i="157"/>
  <c r="B35" i="157"/>
  <c r="C140" i="157"/>
  <c r="H95" i="157"/>
  <c r="C50" i="157"/>
  <c r="C20" i="157"/>
  <c r="G125" i="156"/>
  <c r="B110" i="156"/>
  <c r="L50" i="156"/>
  <c r="G5" i="156"/>
  <c r="H80" i="156"/>
  <c r="C35" i="156"/>
  <c r="C80" i="156"/>
  <c r="G65" i="156"/>
  <c r="M35" i="156"/>
  <c r="L125" i="156"/>
  <c r="B95" i="156"/>
  <c r="G20" i="156"/>
  <c r="M110" i="156"/>
  <c r="H5" i="156"/>
  <c r="B140" i="156"/>
  <c r="G35" i="156"/>
  <c r="C95" i="156"/>
  <c r="M5" i="156"/>
  <c r="G110" i="156"/>
  <c r="L65" i="156"/>
  <c r="M50" i="156"/>
  <c r="L110" i="163"/>
  <c r="B65" i="163"/>
  <c r="B35" i="163"/>
  <c r="C140" i="163"/>
  <c r="H95" i="163"/>
  <c r="C50" i="163"/>
  <c r="C20" i="163"/>
  <c r="L125" i="162"/>
  <c r="G65" i="162"/>
  <c r="M35" i="162"/>
  <c r="B95" i="162"/>
  <c r="G20" i="162"/>
  <c r="M110" i="162"/>
  <c r="H5" i="162"/>
  <c r="H125" i="161"/>
  <c r="M80" i="161"/>
  <c r="H65" i="161"/>
  <c r="H35" i="161"/>
  <c r="B20" i="161"/>
  <c r="L95" i="161"/>
  <c r="G50" i="161"/>
  <c r="G95" i="161"/>
  <c r="B80" i="161"/>
  <c r="L20" i="161"/>
  <c r="M125" i="161"/>
  <c r="H110" i="161"/>
  <c r="H50" i="161"/>
  <c r="C5" i="161"/>
  <c r="G125" i="159"/>
  <c r="B110" i="159"/>
  <c r="L50" i="159"/>
  <c r="G5" i="159"/>
  <c r="H80" i="159"/>
  <c r="C35" i="159"/>
  <c r="C80" i="159"/>
  <c r="M95" i="159"/>
  <c r="C65" i="159"/>
  <c r="B125" i="159"/>
  <c r="G80" i="159"/>
  <c r="L35" i="159"/>
  <c r="L5" i="159"/>
  <c r="M20" i="159"/>
  <c r="G95" i="159"/>
  <c r="B80" i="159"/>
  <c r="L20" i="159"/>
  <c r="M125" i="159"/>
  <c r="H110" i="159"/>
  <c r="H50" i="159"/>
  <c r="C5" i="159"/>
  <c r="L80" i="157"/>
  <c r="B50" i="157"/>
  <c r="C125" i="157"/>
  <c r="M65" i="157"/>
  <c r="H20" i="157"/>
  <c r="B5" i="157"/>
  <c r="C110" i="157"/>
  <c r="G65" i="157"/>
  <c r="M35" i="157"/>
  <c r="L125" i="157"/>
  <c r="B95" i="157"/>
  <c r="G20" i="157"/>
  <c r="M110" i="157"/>
  <c r="H5" i="157"/>
  <c r="B20" i="156"/>
  <c r="L95" i="156"/>
  <c r="G50" i="156"/>
  <c r="H125" i="156"/>
  <c r="M80" i="156"/>
  <c r="H65" i="156"/>
  <c r="H35" i="156"/>
  <c r="G95" i="156"/>
  <c r="B80" i="156"/>
  <c r="L20" i="156"/>
  <c r="M125" i="156"/>
  <c r="H110" i="156"/>
  <c r="H50" i="156"/>
  <c r="C5" i="156"/>
  <c r="G65" i="163"/>
  <c r="M35" i="163"/>
  <c r="L125" i="163"/>
  <c r="B95" i="163"/>
  <c r="G20" i="163"/>
  <c r="M110" i="163"/>
  <c r="H5" i="163"/>
  <c r="G95" i="163"/>
  <c r="B80" i="163"/>
  <c r="L20" i="163"/>
  <c r="M125" i="163"/>
  <c r="H110" i="163"/>
  <c r="H50" i="163"/>
  <c r="C5" i="163"/>
  <c r="L80" i="162"/>
  <c r="B50" i="162"/>
  <c r="C125" i="162"/>
  <c r="M65" i="162"/>
  <c r="H20" i="162"/>
  <c r="B5" i="162"/>
  <c r="C110" i="162"/>
  <c r="G125" i="162"/>
  <c r="B110" i="162"/>
  <c r="L50" i="162"/>
  <c r="G5" i="162"/>
  <c r="H80" i="162"/>
  <c r="C35" i="162"/>
  <c r="C80" i="162"/>
  <c r="H125" i="162"/>
  <c r="B20" i="162"/>
  <c r="L95" i="162"/>
  <c r="G50" i="162"/>
  <c r="M80" i="162"/>
  <c r="H65" i="162"/>
  <c r="H35" i="162"/>
  <c r="B140" i="162"/>
  <c r="G35" i="162"/>
  <c r="C95" i="162"/>
  <c r="M5" i="162"/>
  <c r="G110" i="162"/>
  <c r="L65" i="162"/>
  <c r="M50" i="162"/>
  <c r="M20" i="161"/>
  <c r="M95" i="161"/>
  <c r="C65" i="161"/>
  <c r="B125" i="161"/>
  <c r="G80" i="161"/>
  <c r="L35" i="161"/>
  <c r="L5" i="161"/>
  <c r="C140" i="161"/>
  <c r="H95" i="161"/>
  <c r="C50" i="161"/>
  <c r="C20" i="161"/>
  <c r="L110" i="161"/>
  <c r="B65" i="161"/>
  <c r="B35" i="161"/>
  <c r="C110" i="160"/>
  <c r="L80" i="160"/>
  <c r="B50" i="160"/>
  <c r="C125" i="160"/>
  <c r="M65" i="160"/>
  <c r="H20" i="160"/>
  <c r="B5" i="160"/>
  <c r="C80" i="160"/>
  <c r="G125" i="160"/>
  <c r="B110" i="160"/>
  <c r="L50" i="160"/>
  <c r="G5" i="160"/>
  <c r="H80" i="160"/>
  <c r="C35" i="160"/>
  <c r="M110" i="160"/>
  <c r="H5" i="160"/>
  <c r="G65" i="160"/>
  <c r="M35" i="160"/>
  <c r="L125" i="160"/>
  <c r="B95" i="160"/>
  <c r="G20" i="160"/>
  <c r="M50" i="160"/>
  <c r="B140" i="160"/>
  <c r="G35" i="160"/>
  <c r="C95" i="160"/>
  <c r="M5" i="160"/>
  <c r="G110" i="160"/>
  <c r="L65" i="160"/>
  <c r="AE69" i="137"/>
  <c r="AE61" i="137"/>
  <c r="AE81" i="137"/>
  <c r="AE41" i="137"/>
  <c r="AE39" i="137"/>
  <c r="AE59" i="137"/>
  <c r="AE79" i="137"/>
  <c r="AE29" i="137"/>
  <c r="AE31" i="137"/>
  <c r="AE71" i="137"/>
  <c r="AE77" i="137"/>
  <c r="AE37" i="137"/>
  <c r="AE75" i="136"/>
  <c r="AE71" i="136"/>
  <c r="AE49" i="137"/>
  <c r="AE73" i="136"/>
  <c r="AE55" i="137"/>
  <c r="AE49" i="136"/>
  <c r="AE53" i="136"/>
  <c r="H56" i="136"/>
  <c r="AE35" i="136"/>
  <c r="AE33" i="136"/>
  <c r="AE35" i="137"/>
  <c r="AE73" i="137"/>
  <c r="AE75" i="137"/>
  <c r="AE51" i="137"/>
  <c r="AE51" i="136"/>
  <c r="AE31" i="136"/>
  <c r="AE33" i="137"/>
  <c r="H34" i="137"/>
  <c r="AE55" i="136"/>
  <c r="T32" i="109"/>
  <c r="T55" i="109"/>
  <c r="T38" i="109"/>
  <c r="T42" i="109"/>
  <c r="L107" i="52"/>
  <c r="L85" i="52"/>
  <c r="L94" i="52"/>
  <c r="L57" i="52"/>
  <c r="H54" i="137"/>
  <c r="H74" i="137"/>
  <c r="H16" i="136"/>
  <c r="H34" i="136"/>
  <c r="H74" i="136"/>
  <c r="N9" i="52"/>
  <c r="AH73" i="136" l="1"/>
  <c r="AH75" i="136"/>
  <c r="AH65" i="136"/>
  <c r="AH21" i="136"/>
  <c r="AH77" i="136"/>
  <c r="AH71" i="136"/>
  <c r="AH57" i="136"/>
  <c r="AH33" i="136"/>
  <c r="AH5" i="136"/>
  <c r="AH37" i="136"/>
  <c r="AH31" i="136"/>
  <c r="AH59" i="136"/>
  <c r="AH21" i="137"/>
  <c r="AH41" i="136"/>
  <c r="AH53" i="137"/>
  <c r="AH81" i="137"/>
  <c r="AH71" i="137"/>
  <c r="AH41" i="137"/>
  <c r="AH79" i="137"/>
  <c r="AH61" i="137"/>
  <c r="AH59" i="137"/>
  <c r="AH57" i="137"/>
  <c r="AH39" i="137"/>
  <c r="AH19" i="137"/>
  <c r="AH17" i="137"/>
  <c r="AH81" i="136"/>
  <c r="AH79" i="136"/>
  <c r="AH61" i="136"/>
  <c r="AH39" i="136"/>
  <c r="AH19" i="136"/>
  <c r="AH17" i="136"/>
  <c r="AJ38" i="138"/>
  <c r="E64" i="139"/>
  <c r="AM41" i="138"/>
  <c r="AJ21" i="138"/>
  <c r="G28" i="139"/>
  <c r="C32" i="139"/>
  <c r="E62" i="139"/>
  <c r="L14" i="138"/>
  <c r="C78" i="139"/>
  <c r="G74" i="139"/>
  <c r="G35" i="139"/>
  <c r="BE21" i="138"/>
  <c r="G81" i="139"/>
  <c r="X8" i="138"/>
  <c r="AS5" i="138"/>
  <c r="AP4" i="138"/>
  <c r="BB20" i="138"/>
  <c r="C43" i="139"/>
  <c r="C81" i="139"/>
  <c r="C74" i="139"/>
  <c r="C7" i="138"/>
  <c r="I10" i="138"/>
  <c r="G20" i="139"/>
  <c r="G4" i="139"/>
  <c r="C4" i="139"/>
  <c r="F8" i="138"/>
  <c r="C28" i="139"/>
  <c r="C20" i="139"/>
  <c r="C5" i="139"/>
  <c r="C11" i="138"/>
  <c r="U9" i="138"/>
  <c r="E35" i="139"/>
  <c r="AH65" i="137"/>
  <c r="AH11" i="136"/>
  <c r="AH7" i="137"/>
  <c r="AH27" i="136"/>
  <c r="AH7" i="136"/>
  <c r="AH15" i="136"/>
  <c r="AH13" i="136"/>
  <c r="AH9" i="136"/>
  <c r="AH5" i="137"/>
  <c r="AH15" i="137"/>
  <c r="AH13" i="137"/>
  <c r="AH9" i="137"/>
  <c r="AH11" i="137"/>
  <c r="AH77" i="137"/>
  <c r="AH75" i="137"/>
  <c r="AH49" i="137"/>
  <c r="AH51" i="137"/>
  <c r="AH45" i="137"/>
  <c r="AH55" i="137"/>
  <c r="AH47" i="137"/>
  <c r="AH35" i="136"/>
  <c r="AH25" i="136"/>
  <c r="AH29" i="136"/>
  <c r="AH27" i="137"/>
  <c r="AH53" i="136"/>
  <c r="AH45" i="136"/>
  <c r="AH55" i="136"/>
  <c r="AH49" i="136"/>
  <c r="AC84" i="135"/>
  <c r="D84" i="135"/>
  <c r="AA82" i="135"/>
  <c r="Y82" i="135"/>
  <c r="X82" i="135"/>
  <c r="V82" i="135"/>
  <c r="U82" i="135"/>
  <c r="S82" i="135"/>
  <c r="R82" i="135"/>
  <c r="P82" i="135"/>
  <c r="O82" i="135"/>
  <c r="M82" i="135"/>
  <c r="L82" i="135"/>
  <c r="J82" i="135"/>
  <c r="I82" i="135"/>
  <c r="G82" i="135"/>
  <c r="F82" i="135"/>
  <c r="D82" i="135"/>
  <c r="C82" i="135"/>
  <c r="Y81" i="135"/>
  <c r="V81" i="135"/>
  <c r="S81" i="135"/>
  <c r="P81" i="135"/>
  <c r="M81" i="135"/>
  <c r="J81" i="135"/>
  <c r="G81" i="135"/>
  <c r="D81" i="135"/>
  <c r="AE81" i="135" s="1"/>
  <c r="C81" i="135"/>
  <c r="AC80" i="135"/>
  <c r="Z82" i="135" s="1"/>
  <c r="X80" i="135"/>
  <c r="V80" i="135"/>
  <c r="U80" i="135"/>
  <c r="S80" i="135"/>
  <c r="R80" i="135"/>
  <c r="P80" i="135"/>
  <c r="O80" i="135"/>
  <c r="M80" i="135"/>
  <c r="L80" i="135"/>
  <c r="J80" i="135"/>
  <c r="I80" i="135"/>
  <c r="G80" i="135"/>
  <c r="F80" i="135"/>
  <c r="D80" i="135"/>
  <c r="C80" i="135"/>
  <c r="V79" i="135"/>
  <c r="S79" i="135"/>
  <c r="P79" i="135"/>
  <c r="M79" i="135"/>
  <c r="J79" i="135"/>
  <c r="G79" i="135"/>
  <c r="D79" i="135"/>
  <c r="AE79" i="135" s="1"/>
  <c r="C79" i="135"/>
  <c r="AC78" i="135"/>
  <c r="W82" i="135" s="1"/>
  <c r="Z78" i="135"/>
  <c r="W80" i="135" s="1"/>
  <c r="U78" i="135"/>
  <c r="S78" i="135"/>
  <c r="R78" i="135"/>
  <c r="P78" i="135"/>
  <c r="O78" i="135"/>
  <c r="M78" i="135"/>
  <c r="L78" i="135"/>
  <c r="J78" i="135"/>
  <c r="I78" i="135"/>
  <c r="G78" i="135"/>
  <c r="F78" i="135"/>
  <c r="D78" i="135"/>
  <c r="C78" i="135"/>
  <c r="S77" i="135"/>
  <c r="P77" i="135"/>
  <c r="M77" i="135"/>
  <c r="J77" i="135"/>
  <c r="G77" i="135"/>
  <c r="D77" i="135"/>
  <c r="C77" i="135"/>
  <c r="AC76" i="135"/>
  <c r="T82" i="135" s="1"/>
  <c r="Z76" i="135"/>
  <c r="T80" i="135" s="1"/>
  <c r="W76" i="135"/>
  <c r="T78" i="135" s="1"/>
  <c r="R76" i="135"/>
  <c r="P76" i="135"/>
  <c r="O76" i="135"/>
  <c r="M76" i="135"/>
  <c r="L76" i="135"/>
  <c r="J76" i="135"/>
  <c r="I76" i="135"/>
  <c r="G76" i="135"/>
  <c r="F76" i="135"/>
  <c r="D76" i="135"/>
  <c r="P75" i="135"/>
  <c r="M75" i="135"/>
  <c r="J75" i="135"/>
  <c r="G75" i="135"/>
  <c r="D75" i="135"/>
  <c r="C75" i="135"/>
  <c r="AC74" i="135"/>
  <c r="Q82" i="135" s="1"/>
  <c r="Z74" i="135"/>
  <c r="Q80" i="135" s="1"/>
  <c r="W74" i="135"/>
  <c r="Q78" i="135" s="1"/>
  <c r="T74" i="135"/>
  <c r="Q76" i="135" s="1"/>
  <c r="O74" i="135"/>
  <c r="M74" i="135"/>
  <c r="L74" i="135"/>
  <c r="J74" i="135"/>
  <c r="I74" i="135"/>
  <c r="G74" i="135"/>
  <c r="F74" i="135"/>
  <c r="D74" i="135"/>
  <c r="M73" i="135"/>
  <c r="J73" i="135"/>
  <c r="G73" i="135"/>
  <c r="D73" i="135"/>
  <c r="C73" i="135"/>
  <c r="AC72" i="135"/>
  <c r="N82" i="135" s="1"/>
  <c r="Z72" i="135"/>
  <c r="N80" i="135" s="1"/>
  <c r="W72" i="135"/>
  <c r="N78" i="135" s="1"/>
  <c r="T72" i="135"/>
  <c r="N76" i="135" s="1"/>
  <c r="Q72" i="135"/>
  <c r="N74" i="135" s="1"/>
  <c r="L72" i="135"/>
  <c r="J72" i="135"/>
  <c r="I72" i="135"/>
  <c r="G72" i="135"/>
  <c r="F72" i="135"/>
  <c r="D72" i="135"/>
  <c r="J71" i="135"/>
  <c r="G71" i="135"/>
  <c r="D71" i="135"/>
  <c r="C71" i="135"/>
  <c r="AC70" i="135"/>
  <c r="K82" i="135" s="1"/>
  <c r="Z70" i="135"/>
  <c r="K80" i="135" s="1"/>
  <c r="W70" i="135"/>
  <c r="K78" i="135" s="1"/>
  <c r="T70" i="135"/>
  <c r="K76" i="135" s="1"/>
  <c r="Q70" i="135"/>
  <c r="K74" i="135" s="1"/>
  <c r="N70" i="135"/>
  <c r="K72" i="135" s="1"/>
  <c r="I70" i="135"/>
  <c r="G70" i="135"/>
  <c r="F70" i="135"/>
  <c r="D70" i="135"/>
  <c r="G69" i="135"/>
  <c r="D69" i="135"/>
  <c r="C69" i="135"/>
  <c r="AC68" i="135"/>
  <c r="H82" i="135" s="1"/>
  <c r="Z68" i="135"/>
  <c r="H80" i="135" s="1"/>
  <c r="W68" i="135"/>
  <c r="H78" i="135" s="1"/>
  <c r="T68" i="135"/>
  <c r="H76" i="135" s="1"/>
  <c r="Q68" i="135"/>
  <c r="N68" i="135"/>
  <c r="H72" i="135" s="1"/>
  <c r="K68" i="135"/>
  <c r="H70" i="135" s="1"/>
  <c r="F68" i="135"/>
  <c r="E68" i="135"/>
  <c r="D68" i="135"/>
  <c r="D67" i="135"/>
  <c r="AE67" i="135" s="1"/>
  <c r="C67" i="135"/>
  <c r="AC66" i="135"/>
  <c r="E82" i="135" s="1"/>
  <c r="Z66" i="135"/>
  <c r="E80" i="135" s="1"/>
  <c r="W66" i="135"/>
  <c r="E78" i="135" s="1"/>
  <c r="T66" i="135"/>
  <c r="E76" i="135" s="1"/>
  <c r="Q66" i="135"/>
  <c r="E74" i="135" s="1"/>
  <c r="N66" i="135"/>
  <c r="E72" i="135" s="1"/>
  <c r="K66" i="135"/>
  <c r="E70" i="135" s="1"/>
  <c r="H66" i="135"/>
  <c r="AE65" i="135"/>
  <c r="C65" i="135"/>
  <c r="AA62" i="135"/>
  <c r="Y62" i="135"/>
  <c r="X62" i="135"/>
  <c r="V62" i="135"/>
  <c r="U62" i="135"/>
  <c r="S62" i="135"/>
  <c r="R62" i="135"/>
  <c r="P62" i="135"/>
  <c r="O62" i="135"/>
  <c r="M62" i="135"/>
  <c r="L62" i="135"/>
  <c r="J62" i="135"/>
  <c r="I62" i="135"/>
  <c r="G62" i="135"/>
  <c r="F62" i="135"/>
  <c r="D62" i="135"/>
  <c r="C62" i="135"/>
  <c r="Y61" i="135"/>
  <c r="V61" i="135"/>
  <c r="S61" i="135"/>
  <c r="P61" i="135"/>
  <c r="M61" i="135"/>
  <c r="J61" i="135"/>
  <c r="G61" i="135"/>
  <c r="D61" i="135"/>
  <c r="AE61" i="135" s="1"/>
  <c r="C61" i="135"/>
  <c r="AC60" i="135"/>
  <c r="Z62" i="135" s="1"/>
  <c r="X60" i="135"/>
  <c r="V60" i="135"/>
  <c r="U60" i="135"/>
  <c r="S60" i="135"/>
  <c r="R60" i="135"/>
  <c r="P60" i="135"/>
  <c r="O60" i="135"/>
  <c r="M60" i="135"/>
  <c r="L60" i="135"/>
  <c r="J60" i="135"/>
  <c r="I60" i="135"/>
  <c r="G60" i="135"/>
  <c r="F60" i="135"/>
  <c r="D60" i="135"/>
  <c r="C60" i="135"/>
  <c r="V59" i="135"/>
  <c r="S59" i="135"/>
  <c r="P59" i="135"/>
  <c r="M59" i="135"/>
  <c r="J59" i="135"/>
  <c r="G59" i="135"/>
  <c r="D59" i="135"/>
  <c r="AE59" i="135" s="1"/>
  <c r="C59" i="135"/>
  <c r="AC58" i="135"/>
  <c r="W62" i="135" s="1"/>
  <c r="Z58" i="135"/>
  <c r="W60" i="135" s="1"/>
  <c r="U58" i="135"/>
  <c r="S58" i="135"/>
  <c r="R58" i="135"/>
  <c r="P58" i="135"/>
  <c r="O58" i="135"/>
  <c r="M58" i="135"/>
  <c r="L58" i="135"/>
  <c r="J58" i="135"/>
  <c r="I58" i="135"/>
  <c r="G58" i="135"/>
  <c r="F58" i="135"/>
  <c r="D58" i="135"/>
  <c r="C58" i="135"/>
  <c r="S57" i="135"/>
  <c r="P57" i="135"/>
  <c r="M57" i="135"/>
  <c r="J57" i="135"/>
  <c r="G57" i="135"/>
  <c r="D57" i="135"/>
  <c r="C57" i="135"/>
  <c r="AC56" i="135"/>
  <c r="T62" i="135" s="1"/>
  <c r="Z56" i="135"/>
  <c r="T60" i="135" s="1"/>
  <c r="W56" i="135"/>
  <c r="T58" i="135" s="1"/>
  <c r="R56" i="135"/>
  <c r="P56" i="135"/>
  <c r="O56" i="135"/>
  <c r="M56" i="135"/>
  <c r="L56" i="135"/>
  <c r="J56" i="135"/>
  <c r="I56" i="135"/>
  <c r="G56" i="135"/>
  <c r="F56" i="135"/>
  <c r="D56" i="135"/>
  <c r="P55" i="135"/>
  <c r="M55" i="135"/>
  <c r="J55" i="135"/>
  <c r="G55" i="135"/>
  <c r="D55" i="135"/>
  <c r="C55" i="135"/>
  <c r="AC54" i="135"/>
  <c r="Q62" i="135" s="1"/>
  <c r="Z54" i="135"/>
  <c r="Q60" i="135" s="1"/>
  <c r="W54" i="135"/>
  <c r="Q58" i="135" s="1"/>
  <c r="T54" i="135"/>
  <c r="Q56" i="135" s="1"/>
  <c r="O54" i="135"/>
  <c r="M54" i="135"/>
  <c r="L54" i="135"/>
  <c r="J54" i="135"/>
  <c r="I54" i="135"/>
  <c r="G54" i="135"/>
  <c r="F54" i="135"/>
  <c r="D54" i="135"/>
  <c r="M53" i="135"/>
  <c r="J53" i="135"/>
  <c r="G53" i="135"/>
  <c r="D53" i="135"/>
  <c r="C53" i="135"/>
  <c r="AC52" i="135"/>
  <c r="N62" i="135" s="1"/>
  <c r="Z52" i="135"/>
  <c r="N60" i="135" s="1"/>
  <c r="W52" i="135"/>
  <c r="N58" i="135" s="1"/>
  <c r="T52" i="135"/>
  <c r="N56" i="135" s="1"/>
  <c r="Q52" i="135"/>
  <c r="N54" i="135" s="1"/>
  <c r="L52" i="135"/>
  <c r="J52" i="135"/>
  <c r="I52" i="135"/>
  <c r="G52" i="135"/>
  <c r="F52" i="135"/>
  <c r="D52" i="135"/>
  <c r="J51" i="135"/>
  <c r="G51" i="135"/>
  <c r="D51" i="135"/>
  <c r="C51" i="135"/>
  <c r="AC50" i="135"/>
  <c r="K62" i="135" s="1"/>
  <c r="Z50" i="135"/>
  <c r="K60" i="135" s="1"/>
  <c r="W50" i="135"/>
  <c r="K58" i="135" s="1"/>
  <c r="T50" i="135"/>
  <c r="K56" i="135" s="1"/>
  <c r="Q50" i="135"/>
  <c r="K54" i="135" s="1"/>
  <c r="N50" i="135"/>
  <c r="K52" i="135" s="1"/>
  <c r="I50" i="135"/>
  <c r="G50" i="135"/>
  <c r="F50" i="135"/>
  <c r="D50" i="135"/>
  <c r="G49" i="135"/>
  <c r="D49" i="135"/>
  <c r="C49" i="135"/>
  <c r="AC48" i="135"/>
  <c r="H62" i="135" s="1"/>
  <c r="Z48" i="135"/>
  <c r="H60" i="135" s="1"/>
  <c r="W48" i="135"/>
  <c r="H58" i="135" s="1"/>
  <c r="T48" i="135"/>
  <c r="H56" i="135" s="1"/>
  <c r="Q48" i="135"/>
  <c r="N48" i="135"/>
  <c r="H52" i="135" s="1"/>
  <c r="K48" i="135"/>
  <c r="H50" i="135" s="1"/>
  <c r="F48" i="135"/>
  <c r="E48" i="135"/>
  <c r="D48" i="135"/>
  <c r="D47" i="135"/>
  <c r="AE47" i="135" s="1"/>
  <c r="C47" i="135"/>
  <c r="AC46" i="135"/>
  <c r="E62" i="135" s="1"/>
  <c r="Z46" i="135"/>
  <c r="E60" i="135" s="1"/>
  <c r="W46" i="135"/>
  <c r="E58" i="135" s="1"/>
  <c r="T46" i="135"/>
  <c r="E56" i="135" s="1"/>
  <c r="Q46" i="135"/>
  <c r="E54" i="135" s="1"/>
  <c r="N46" i="135"/>
  <c r="E52" i="135" s="1"/>
  <c r="K46" i="135"/>
  <c r="E50" i="135" s="1"/>
  <c r="H46" i="135"/>
  <c r="AE45" i="135"/>
  <c r="C45" i="135"/>
  <c r="AA42" i="135"/>
  <c r="Y42" i="135"/>
  <c r="X42" i="135"/>
  <c r="V42" i="135"/>
  <c r="U42" i="135"/>
  <c r="S42" i="135"/>
  <c r="R42" i="135"/>
  <c r="P42" i="135"/>
  <c r="O42" i="135"/>
  <c r="M42" i="135"/>
  <c r="L42" i="135"/>
  <c r="J42" i="135"/>
  <c r="I42" i="135"/>
  <c r="G42" i="135"/>
  <c r="F42" i="135"/>
  <c r="D42" i="135"/>
  <c r="C42" i="135"/>
  <c r="Y41" i="135"/>
  <c r="V41" i="135"/>
  <c r="S41" i="135"/>
  <c r="P41" i="135"/>
  <c r="M41" i="135"/>
  <c r="J41" i="135"/>
  <c r="G41" i="135"/>
  <c r="D41" i="135"/>
  <c r="AE41" i="135" s="1"/>
  <c r="C41" i="135"/>
  <c r="AC40" i="135"/>
  <c r="Z42" i="135" s="1"/>
  <c r="X40" i="135"/>
  <c r="V40" i="135"/>
  <c r="U40" i="135"/>
  <c r="S40" i="135"/>
  <c r="R40" i="135"/>
  <c r="P40" i="135"/>
  <c r="O40" i="135"/>
  <c r="M40" i="135"/>
  <c r="L40" i="135"/>
  <c r="J40" i="135"/>
  <c r="I40" i="135"/>
  <c r="G40" i="135"/>
  <c r="F40" i="135"/>
  <c r="D40" i="135"/>
  <c r="C40" i="135"/>
  <c r="V39" i="135"/>
  <c r="S39" i="135"/>
  <c r="P39" i="135"/>
  <c r="M39" i="135"/>
  <c r="J39" i="135"/>
  <c r="G39" i="135"/>
  <c r="D39" i="135"/>
  <c r="AE39" i="135" s="1"/>
  <c r="C39" i="135"/>
  <c r="AC38" i="135"/>
  <c r="W42" i="135" s="1"/>
  <c r="Z38" i="135"/>
  <c r="W40" i="135" s="1"/>
  <c r="U38" i="135"/>
  <c r="S38" i="135"/>
  <c r="R38" i="135"/>
  <c r="P38" i="135"/>
  <c r="O38" i="135"/>
  <c r="M38" i="135"/>
  <c r="L38" i="135"/>
  <c r="J38" i="135"/>
  <c r="I38" i="135"/>
  <c r="G38" i="135"/>
  <c r="F38" i="135"/>
  <c r="D38" i="135"/>
  <c r="C38" i="135"/>
  <c r="S37" i="135"/>
  <c r="P37" i="135"/>
  <c r="M37" i="135"/>
  <c r="J37" i="135"/>
  <c r="G37" i="135"/>
  <c r="D37" i="135"/>
  <c r="AE37" i="135" s="1"/>
  <c r="C37" i="135"/>
  <c r="AC36" i="135"/>
  <c r="T42" i="135" s="1"/>
  <c r="Z36" i="135"/>
  <c r="T40" i="135" s="1"/>
  <c r="W36" i="135"/>
  <c r="T38" i="135" s="1"/>
  <c r="R36" i="135"/>
  <c r="P36" i="135"/>
  <c r="O36" i="135"/>
  <c r="M36" i="135"/>
  <c r="L36" i="135"/>
  <c r="J36" i="135"/>
  <c r="I36" i="135"/>
  <c r="G36" i="135"/>
  <c r="F36" i="135"/>
  <c r="D36" i="135"/>
  <c r="P35" i="135"/>
  <c r="M35" i="135"/>
  <c r="J35" i="135"/>
  <c r="G35" i="135"/>
  <c r="D35" i="135"/>
  <c r="C35" i="135"/>
  <c r="AC34" i="135"/>
  <c r="Q42" i="135" s="1"/>
  <c r="Z34" i="135"/>
  <c r="Q40" i="135" s="1"/>
  <c r="W34" i="135"/>
  <c r="Q38" i="135" s="1"/>
  <c r="T34" i="135"/>
  <c r="Q36" i="135" s="1"/>
  <c r="O34" i="135"/>
  <c r="M34" i="135"/>
  <c r="L34" i="135"/>
  <c r="K34" i="135"/>
  <c r="J34" i="135"/>
  <c r="I34" i="135"/>
  <c r="G34" i="135"/>
  <c r="F34" i="135"/>
  <c r="D34" i="135"/>
  <c r="M33" i="135"/>
  <c r="J33" i="135"/>
  <c r="G33" i="135"/>
  <c r="D33" i="135"/>
  <c r="C33" i="135"/>
  <c r="AC32" i="135"/>
  <c r="N42" i="135" s="1"/>
  <c r="Z32" i="135"/>
  <c r="N40" i="135" s="1"/>
  <c r="W32" i="135"/>
  <c r="N38" i="135" s="1"/>
  <c r="T32" i="135"/>
  <c r="N36" i="135" s="1"/>
  <c r="Q32" i="135"/>
  <c r="N34" i="135" s="1"/>
  <c r="L32" i="135"/>
  <c r="J32" i="135"/>
  <c r="I32" i="135"/>
  <c r="G32" i="135"/>
  <c r="F32" i="135"/>
  <c r="D32" i="135"/>
  <c r="J31" i="135"/>
  <c r="G31" i="135"/>
  <c r="D31" i="135"/>
  <c r="C31" i="135"/>
  <c r="AC30" i="135"/>
  <c r="K42" i="135" s="1"/>
  <c r="Z30" i="135"/>
  <c r="K40" i="135" s="1"/>
  <c r="W30" i="135"/>
  <c r="K38" i="135" s="1"/>
  <c r="T30" i="135"/>
  <c r="K36" i="135" s="1"/>
  <c r="N30" i="135"/>
  <c r="K32" i="135" s="1"/>
  <c r="I30" i="135"/>
  <c r="G30" i="135"/>
  <c r="F30" i="135"/>
  <c r="D30" i="135"/>
  <c r="G29" i="135"/>
  <c r="D29" i="135"/>
  <c r="C29" i="135"/>
  <c r="AC28" i="135"/>
  <c r="H42" i="135" s="1"/>
  <c r="Z28" i="135"/>
  <c r="H40" i="135" s="1"/>
  <c r="W28" i="135"/>
  <c r="H38" i="135" s="1"/>
  <c r="T28" i="135"/>
  <c r="Q28" i="135"/>
  <c r="H36" i="135" s="1"/>
  <c r="N28" i="135"/>
  <c r="H32" i="135" s="1"/>
  <c r="K28" i="135"/>
  <c r="H30" i="135" s="1"/>
  <c r="F28" i="135"/>
  <c r="E28" i="135"/>
  <c r="D28" i="135"/>
  <c r="D27" i="135"/>
  <c r="AE27" i="135" s="1"/>
  <c r="C27" i="135"/>
  <c r="AC26" i="135"/>
  <c r="E42" i="135" s="1"/>
  <c r="Z26" i="135"/>
  <c r="E40" i="135" s="1"/>
  <c r="W26" i="135"/>
  <c r="E38" i="135" s="1"/>
  <c r="T26" i="135"/>
  <c r="E36" i="135" s="1"/>
  <c r="Q26" i="135"/>
  <c r="E34" i="135" s="1"/>
  <c r="N26" i="135"/>
  <c r="E32" i="135" s="1"/>
  <c r="K26" i="135"/>
  <c r="E30" i="135" s="1"/>
  <c r="H26" i="135"/>
  <c r="AE25" i="135"/>
  <c r="C25" i="135"/>
  <c r="AA22" i="135"/>
  <c r="Z22" i="135"/>
  <c r="Y22" i="135"/>
  <c r="X22" i="135"/>
  <c r="V22" i="135"/>
  <c r="U22" i="135"/>
  <c r="S22" i="135"/>
  <c r="R22" i="135"/>
  <c r="P22" i="135"/>
  <c r="O22" i="135"/>
  <c r="M22" i="135"/>
  <c r="L22" i="135"/>
  <c r="J22" i="135"/>
  <c r="I22" i="135"/>
  <c r="G22" i="135"/>
  <c r="F22" i="135"/>
  <c r="D22" i="135"/>
  <c r="C22" i="135"/>
  <c r="Y21" i="135"/>
  <c r="V21" i="135"/>
  <c r="S21" i="135"/>
  <c r="P21" i="135"/>
  <c r="M21" i="135"/>
  <c r="J21" i="135"/>
  <c r="G21" i="135"/>
  <c r="D21" i="135"/>
  <c r="AE21" i="135" s="1"/>
  <c r="C21" i="135"/>
  <c r="AC20" i="135"/>
  <c r="X20" i="135"/>
  <c r="V20" i="135"/>
  <c r="U20" i="135"/>
  <c r="S20" i="135"/>
  <c r="R20" i="135"/>
  <c r="P20" i="135"/>
  <c r="O20" i="135"/>
  <c r="M20" i="135"/>
  <c r="L20" i="135"/>
  <c r="J20" i="135"/>
  <c r="I20" i="135"/>
  <c r="G20" i="135"/>
  <c r="F20" i="135"/>
  <c r="D20" i="135"/>
  <c r="C20" i="135"/>
  <c r="V19" i="135"/>
  <c r="S19" i="135"/>
  <c r="P19" i="135"/>
  <c r="M19" i="135"/>
  <c r="J19" i="135"/>
  <c r="G19" i="135"/>
  <c r="D19" i="135"/>
  <c r="AE19" i="135" s="1"/>
  <c r="C19" i="135"/>
  <c r="AC18" i="135"/>
  <c r="W22" i="135" s="1"/>
  <c r="Z18" i="135"/>
  <c r="W20" i="135" s="1"/>
  <c r="U18" i="135"/>
  <c r="S18" i="135"/>
  <c r="R18" i="135"/>
  <c r="P18" i="135"/>
  <c r="O18" i="135"/>
  <c r="M18" i="135"/>
  <c r="L18" i="135"/>
  <c r="J18" i="135"/>
  <c r="I18" i="135"/>
  <c r="G18" i="135"/>
  <c r="F18" i="135"/>
  <c r="D18" i="135"/>
  <c r="S17" i="135"/>
  <c r="P17" i="135"/>
  <c r="M17" i="135"/>
  <c r="J17" i="135"/>
  <c r="G17" i="135"/>
  <c r="D17" i="135"/>
  <c r="AC16" i="135"/>
  <c r="T22" i="135" s="1"/>
  <c r="Z16" i="135"/>
  <c r="T20" i="135" s="1"/>
  <c r="T18" i="135"/>
  <c r="R16" i="135"/>
  <c r="P16" i="135"/>
  <c r="O16" i="135"/>
  <c r="M16" i="135"/>
  <c r="L16" i="135"/>
  <c r="J16" i="135"/>
  <c r="I16" i="135"/>
  <c r="G16" i="135"/>
  <c r="F16" i="135"/>
  <c r="D16" i="135"/>
  <c r="P15" i="135"/>
  <c r="M15" i="135"/>
  <c r="J15" i="135"/>
  <c r="G15" i="135"/>
  <c r="D15" i="135"/>
  <c r="C15" i="135"/>
  <c r="AC14" i="135"/>
  <c r="Q22" i="135" s="1"/>
  <c r="Z14" i="135"/>
  <c r="Q20" i="135" s="1"/>
  <c r="W14" i="135"/>
  <c r="Q18" i="135" s="1"/>
  <c r="T14" i="135"/>
  <c r="Q16" i="135" s="1"/>
  <c r="O14" i="135"/>
  <c r="M14" i="135"/>
  <c r="L14" i="135"/>
  <c r="J14" i="135"/>
  <c r="I14" i="135"/>
  <c r="G14" i="135"/>
  <c r="F14" i="135"/>
  <c r="D14" i="135"/>
  <c r="M13" i="135"/>
  <c r="J13" i="135"/>
  <c r="G13" i="135"/>
  <c r="D13" i="135"/>
  <c r="C13" i="135"/>
  <c r="AC12" i="135"/>
  <c r="N22" i="135" s="1"/>
  <c r="Z12" i="135"/>
  <c r="N20" i="135" s="1"/>
  <c r="W12" i="135"/>
  <c r="N18" i="135" s="1"/>
  <c r="T12" i="135"/>
  <c r="N16" i="135" s="1"/>
  <c r="Q12" i="135"/>
  <c r="N14" i="135" s="1"/>
  <c r="L12" i="135"/>
  <c r="J12" i="135"/>
  <c r="I12" i="135"/>
  <c r="G12" i="135"/>
  <c r="F12" i="135"/>
  <c r="D12" i="135"/>
  <c r="J11" i="135"/>
  <c r="G11" i="135"/>
  <c r="D11" i="135"/>
  <c r="C11" i="135"/>
  <c r="AC10" i="135"/>
  <c r="K22" i="135" s="1"/>
  <c r="Z10" i="135"/>
  <c r="K20" i="135" s="1"/>
  <c r="W10" i="135"/>
  <c r="K18" i="135" s="1"/>
  <c r="T10" i="135"/>
  <c r="K16" i="135" s="1"/>
  <c r="Q10" i="135"/>
  <c r="K14" i="135" s="1"/>
  <c r="N10" i="135"/>
  <c r="K12" i="135" s="1"/>
  <c r="I10" i="135"/>
  <c r="G10" i="135"/>
  <c r="F10" i="135"/>
  <c r="D10" i="135"/>
  <c r="G9" i="135"/>
  <c r="D9" i="135"/>
  <c r="C9" i="135"/>
  <c r="AC8" i="135"/>
  <c r="H22" i="135" s="1"/>
  <c r="Z8" i="135"/>
  <c r="H20" i="135" s="1"/>
  <c r="W8" i="135"/>
  <c r="H18" i="135" s="1"/>
  <c r="T8" i="135"/>
  <c r="H16" i="135" s="1"/>
  <c r="Q8" i="135"/>
  <c r="H14" i="135" s="1"/>
  <c r="N8" i="135"/>
  <c r="H12" i="135" s="1"/>
  <c r="K8" i="135"/>
  <c r="H10" i="135" s="1"/>
  <c r="F8" i="135"/>
  <c r="E8" i="135"/>
  <c r="D8" i="135"/>
  <c r="D7" i="135"/>
  <c r="AE7" i="135" s="1"/>
  <c r="C7" i="135"/>
  <c r="AC6" i="135"/>
  <c r="E22" i="135" s="1"/>
  <c r="Z6" i="135"/>
  <c r="E20" i="135" s="1"/>
  <c r="W6" i="135"/>
  <c r="E18" i="135" s="1"/>
  <c r="T6" i="135"/>
  <c r="E16" i="135" s="1"/>
  <c r="Q6" i="135"/>
  <c r="E14" i="135" s="1"/>
  <c r="N6" i="135"/>
  <c r="E12" i="135" s="1"/>
  <c r="K6" i="135"/>
  <c r="E10" i="135" s="1"/>
  <c r="H6" i="135"/>
  <c r="AE5" i="135"/>
  <c r="C5" i="135"/>
  <c r="C3" i="135"/>
  <c r="AB2" i="135"/>
  <c r="D2" i="135"/>
  <c r="C2" i="135"/>
  <c r="C1" i="135"/>
  <c r="AE49" i="135" l="1"/>
  <c r="AE17" i="135"/>
  <c r="AE57" i="135"/>
  <c r="AE77" i="135"/>
  <c r="C151" i="134"/>
  <c r="E151" i="134" s="1"/>
  <c r="C54" i="134"/>
  <c r="D54" i="134" s="1"/>
  <c r="C132" i="134"/>
  <c r="F132" i="134" s="1"/>
  <c r="C112" i="134"/>
  <c r="D112" i="134" s="1"/>
  <c r="C15" i="134"/>
  <c r="AE31" i="135"/>
  <c r="AE51" i="135"/>
  <c r="AE71" i="135"/>
  <c r="L65" i="176"/>
  <c r="H5" i="176"/>
  <c r="H35" i="176"/>
  <c r="L20" i="176"/>
  <c r="L50" i="176"/>
  <c r="L35" i="176"/>
  <c r="H65" i="176"/>
  <c r="M50" i="176"/>
  <c r="B20" i="176"/>
  <c r="C5" i="176"/>
  <c r="G50" i="176"/>
  <c r="M5" i="176"/>
  <c r="M65" i="176"/>
  <c r="G20" i="176"/>
  <c r="M35" i="176"/>
  <c r="L65" i="177"/>
  <c r="H35" i="177"/>
  <c r="L20" i="177"/>
  <c r="H5" i="177"/>
  <c r="L50" i="177"/>
  <c r="G65" i="178"/>
  <c r="B50" i="178"/>
  <c r="L5" i="178"/>
  <c r="M20" i="178"/>
  <c r="C35" i="178"/>
  <c r="L50" i="178"/>
  <c r="L65" i="178"/>
  <c r="H35" i="178"/>
  <c r="L20" i="178"/>
  <c r="C65" i="176"/>
  <c r="H20" i="176"/>
  <c r="C50" i="176"/>
  <c r="B5" i="176"/>
  <c r="G35" i="176"/>
  <c r="C35" i="177"/>
  <c r="G65" i="177"/>
  <c r="B50" i="177"/>
  <c r="L5" i="177"/>
  <c r="M20" i="177"/>
  <c r="H50" i="178"/>
  <c r="B35" i="178"/>
  <c r="C20" i="178"/>
  <c r="G5" i="178"/>
  <c r="B65" i="178"/>
  <c r="L35" i="178"/>
  <c r="M50" i="178"/>
  <c r="H65" i="178"/>
  <c r="C5" i="178"/>
  <c r="B20" i="178"/>
  <c r="M35" i="178"/>
  <c r="M65" i="178"/>
  <c r="G50" i="178"/>
  <c r="G20" i="178"/>
  <c r="M5" i="178"/>
  <c r="H5" i="178"/>
  <c r="C50" i="179"/>
  <c r="B5" i="179"/>
  <c r="G35" i="179"/>
  <c r="H20" i="179"/>
  <c r="C65" i="179"/>
  <c r="B65" i="176"/>
  <c r="G5" i="176"/>
  <c r="H50" i="176"/>
  <c r="B35" i="176"/>
  <c r="C20" i="176"/>
  <c r="C50" i="177"/>
  <c r="B5" i="177"/>
  <c r="C65" i="177"/>
  <c r="G35" i="177"/>
  <c r="H20" i="177"/>
  <c r="M50" i="177"/>
  <c r="C5" i="177"/>
  <c r="H65" i="177"/>
  <c r="L35" i="177"/>
  <c r="B20" i="177"/>
  <c r="M5" i="177"/>
  <c r="M35" i="177"/>
  <c r="G20" i="177"/>
  <c r="M65" i="177"/>
  <c r="G50" i="177"/>
  <c r="M20" i="179"/>
  <c r="G65" i="179"/>
  <c r="B50" i="179"/>
  <c r="L5" i="179"/>
  <c r="C35" i="179"/>
  <c r="H5" i="179"/>
  <c r="L65" i="179"/>
  <c r="H35" i="179"/>
  <c r="L20" i="179"/>
  <c r="L50" i="179"/>
  <c r="M20" i="176"/>
  <c r="L5" i="176"/>
  <c r="C35" i="176"/>
  <c r="B50" i="176"/>
  <c r="G65" i="176"/>
  <c r="H50" i="177"/>
  <c r="B35" i="177"/>
  <c r="C20" i="177"/>
  <c r="B65" i="177"/>
  <c r="G5" i="177"/>
  <c r="G35" i="178"/>
  <c r="C65" i="178"/>
  <c r="C50" i="178"/>
  <c r="H20" i="178"/>
  <c r="B5" i="178"/>
  <c r="B65" i="179"/>
  <c r="C20" i="179"/>
  <c r="H50" i="179"/>
  <c r="B35" i="179"/>
  <c r="G5" i="179"/>
  <c r="L35" i="179"/>
  <c r="C5" i="179"/>
  <c r="M50" i="179"/>
  <c r="H65" i="179"/>
  <c r="B20" i="179"/>
  <c r="M65" i="179"/>
  <c r="G50" i="179"/>
  <c r="M5" i="179"/>
  <c r="M35" i="179"/>
  <c r="G20" i="179"/>
  <c r="B5" i="152"/>
  <c r="C110" i="152"/>
  <c r="L80" i="152"/>
  <c r="B50" i="152"/>
  <c r="C125" i="152"/>
  <c r="M65" i="152"/>
  <c r="H20" i="152"/>
  <c r="L125" i="152"/>
  <c r="B95" i="152"/>
  <c r="G20" i="152"/>
  <c r="M110" i="152"/>
  <c r="H5" i="152"/>
  <c r="G65" i="152"/>
  <c r="M35" i="152"/>
  <c r="L95" i="152"/>
  <c r="G50" i="152"/>
  <c r="H125" i="152"/>
  <c r="M80" i="152"/>
  <c r="H65" i="152"/>
  <c r="H35" i="152"/>
  <c r="B20" i="152"/>
  <c r="G95" i="152"/>
  <c r="B80" i="152"/>
  <c r="L20" i="152"/>
  <c r="M125" i="152"/>
  <c r="H110" i="152"/>
  <c r="H50" i="152"/>
  <c r="C5" i="152"/>
  <c r="L125" i="155"/>
  <c r="B95" i="155"/>
  <c r="G20" i="155"/>
  <c r="M110" i="155"/>
  <c r="H5" i="155"/>
  <c r="G65" i="155"/>
  <c r="M35" i="155"/>
  <c r="G125" i="154"/>
  <c r="C80" i="154"/>
  <c r="B110" i="154"/>
  <c r="L50" i="154"/>
  <c r="G5" i="154"/>
  <c r="H80" i="154"/>
  <c r="C35" i="154"/>
  <c r="L125" i="154"/>
  <c r="M110" i="154"/>
  <c r="B95" i="154"/>
  <c r="G20" i="154"/>
  <c r="H5" i="154"/>
  <c r="G65" i="154"/>
  <c r="M35" i="154"/>
  <c r="B140" i="154"/>
  <c r="G110" i="154"/>
  <c r="L65" i="154"/>
  <c r="M50" i="154"/>
  <c r="G35" i="154"/>
  <c r="C95" i="154"/>
  <c r="M5" i="154"/>
  <c r="B125" i="152"/>
  <c r="G80" i="152"/>
  <c r="L35" i="152"/>
  <c r="L5" i="152"/>
  <c r="M20" i="152"/>
  <c r="M95" i="152"/>
  <c r="C65" i="152"/>
  <c r="B5" i="155"/>
  <c r="C110" i="155"/>
  <c r="L80" i="155"/>
  <c r="B50" i="155"/>
  <c r="C125" i="155"/>
  <c r="M65" i="155"/>
  <c r="H20" i="155"/>
  <c r="L95" i="155"/>
  <c r="G50" i="155"/>
  <c r="H125" i="155"/>
  <c r="M80" i="155"/>
  <c r="H65" i="155"/>
  <c r="H35" i="155"/>
  <c r="B20" i="155"/>
  <c r="G110" i="155"/>
  <c r="L65" i="155"/>
  <c r="M50" i="155"/>
  <c r="B140" i="155"/>
  <c r="G35" i="155"/>
  <c r="C95" i="155"/>
  <c r="M5" i="155"/>
  <c r="B65" i="155"/>
  <c r="B35" i="155"/>
  <c r="C140" i="155"/>
  <c r="H95" i="155"/>
  <c r="C50" i="155"/>
  <c r="C20" i="155"/>
  <c r="L110" i="155"/>
  <c r="B125" i="154"/>
  <c r="G80" i="154"/>
  <c r="L35" i="154"/>
  <c r="L5" i="154"/>
  <c r="M20" i="154"/>
  <c r="M95" i="154"/>
  <c r="C65" i="154"/>
  <c r="H125" i="154"/>
  <c r="L95" i="154"/>
  <c r="G50" i="154"/>
  <c r="M80" i="154"/>
  <c r="H65" i="154"/>
  <c r="H35" i="154"/>
  <c r="B20" i="154"/>
  <c r="M125" i="154"/>
  <c r="H110" i="154"/>
  <c r="G95" i="154"/>
  <c r="B80" i="154"/>
  <c r="L20" i="154"/>
  <c r="H50" i="154"/>
  <c r="C5" i="154"/>
  <c r="H20" i="153"/>
  <c r="B5" i="153"/>
  <c r="C110" i="153"/>
  <c r="L80" i="153"/>
  <c r="B50" i="153"/>
  <c r="C125" i="153"/>
  <c r="M65" i="153"/>
  <c r="B65" i="153"/>
  <c r="B35" i="153"/>
  <c r="C140" i="153"/>
  <c r="H95" i="153"/>
  <c r="C50" i="153"/>
  <c r="L110" i="153"/>
  <c r="C20" i="153"/>
  <c r="C80" i="155"/>
  <c r="G125" i="155"/>
  <c r="B110" i="155"/>
  <c r="L50" i="155"/>
  <c r="G5" i="155"/>
  <c r="H80" i="155"/>
  <c r="C35" i="155"/>
  <c r="B65" i="152"/>
  <c r="B35" i="152"/>
  <c r="C140" i="152"/>
  <c r="H95" i="152"/>
  <c r="C50" i="152"/>
  <c r="C20" i="152"/>
  <c r="L110" i="152"/>
  <c r="G95" i="155"/>
  <c r="B80" i="155"/>
  <c r="L20" i="155"/>
  <c r="M125" i="155"/>
  <c r="H110" i="155"/>
  <c r="H50" i="155"/>
  <c r="C5" i="155"/>
  <c r="C80" i="153"/>
  <c r="G125" i="153"/>
  <c r="B110" i="153"/>
  <c r="L50" i="153"/>
  <c r="G5" i="153"/>
  <c r="H80" i="153"/>
  <c r="C35" i="153"/>
  <c r="L125" i="153"/>
  <c r="B95" i="153"/>
  <c r="M110" i="153"/>
  <c r="H5" i="153"/>
  <c r="G65" i="153"/>
  <c r="M35" i="153"/>
  <c r="G20" i="153"/>
  <c r="G110" i="153"/>
  <c r="L65" i="153"/>
  <c r="M50" i="153"/>
  <c r="B140" i="153"/>
  <c r="G35" i="153"/>
  <c r="C95" i="153"/>
  <c r="M5" i="153"/>
  <c r="C80" i="152"/>
  <c r="G125" i="152"/>
  <c r="B110" i="152"/>
  <c r="L50" i="152"/>
  <c r="G5" i="152"/>
  <c r="H80" i="152"/>
  <c r="C35" i="152"/>
  <c r="G110" i="152"/>
  <c r="L65" i="152"/>
  <c r="M50" i="152"/>
  <c r="B140" i="152"/>
  <c r="G35" i="152"/>
  <c r="C95" i="152"/>
  <c r="M5" i="152"/>
  <c r="B125" i="155"/>
  <c r="G80" i="155"/>
  <c r="L35" i="155"/>
  <c r="L5" i="155"/>
  <c r="M20" i="155"/>
  <c r="M95" i="155"/>
  <c r="C65" i="155"/>
  <c r="C125" i="154"/>
  <c r="B5" i="154"/>
  <c r="C110" i="154"/>
  <c r="L80" i="154"/>
  <c r="B50" i="154"/>
  <c r="M65" i="154"/>
  <c r="H20" i="154"/>
  <c r="L110" i="154"/>
  <c r="C140" i="154"/>
  <c r="B65" i="154"/>
  <c r="B35" i="154"/>
  <c r="H95" i="154"/>
  <c r="C50" i="154"/>
  <c r="C20" i="154"/>
  <c r="B125" i="153"/>
  <c r="G80" i="153"/>
  <c r="L35" i="153"/>
  <c r="L5" i="153"/>
  <c r="M20" i="153"/>
  <c r="M95" i="153"/>
  <c r="C65" i="153"/>
  <c r="L95" i="153"/>
  <c r="G50" i="153"/>
  <c r="H125" i="153"/>
  <c r="M80" i="153"/>
  <c r="H65" i="153"/>
  <c r="H35" i="153"/>
  <c r="B20" i="153"/>
  <c r="L20" i="153"/>
  <c r="G95" i="153"/>
  <c r="B80" i="153"/>
  <c r="M125" i="153"/>
  <c r="H110" i="153"/>
  <c r="H50" i="153"/>
  <c r="C5" i="153"/>
  <c r="D151" i="134"/>
  <c r="C34" i="134"/>
  <c r="D34" i="134" s="1"/>
  <c r="C93" i="134"/>
  <c r="D93" i="134" s="1"/>
  <c r="C170" i="134"/>
  <c r="F170" i="134" s="1"/>
  <c r="F151" i="134"/>
  <c r="C73" i="134"/>
  <c r="D73" i="134" s="1"/>
  <c r="C155" i="134"/>
  <c r="C116" i="134"/>
  <c r="C77" i="134"/>
  <c r="D77" i="134" s="1"/>
  <c r="C38" i="134"/>
  <c r="D38" i="134" s="1"/>
  <c r="C174" i="134"/>
  <c r="C136" i="134"/>
  <c r="D136" i="134" s="1"/>
  <c r="C97" i="134"/>
  <c r="D97" i="134" s="1"/>
  <c r="C58" i="134"/>
  <c r="D58" i="134" s="1"/>
  <c r="C19" i="134"/>
  <c r="C154" i="134"/>
  <c r="C173" i="134"/>
  <c r="C135" i="134"/>
  <c r="C115" i="134"/>
  <c r="D115" i="134" s="1"/>
  <c r="C96" i="134"/>
  <c r="D96" i="134" s="1"/>
  <c r="C76" i="134"/>
  <c r="D76" i="134" s="1"/>
  <c r="C57" i="134"/>
  <c r="D57" i="134" s="1"/>
  <c r="C37" i="134"/>
  <c r="D37" i="134" s="1"/>
  <c r="C18" i="134"/>
  <c r="C172" i="134"/>
  <c r="C153" i="134"/>
  <c r="C114" i="134"/>
  <c r="D114" i="134" s="1"/>
  <c r="C134" i="134"/>
  <c r="C95" i="134"/>
  <c r="D95" i="134" s="1"/>
  <c r="C56" i="134"/>
  <c r="D56" i="134" s="1"/>
  <c r="C17" i="134"/>
  <c r="C75" i="134"/>
  <c r="D75" i="134" s="1"/>
  <c r="C36" i="134"/>
  <c r="D36" i="134" s="1"/>
  <c r="C171" i="134"/>
  <c r="C16" i="134"/>
  <c r="C152" i="134"/>
  <c r="C133" i="134"/>
  <c r="C113" i="134"/>
  <c r="C94" i="134"/>
  <c r="D94" i="134" s="1"/>
  <c r="C74" i="134"/>
  <c r="D74" i="134" s="1"/>
  <c r="C55" i="134"/>
  <c r="D55" i="134" s="1"/>
  <c r="C35" i="134"/>
  <c r="D35" i="134" s="1"/>
  <c r="C169" i="134"/>
  <c r="C150" i="134"/>
  <c r="C131" i="134"/>
  <c r="C111" i="134"/>
  <c r="D111" i="134" s="1"/>
  <c r="C92" i="134"/>
  <c r="D92" i="134" s="1"/>
  <c r="C72" i="134"/>
  <c r="D72" i="134" s="1"/>
  <c r="C53" i="134"/>
  <c r="D53" i="134" s="1"/>
  <c r="C33" i="134"/>
  <c r="D33" i="134" s="1"/>
  <c r="C14" i="134"/>
  <c r="C168" i="134"/>
  <c r="C130" i="134"/>
  <c r="C91" i="134"/>
  <c r="D91" i="134" s="1"/>
  <c r="C52" i="134"/>
  <c r="D52" i="134" s="1"/>
  <c r="C13" i="134"/>
  <c r="C149" i="134"/>
  <c r="C110" i="134"/>
  <c r="D110" i="134" s="1"/>
  <c r="C71" i="134"/>
  <c r="D71" i="134" s="1"/>
  <c r="C32" i="134"/>
  <c r="D32" i="134" s="1"/>
  <c r="C167" i="134"/>
  <c r="F167" i="134" s="1"/>
  <c r="C31" i="134"/>
  <c r="D31" i="134" s="1"/>
  <c r="C70" i="134"/>
  <c r="D70" i="134" s="1"/>
  <c r="C109" i="134"/>
  <c r="D109" i="134" s="1"/>
  <c r="C148" i="134"/>
  <c r="C12" i="134"/>
  <c r="C51" i="134"/>
  <c r="D51" i="134" s="1"/>
  <c r="C90" i="134"/>
  <c r="D90" i="134" s="1"/>
  <c r="C129" i="134"/>
  <c r="AE55" i="135"/>
  <c r="AE35" i="135"/>
  <c r="AE11" i="135"/>
  <c r="AE73" i="135"/>
  <c r="AE69" i="135"/>
  <c r="AE75" i="135"/>
  <c r="AE53" i="135"/>
  <c r="AE29" i="135"/>
  <c r="AE33" i="135"/>
  <c r="AE15" i="135"/>
  <c r="AE9" i="135"/>
  <c r="AE13" i="135"/>
  <c r="H34" i="135"/>
  <c r="H54" i="135"/>
  <c r="H74" i="135"/>
  <c r="C12" i="135"/>
  <c r="D132" i="134" l="1"/>
  <c r="E132" i="134"/>
  <c r="E136" i="134"/>
  <c r="AH19" i="135"/>
  <c r="AH81" i="135"/>
  <c r="AH37" i="135"/>
  <c r="E95" i="134"/>
  <c r="E170" i="134"/>
  <c r="D170" i="134"/>
  <c r="AH21" i="135"/>
  <c r="AH17" i="135"/>
  <c r="AH41" i="135"/>
  <c r="AH39" i="135"/>
  <c r="AH59" i="135"/>
  <c r="AH61" i="135"/>
  <c r="AH79" i="135"/>
  <c r="AH77" i="135"/>
  <c r="F116" i="134"/>
  <c r="D116" i="134"/>
  <c r="E116" i="134"/>
  <c r="F174" i="134"/>
  <c r="D174" i="134"/>
  <c r="E174" i="134"/>
  <c r="E155" i="134"/>
  <c r="F155" i="134"/>
  <c r="D155" i="134"/>
  <c r="F173" i="134"/>
  <c r="E173" i="134"/>
  <c r="D173" i="134"/>
  <c r="F135" i="134"/>
  <c r="D135" i="134"/>
  <c r="E135" i="134"/>
  <c r="F154" i="134"/>
  <c r="D154" i="134"/>
  <c r="E154" i="134"/>
  <c r="F134" i="134"/>
  <c r="D134" i="134"/>
  <c r="E134" i="134"/>
  <c r="E153" i="134"/>
  <c r="F153" i="134"/>
  <c r="D153" i="134"/>
  <c r="F172" i="134"/>
  <c r="D172" i="134"/>
  <c r="E172" i="134"/>
  <c r="F133" i="134"/>
  <c r="D133" i="134"/>
  <c r="E133" i="134"/>
  <c r="D113" i="134"/>
  <c r="E113" i="134"/>
  <c r="F152" i="134"/>
  <c r="D152" i="134"/>
  <c r="E152" i="134"/>
  <c r="F171" i="134"/>
  <c r="E171" i="134"/>
  <c r="D171" i="134"/>
  <c r="E150" i="134"/>
  <c r="F150" i="134"/>
  <c r="D150" i="134"/>
  <c r="E131" i="134"/>
  <c r="F131" i="134"/>
  <c r="D131" i="134"/>
  <c r="F169" i="134"/>
  <c r="E169" i="134"/>
  <c r="D169" i="134"/>
  <c r="F149" i="134"/>
  <c r="D149" i="134"/>
  <c r="E149" i="134"/>
  <c r="E130" i="134"/>
  <c r="F130" i="134"/>
  <c r="D130" i="134"/>
  <c r="F168" i="134"/>
  <c r="D168" i="134"/>
  <c r="E168" i="134"/>
  <c r="E167" i="134"/>
  <c r="D167" i="134"/>
  <c r="F129" i="134"/>
  <c r="D129" i="134"/>
  <c r="E129" i="134"/>
  <c r="F148" i="134"/>
  <c r="D148" i="134"/>
  <c r="E148" i="134"/>
  <c r="E97" i="134"/>
  <c r="E57" i="134"/>
  <c r="C76" i="137"/>
  <c r="D65" i="138"/>
  <c r="AY10" i="138"/>
  <c r="F136" i="134"/>
  <c r="E94" i="134"/>
  <c r="D59" i="138"/>
  <c r="AY27" i="138"/>
  <c r="C36" i="137"/>
  <c r="F95" i="134"/>
  <c r="C10" i="137"/>
  <c r="F94" i="134"/>
  <c r="C72" i="137"/>
  <c r="F97" i="134"/>
  <c r="C50" i="137"/>
  <c r="F57" i="134"/>
  <c r="AH53" i="135"/>
  <c r="AH45" i="135"/>
  <c r="AH47" i="135"/>
  <c r="AH75" i="135"/>
  <c r="AH73" i="135"/>
  <c r="AH69" i="135"/>
  <c r="AH67" i="135"/>
  <c r="AH65" i="135"/>
  <c r="AH71" i="135"/>
  <c r="AH55" i="135"/>
  <c r="AH51" i="135"/>
  <c r="AH29" i="135"/>
  <c r="AH25" i="135"/>
  <c r="AH27" i="135"/>
  <c r="AH31" i="135"/>
  <c r="AH33" i="135"/>
  <c r="AH35" i="135"/>
  <c r="AH5" i="135"/>
  <c r="AH15" i="135"/>
  <c r="AH7" i="135"/>
  <c r="AH13" i="135"/>
  <c r="AH9" i="135"/>
  <c r="AH11" i="135"/>
  <c r="D13" i="134"/>
  <c r="D19" i="134"/>
  <c r="D17" i="134"/>
  <c r="C108" i="134" l="1"/>
  <c r="D108" i="134" s="1"/>
  <c r="C10" i="134"/>
  <c r="C69" i="134"/>
  <c r="D69" i="134" s="1"/>
  <c r="C147" i="134"/>
  <c r="F147" i="134" s="1"/>
  <c r="C48" i="134"/>
  <c r="D48" i="134" s="1"/>
  <c r="C11" i="134"/>
  <c r="D11" i="134" s="1"/>
  <c r="C50" i="134"/>
  <c r="D50" i="134" s="1"/>
  <c r="C89" i="134"/>
  <c r="D89" i="134" s="1"/>
  <c r="C128" i="134"/>
  <c r="D128" i="134" s="1"/>
  <c r="C165" i="134"/>
  <c r="C29" i="134"/>
  <c r="D29" i="134" s="1"/>
  <c r="C9" i="134"/>
  <c r="D9" i="134" s="1"/>
  <c r="C67" i="134"/>
  <c r="D67" i="134" s="1"/>
  <c r="C87" i="134"/>
  <c r="D87" i="134" s="1"/>
  <c r="C106" i="134"/>
  <c r="D106" i="134" s="1"/>
  <c r="C126" i="134"/>
  <c r="E126" i="134" s="1"/>
  <c r="C145" i="134"/>
  <c r="F145" i="134" s="1"/>
  <c r="C164" i="134"/>
  <c r="C28" i="134"/>
  <c r="D28" i="134" s="1"/>
  <c r="C8" i="134"/>
  <c r="D8" i="134" s="1"/>
  <c r="C47" i="134"/>
  <c r="D47" i="134" s="1"/>
  <c r="C86" i="134"/>
  <c r="D86" i="134" s="1"/>
  <c r="C125" i="134"/>
  <c r="D125" i="134" s="1"/>
  <c r="C66" i="134"/>
  <c r="D66" i="134" s="1"/>
  <c r="C105" i="134"/>
  <c r="D105" i="134" s="1"/>
  <c r="C144" i="134"/>
  <c r="F144" i="134" s="1"/>
  <c r="C163" i="134"/>
  <c r="C27" i="134"/>
  <c r="D27" i="134" s="1"/>
  <c r="C30" i="134"/>
  <c r="D30" i="134" s="1"/>
  <c r="C166" i="134"/>
  <c r="C146" i="134"/>
  <c r="E146" i="134" s="1"/>
  <c r="D18" i="134"/>
  <c r="C49" i="134"/>
  <c r="D49" i="134" s="1"/>
  <c r="C68" i="134"/>
  <c r="D68" i="134" s="1"/>
  <c r="C88" i="134"/>
  <c r="D88" i="134" s="1"/>
  <c r="C107" i="134"/>
  <c r="D107" i="134" s="1"/>
  <c r="C127" i="134"/>
  <c r="F127" i="134" s="1"/>
  <c r="D14" i="134"/>
  <c r="D16" i="134"/>
  <c r="D15" i="134"/>
  <c r="D12" i="134"/>
  <c r="D10" i="134"/>
  <c r="E145" i="134" l="1"/>
  <c r="E127" i="134"/>
  <c r="E105" i="134"/>
  <c r="D145" i="134"/>
  <c r="F128" i="134"/>
  <c r="F126" i="134"/>
  <c r="E147" i="134"/>
  <c r="D147" i="134"/>
  <c r="E125" i="134"/>
  <c r="F125" i="134"/>
  <c r="F146" i="134"/>
  <c r="E128" i="134"/>
  <c r="D127" i="134"/>
  <c r="E86" i="134"/>
  <c r="F86" i="134"/>
  <c r="D146" i="134"/>
  <c r="F165" i="134"/>
  <c r="D165" i="134"/>
  <c r="E165" i="134"/>
  <c r="D126" i="134"/>
  <c r="F164" i="134"/>
  <c r="E164" i="134"/>
  <c r="D164" i="134"/>
  <c r="D144" i="134"/>
  <c r="E144" i="134"/>
  <c r="F163" i="134"/>
  <c r="D163" i="134"/>
  <c r="E163" i="134"/>
  <c r="F166" i="134"/>
  <c r="E166" i="134"/>
  <c r="D166" i="134"/>
  <c r="B60" i="106"/>
  <c r="B59" i="106"/>
  <c r="B58" i="106"/>
  <c r="B57" i="106"/>
  <c r="B56" i="106"/>
  <c r="B55" i="106"/>
  <c r="B54" i="106"/>
  <c r="B53" i="106"/>
  <c r="D60" i="106"/>
  <c r="D59" i="106"/>
  <c r="D58" i="106"/>
  <c r="D57" i="106"/>
  <c r="E57" i="106" s="1"/>
  <c r="D56" i="106"/>
  <c r="D55" i="106"/>
  <c r="D54" i="106"/>
  <c r="D53" i="106"/>
  <c r="E53" i="106" s="1"/>
  <c r="D52" i="106"/>
  <c r="B52" i="106"/>
  <c r="D75" i="106"/>
  <c r="D74" i="106"/>
  <c r="E74" i="106" s="1"/>
  <c r="D73" i="106"/>
  <c r="D72" i="106"/>
  <c r="B75" i="106"/>
  <c r="B74" i="106"/>
  <c r="B81" i="106" s="1"/>
  <c r="C81" i="106" s="1"/>
  <c r="B73" i="106"/>
  <c r="B72" i="106"/>
  <c r="E75" i="106"/>
  <c r="D71" i="106"/>
  <c r="B71" i="106"/>
  <c r="D69" i="106"/>
  <c r="B69" i="106"/>
  <c r="D68" i="106"/>
  <c r="B68" i="106"/>
  <c r="D67" i="106"/>
  <c r="B67" i="106"/>
  <c r="D66" i="106"/>
  <c r="B66" i="106"/>
  <c r="D65" i="106"/>
  <c r="B65" i="106"/>
  <c r="D64" i="106"/>
  <c r="B64" i="106"/>
  <c r="D63" i="106"/>
  <c r="B63" i="106"/>
  <c r="D62" i="106"/>
  <c r="B62" i="106"/>
  <c r="D61" i="106"/>
  <c r="B61" i="106"/>
  <c r="AI7" i="105"/>
  <c r="D50" i="106"/>
  <c r="B50" i="106"/>
  <c r="D49" i="106"/>
  <c r="B49" i="106"/>
  <c r="D48" i="106"/>
  <c r="B48" i="106"/>
  <c r="D47" i="106"/>
  <c r="B47" i="106"/>
  <c r="D46" i="106"/>
  <c r="B46" i="106"/>
  <c r="D45" i="106"/>
  <c r="B45" i="106"/>
  <c r="D44" i="106"/>
  <c r="B44" i="106"/>
  <c r="D43" i="106"/>
  <c r="B43" i="106"/>
  <c r="D42" i="106"/>
  <c r="D41" i="106"/>
  <c r="B42" i="106"/>
  <c r="B41" i="106"/>
  <c r="D40" i="106"/>
  <c r="B40" i="106"/>
  <c r="D38" i="106"/>
  <c r="B38" i="106"/>
  <c r="O53" i="106"/>
  <c r="O54" i="106"/>
  <c r="O55" i="106"/>
  <c r="O56" i="106"/>
  <c r="O57" i="106"/>
  <c r="O58" i="106"/>
  <c r="O59" i="106"/>
  <c r="O60" i="106"/>
  <c r="O61" i="106"/>
  <c r="O62" i="106"/>
  <c r="O63" i="106"/>
  <c r="O64" i="106"/>
  <c r="O65" i="106"/>
  <c r="O66" i="106"/>
  <c r="O67" i="106"/>
  <c r="O68" i="106"/>
  <c r="O69" i="106"/>
  <c r="O70" i="106"/>
  <c r="O71" i="106"/>
  <c r="O72" i="106"/>
  <c r="O73" i="106"/>
  <c r="O74" i="106"/>
  <c r="O75" i="106"/>
  <c r="O76" i="106"/>
  <c r="O77" i="106"/>
  <c r="O78" i="106"/>
  <c r="O79" i="106"/>
  <c r="O80" i="106"/>
  <c r="O81" i="106"/>
  <c r="O82" i="106"/>
  <c r="O83" i="106"/>
  <c r="B39" i="106"/>
  <c r="D37" i="106"/>
  <c r="B37" i="106"/>
  <c r="D36" i="106"/>
  <c r="B36" i="106"/>
  <c r="D35" i="106"/>
  <c r="B35" i="106"/>
  <c r="G29" i="133"/>
  <c r="G27" i="133"/>
  <c r="J19" i="133"/>
  <c r="D14" i="133"/>
  <c r="G13" i="133"/>
  <c r="D12" i="133"/>
  <c r="J11" i="133"/>
  <c r="D10" i="133"/>
  <c r="G9" i="133"/>
  <c r="D8" i="133"/>
  <c r="K3" i="133"/>
  <c r="D3" i="133"/>
  <c r="G4" i="133"/>
  <c r="D2" i="133"/>
  <c r="D1" i="133"/>
  <c r="F20" i="133"/>
  <c r="G20" i="133" s="1"/>
  <c r="F18" i="133"/>
  <c r="I23" i="133" s="1"/>
  <c r="J23" i="133" s="1"/>
  <c r="I15" i="133"/>
  <c r="AA32" i="99"/>
  <c r="Y32" i="99"/>
  <c r="AA32" i="86"/>
  <c r="Y32" i="86"/>
  <c r="Q70" i="107"/>
  <c r="P65" i="119"/>
  <c r="P63" i="119"/>
  <c r="I2" i="119"/>
  <c r="I2" i="118"/>
  <c r="I2" i="117"/>
  <c r="I2" i="114"/>
  <c r="O71" i="112"/>
  <c r="L68" i="112"/>
  <c r="O66" i="112"/>
  <c r="L64" i="112"/>
  <c r="O61" i="112"/>
  <c r="I59" i="112"/>
  <c r="L57" i="112"/>
  <c r="I55" i="112"/>
  <c r="O53" i="112"/>
  <c r="I51" i="112"/>
  <c r="L49" i="112"/>
  <c r="I47" i="112"/>
  <c r="O44" i="112"/>
  <c r="L41" i="112"/>
  <c r="O39" i="112"/>
  <c r="L37" i="112"/>
  <c r="O34" i="112"/>
  <c r="C34" i="112"/>
  <c r="F33" i="112"/>
  <c r="C32" i="112"/>
  <c r="I31" i="112"/>
  <c r="C30" i="112"/>
  <c r="F29" i="112"/>
  <c r="C28" i="112"/>
  <c r="L27" i="112"/>
  <c r="C26" i="112"/>
  <c r="F25" i="112"/>
  <c r="C24" i="112"/>
  <c r="I23" i="112"/>
  <c r="C22" i="112"/>
  <c r="F21" i="112"/>
  <c r="C20" i="112"/>
  <c r="O19" i="112"/>
  <c r="C18" i="112"/>
  <c r="F17" i="112"/>
  <c r="C16" i="112"/>
  <c r="I15" i="112"/>
  <c r="C14" i="112"/>
  <c r="F13" i="112"/>
  <c r="C12" i="112"/>
  <c r="L11" i="112"/>
  <c r="C10" i="112"/>
  <c r="F9" i="112"/>
  <c r="C8" i="112"/>
  <c r="I7" i="112"/>
  <c r="C6" i="112"/>
  <c r="F5" i="112"/>
  <c r="C4" i="112"/>
  <c r="J4" i="109"/>
  <c r="I4" i="105"/>
  <c r="C3" i="107"/>
  <c r="E68" i="134"/>
  <c r="E66" i="134"/>
  <c r="E88" i="134"/>
  <c r="E74" i="134"/>
  <c r="E34" i="134"/>
  <c r="E71" i="134"/>
  <c r="E49" i="134"/>
  <c r="E36" i="134"/>
  <c r="E92" i="134"/>
  <c r="E70" i="134"/>
  <c r="E56" i="134"/>
  <c r="E90" i="134"/>
  <c r="E58" i="134"/>
  <c r="E109" i="134"/>
  <c r="E48" i="134"/>
  <c r="E111" i="134"/>
  <c r="E53" i="134"/>
  <c r="E112" i="134"/>
  <c r="E47" i="134"/>
  <c r="E32" i="134"/>
  <c r="E93" i="134"/>
  <c r="E110" i="134"/>
  <c r="E107" i="134"/>
  <c r="E50" i="134"/>
  <c r="E76" i="134"/>
  <c r="E69" i="134"/>
  <c r="E77" i="134"/>
  <c r="E31" i="134"/>
  <c r="C26" i="137"/>
  <c r="D13" i="133"/>
  <c r="F28" i="134"/>
  <c r="F70" i="134"/>
  <c r="C46" i="137"/>
  <c r="D15" i="133"/>
  <c r="D41" i="105"/>
  <c r="D31" i="105"/>
  <c r="C48" i="135"/>
  <c r="C28" i="135"/>
  <c r="AA61" i="138"/>
  <c r="AJ55" i="138"/>
  <c r="D55" i="109"/>
  <c r="C68" i="137"/>
  <c r="C68" i="136"/>
  <c r="D27" i="105"/>
  <c r="D10" i="109"/>
  <c r="H6" i="107"/>
  <c r="B1" i="123"/>
  <c r="Q25" i="123" s="1"/>
  <c r="W25" i="123"/>
  <c r="H25" i="123"/>
  <c r="W17" i="123"/>
  <c r="H17" i="123"/>
  <c r="W9" i="123"/>
  <c r="H9" i="123"/>
  <c r="W1" i="123"/>
  <c r="F1" i="123"/>
  <c r="U25" i="123" s="1"/>
  <c r="B1" i="122"/>
  <c r="Q17" i="122" s="1"/>
  <c r="W25" i="122"/>
  <c r="H25" i="122"/>
  <c r="W17" i="122"/>
  <c r="H17" i="122"/>
  <c r="W9" i="122"/>
  <c r="H9" i="122"/>
  <c r="W1" i="122"/>
  <c r="F1" i="122"/>
  <c r="U25" i="122" s="1"/>
  <c r="B1" i="121"/>
  <c r="Q25" i="121" s="1"/>
  <c r="W25" i="121"/>
  <c r="H25" i="121"/>
  <c r="W17" i="121"/>
  <c r="H17" i="121"/>
  <c r="W9" i="121"/>
  <c r="H9" i="121"/>
  <c r="W1" i="121"/>
  <c r="F1" i="121"/>
  <c r="U25" i="121" s="1"/>
  <c r="B1" i="120"/>
  <c r="Q25" i="120" s="1"/>
  <c r="W25" i="120"/>
  <c r="H25" i="120"/>
  <c r="W17" i="120"/>
  <c r="H17" i="120"/>
  <c r="W9" i="120"/>
  <c r="H9" i="120"/>
  <c r="W1" i="120"/>
  <c r="F1" i="120"/>
  <c r="U25" i="120" s="1"/>
  <c r="G68" i="119"/>
  <c r="E68" i="119"/>
  <c r="G67" i="119"/>
  <c r="E67" i="119"/>
  <c r="G66" i="119"/>
  <c r="E66" i="119"/>
  <c r="G65" i="119"/>
  <c r="E65" i="119"/>
  <c r="G64" i="119"/>
  <c r="E64" i="119"/>
  <c r="G63" i="119"/>
  <c r="E63" i="119"/>
  <c r="G62" i="119"/>
  <c r="E62" i="119"/>
  <c r="G61" i="119"/>
  <c r="E61" i="119"/>
  <c r="O60" i="119"/>
  <c r="M60" i="119"/>
  <c r="G60" i="119"/>
  <c r="E60" i="119"/>
  <c r="O59" i="119"/>
  <c r="M59" i="119"/>
  <c r="G59" i="119"/>
  <c r="E59" i="119"/>
  <c r="O58" i="119"/>
  <c r="M58" i="119"/>
  <c r="G58" i="119"/>
  <c r="E58" i="119"/>
  <c r="O57" i="119"/>
  <c r="M57" i="119"/>
  <c r="G57" i="119"/>
  <c r="E57" i="119"/>
  <c r="O56" i="119"/>
  <c r="M56" i="119"/>
  <c r="G56" i="119"/>
  <c r="E56" i="119"/>
  <c r="O55" i="119"/>
  <c r="M55" i="119"/>
  <c r="G55" i="119"/>
  <c r="E55" i="119"/>
  <c r="O54" i="119"/>
  <c r="M54" i="119"/>
  <c r="G54" i="119"/>
  <c r="E54" i="119"/>
  <c r="O53" i="119"/>
  <c r="M53" i="119"/>
  <c r="G53" i="119"/>
  <c r="E53" i="119"/>
  <c r="O52" i="119"/>
  <c r="M52" i="119"/>
  <c r="G52" i="119"/>
  <c r="E52" i="119"/>
  <c r="O51" i="119"/>
  <c r="M51" i="119"/>
  <c r="G51" i="119"/>
  <c r="E51" i="119"/>
  <c r="O50" i="119"/>
  <c r="M50" i="119"/>
  <c r="G50" i="119"/>
  <c r="E50" i="119"/>
  <c r="O49" i="119"/>
  <c r="M49" i="119"/>
  <c r="G49" i="119"/>
  <c r="E49" i="119"/>
  <c r="O48" i="119"/>
  <c r="M48" i="119"/>
  <c r="G48" i="119"/>
  <c r="E48" i="119"/>
  <c r="O47" i="119"/>
  <c r="M47" i="119"/>
  <c r="G47" i="119"/>
  <c r="E47" i="119"/>
  <c r="O46" i="119"/>
  <c r="M46" i="119"/>
  <c r="G46" i="119"/>
  <c r="E46" i="119"/>
  <c r="O45" i="119"/>
  <c r="M45" i="119"/>
  <c r="G45" i="119"/>
  <c r="E45" i="119"/>
  <c r="O44" i="119"/>
  <c r="M44" i="119"/>
  <c r="G44" i="119"/>
  <c r="E44" i="119"/>
  <c r="O43" i="119"/>
  <c r="M43" i="119"/>
  <c r="G43" i="119"/>
  <c r="E43" i="119"/>
  <c r="O42" i="119"/>
  <c r="M42" i="119"/>
  <c r="G42" i="119"/>
  <c r="E42" i="119"/>
  <c r="O41" i="119"/>
  <c r="M41" i="119"/>
  <c r="G41" i="119"/>
  <c r="E41" i="119"/>
  <c r="O40" i="119"/>
  <c r="M40" i="119"/>
  <c r="G40" i="119"/>
  <c r="E40" i="119"/>
  <c r="O39" i="119"/>
  <c r="M39" i="119"/>
  <c r="G39" i="119"/>
  <c r="E39" i="119"/>
  <c r="O38" i="119"/>
  <c r="M38" i="119"/>
  <c r="G38" i="119"/>
  <c r="E38" i="119"/>
  <c r="O37" i="119"/>
  <c r="M37" i="119"/>
  <c r="G37" i="119"/>
  <c r="E37" i="119"/>
  <c r="O36" i="119"/>
  <c r="M36" i="119"/>
  <c r="G36" i="119"/>
  <c r="E36" i="119"/>
  <c r="O35" i="119"/>
  <c r="M35" i="119"/>
  <c r="G35" i="119"/>
  <c r="E35" i="119"/>
  <c r="O34" i="119"/>
  <c r="M34" i="119"/>
  <c r="G34" i="119"/>
  <c r="E34" i="119"/>
  <c r="O33" i="119"/>
  <c r="M33" i="119"/>
  <c r="G33" i="119"/>
  <c r="E33" i="119"/>
  <c r="O32" i="119"/>
  <c r="M32" i="119"/>
  <c r="G32" i="119"/>
  <c r="E32" i="119"/>
  <c r="O31" i="119"/>
  <c r="M31" i="119"/>
  <c r="G31" i="119"/>
  <c r="E31" i="119"/>
  <c r="O30" i="119"/>
  <c r="M30" i="119"/>
  <c r="G30" i="119"/>
  <c r="E30" i="119"/>
  <c r="O29" i="119"/>
  <c r="M29" i="119"/>
  <c r="G29" i="119"/>
  <c r="E29" i="119"/>
  <c r="O28" i="119"/>
  <c r="M28" i="119"/>
  <c r="G28" i="119"/>
  <c r="E28" i="119"/>
  <c r="O27" i="119"/>
  <c r="M27" i="119"/>
  <c r="G27" i="119"/>
  <c r="E27" i="119"/>
  <c r="O26" i="119"/>
  <c r="M26" i="119"/>
  <c r="G26" i="119"/>
  <c r="E26" i="119"/>
  <c r="O25" i="119"/>
  <c r="M25" i="119"/>
  <c r="G25" i="119"/>
  <c r="E25" i="119"/>
  <c r="O24" i="119"/>
  <c r="M24" i="119"/>
  <c r="G24" i="119"/>
  <c r="E24" i="119"/>
  <c r="O23" i="119"/>
  <c r="M23" i="119"/>
  <c r="G23" i="119"/>
  <c r="E23" i="119"/>
  <c r="O22" i="119"/>
  <c r="M22" i="119"/>
  <c r="G22" i="119"/>
  <c r="E22" i="119"/>
  <c r="O21" i="119"/>
  <c r="M21" i="119"/>
  <c r="G21" i="119"/>
  <c r="E21" i="119"/>
  <c r="O20" i="119"/>
  <c r="M20" i="119"/>
  <c r="G20" i="119"/>
  <c r="E20" i="119"/>
  <c r="O19" i="119"/>
  <c r="M19" i="119"/>
  <c r="G19" i="119"/>
  <c r="E19" i="119"/>
  <c r="O18" i="119"/>
  <c r="M18" i="119"/>
  <c r="G18" i="119"/>
  <c r="E18" i="119"/>
  <c r="O17" i="119"/>
  <c r="M17" i="119"/>
  <c r="G17" i="119"/>
  <c r="E17" i="119"/>
  <c r="O16" i="119"/>
  <c r="M16" i="119"/>
  <c r="G16" i="119"/>
  <c r="E16" i="119"/>
  <c r="O15" i="119"/>
  <c r="M15" i="119"/>
  <c r="G15" i="119"/>
  <c r="E15" i="119"/>
  <c r="O14" i="119"/>
  <c r="M14" i="119"/>
  <c r="G14" i="119"/>
  <c r="E14" i="119"/>
  <c r="O13" i="119"/>
  <c r="M13" i="119"/>
  <c r="G13" i="119"/>
  <c r="E13" i="119"/>
  <c r="O12" i="119"/>
  <c r="M12" i="119"/>
  <c r="G12" i="119"/>
  <c r="E12" i="119"/>
  <c r="O11" i="119"/>
  <c r="M11" i="119"/>
  <c r="G11" i="119"/>
  <c r="E11" i="119"/>
  <c r="O10" i="119"/>
  <c r="M10" i="119"/>
  <c r="G10" i="119"/>
  <c r="E10" i="119"/>
  <c r="O9" i="119"/>
  <c r="M9" i="119"/>
  <c r="G9" i="119"/>
  <c r="E9" i="119"/>
  <c r="O8" i="119"/>
  <c r="M8" i="119"/>
  <c r="G8" i="119"/>
  <c r="E8" i="119"/>
  <c r="O7" i="119"/>
  <c r="M7" i="119"/>
  <c r="G7" i="119"/>
  <c r="E7" i="119"/>
  <c r="O6" i="119"/>
  <c r="M6" i="119"/>
  <c r="G6" i="119"/>
  <c r="E6" i="119"/>
  <c r="O5" i="119"/>
  <c r="M5" i="119"/>
  <c r="G5" i="119"/>
  <c r="E5" i="119"/>
  <c r="H68" i="119"/>
  <c r="F68" i="119"/>
  <c r="H67" i="119"/>
  <c r="F67" i="119"/>
  <c r="H66" i="119"/>
  <c r="F66" i="119"/>
  <c r="H65" i="119"/>
  <c r="F65" i="119"/>
  <c r="H64" i="119"/>
  <c r="F64" i="119"/>
  <c r="H63" i="119"/>
  <c r="F63" i="119"/>
  <c r="H62" i="119"/>
  <c r="F62" i="119"/>
  <c r="H61" i="119"/>
  <c r="F61" i="119"/>
  <c r="P60" i="119"/>
  <c r="N60" i="119"/>
  <c r="H60" i="119"/>
  <c r="F60" i="119"/>
  <c r="P59" i="119"/>
  <c r="N59" i="119"/>
  <c r="H59" i="119"/>
  <c r="F59" i="119"/>
  <c r="P58" i="119"/>
  <c r="N58" i="119"/>
  <c r="H58" i="119"/>
  <c r="F58" i="119"/>
  <c r="P57" i="119"/>
  <c r="N57" i="119"/>
  <c r="H57" i="119"/>
  <c r="F57" i="119"/>
  <c r="P56" i="119"/>
  <c r="N56" i="119"/>
  <c r="H56" i="119"/>
  <c r="F56" i="119"/>
  <c r="P55" i="119"/>
  <c r="N55" i="119"/>
  <c r="H55" i="119"/>
  <c r="F55" i="119"/>
  <c r="P54" i="119"/>
  <c r="N54" i="119"/>
  <c r="H54" i="119"/>
  <c r="F54" i="119"/>
  <c r="P53" i="119"/>
  <c r="N53" i="119"/>
  <c r="H53" i="119"/>
  <c r="F53" i="119"/>
  <c r="P52" i="119"/>
  <c r="N52" i="119"/>
  <c r="H52" i="119"/>
  <c r="F52" i="119"/>
  <c r="P51" i="119"/>
  <c r="N51" i="119"/>
  <c r="H51" i="119"/>
  <c r="F51" i="119"/>
  <c r="P50" i="119"/>
  <c r="N50" i="119"/>
  <c r="H50" i="119"/>
  <c r="F50" i="119"/>
  <c r="P49" i="119"/>
  <c r="N49" i="119"/>
  <c r="H49" i="119"/>
  <c r="F49" i="119"/>
  <c r="P48" i="119"/>
  <c r="N48" i="119"/>
  <c r="H48" i="119"/>
  <c r="F48" i="119"/>
  <c r="P47" i="119"/>
  <c r="N47" i="119"/>
  <c r="H47" i="119"/>
  <c r="F47" i="119"/>
  <c r="P46" i="119"/>
  <c r="N46" i="119"/>
  <c r="H46" i="119"/>
  <c r="F46" i="119"/>
  <c r="P45" i="119"/>
  <c r="N45" i="119"/>
  <c r="H45" i="119"/>
  <c r="F45" i="119"/>
  <c r="P44" i="119"/>
  <c r="N44" i="119"/>
  <c r="H44" i="119"/>
  <c r="F44" i="119"/>
  <c r="P43" i="119"/>
  <c r="N43" i="119"/>
  <c r="H43" i="119"/>
  <c r="F43" i="119"/>
  <c r="P42" i="119"/>
  <c r="N42" i="119"/>
  <c r="H42" i="119"/>
  <c r="F42" i="119"/>
  <c r="P41" i="119"/>
  <c r="N41" i="119"/>
  <c r="H41" i="119"/>
  <c r="F41" i="119"/>
  <c r="P40" i="119"/>
  <c r="N40" i="119"/>
  <c r="H40" i="119"/>
  <c r="F40" i="119"/>
  <c r="P39" i="119"/>
  <c r="N39" i="119"/>
  <c r="H39" i="119"/>
  <c r="F39" i="119"/>
  <c r="P38" i="119"/>
  <c r="N38" i="119"/>
  <c r="H38" i="119"/>
  <c r="F38" i="119"/>
  <c r="P37" i="119"/>
  <c r="N37" i="119"/>
  <c r="H37" i="119"/>
  <c r="F37" i="119"/>
  <c r="P36" i="119"/>
  <c r="N36" i="119"/>
  <c r="H36" i="119"/>
  <c r="F36" i="119"/>
  <c r="P35" i="119"/>
  <c r="N35" i="119"/>
  <c r="H35" i="119"/>
  <c r="F35" i="119"/>
  <c r="P34" i="119"/>
  <c r="N34" i="119"/>
  <c r="H34" i="119"/>
  <c r="F34" i="119"/>
  <c r="P33" i="119"/>
  <c r="N33" i="119"/>
  <c r="H33" i="119"/>
  <c r="F33" i="119"/>
  <c r="P32" i="119"/>
  <c r="N32" i="119"/>
  <c r="H32" i="119"/>
  <c r="F32" i="119"/>
  <c r="P31" i="119"/>
  <c r="N31" i="119"/>
  <c r="H31" i="119"/>
  <c r="F31" i="119"/>
  <c r="P30" i="119"/>
  <c r="N30" i="119"/>
  <c r="H30" i="119"/>
  <c r="F30" i="119"/>
  <c r="P29" i="119"/>
  <c r="N29" i="119"/>
  <c r="H29" i="119"/>
  <c r="F29" i="119"/>
  <c r="P28" i="119"/>
  <c r="N28" i="119"/>
  <c r="H28" i="119"/>
  <c r="F28" i="119"/>
  <c r="P27" i="119"/>
  <c r="N27" i="119"/>
  <c r="H27" i="119"/>
  <c r="F27" i="119"/>
  <c r="P26" i="119"/>
  <c r="N26" i="119"/>
  <c r="H26" i="119"/>
  <c r="F26" i="119"/>
  <c r="P25" i="119"/>
  <c r="N25" i="119"/>
  <c r="H25" i="119"/>
  <c r="F25" i="119"/>
  <c r="P24" i="119"/>
  <c r="N24" i="119"/>
  <c r="H24" i="119"/>
  <c r="F24" i="119"/>
  <c r="P23" i="119"/>
  <c r="N23" i="119"/>
  <c r="H23" i="119"/>
  <c r="F23" i="119"/>
  <c r="P22" i="119"/>
  <c r="N22" i="119"/>
  <c r="H22" i="119"/>
  <c r="F22" i="119"/>
  <c r="P21" i="119"/>
  <c r="N21" i="119"/>
  <c r="H21" i="119"/>
  <c r="F21" i="119"/>
  <c r="P20" i="119"/>
  <c r="N20" i="119"/>
  <c r="H20" i="119"/>
  <c r="F20" i="119"/>
  <c r="P19" i="119"/>
  <c r="N19" i="119"/>
  <c r="H19" i="119"/>
  <c r="F19" i="119"/>
  <c r="P18" i="119"/>
  <c r="N18" i="119"/>
  <c r="H18" i="119"/>
  <c r="F18" i="119"/>
  <c r="P17" i="119"/>
  <c r="N17" i="119"/>
  <c r="H17" i="119"/>
  <c r="F17" i="119"/>
  <c r="P16" i="119"/>
  <c r="N16" i="119"/>
  <c r="H16" i="119"/>
  <c r="F16" i="119"/>
  <c r="P15" i="119"/>
  <c r="N15" i="119"/>
  <c r="H15" i="119"/>
  <c r="F15" i="119"/>
  <c r="P14" i="119"/>
  <c r="N14" i="119"/>
  <c r="H14" i="119"/>
  <c r="F14" i="119"/>
  <c r="P13" i="119"/>
  <c r="N13" i="119"/>
  <c r="H13" i="119"/>
  <c r="F13" i="119"/>
  <c r="P12" i="119"/>
  <c r="N12" i="119"/>
  <c r="H12" i="119"/>
  <c r="F12" i="119"/>
  <c r="P11" i="119"/>
  <c r="N11" i="119"/>
  <c r="H11" i="119"/>
  <c r="F11" i="119"/>
  <c r="P10" i="119"/>
  <c r="N10" i="119"/>
  <c r="H10" i="119"/>
  <c r="F10" i="119"/>
  <c r="P9" i="119"/>
  <c r="N9" i="119"/>
  <c r="H9" i="119"/>
  <c r="F9" i="119"/>
  <c r="P8" i="119"/>
  <c r="N8" i="119"/>
  <c r="H8" i="119"/>
  <c r="F8" i="119"/>
  <c r="P7" i="119"/>
  <c r="N7" i="119"/>
  <c r="H7" i="119"/>
  <c r="F7" i="119"/>
  <c r="P6" i="119"/>
  <c r="N6" i="119"/>
  <c r="H6" i="119"/>
  <c r="F6" i="119"/>
  <c r="P5" i="119"/>
  <c r="N5" i="119"/>
  <c r="H5" i="119"/>
  <c r="F5" i="119"/>
  <c r="P2" i="119"/>
  <c r="A2" i="119"/>
  <c r="A1" i="119"/>
  <c r="G68" i="118"/>
  <c r="E68" i="118"/>
  <c r="G67" i="118"/>
  <c r="E67" i="118"/>
  <c r="G66" i="118"/>
  <c r="E66" i="118"/>
  <c r="G65" i="118"/>
  <c r="E65" i="118"/>
  <c r="G64" i="118"/>
  <c r="E64" i="118"/>
  <c r="G63" i="118"/>
  <c r="E63" i="118"/>
  <c r="G62" i="118"/>
  <c r="E62" i="118"/>
  <c r="G61" i="118"/>
  <c r="E61" i="118"/>
  <c r="O60" i="118"/>
  <c r="M60" i="118"/>
  <c r="G60" i="118"/>
  <c r="E60" i="118"/>
  <c r="O59" i="118"/>
  <c r="M59" i="118"/>
  <c r="G59" i="118"/>
  <c r="E59" i="118"/>
  <c r="O58" i="118"/>
  <c r="M58" i="118"/>
  <c r="G58" i="118"/>
  <c r="E58" i="118"/>
  <c r="O57" i="118"/>
  <c r="M57" i="118"/>
  <c r="G57" i="118"/>
  <c r="E57" i="118"/>
  <c r="O56" i="118"/>
  <c r="M56" i="118"/>
  <c r="G56" i="118"/>
  <c r="E56" i="118"/>
  <c r="O55" i="118"/>
  <c r="M55" i="118"/>
  <c r="G55" i="118"/>
  <c r="E55" i="118"/>
  <c r="O54" i="118"/>
  <c r="M54" i="118"/>
  <c r="G54" i="118"/>
  <c r="E54" i="118"/>
  <c r="O53" i="118"/>
  <c r="M53" i="118"/>
  <c r="G53" i="118"/>
  <c r="E53" i="118"/>
  <c r="O52" i="118"/>
  <c r="M52" i="118"/>
  <c r="G52" i="118"/>
  <c r="E52" i="118"/>
  <c r="O51" i="118"/>
  <c r="M51" i="118"/>
  <c r="G51" i="118"/>
  <c r="E51" i="118"/>
  <c r="O50" i="118"/>
  <c r="M50" i="118"/>
  <c r="G50" i="118"/>
  <c r="E50" i="118"/>
  <c r="O49" i="118"/>
  <c r="M49" i="118"/>
  <c r="G49" i="118"/>
  <c r="E49" i="118"/>
  <c r="O48" i="118"/>
  <c r="M48" i="118"/>
  <c r="G48" i="118"/>
  <c r="E48" i="118"/>
  <c r="O47" i="118"/>
  <c r="M47" i="118"/>
  <c r="G47" i="118"/>
  <c r="E47" i="118"/>
  <c r="O46" i="118"/>
  <c r="M46" i="118"/>
  <c r="G46" i="118"/>
  <c r="E46" i="118"/>
  <c r="O45" i="118"/>
  <c r="M45" i="118"/>
  <c r="G45" i="118"/>
  <c r="E45" i="118"/>
  <c r="O44" i="118"/>
  <c r="M44" i="118"/>
  <c r="G44" i="118"/>
  <c r="E44" i="118"/>
  <c r="O43" i="118"/>
  <c r="M43" i="118"/>
  <c r="G43" i="118"/>
  <c r="E43" i="118"/>
  <c r="O42" i="118"/>
  <c r="M42" i="118"/>
  <c r="G42" i="118"/>
  <c r="E42" i="118"/>
  <c r="O41" i="118"/>
  <c r="M41" i="118"/>
  <c r="G41" i="118"/>
  <c r="E41" i="118"/>
  <c r="O40" i="118"/>
  <c r="M40" i="118"/>
  <c r="G40" i="118"/>
  <c r="E40" i="118"/>
  <c r="O39" i="118"/>
  <c r="M39" i="118"/>
  <c r="G39" i="118"/>
  <c r="E39" i="118"/>
  <c r="O38" i="118"/>
  <c r="M38" i="118"/>
  <c r="G38" i="118"/>
  <c r="E38" i="118"/>
  <c r="O37" i="118"/>
  <c r="M37" i="118"/>
  <c r="G37" i="118"/>
  <c r="E37" i="118"/>
  <c r="O36" i="118"/>
  <c r="M36" i="118"/>
  <c r="G36" i="118"/>
  <c r="E36" i="118"/>
  <c r="O35" i="118"/>
  <c r="M35" i="118"/>
  <c r="G35" i="118"/>
  <c r="E35" i="118"/>
  <c r="O34" i="118"/>
  <c r="M34" i="118"/>
  <c r="G34" i="118"/>
  <c r="E34" i="118"/>
  <c r="O33" i="118"/>
  <c r="M33" i="118"/>
  <c r="G33" i="118"/>
  <c r="E33" i="118"/>
  <c r="O32" i="118"/>
  <c r="M32" i="118"/>
  <c r="G32" i="118"/>
  <c r="E32" i="118"/>
  <c r="O31" i="118"/>
  <c r="M31" i="118"/>
  <c r="G31" i="118"/>
  <c r="E31" i="118"/>
  <c r="O30" i="118"/>
  <c r="M30" i="118"/>
  <c r="G30" i="118"/>
  <c r="E30" i="118"/>
  <c r="O29" i="118"/>
  <c r="M29" i="118"/>
  <c r="G29" i="118"/>
  <c r="E29" i="118"/>
  <c r="O28" i="118"/>
  <c r="M28" i="118"/>
  <c r="G28" i="118"/>
  <c r="E28" i="118"/>
  <c r="O27" i="118"/>
  <c r="M27" i="118"/>
  <c r="G27" i="118"/>
  <c r="E27" i="118"/>
  <c r="O26" i="118"/>
  <c r="M26" i="118"/>
  <c r="G26" i="118"/>
  <c r="E26" i="118"/>
  <c r="O25" i="118"/>
  <c r="M25" i="118"/>
  <c r="G25" i="118"/>
  <c r="E25" i="118"/>
  <c r="O24" i="118"/>
  <c r="M24" i="118"/>
  <c r="G24" i="118"/>
  <c r="E24" i="118"/>
  <c r="O23" i="118"/>
  <c r="M23" i="118"/>
  <c r="G23" i="118"/>
  <c r="E23" i="118"/>
  <c r="O22" i="118"/>
  <c r="M22" i="118"/>
  <c r="G22" i="118"/>
  <c r="E22" i="118"/>
  <c r="O21" i="118"/>
  <c r="M21" i="118"/>
  <c r="G21" i="118"/>
  <c r="E21" i="118"/>
  <c r="O20" i="118"/>
  <c r="M20" i="118"/>
  <c r="G20" i="118"/>
  <c r="E20" i="118"/>
  <c r="O19" i="118"/>
  <c r="M19" i="118"/>
  <c r="G19" i="118"/>
  <c r="E19" i="118"/>
  <c r="O18" i="118"/>
  <c r="M18" i="118"/>
  <c r="G18" i="118"/>
  <c r="E18" i="118"/>
  <c r="O17" i="118"/>
  <c r="M17" i="118"/>
  <c r="G17" i="118"/>
  <c r="E17" i="118"/>
  <c r="O16" i="118"/>
  <c r="M16" i="118"/>
  <c r="G16" i="118"/>
  <c r="E16" i="118"/>
  <c r="O15" i="118"/>
  <c r="M15" i="118"/>
  <c r="G15" i="118"/>
  <c r="E15" i="118"/>
  <c r="O14" i="118"/>
  <c r="M14" i="118"/>
  <c r="G14" i="118"/>
  <c r="E14" i="118"/>
  <c r="O13" i="118"/>
  <c r="M13" i="118"/>
  <c r="G13" i="118"/>
  <c r="E13" i="118"/>
  <c r="O12" i="118"/>
  <c r="M12" i="118"/>
  <c r="G12" i="118"/>
  <c r="E12" i="118"/>
  <c r="O11" i="118"/>
  <c r="M11" i="118"/>
  <c r="G11" i="118"/>
  <c r="E11" i="118"/>
  <c r="O10" i="118"/>
  <c r="M10" i="118"/>
  <c r="G10" i="118"/>
  <c r="E10" i="118"/>
  <c r="O9" i="118"/>
  <c r="M9" i="118"/>
  <c r="G9" i="118"/>
  <c r="E9" i="118"/>
  <c r="O8" i="118"/>
  <c r="M8" i="118"/>
  <c r="G8" i="118"/>
  <c r="E8" i="118"/>
  <c r="O7" i="118"/>
  <c r="M7" i="118"/>
  <c r="G7" i="118"/>
  <c r="E7" i="118"/>
  <c r="O6" i="118"/>
  <c r="M6" i="118"/>
  <c r="G6" i="118"/>
  <c r="E6" i="118"/>
  <c r="O5" i="118"/>
  <c r="M5" i="118"/>
  <c r="G5" i="118"/>
  <c r="E5" i="118"/>
  <c r="H68" i="118"/>
  <c r="F68" i="118"/>
  <c r="H67" i="118"/>
  <c r="F67" i="118"/>
  <c r="H66" i="118"/>
  <c r="F66" i="118"/>
  <c r="H65" i="118"/>
  <c r="F65" i="118"/>
  <c r="H64" i="118"/>
  <c r="F64" i="118"/>
  <c r="H63" i="118"/>
  <c r="F63" i="118"/>
  <c r="H62" i="118"/>
  <c r="F62" i="118"/>
  <c r="H61" i="118"/>
  <c r="F61" i="118"/>
  <c r="P60" i="118"/>
  <c r="N60" i="118"/>
  <c r="H60" i="118"/>
  <c r="F60" i="118"/>
  <c r="P59" i="118"/>
  <c r="N59" i="118"/>
  <c r="H59" i="118"/>
  <c r="F59" i="118"/>
  <c r="P58" i="118"/>
  <c r="N58" i="118"/>
  <c r="H58" i="118"/>
  <c r="F58" i="118"/>
  <c r="P57" i="118"/>
  <c r="N57" i="118"/>
  <c r="H57" i="118"/>
  <c r="F57" i="118"/>
  <c r="P56" i="118"/>
  <c r="N56" i="118"/>
  <c r="H56" i="118"/>
  <c r="F56" i="118"/>
  <c r="P55" i="118"/>
  <c r="N55" i="118"/>
  <c r="H55" i="118"/>
  <c r="F55" i="118"/>
  <c r="P54" i="118"/>
  <c r="N54" i="118"/>
  <c r="H54" i="118"/>
  <c r="F54" i="118"/>
  <c r="P53" i="118"/>
  <c r="N53" i="118"/>
  <c r="H53" i="118"/>
  <c r="F53" i="118"/>
  <c r="P52" i="118"/>
  <c r="N52" i="118"/>
  <c r="H52" i="118"/>
  <c r="F52" i="118"/>
  <c r="P51" i="118"/>
  <c r="N51" i="118"/>
  <c r="H51" i="118"/>
  <c r="F51" i="118"/>
  <c r="P50" i="118"/>
  <c r="N50" i="118"/>
  <c r="H50" i="118"/>
  <c r="F50" i="118"/>
  <c r="P49" i="118"/>
  <c r="N49" i="118"/>
  <c r="H49" i="118"/>
  <c r="F49" i="118"/>
  <c r="P48" i="118"/>
  <c r="N48" i="118"/>
  <c r="H48" i="118"/>
  <c r="F48" i="118"/>
  <c r="P47" i="118"/>
  <c r="N47" i="118"/>
  <c r="H47" i="118"/>
  <c r="F47" i="118"/>
  <c r="P46" i="118"/>
  <c r="N46" i="118"/>
  <c r="H46" i="118"/>
  <c r="F46" i="118"/>
  <c r="P45" i="118"/>
  <c r="N45" i="118"/>
  <c r="H45" i="118"/>
  <c r="F45" i="118"/>
  <c r="P44" i="118"/>
  <c r="N44" i="118"/>
  <c r="H44" i="118"/>
  <c r="F44" i="118"/>
  <c r="P43" i="118"/>
  <c r="N43" i="118"/>
  <c r="H43" i="118"/>
  <c r="F43" i="118"/>
  <c r="P42" i="118"/>
  <c r="N42" i="118"/>
  <c r="H42" i="118"/>
  <c r="F42" i="118"/>
  <c r="P41" i="118"/>
  <c r="N41" i="118"/>
  <c r="H41" i="118"/>
  <c r="F41" i="118"/>
  <c r="P40" i="118"/>
  <c r="N40" i="118"/>
  <c r="H40" i="118"/>
  <c r="F40" i="118"/>
  <c r="P39" i="118"/>
  <c r="N39" i="118"/>
  <c r="H39" i="118"/>
  <c r="F39" i="118"/>
  <c r="P38" i="118"/>
  <c r="N38" i="118"/>
  <c r="H38" i="118"/>
  <c r="F38" i="118"/>
  <c r="P37" i="118"/>
  <c r="N37" i="118"/>
  <c r="H37" i="118"/>
  <c r="F37" i="118"/>
  <c r="P36" i="118"/>
  <c r="N36" i="118"/>
  <c r="H36" i="118"/>
  <c r="F36" i="118"/>
  <c r="P35" i="118"/>
  <c r="N35" i="118"/>
  <c r="H35" i="118"/>
  <c r="F35" i="118"/>
  <c r="P34" i="118"/>
  <c r="N34" i="118"/>
  <c r="H34" i="118"/>
  <c r="F34" i="118"/>
  <c r="P33" i="118"/>
  <c r="N33" i="118"/>
  <c r="H33" i="118"/>
  <c r="F33" i="118"/>
  <c r="P32" i="118"/>
  <c r="N32" i="118"/>
  <c r="H32" i="118"/>
  <c r="F32" i="118"/>
  <c r="P31" i="118"/>
  <c r="N31" i="118"/>
  <c r="H31" i="118"/>
  <c r="F31" i="118"/>
  <c r="P30" i="118"/>
  <c r="N30" i="118"/>
  <c r="H30" i="118"/>
  <c r="F30" i="118"/>
  <c r="P29" i="118"/>
  <c r="N29" i="118"/>
  <c r="H29" i="118"/>
  <c r="F29" i="118"/>
  <c r="P28" i="118"/>
  <c r="N28" i="118"/>
  <c r="H28" i="118"/>
  <c r="F28" i="118"/>
  <c r="P27" i="118"/>
  <c r="N27" i="118"/>
  <c r="H27" i="118"/>
  <c r="F27" i="118"/>
  <c r="P26" i="118"/>
  <c r="N26" i="118"/>
  <c r="H26" i="118"/>
  <c r="F26" i="118"/>
  <c r="P25" i="118"/>
  <c r="N25" i="118"/>
  <c r="H25" i="118"/>
  <c r="F25" i="118"/>
  <c r="P24" i="118"/>
  <c r="N24" i="118"/>
  <c r="H24" i="118"/>
  <c r="F24" i="118"/>
  <c r="P23" i="118"/>
  <c r="N23" i="118"/>
  <c r="H23" i="118"/>
  <c r="F23" i="118"/>
  <c r="P22" i="118"/>
  <c r="N22" i="118"/>
  <c r="H22" i="118"/>
  <c r="F22" i="118"/>
  <c r="P21" i="118"/>
  <c r="N21" i="118"/>
  <c r="H21" i="118"/>
  <c r="F21" i="118"/>
  <c r="P20" i="118"/>
  <c r="N20" i="118"/>
  <c r="H20" i="118"/>
  <c r="F20" i="118"/>
  <c r="P19" i="118"/>
  <c r="N19" i="118"/>
  <c r="H19" i="118"/>
  <c r="F19" i="118"/>
  <c r="P18" i="118"/>
  <c r="N18" i="118"/>
  <c r="H18" i="118"/>
  <c r="F18" i="118"/>
  <c r="P17" i="118"/>
  <c r="N17" i="118"/>
  <c r="H17" i="118"/>
  <c r="F17" i="118"/>
  <c r="P16" i="118"/>
  <c r="N16" i="118"/>
  <c r="H16" i="118"/>
  <c r="F16" i="118"/>
  <c r="P15" i="118"/>
  <c r="N15" i="118"/>
  <c r="H15" i="118"/>
  <c r="F15" i="118"/>
  <c r="P14" i="118"/>
  <c r="N14" i="118"/>
  <c r="H14" i="118"/>
  <c r="F14" i="118"/>
  <c r="P13" i="118"/>
  <c r="N13" i="118"/>
  <c r="H13" i="118"/>
  <c r="F13" i="118"/>
  <c r="P12" i="118"/>
  <c r="N12" i="118"/>
  <c r="H12" i="118"/>
  <c r="F12" i="118"/>
  <c r="P11" i="118"/>
  <c r="N11" i="118"/>
  <c r="H11" i="118"/>
  <c r="F11" i="118"/>
  <c r="P10" i="118"/>
  <c r="N10" i="118"/>
  <c r="H10" i="118"/>
  <c r="F10" i="118"/>
  <c r="P9" i="118"/>
  <c r="N9" i="118"/>
  <c r="H9" i="118"/>
  <c r="F9" i="118"/>
  <c r="P8" i="118"/>
  <c r="N8" i="118"/>
  <c r="H8" i="118"/>
  <c r="F8" i="118"/>
  <c r="P7" i="118"/>
  <c r="N7" i="118"/>
  <c r="H7" i="118"/>
  <c r="F7" i="118"/>
  <c r="P6" i="118"/>
  <c r="N6" i="118"/>
  <c r="H6" i="118"/>
  <c r="F6" i="118"/>
  <c r="P5" i="118"/>
  <c r="N5" i="118"/>
  <c r="H5" i="118"/>
  <c r="F5" i="118"/>
  <c r="P2" i="118"/>
  <c r="A2" i="118"/>
  <c r="A1" i="118"/>
  <c r="G68" i="117"/>
  <c r="E68" i="117"/>
  <c r="G67" i="117"/>
  <c r="E67" i="117"/>
  <c r="G66" i="117"/>
  <c r="E66" i="117"/>
  <c r="G65" i="117"/>
  <c r="E65" i="117"/>
  <c r="G64" i="117"/>
  <c r="E64" i="117"/>
  <c r="G63" i="117"/>
  <c r="E63" i="117"/>
  <c r="G62" i="117"/>
  <c r="E62" i="117"/>
  <c r="G61" i="117"/>
  <c r="E61" i="117"/>
  <c r="O60" i="117"/>
  <c r="M60" i="117"/>
  <c r="G60" i="117"/>
  <c r="E60" i="117"/>
  <c r="O59" i="117"/>
  <c r="M59" i="117"/>
  <c r="G59" i="117"/>
  <c r="E59" i="117"/>
  <c r="O58" i="117"/>
  <c r="M58" i="117"/>
  <c r="G58" i="117"/>
  <c r="E58" i="117"/>
  <c r="O57" i="117"/>
  <c r="M57" i="117"/>
  <c r="G57" i="117"/>
  <c r="E57" i="117"/>
  <c r="O56" i="117"/>
  <c r="M56" i="117"/>
  <c r="G56" i="117"/>
  <c r="E56" i="117"/>
  <c r="O55" i="117"/>
  <c r="M55" i="117"/>
  <c r="G55" i="117"/>
  <c r="E55" i="117"/>
  <c r="O54" i="117"/>
  <c r="M54" i="117"/>
  <c r="G54" i="117"/>
  <c r="E54" i="117"/>
  <c r="O53" i="117"/>
  <c r="M53" i="117"/>
  <c r="G53" i="117"/>
  <c r="E53" i="117"/>
  <c r="O52" i="117"/>
  <c r="M52" i="117"/>
  <c r="G52" i="117"/>
  <c r="E52" i="117"/>
  <c r="O51" i="117"/>
  <c r="M51" i="117"/>
  <c r="G51" i="117"/>
  <c r="E51" i="117"/>
  <c r="O50" i="117"/>
  <c r="M50" i="117"/>
  <c r="G50" i="117"/>
  <c r="E50" i="117"/>
  <c r="O49" i="117"/>
  <c r="M49" i="117"/>
  <c r="G49" i="117"/>
  <c r="E49" i="117"/>
  <c r="O48" i="117"/>
  <c r="M48" i="117"/>
  <c r="G48" i="117"/>
  <c r="E48" i="117"/>
  <c r="O47" i="117"/>
  <c r="M47" i="117"/>
  <c r="G47" i="117"/>
  <c r="E47" i="117"/>
  <c r="O46" i="117"/>
  <c r="M46" i="117"/>
  <c r="G46" i="117"/>
  <c r="E46" i="117"/>
  <c r="O45" i="117"/>
  <c r="M45" i="117"/>
  <c r="G45" i="117"/>
  <c r="E45" i="117"/>
  <c r="O44" i="117"/>
  <c r="M44" i="117"/>
  <c r="G44" i="117"/>
  <c r="E44" i="117"/>
  <c r="O43" i="117"/>
  <c r="M43" i="117"/>
  <c r="G43" i="117"/>
  <c r="E43" i="117"/>
  <c r="O42" i="117"/>
  <c r="M42" i="117"/>
  <c r="G42" i="117"/>
  <c r="E42" i="117"/>
  <c r="O41" i="117"/>
  <c r="M41" i="117"/>
  <c r="G41" i="117"/>
  <c r="E41" i="117"/>
  <c r="O40" i="117"/>
  <c r="M40" i="117"/>
  <c r="G40" i="117"/>
  <c r="E40" i="117"/>
  <c r="O39" i="117"/>
  <c r="M39" i="117"/>
  <c r="G39" i="117"/>
  <c r="E39" i="117"/>
  <c r="O38" i="117"/>
  <c r="M38" i="117"/>
  <c r="G38" i="117"/>
  <c r="E38" i="117"/>
  <c r="O37" i="117"/>
  <c r="M37" i="117"/>
  <c r="G37" i="117"/>
  <c r="E37" i="117"/>
  <c r="O36" i="117"/>
  <c r="M36" i="117"/>
  <c r="G36" i="117"/>
  <c r="E36" i="117"/>
  <c r="O35" i="117"/>
  <c r="M35" i="117"/>
  <c r="G35" i="117"/>
  <c r="E35" i="117"/>
  <c r="O34" i="117"/>
  <c r="M34" i="117"/>
  <c r="G34" i="117"/>
  <c r="E34" i="117"/>
  <c r="O33" i="117"/>
  <c r="M33" i="117"/>
  <c r="G33" i="117"/>
  <c r="E33" i="117"/>
  <c r="O32" i="117"/>
  <c r="M32" i="117"/>
  <c r="G32" i="117"/>
  <c r="E32" i="117"/>
  <c r="O31" i="117"/>
  <c r="M31" i="117"/>
  <c r="G31" i="117"/>
  <c r="E31" i="117"/>
  <c r="O30" i="117"/>
  <c r="M30" i="117"/>
  <c r="G30" i="117"/>
  <c r="E30" i="117"/>
  <c r="O29" i="117"/>
  <c r="M29" i="117"/>
  <c r="G29" i="117"/>
  <c r="E29" i="117"/>
  <c r="O28" i="117"/>
  <c r="M28" i="117"/>
  <c r="G28" i="117"/>
  <c r="E28" i="117"/>
  <c r="O27" i="117"/>
  <c r="M27" i="117"/>
  <c r="G27" i="117"/>
  <c r="E27" i="117"/>
  <c r="O26" i="117"/>
  <c r="M26" i="117"/>
  <c r="G26" i="117"/>
  <c r="E26" i="117"/>
  <c r="O25" i="117"/>
  <c r="M25" i="117"/>
  <c r="G25" i="117"/>
  <c r="E25" i="117"/>
  <c r="O24" i="117"/>
  <c r="M24" i="117"/>
  <c r="G24" i="117"/>
  <c r="E24" i="117"/>
  <c r="O23" i="117"/>
  <c r="M23" i="117"/>
  <c r="G23" i="117"/>
  <c r="E23" i="117"/>
  <c r="O22" i="117"/>
  <c r="M22" i="117"/>
  <c r="G22" i="117"/>
  <c r="E22" i="117"/>
  <c r="O21" i="117"/>
  <c r="M21" i="117"/>
  <c r="G21" i="117"/>
  <c r="E21" i="117"/>
  <c r="O20" i="117"/>
  <c r="M20" i="117"/>
  <c r="G20" i="117"/>
  <c r="E20" i="117"/>
  <c r="O19" i="117"/>
  <c r="M19" i="117"/>
  <c r="G19" i="117"/>
  <c r="E19" i="117"/>
  <c r="O18" i="117"/>
  <c r="M18" i="117"/>
  <c r="G18" i="117"/>
  <c r="E18" i="117"/>
  <c r="O17" i="117"/>
  <c r="M17" i="117"/>
  <c r="G17" i="117"/>
  <c r="E17" i="117"/>
  <c r="O16" i="117"/>
  <c r="M16" i="117"/>
  <c r="G16" i="117"/>
  <c r="E16" i="117"/>
  <c r="O15" i="117"/>
  <c r="M15" i="117"/>
  <c r="G15" i="117"/>
  <c r="E15" i="117"/>
  <c r="O14" i="117"/>
  <c r="M14" i="117"/>
  <c r="G14" i="117"/>
  <c r="E14" i="117"/>
  <c r="O13" i="117"/>
  <c r="M13" i="117"/>
  <c r="G13" i="117"/>
  <c r="E13" i="117"/>
  <c r="O12" i="117"/>
  <c r="M12" i="117"/>
  <c r="G12" i="117"/>
  <c r="E12" i="117"/>
  <c r="O11" i="117"/>
  <c r="M11" i="117"/>
  <c r="G11" i="117"/>
  <c r="E11" i="117"/>
  <c r="O10" i="117"/>
  <c r="M10" i="117"/>
  <c r="G10" i="117"/>
  <c r="E10" i="117"/>
  <c r="O9" i="117"/>
  <c r="M9" i="117"/>
  <c r="G9" i="117"/>
  <c r="E9" i="117"/>
  <c r="O8" i="117"/>
  <c r="M8" i="117"/>
  <c r="G8" i="117"/>
  <c r="E8" i="117"/>
  <c r="O7" i="117"/>
  <c r="M7" i="117"/>
  <c r="G7" i="117"/>
  <c r="E7" i="117"/>
  <c r="O6" i="117"/>
  <c r="M6" i="117"/>
  <c r="G6" i="117"/>
  <c r="E6" i="117"/>
  <c r="O5" i="117"/>
  <c r="M5" i="117"/>
  <c r="G5" i="117"/>
  <c r="E5" i="117"/>
  <c r="H68" i="117"/>
  <c r="F68" i="117"/>
  <c r="H67" i="117"/>
  <c r="F67" i="117"/>
  <c r="H66" i="117"/>
  <c r="F66" i="117"/>
  <c r="H65" i="117"/>
  <c r="F65" i="117"/>
  <c r="H64" i="117"/>
  <c r="F64" i="117"/>
  <c r="H63" i="117"/>
  <c r="F63" i="117"/>
  <c r="H62" i="117"/>
  <c r="F62" i="117"/>
  <c r="H61" i="117"/>
  <c r="F61" i="117"/>
  <c r="P60" i="117"/>
  <c r="N60" i="117"/>
  <c r="H60" i="117"/>
  <c r="F60" i="117"/>
  <c r="P59" i="117"/>
  <c r="N59" i="117"/>
  <c r="H59" i="117"/>
  <c r="F59" i="117"/>
  <c r="P58" i="117"/>
  <c r="N58" i="117"/>
  <c r="H58" i="117"/>
  <c r="F58" i="117"/>
  <c r="P57" i="117"/>
  <c r="N57" i="117"/>
  <c r="H57" i="117"/>
  <c r="F57" i="117"/>
  <c r="P56" i="117"/>
  <c r="N56" i="117"/>
  <c r="H56" i="117"/>
  <c r="F56" i="117"/>
  <c r="P55" i="117"/>
  <c r="N55" i="117"/>
  <c r="H55" i="117"/>
  <c r="F55" i="117"/>
  <c r="P54" i="117"/>
  <c r="N54" i="117"/>
  <c r="H54" i="117"/>
  <c r="F54" i="117"/>
  <c r="P53" i="117"/>
  <c r="N53" i="117"/>
  <c r="H53" i="117"/>
  <c r="F53" i="117"/>
  <c r="P52" i="117"/>
  <c r="N52" i="117"/>
  <c r="H52" i="117"/>
  <c r="F52" i="117"/>
  <c r="P51" i="117"/>
  <c r="N51" i="117"/>
  <c r="H51" i="117"/>
  <c r="F51" i="117"/>
  <c r="P50" i="117"/>
  <c r="N50" i="117"/>
  <c r="H50" i="117"/>
  <c r="F50" i="117"/>
  <c r="P49" i="117"/>
  <c r="N49" i="117"/>
  <c r="H49" i="117"/>
  <c r="F49" i="117"/>
  <c r="P48" i="117"/>
  <c r="N48" i="117"/>
  <c r="H48" i="117"/>
  <c r="F48" i="117"/>
  <c r="P47" i="117"/>
  <c r="N47" i="117"/>
  <c r="H47" i="117"/>
  <c r="F47" i="117"/>
  <c r="P46" i="117"/>
  <c r="N46" i="117"/>
  <c r="H46" i="117"/>
  <c r="F46" i="117"/>
  <c r="P45" i="117"/>
  <c r="N45" i="117"/>
  <c r="H45" i="117"/>
  <c r="F45" i="117"/>
  <c r="P44" i="117"/>
  <c r="N44" i="117"/>
  <c r="H44" i="117"/>
  <c r="F44" i="117"/>
  <c r="P43" i="117"/>
  <c r="N43" i="117"/>
  <c r="H43" i="117"/>
  <c r="F43" i="117"/>
  <c r="P42" i="117"/>
  <c r="N42" i="117"/>
  <c r="H42" i="117"/>
  <c r="F42" i="117"/>
  <c r="P41" i="117"/>
  <c r="N41" i="117"/>
  <c r="H41" i="117"/>
  <c r="F41" i="117"/>
  <c r="P40" i="117"/>
  <c r="N40" i="117"/>
  <c r="H40" i="117"/>
  <c r="F40" i="117"/>
  <c r="P39" i="117"/>
  <c r="N39" i="117"/>
  <c r="H39" i="117"/>
  <c r="F39" i="117"/>
  <c r="P38" i="117"/>
  <c r="N38" i="117"/>
  <c r="H38" i="117"/>
  <c r="F38" i="117"/>
  <c r="P37" i="117"/>
  <c r="N37" i="117"/>
  <c r="H37" i="117"/>
  <c r="F37" i="117"/>
  <c r="P36" i="117"/>
  <c r="N36" i="117"/>
  <c r="H36" i="117"/>
  <c r="F36" i="117"/>
  <c r="P35" i="117"/>
  <c r="N35" i="117"/>
  <c r="H35" i="117"/>
  <c r="F35" i="117"/>
  <c r="P34" i="117"/>
  <c r="N34" i="117"/>
  <c r="H34" i="117"/>
  <c r="F34" i="117"/>
  <c r="P33" i="117"/>
  <c r="N33" i="117"/>
  <c r="H33" i="117"/>
  <c r="F33" i="117"/>
  <c r="P32" i="117"/>
  <c r="N32" i="117"/>
  <c r="H32" i="117"/>
  <c r="F32" i="117"/>
  <c r="P31" i="117"/>
  <c r="N31" i="117"/>
  <c r="H31" i="117"/>
  <c r="F31" i="117"/>
  <c r="P30" i="117"/>
  <c r="N30" i="117"/>
  <c r="H30" i="117"/>
  <c r="F30" i="117"/>
  <c r="P29" i="117"/>
  <c r="N29" i="117"/>
  <c r="H29" i="117"/>
  <c r="F29" i="117"/>
  <c r="P28" i="117"/>
  <c r="N28" i="117"/>
  <c r="H28" i="117"/>
  <c r="F28" i="117"/>
  <c r="P27" i="117"/>
  <c r="N27" i="117"/>
  <c r="H27" i="117"/>
  <c r="F27" i="117"/>
  <c r="P26" i="117"/>
  <c r="N26" i="117"/>
  <c r="H26" i="117"/>
  <c r="F26" i="117"/>
  <c r="P25" i="117"/>
  <c r="N25" i="117"/>
  <c r="H25" i="117"/>
  <c r="F25" i="117"/>
  <c r="P24" i="117"/>
  <c r="N24" i="117"/>
  <c r="H24" i="117"/>
  <c r="F24" i="117"/>
  <c r="P23" i="117"/>
  <c r="N23" i="117"/>
  <c r="H23" i="117"/>
  <c r="F23" i="117"/>
  <c r="P22" i="117"/>
  <c r="N22" i="117"/>
  <c r="H22" i="117"/>
  <c r="F22" i="117"/>
  <c r="P21" i="117"/>
  <c r="N21" i="117"/>
  <c r="H21" i="117"/>
  <c r="F21" i="117"/>
  <c r="P20" i="117"/>
  <c r="N20" i="117"/>
  <c r="H20" i="117"/>
  <c r="F20" i="117"/>
  <c r="P19" i="117"/>
  <c r="N19" i="117"/>
  <c r="H19" i="117"/>
  <c r="F19" i="117"/>
  <c r="P18" i="117"/>
  <c r="N18" i="117"/>
  <c r="H18" i="117"/>
  <c r="F18" i="117"/>
  <c r="P17" i="117"/>
  <c r="N17" i="117"/>
  <c r="H17" i="117"/>
  <c r="F17" i="117"/>
  <c r="P16" i="117"/>
  <c r="N16" i="117"/>
  <c r="H16" i="117"/>
  <c r="F16" i="117"/>
  <c r="P15" i="117"/>
  <c r="N15" i="117"/>
  <c r="H15" i="117"/>
  <c r="F15" i="117"/>
  <c r="P14" i="117"/>
  <c r="N14" i="117"/>
  <c r="H14" i="117"/>
  <c r="F14" i="117"/>
  <c r="P13" i="117"/>
  <c r="N13" i="117"/>
  <c r="H13" i="117"/>
  <c r="F13" i="117"/>
  <c r="P12" i="117"/>
  <c r="N12" i="117"/>
  <c r="H12" i="117"/>
  <c r="F12" i="117"/>
  <c r="P11" i="117"/>
  <c r="N11" i="117"/>
  <c r="H11" i="117"/>
  <c r="F11" i="117"/>
  <c r="P10" i="117"/>
  <c r="N10" i="117"/>
  <c r="H10" i="117"/>
  <c r="F10" i="117"/>
  <c r="P9" i="117"/>
  <c r="N9" i="117"/>
  <c r="H9" i="117"/>
  <c r="F9" i="117"/>
  <c r="P8" i="117"/>
  <c r="N8" i="117"/>
  <c r="H8" i="117"/>
  <c r="F8" i="117"/>
  <c r="P7" i="117"/>
  <c r="N7" i="117"/>
  <c r="H7" i="117"/>
  <c r="F7" i="117"/>
  <c r="P6" i="117"/>
  <c r="N6" i="117"/>
  <c r="H6" i="117"/>
  <c r="F6" i="117"/>
  <c r="P5" i="117"/>
  <c r="N5" i="117"/>
  <c r="H5" i="117"/>
  <c r="F5" i="117"/>
  <c r="P2" i="117"/>
  <c r="A2" i="117"/>
  <c r="A1" i="117"/>
  <c r="G6" i="114"/>
  <c r="H6" i="114" s="1"/>
  <c r="G7" i="114"/>
  <c r="H7" i="114" s="1"/>
  <c r="G8" i="114"/>
  <c r="H8" i="114" s="1"/>
  <c r="G9" i="114"/>
  <c r="H9" i="114" s="1"/>
  <c r="G10" i="114"/>
  <c r="H10" i="114" s="1"/>
  <c r="G11" i="114"/>
  <c r="H11" i="114" s="1"/>
  <c r="G12" i="114"/>
  <c r="H12" i="114" s="1"/>
  <c r="G13" i="114"/>
  <c r="H13" i="114" s="1"/>
  <c r="G14" i="114"/>
  <c r="H14" i="114" s="1"/>
  <c r="G15" i="114"/>
  <c r="H15" i="114" s="1"/>
  <c r="G16" i="114"/>
  <c r="H16" i="114" s="1"/>
  <c r="G17" i="114"/>
  <c r="H17" i="114" s="1"/>
  <c r="G18" i="114"/>
  <c r="H18" i="114" s="1"/>
  <c r="G19" i="114"/>
  <c r="H19" i="114" s="1"/>
  <c r="G20" i="114"/>
  <c r="H20" i="114" s="1"/>
  <c r="G21" i="114"/>
  <c r="H21" i="114" s="1"/>
  <c r="G22" i="114"/>
  <c r="H22" i="114" s="1"/>
  <c r="G23" i="114"/>
  <c r="H23" i="114" s="1"/>
  <c r="G24" i="114"/>
  <c r="H24" i="114" s="1"/>
  <c r="G25" i="114"/>
  <c r="H25" i="114" s="1"/>
  <c r="G26" i="114"/>
  <c r="H26" i="114" s="1"/>
  <c r="G27" i="114"/>
  <c r="H27" i="114" s="1"/>
  <c r="G28" i="114"/>
  <c r="H28" i="114" s="1"/>
  <c r="G29" i="114"/>
  <c r="H29" i="114" s="1"/>
  <c r="G30" i="114"/>
  <c r="H30" i="114" s="1"/>
  <c r="G31" i="114"/>
  <c r="H31" i="114" s="1"/>
  <c r="G32" i="114"/>
  <c r="H32" i="114" s="1"/>
  <c r="G33" i="114"/>
  <c r="H33" i="114" s="1"/>
  <c r="G34" i="114"/>
  <c r="H34" i="114" s="1"/>
  <c r="G35" i="114"/>
  <c r="H35" i="114" s="1"/>
  <c r="G36" i="114"/>
  <c r="H36" i="114" s="1"/>
  <c r="G37" i="114"/>
  <c r="H37" i="114" s="1"/>
  <c r="G38" i="114"/>
  <c r="H38" i="114" s="1"/>
  <c r="G39" i="114"/>
  <c r="H39" i="114" s="1"/>
  <c r="G40" i="114"/>
  <c r="H40" i="114" s="1"/>
  <c r="G41" i="114"/>
  <c r="H41" i="114" s="1"/>
  <c r="G42" i="114"/>
  <c r="H42" i="114" s="1"/>
  <c r="G43" i="114"/>
  <c r="H43" i="114" s="1"/>
  <c r="G44" i="114"/>
  <c r="H44" i="114" s="1"/>
  <c r="G45" i="114"/>
  <c r="H45" i="114" s="1"/>
  <c r="G46" i="114"/>
  <c r="H46" i="114" s="1"/>
  <c r="G47" i="114"/>
  <c r="H47" i="114" s="1"/>
  <c r="G48" i="114"/>
  <c r="H48" i="114" s="1"/>
  <c r="G49" i="114"/>
  <c r="H49" i="114" s="1"/>
  <c r="G50" i="114"/>
  <c r="H50" i="114" s="1"/>
  <c r="G51" i="114"/>
  <c r="H51" i="114" s="1"/>
  <c r="G52" i="114"/>
  <c r="H52" i="114" s="1"/>
  <c r="G53" i="114"/>
  <c r="H53" i="114" s="1"/>
  <c r="G54" i="114"/>
  <c r="H54" i="114" s="1"/>
  <c r="G55" i="114"/>
  <c r="H55" i="114" s="1"/>
  <c r="G56" i="114"/>
  <c r="H56" i="114" s="1"/>
  <c r="G57" i="114"/>
  <c r="H57" i="114" s="1"/>
  <c r="G58" i="114"/>
  <c r="H58" i="114" s="1"/>
  <c r="G59" i="114"/>
  <c r="H59" i="114" s="1"/>
  <c r="G60" i="114"/>
  <c r="H60" i="114" s="1"/>
  <c r="G61" i="114"/>
  <c r="H61" i="114" s="1"/>
  <c r="G62" i="114"/>
  <c r="H62" i="114" s="1"/>
  <c r="G63" i="114"/>
  <c r="H63" i="114" s="1"/>
  <c r="G64" i="114"/>
  <c r="H64" i="114" s="1"/>
  <c r="G65" i="114"/>
  <c r="H65" i="114" s="1"/>
  <c r="G66" i="114"/>
  <c r="H66" i="114" s="1"/>
  <c r="G67" i="114"/>
  <c r="H67" i="114" s="1"/>
  <c r="G68" i="114"/>
  <c r="H68" i="114" s="1"/>
  <c r="G5" i="114"/>
  <c r="H5" i="114" s="1"/>
  <c r="O6" i="114"/>
  <c r="P6" i="114" s="1"/>
  <c r="O7" i="114"/>
  <c r="P7" i="114" s="1"/>
  <c r="O8" i="114"/>
  <c r="P8" i="114" s="1"/>
  <c r="O9" i="114"/>
  <c r="P9" i="114" s="1"/>
  <c r="O10" i="114"/>
  <c r="P10" i="114" s="1"/>
  <c r="O11" i="114"/>
  <c r="P11" i="114" s="1"/>
  <c r="O12" i="114"/>
  <c r="P12" i="114" s="1"/>
  <c r="O13" i="114"/>
  <c r="P13" i="114" s="1"/>
  <c r="O14" i="114"/>
  <c r="P14" i="114" s="1"/>
  <c r="O15" i="114"/>
  <c r="P15" i="114" s="1"/>
  <c r="O16" i="114"/>
  <c r="P16" i="114" s="1"/>
  <c r="O17" i="114"/>
  <c r="P17" i="114" s="1"/>
  <c r="O18" i="114"/>
  <c r="P18" i="114" s="1"/>
  <c r="O19" i="114"/>
  <c r="P19" i="114" s="1"/>
  <c r="O20" i="114"/>
  <c r="P20" i="114" s="1"/>
  <c r="O21" i="114"/>
  <c r="P21" i="114" s="1"/>
  <c r="O22" i="114"/>
  <c r="P22" i="114" s="1"/>
  <c r="O23" i="114"/>
  <c r="P23" i="114" s="1"/>
  <c r="O24" i="114"/>
  <c r="P24" i="114" s="1"/>
  <c r="O25" i="114"/>
  <c r="P25" i="114" s="1"/>
  <c r="O26" i="114"/>
  <c r="P26" i="114" s="1"/>
  <c r="O27" i="114"/>
  <c r="P27" i="114" s="1"/>
  <c r="O28" i="114"/>
  <c r="P28" i="114" s="1"/>
  <c r="O29" i="114"/>
  <c r="P29" i="114" s="1"/>
  <c r="O30" i="114"/>
  <c r="P30" i="114" s="1"/>
  <c r="O31" i="114"/>
  <c r="P31" i="114" s="1"/>
  <c r="O32" i="114"/>
  <c r="P32" i="114" s="1"/>
  <c r="O33" i="114"/>
  <c r="P33" i="114" s="1"/>
  <c r="O34" i="114"/>
  <c r="P34" i="114" s="1"/>
  <c r="O35" i="114"/>
  <c r="P35" i="114" s="1"/>
  <c r="O36" i="114"/>
  <c r="P36" i="114" s="1"/>
  <c r="O37" i="114"/>
  <c r="P37" i="114" s="1"/>
  <c r="O38" i="114"/>
  <c r="P38" i="114" s="1"/>
  <c r="O39" i="114"/>
  <c r="P39" i="114" s="1"/>
  <c r="O40" i="114"/>
  <c r="P40" i="114" s="1"/>
  <c r="O41" i="114"/>
  <c r="P41" i="114" s="1"/>
  <c r="O42" i="114"/>
  <c r="P42" i="114" s="1"/>
  <c r="O43" i="114"/>
  <c r="P43" i="114" s="1"/>
  <c r="O44" i="114"/>
  <c r="P44" i="114" s="1"/>
  <c r="O45" i="114"/>
  <c r="P45" i="114" s="1"/>
  <c r="O46" i="114"/>
  <c r="P46" i="114" s="1"/>
  <c r="O47" i="114"/>
  <c r="P47" i="114" s="1"/>
  <c r="O48" i="114"/>
  <c r="P48" i="114" s="1"/>
  <c r="O49" i="114"/>
  <c r="P49" i="114" s="1"/>
  <c r="O50" i="114"/>
  <c r="P50" i="114" s="1"/>
  <c r="O51" i="114"/>
  <c r="P51" i="114" s="1"/>
  <c r="O52" i="114"/>
  <c r="P52" i="114" s="1"/>
  <c r="O53" i="114"/>
  <c r="P53" i="114" s="1"/>
  <c r="O54" i="114"/>
  <c r="P54" i="114" s="1"/>
  <c r="O55" i="114"/>
  <c r="P55" i="114" s="1"/>
  <c r="O56" i="114"/>
  <c r="P56" i="114" s="1"/>
  <c r="O57" i="114"/>
  <c r="P57" i="114" s="1"/>
  <c r="O58" i="114"/>
  <c r="P58" i="114" s="1"/>
  <c r="O59" i="114"/>
  <c r="P59" i="114" s="1"/>
  <c r="O60" i="114"/>
  <c r="P60" i="114" s="1"/>
  <c r="O5" i="114"/>
  <c r="P5" i="114" s="1"/>
  <c r="M6" i="114"/>
  <c r="N6" i="114" s="1"/>
  <c r="M7" i="114"/>
  <c r="N7" i="114" s="1"/>
  <c r="M8" i="114"/>
  <c r="N8" i="114" s="1"/>
  <c r="M9" i="114"/>
  <c r="N9" i="114" s="1"/>
  <c r="M10" i="114"/>
  <c r="N10" i="114" s="1"/>
  <c r="M11" i="114"/>
  <c r="N11" i="114" s="1"/>
  <c r="M12" i="114"/>
  <c r="N12" i="114" s="1"/>
  <c r="M13" i="114"/>
  <c r="N13" i="114" s="1"/>
  <c r="M14" i="114"/>
  <c r="N14" i="114" s="1"/>
  <c r="M15" i="114"/>
  <c r="N15" i="114" s="1"/>
  <c r="M16" i="114"/>
  <c r="N16" i="114" s="1"/>
  <c r="M17" i="114"/>
  <c r="N17" i="114" s="1"/>
  <c r="M18" i="114"/>
  <c r="N18" i="114" s="1"/>
  <c r="M19" i="114"/>
  <c r="N19" i="114" s="1"/>
  <c r="M20" i="114"/>
  <c r="N20" i="114" s="1"/>
  <c r="M21" i="114"/>
  <c r="N21" i="114" s="1"/>
  <c r="M22" i="114"/>
  <c r="N22" i="114" s="1"/>
  <c r="M23" i="114"/>
  <c r="N23" i="114" s="1"/>
  <c r="M24" i="114"/>
  <c r="N24" i="114" s="1"/>
  <c r="M25" i="114"/>
  <c r="N25" i="114" s="1"/>
  <c r="M26" i="114"/>
  <c r="N26" i="114" s="1"/>
  <c r="M27" i="114"/>
  <c r="N27" i="114" s="1"/>
  <c r="M28" i="114"/>
  <c r="N28" i="114" s="1"/>
  <c r="M29" i="114"/>
  <c r="N29" i="114" s="1"/>
  <c r="M30" i="114"/>
  <c r="N30" i="114" s="1"/>
  <c r="M31" i="114"/>
  <c r="N31" i="114" s="1"/>
  <c r="M32" i="114"/>
  <c r="N32" i="114" s="1"/>
  <c r="M33" i="114"/>
  <c r="N33" i="114" s="1"/>
  <c r="M34" i="114"/>
  <c r="N34" i="114" s="1"/>
  <c r="M35" i="114"/>
  <c r="N35" i="114" s="1"/>
  <c r="M36" i="114"/>
  <c r="N36" i="114" s="1"/>
  <c r="M37" i="114"/>
  <c r="N37" i="114" s="1"/>
  <c r="M38" i="114"/>
  <c r="N38" i="114" s="1"/>
  <c r="M39" i="114"/>
  <c r="N39" i="114" s="1"/>
  <c r="M40" i="114"/>
  <c r="N40" i="114" s="1"/>
  <c r="M41" i="114"/>
  <c r="N41" i="114" s="1"/>
  <c r="M42" i="114"/>
  <c r="N42" i="114" s="1"/>
  <c r="M43" i="114"/>
  <c r="N43" i="114" s="1"/>
  <c r="M44" i="114"/>
  <c r="N44" i="114" s="1"/>
  <c r="M45" i="114"/>
  <c r="N45" i="114" s="1"/>
  <c r="M46" i="114"/>
  <c r="N46" i="114" s="1"/>
  <c r="M47" i="114"/>
  <c r="N47" i="114" s="1"/>
  <c r="M48" i="114"/>
  <c r="N48" i="114" s="1"/>
  <c r="M49" i="114"/>
  <c r="N49" i="114" s="1"/>
  <c r="M50" i="114"/>
  <c r="N50" i="114" s="1"/>
  <c r="M51" i="114"/>
  <c r="N51" i="114" s="1"/>
  <c r="M52" i="114"/>
  <c r="N52" i="114" s="1"/>
  <c r="M53" i="114"/>
  <c r="N53" i="114" s="1"/>
  <c r="M54" i="114"/>
  <c r="N54" i="114" s="1"/>
  <c r="M55" i="114"/>
  <c r="N55" i="114" s="1"/>
  <c r="M56" i="114"/>
  <c r="N56" i="114" s="1"/>
  <c r="M57" i="114"/>
  <c r="N57" i="114" s="1"/>
  <c r="M58" i="114"/>
  <c r="N58" i="114" s="1"/>
  <c r="M59" i="114"/>
  <c r="N59" i="114" s="1"/>
  <c r="M60" i="114"/>
  <c r="N60" i="114" s="1"/>
  <c r="M5" i="114"/>
  <c r="N5" i="114" s="1"/>
  <c r="E6" i="114"/>
  <c r="F6" i="114" s="1"/>
  <c r="E7" i="114"/>
  <c r="F7" i="114" s="1"/>
  <c r="E8" i="114"/>
  <c r="F8" i="114" s="1"/>
  <c r="E9" i="114"/>
  <c r="F9" i="114" s="1"/>
  <c r="E10" i="114"/>
  <c r="F10" i="114" s="1"/>
  <c r="E11" i="114"/>
  <c r="F11" i="114" s="1"/>
  <c r="E12" i="114"/>
  <c r="F12" i="114" s="1"/>
  <c r="E13" i="114"/>
  <c r="F13" i="114" s="1"/>
  <c r="E14" i="114"/>
  <c r="F14" i="114" s="1"/>
  <c r="E15" i="114"/>
  <c r="F15" i="114" s="1"/>
  <c r="E16" i="114"/>
  <c r="F16" i="114" s="1"/>
  <c r="E17" i="114"/>
  <c r="F17" i="114" s="1"/>
  <c r="E18" i="114"/>
  <c r="F18" i="114" s="1"/>
  <c r="E19" i="114"/>
  <c r="F19" i="114" s="1"/>
  <c r="E20" i="114"/>
  <c r="F20" i="114" s="1"/>
  <c r="E21" i="114"/>
  <c r="F21" i="114" s="1"/>
  <c r="E22" i="114"/>
  <c r="F22" i="114" s="1"/>
  <c r="E23" i="114"/>
  <c r="F23" i="114" s="1"/>
  <c r="E24" i="114"/>
  <c r="F24" i="114" s="1"/>
  <c r="E25" i="114"/>
  <c r="F25" i="114" s="1"/>
  <c r="E26" i="114"/>
  <c r="F26" i="114" s="1"/>
  <c r="E27" i="114"/>
  <c r="F27" i="114" s="1"/>
  <c r="E28" i="114"/>
  <c r="F28" i="114" s="1"/>
  <c r="E29" i="114"/>
  <c r="F29" i="114" s="1"/>
  <c r="E30" i="114"/>
  <c r="F30" i="114" s="1"/>
  <c r="E31" i="114"/>
  <c r="F31" i="114" s="1"/>
  <c r="E32" i="114"/>
  <c r="F32" i="114" s="1"/>
  <c r="E33" i="114"/>
  <c r="F33" i="114" s="1"/>
  <c r="E34" i="114"/>
  <c r="F34" i="114" s="1"/>
  <c r="E35" i="114"/>
  <c r="F35" i="114" s="1"/>
  <c r="E36" i="114"/>
  <c r="F36" i="114" s="1"/>
  <c r="E37" i="114"/>
  <c r="F37" i="114" s="1"/>
  <c r="E38" i="114"/>
  <c r="F38" i="114" s="1"/>
  <c r="E39" i="114"/>
  <c r="F39" i="114" s="1"/>
  <c r="E40" i="114"/>
  <c r="F40" i="114" s="1"/>
  <c r="E41" i="114"/>
  <c r="F41" i="114" s="1"/>
  <c r="E42" i="114"/>
  <c r="F42" i="114" s="1"/>
  <c r="E43" i="114"/>
  <c r="F43" i="114" s="1"/>
  <c r="E44" i="114"/>
  <c r="F44" i="114" s="1"/>
  <c r="E45" i="114"/>
  <c r="F45" i="114" s="1"/>
  <c r="E46" i="114"/>
  <c r="F46" i="114" s="1"/>
  <c r="E47" i="114"/>
  <c r="F47" i="114" s="1"/>
  <c r="E48" i="114"/>
  <c r="F48" i="114" s="1"/>
  <c r="E49" i="114"/>
  <c r="F49" i="114" s="1"/>
  <c r="E50" i="114"/>
  <c r="F50" i="114" s="1"/>
  <c r="E51" i="114"/>
  <c r="F51" i="114" s="1"/>
  <c r="E52" i="114"/>
  <c r="F52" i="114" s="1"/>
  <c r="E53" i="114"/>
  <c r="F53" i="114" s="1"/>
  <c r="E54" i="114"/>
  <c r="F54" i="114" s="1"/>
  <c r="E55" i="114"/>
  <c r="F55" i="114" s="1"/>
  <c r="E56" i="114"/>
  <c r="F56" i="114" s="1"/>
  <c r="E57" i="114"/>
  <c r="F57" i="114" s="1"/>
  <c r="E58" i="114"/>
  <c r="F58" i="114" s="1"/>
  <c r="E59" i="114"/>
  <c r="F59" i="114" s="1"/>
  <c r="E60" i="114"/>
  <c r="F60" i="114" s="1"/>
  <c r="E61" i="114"/>
  <c r="F61" i="114" s="1"/>
  <c r="E62" i="114"/>
  <c r="F62" i="114" s="1"/>
  <c r="E63" i="114"/>
  <c r="F63" i="114" s="1"/>
  <c r="E64" i="114"/>
  <c r="F64" i="114" s="1"/>
  <c r="E65" i="114"/>
  <c r="F65" i="114" s="1"/>
  <c r="E66" i="114"/>
  <c r="F66" i="114" s="1"/>
  <c r="E67" i="114"/>
  <c r="F67" i="114" s="1"/>
  <c r="E68" i="114"/>
  <c r="F68" i="114" s="1"/>
  <c r="E5" i="114"/>
  <c r="F5" i="114" s="1"/>
  <c r="AE41" i="113"/>
  <c r="AE34" i="113"/>
  <c r="AE27" i="113"/>
  <c r="AE20" i="113"/>
  <c r="AE11" i="113"/>
  <c r="AE10" i="113"/>
  <c r="V36" i="113"/>
  <c r="V26" i="113"/>
  <c r="AB14" i="113"/>
  <c r="AB6" i="113"/>
  <c r="Y16" i="113"/>
  <c r="Y8" i="113"/>
  <c r="V18" i="113"/>
  <c r="V14" i="113"/>
  <c r="V10" i="113"/>
  <c r="V6" i="113"/>
  <c r="T38" i="113"/>
  <c r="T34" i="113"/>
  <c r="T28" i="113"/>
  <c r="T24" i="113"/>
  <c r="T19" i="113"/>
  <c r="T15" i="113"/>
  <c r="T11" i="113"/>
  <c r="T7" i="113"/>
  <c r="M25" i="113"/>
  <c r="K33" i="113"/>
  <c r="K17" i="113"/>
  <c r="I37" i="113"/>
  <c r="I29" i="113"/>
  <c r="I21" i="113"/>
  <c r="I13" i="113"/>
  <c r="F39" i="113"/>
  <c r="F35" i="113"/>
  <c r="F31" i="113"/>
  <c r="F27" i="113"/>
  <c r="F23" i="113"/>
  <c r="F19" i="113"/>
  <c r="F15" i="113"/>
  <c r="F11" i="113"/>
  <c r="D40" i="113"/>
  <c r="D38" i="113"/>
  <c r="D36" i="113"/>
  <c r="D34" i="113"/>
  <c r="D32" i="113"/>
  <c r="D30" i="113"/>
  <c r="D28" i="113"/>
  <c r="D26" i="113"/>
  <c r="D24" i="113"/>
  <c r="D22" i="113"/>
  <c r="D20" i="113"/>
  <c r="D18" i="113"/>
  <c r="D10" i="113"/>
  <c r="D12" i="113"/>
  <c r="M26" i="113"/>
  <c r="D16" i="113"/>
  <c r="D14" i="113"/>
  <c r="C40" i="113"/>
  <c r="C38" i="113"/>
  <c r="C36" i="113"/>
  <c r="C34" i="113"/>
  <c r="C32" i="113"/>
  <c r="C30" i="113"/>
  <c r="C28" i="113"/>
  <c r="C26" i="113"/>
  <c r="C24" i="113"/>
  <c r="C22" i="113"/>
  <c r="C20" i="113"/>
  <c r="C18" i="113"/>
  <c r="C16" i="113"/>
  <c r="C14" i="113"/>
  <c r="C12" i="113"/>
  <c r="C10" i="113"/>
  <c r="V46" i="113"/>
  <c r="V44" i="113"/>
  <c r="I6" i="113"/>
  <c r="H77" i="112"/>
  <c r="H75" i="112"/>
  <c r="M3" i="112"/>
  <c r="A3" i="112"/>
  <c r="A2" i="112"/>
  <c r="A1" i="112"/>
  <c r="D3" i="101"/>
  <c r="D3" i="100"/>
  <c r="D3" i="99"/>
  <c r="D3" i="86"/>
  <c r="BC7" i="101"/>
  <c r="BC9" i="101"/>
  <c r="BC11" i="101"/>
  <c r="BC13" i="101"/>
  <c r="BC15" i="101"/>
  <c r="BC17" i="101"/>
  <c r="BC19" i="101"/>
  <c r="BC21" i="101"/>
  <c r="BC23" i="101"/>
  <c r="BC25" i="101"/>
  <c r="BC27" i="101"/>
  <c r="BC29" i="101"/>
  <c r="BC31" i="101"/>
  <c r="BC33" i="101"/>
  <c r="BC35" i="101"/>
  <c r="BC5" i="101"/>
  <c r="M10" i="109"/>
  <c r="Q105" i="109"/>
  <c r="Q39" i="109"/>
  <c r="Q14" i="109"/>
  <c r="Q9" i="109"/>
  <c r="Q13" i="109"/>
  <c r="Q12" i="109"/>
  <c r="Q86" i="109"/>
  <c r="Q84" i="109"/>
  <c r="Q102" i="109"/>
  <c r="Q15" i="109"/>
  <c r="Q75" i="109"/>
  <c r="Q91" i="109"/>
  <c r="Q79" i="109"/>
  <c r="Q68" i="109"/>
  <c r="Q92" i="109"/>
  <c r="Q23" i="109"/>
  <c r="Q80" i="109"/>
  <c r="Q66" i="109"/>
  <c r="Q69" i="109"/>
  <c r="Q37" i="109"/>
  <c r="Q87" i="109"/>
  <c r="Q85" i="109"/>
  <c r="Q40" i="109"/>
  <c r="Q28" i="109"/>
  <c r="Q43" i="109"/>
  <c r="Q20" i="109"/>
  <c r="Q88" i="109"/>
  <c r="Q82" i="109"/>
  <c r="Q58" i="109"/>
  <c r="Q31" i="109"/>
  <c r="Q70" i="109"/>
  <c r="Q50" i="109"/>
  <c r="Q18" i="109"/>
  <c r="Q48" i="109"/>
  <c r="Q29" i="109"/>
  <c r="Q56" i="109"/>
  <c r="Q26" i="109"/>
  <c r="Q41" i="109"/>
  <c r="Q101" i="109"/>
  <c r="Q60" i="109"/>
  <c r="Q47" i="109"/>
  <c r="Q94" i="109"/>
  <c r="Q57" i="109"/>
  <c r="Q71" i="109"/>
  <c r="Q44" i="109"/>
  <c r="Q36" i="109"/>
  <c r="Q98" i="109"/>
  <c r="Q64" i="109"/>
  <c r="Q46" i="109"/>
  <c r="Q90" i="109"/>
  <c r="Q96" i="109"/>
  <c r="Q54" i="109"/>
  <c r="Q83" i="109"/>
  <c r="Q33" i="109"/>
  <c r="Q21" i="109"/>
  <c r="Q63" i="109"/>
  <c r="Q30" i="109"/>
  <c r="Q73" i="109"/>
  <c r="Q78" i="109"/>
  <c r="Q27" i="109"/>
  <c r="Q81" i="109"/>
  <c r="Q89" i="109"/>
  <c r="Q100" i="109"/>
  <c r="Q99" i="109"/>
  <c r="Q51" i="109"/>
  <c r="Q45" i="109"/>
  <c r="Q52" i="109"/>
  <c r="Q35" i="109"/>
  <c r="Q77" i="109"/>
  <c r="Q22" i="109"/>
  <c r="Q67" i="109"/>
  <c r="Q59" i="109"/>
  <c r="Q24" i="109"/>
  <c r="Q53" i="109"/>
  <c r="Q19" i="109"/>
  <c r="Q65" i="109"/>
  <c r="Q17" i="109"/>
  <c r="Q95" i="109"/>
  <c r="Q25" i="109"/>
  <c r="Q74" i="109"/>
  <c r="Q62" i="109"/>
  <c r="Q34" i="109"/>
  <c r="Q11" i="109"/>
  <c r="Q103" i="109"/>
  <c r="Q61" i="109"/>
  <c r="Q72" i="109"/>
  <c r="Q16" i="109"/>
  <c r="Q104" i="109"/>
  <c r="Q76" i="109"/>
  <c r="Q49" i="109"/>
  <c r="Q93" i="109"/>
  <c r="Q97" i="109"/>
  <c r="M105" i="109"/>
  <c r="M39" i="109"/>
  <c r="M14" i="109"/>
  <c r="M9" i="109"/>
  <c r="M13" i="109"/>
  <c r="M12" i="109"/>
  <c r="M86" i="109"/>
  <c r="M84" i="109"/>
  <c r="M102" i="109"/>
  <c r="M15" i="109"/>
  <c r="M75" i="109"/>
  <c r="M91" i="109"/>
  <c r="M79" i="109"/>
  <c r="M68" i="109"/>
  <c r="M92" i="109"/>
  <c r="M23" i="109"/>
  <c r="M80" i="109"/>
  <c r="M66" i="109"/>
  <c r="M69" i="109"/>
  <c r="M37" i="109"/>
  <c r="M87" i="109"/>
  <c r="M85" i="109"/>
  <c r="M40" i="109"/>
  <c r="M28" i="109"/>
  <c r="M43" i="109"/>
  <c r="M20" i="109"/>
  <c r="M88" i="109"/>
  <c r="M82" i="109"/>
  <c r="M58" i="109"/>
  <c r="M31" i="109"/>
  <c r="M70" i="109"/>
  <c r="M50" i="109"/>
  <c r="M18" i="109"/>
  <c r="M48" i="109"/>
  <c r="M29" i="109"/>
  <c r="M56" i="109"/>
  <c r="M26" i="109"/>
  <c r="M41" i="109"/>
  <c r="M101" i="109"/>
  <c r="M60" i="109"/>
  <c r="M47" i="109"/>
  <c r="M94" i="109"/>
  <c r="M57" i="109"/>
  <c r="M71" i="109"/>
  <c r="M44" i="109"/>
  <c r="M36" i="109"/>
  <c r="M98" i="109"/>
  <c r="M64" i="109"/>
  <c r="M46" i="109"/>
  <c r="M90" i="109"/>
  <c r="M96" i="109"/>
  <c r="M54" i="109"/>
  <c r="M83" i="109"/>
  <c r="M33" i="109"/>
  <c r="M21" i="109"/>
  <c r="M63" i="109"/>
  <c r="M30" i="109"/>
  <c r="M73" i="109"/>
  <c r="M78" i="109"/>
  <c r="M27" i="109"/>
  <c r="M81" i="109"/>
  <c r="M89" i="109"/>
  <c r="M100" i="109"/>
  <c r="M99" i="109"/>
  <c r="M51" i="109"/>
  <c r="M45" i="109"/>
  <c r="M52" i="109"/>
  <c r="M35" i="109"/>
  <c r="M77" i="109"/>
  <c r="M22" i="109"/>
  <c r="M67" i="109"/>
  <c r="M59" i="109"/>
  <c r="M24" i="109"/>
  <c r="M53" i="109"/>
  <c r="M19" i="109"/>
  <c r="M65" i="109"/>
  <c r="M17" i="109"/>
  <c r="M95" i="109"/>
  <c r="M25" i="109"/>
  <c r="M74" i="109"/>
  <c r="M62" i="109"/>
  <c r="M34" i="109"/>
  <c r="M11" i="109"/>
  <c r="M103" i="109"/>
  <c r="M61" i="109"/>
  <c r="M72" i="109"/>
  <c r="M16" i="109"/>
  <c r="M104" i="109"/>
  <c r="M76" i="109"/>
  <c r="M49" i="109"/>
  <c r="M93" i="109"/>
  <c r="M97" i="109"/>
  <c r="K105" i="109"/>
  <c r="K39" i="109"/>
  <c r="K14" i="109"/>
  <c r="K9" i="109"/>
  <c r="K13" i="109"/>
  <c r="K12" i="109"/>
  <c r="K86" i="109"/>
  <c r="K84" i="109"/>
  <c r="K102" i="109"/>
  <c r="K15" i="109"/>
  <c r="K75" i="109"/>
  <c r="K91" i="109"/>
  <c r="K79" i="109"/>
  <c r="K68" i="109"/>
  <c r="K92" i="109"/>
  <c r="K23" i="109"/>
  <c r="K80" i="109"/>
  <c r="K66" i="109"/>
  <c r="K69" i="109"/>
  <c r="K37" i="109"/>
  <c r="K87" i="109"/>
  <c r="K85" i="109"/>
  <c r="K40" i="109"/>
  <c r="K28" i="109"/>
  <c r="K43" i="109"/>
  <c r="K20" i="109"/>
  <c r="K88" i="109"/>
  <c r="K82" i="109"/>
  <c r="K58" i="109"/>
  <c r="K31" i="109"/>
  <c r="K70" i="109"/>
  <c r="K50" i="109"/>
  <c r="K18" i="109"/>
  <c r="K48" i="109"/>
  <c r="K29" i="109"/>
  <c r="K56" i="109"/>
  <c r="K26" i="109"/>
  <c r="K41" i="109"/>
  <c r="K101" i="109"/>
  <c r="K60" i="109"/>
  <c r="K47" i="109"/>
  <c r="K94" i="109"/>
  <c r="K57" i="109"/>
  <c r="K71" i="109"/>
  <c r="K44" i="109"/>
  <c r="K36" i="109"/>
  <c r="K98" i="109"/>
  <c r="K64" i="109"/>
  <c r="K46" i="109"/>
  <c r="K90" i="109"/>
  <c r="K96" i="109"/>
  <c r="K54" i="109"/>
  <c r="K83" i="109"/>
  <c r="K33" i="109"/>
  <c r="K21" i="109"/>
  <c r="K63" i="109"/>
  <c r="K30" i="109"/>
  <c r="K73" i="109"/>
  <c r="K78" i="109"/>
  <c r="K27" i="109"/>
  <c r="K81" i="109"/>
  <c r="K89" i="109"/>
  <c r="K100" i="109"/>
  <c r="K99" i="109"/>
  <c r="K51" i="109"/>
  <c r="K45" i="109"/>
  <c r="K52" i="109"/>
  <c r="K35" i="109"/>
  <c r="K77" i="109"/>
  <c r="K22" i="109"/>
  <c r="K67" i="109"/>
  <c r="K59" i="109"/>
  <c r="K24" i="109"/>
  <c r="K53" i="109"/>
  <c r="K19" i="109"/>
  <c r="K65" i="109"/>
  <c r="K17" i="109"/>
  <c r="K95" i="109"/>
  <c r="K25" i="109"/>
  <c r="K74" i="109"/>
  <c r="K62" i="109"/>
  <c r="K34" i="109"/>
  <c r="K11" i="109"/>
  <c r="K103" i="109"/>
  <c r="K61" i="109"/>
  <c r="K72" i="109"/>
  <c r="K16" i="109"/>
  <c r="K104" i="109"/>
  <c r="K76" i="109"/>
  <c r="K49" i="109"/>
  <c r="K93" i="109"/>
  <c r="K97" i="109"/>
  <c r="I105" i="109"/>
  <c r="I39" i="109"/>
  <c r="I14" i="109"/>
  <c r="I9" i="109"/>
  <c r="I13" i="109"/>
  <c r="I12" i="109"/>
  <c r="I86" i="109"/>
  <c r="I84" i="109"/>
  <c r="I102" i="109"/>
  <c r="I15" i="109"/>
  <c r="I75" i="109"/>
  <c r="I91" i="109"/>
  <c r="I79" i="109"/>
  <c r="I68" i="109"/>
  <c r="I92" i="109"/>
  <c r="I23" i="109"/>
  <c r="I80" i="109"/>
  <c r="I66" i="109"/>
  <c r="I69" i="109"/>
  <c r="I37" i="109"/>
  <c r="I87" i="109"/>
  <c r="I85" i="109"/>
  <c r="I40" i="109"/>
  <c r="I28" i="109"/>
  <c r="I43" i="109"/>
  <c r="I20" i="109"/>
  <c r="I88" i="109"/>
  <c r="I82" i="109"/>
  <c r="I58" i="109"/>
  <c r="I31" i="109"/>
  <c r="I70" i="109"/>
  <c r="I50" i="109"/>
  <c r="I18" i="109"/>
  <c r="I48" i="109"/>
  <c r="I29" i="109"/>
  <c r="I56" i="109"/>
  <c r="I26" i="109"/>
  <c r="I41" i="109"/>
  <c r="I101" i="109"/>
  <c r="I60" i="109"/>
  <c r="I47" i="109"/>
  <c r="I94" i="109"/>
  <c r="I57" i="109"/>
  <c r="I71" i="109"/>
  <c r="I44" i="109"/>
  <c r="I36" i="109"/>
  <c r="I98" i="109"/>
  <c r="I64" i="109"/>
  <c r="I46" i="109"/>
  <c r="I90" i="109"/>
  <c r="I96" i="109"/>
  <c r="I54" i="109"/>
  <c r="I83" i="109"/>
  <c r="I33" i="109"/>
  <c r="I21" i="109"/>
  <c r="I63" i="109"/>
  <c r="I30" i="109"/>
  <c r="I73" i="109"/>
  <c r="I78" i="109"/>
  <c r="I27" i="109"/>
  <c r="I81" i="109"/>
  <c r="I89" i="109"/>
  <c r="I100" i="109"/>
  <c r="I99" i="109"/>
  <c r="I51" i="109"/>
  <c r="I45" i="109"/>
  <c r="I52" i="109"/>
  <c r="I35" i="109"/>
  <c r="I77" i="109"/>
  <c r="I22" i="109"/>
  <c r="I67" i="109"/>
  <c r="I59" i="109"/>
  <c r="I24" i="109"/>
  <c r="I53" i="109"/>
  <c r="I19" i="109"/>
  <c r="I65" i="109"/>
  <c r="I17" i="109"/>
  <c r="I95" i="109"/>
  <c r="I25" i="109"/>
  <c r="I74" i="109"/>
  <c r="I62" i="109"/>
  <c r="I34" i="109"/>
  <c r="I11" i="109"/>
  <c r="I103" i="109"/>
  <c r="I61" i="109"/>
  <c r="I72" i="109"/>
  <c r="I16" i="109"/>
  <c r="I104" i="109"/>
  <c r="I76" i="109"/>
  <c r="I49" i="109"/>
  <c r="I93" i="109"/>
  <c r="I97" i="109"/>
  <c r="AZ69" i="105"/>
  <c r="AZ67" i="105"/>
  <c r="F124" i="115"/>
  <c r="D124" i="115"/>
  <c r="F123" i="115"/>
  <c r="D123" i="115"/>
  <c r="F122" i="115"/>
  <c r="D122" i="115"/>
  <c r="F121" i="115"/>
  <c r="D121" i="115"/>
  <c r="F120" i="115"/>
  <c r="D120" i="115"/>
  <c r="F119" i="115"/>
  <c r="D119" i="115"/>
  <c r="F118" i="115"/>
  <c r="D118" i="115"/>
  <c r="F117" i="115"/>
  <c r="D117" i="115"/>
  <c r="F116" i="115"/>
  <c r="D116" i="115"/>
  <c r="F115" i="115"/>
  <c r="D115" i="115"/>
  <c r="F114" i="115"/>
  <c r="D114" i="115"/>
  <c r="F113" i="115"/>
  <c r="D113" i="115"/>
  <c r="F112" i="115"/>
  <c r="D112" i="115"/>
  <c r="F111" i="115"/>
  <c r="D111" i="115"/>
  <c r="F110" i="115"/>
  <c r="D110" i="115"/>
  <c r="F109" i="115"/>
  <c r="D109" i="115"/>
  <c r="F108" i="115"/>
  <c r="D108" i="115"/>
  <c r="F107" i="115"/>
  <c r="D107" i="115"/>
  <c r="F106" i="115"/>
  <c r="D106" i="115"/>
  <c r="F105" i="115"/>
  <c r="D105" i="115"/>
  <c r="F104" i="115"/>
  <c r="D104" i="115"/>
  <c r="F103" i="115"/>
  <c r="D103" i="115"/>
  <c r="F102" i="115"/>
  <c r="D102" i="115"/>
  <c r="F101" i="115"/>
  <c r="D101" i="115"/>
  <c r="F100" i="115"/>
  <c r="D100" i="115"/>
  <c r="F99" i="115"/>
  <c r="D99" i="115"/>
  <c r="F98" i="115"/>
  <c r="D98" i="115"/>
  <c r="F97" i="115"/>
  <c r="D97" i="115"/>
  <c r="F96" i="115"/>
  <c r="D96" i="115"/>
  <c r="F95" i="115"/>
  <c r="D95" i="115"/>
  <c r="F94" i="115"/>
  <c r="D94" i="115"/>
  <c r="F93" i="115"/>
  <c r="D93" i="115"/>
  <c r="F92" i="115"/>
  <c r="D92" i="115"/>
  <c r="F91" i="115"/>
  <c r="D91" i="115"/>
  <c r="F90" i="115"/>
  <c r="D90" i="115"/>
  <c r="F89" i="115"/>
  <c r="D89" i="115"/>
  <c r="F88" i="115"/>
  <c r="D88" i="115"/>
  <c r="F87" i="115"/>
  <c r="D87" i="115"/>
  <c r="F86" i="115"/>
  <c r="D86" i="115"/>
  <c r="F85" i="115"/>
  <c r="D85" i="115"/>
  <c r="F84" i="115"/>
  <c r="D84" i="115"/>
  <c r="F83" i="115"/>
  <c r="D83" i="115"/>
  <c r="F82" i="115"/>
  <c r="D82" i="115"/>
  <c r="F81" i="115"/>
  <c r="D81" i="115"/>
  <c r="F80" i="115"/>
  <c r="D80" i="115"/>
  <c r="F79" i="115"/>
  <c r="D79" i="115"/>
  <c r="F78" i="115"/>
  <c r="D78" i="115"/>
  <c r="F77" i="115"/>
  <c r="D77" i="115"/>
  <c r="F76" i="115"/>
  <c r="D76" i="115"/>
  <c r="F75" i="115"/>
  <c r="D75" i="115"/>
  <c r="F74" i="115"/>
  <c r="D74" i="115"/>
  <c r="F73" i="115"/>
  <c r="D73" i="115"/>
  <c r="F72" i="115"/>
  <c r="D72" i="115"/>
  <c r="F71" i="115"/>
  <c r="D71" i="115"/>
  <c r="F70" i="115"/>
  <c r="D70" i="115"/>
  <c r="F69" i="115"/>
  <c r="D69" i="115"/>
  <c r="F68" i="115"/>
  <c r="D68" i="115"/>
  <c r="F67" i="115"/>
  <c r="D67" i="115"/>
  <c r="F66" i="115"/>
  <c r="D66" i="115"/>
  <c r="F65" i="115"/>
  <c r="D65" i="115"/>
  <c r="F64" i="115"/>
  <c r="D64" i="115"/>
  <c r="F63" i="115"/>
  <c r="D63" i="115"/>
  <c r="F62" i="115"/>
  <c r="D62" i="115"/>
  <c r="F61" i="115"/>
  <c r="D61" i="115"/>
  <c r="F60" i="115"/>
  <c r="D60" i="115"/>
  <c r="F59" i="115"/>
  <c r="D59" i="115"/>
  <c r="F58" i="115"/>
  <c r="D58" i="115"/>
  <c r="F57" i="115"/>
  <c r="D57" i="115"/>
  <c r="F56" i="115"/>
  <c r="D56" i="115"/>
  <c r="F55" i="115"/>
  <c r="D55" i="115"/>
  <c r="F54" i="115"/>
  <c r="D54" i="115"/>
  <c r="F53" i="115"/>
  <c r="D53" i="115"/>
  <c r="F52" i="115"/>
  <c r="D52" i="115"/>
  <c r="F51" i="115"/>
  <c r="D51" i="115"/>
  <c r="F50" i="115"/>
  <c r="D50" i="115"/>
  <c r="F49" i="115"/>
  <c r="D49" i="115"/>
  <c r="F48" i="115"/>
  <c r="D48" i="115"/>
  <c r="F47" i="115"/>
  <c r="D47" i="115"/>
  <c r="F46" i="115"/>
  <c r="D46" i="115"/>
  <c r="F45" i="115"/>
  <c r="D45" i="115"/>
  <c r="F44" i="115"/>
  <c r="D44" i="115"/>
  <c r="F43" i="115"/>
  <c r="D43" i="115"/>
  <c r="F42" i="115"/>
  <c r="D42" i="115"/>
  <c r="F41" i="115"/>
  <c r="D41" i="115"/>
  <c r="F40" i="115"/>
  <c r="D40" i="115"/>
  <c r="F39" i="115"/>
  <c r="D39" i="115"/>
  <c r="F38" i="115"/>
  <c r="D38" i="115"/>
  <c r="F37" i="115"/>
  <c r="D37" i="115"/>
  <c r="F36" i="115"/>
  <c r="D36" i="115"/>
  <c r="F35" i="115"/>
  <c r="D35" i="115"/>
  <c r="F34" i="115"/>
  <c r="D34" i="115"/>
  <c r="F33" i="115"/>
  <c r="D33" i="115"/>
  <c r="F32" i="115"/>
  <c r="D32" i="115"/>
  <c r="F31" i="115"/>
  <c r="D31" i="115"/>
  <c r="F30" i="115"/>
  <c r="D30" i="115"/>
  <c r="F29" i="115"/>
  <c r="D29" i="115"/>
  <c r="F28" i="115"/>
  <c r="D28" i="115"/>
  <c r="F27" i="115"/>
  <c r="D27" i="115"/>
  <c r="F26" i="115"/>
  <c r="D26" i="115"/>
  <c r="F25" i="115"/>
  <c r="D25" i="115"/>
  <c r="F24" i="115"/>
  <c r="D24" i="115"/>
  <c r="F23" i="115"/>
  <c r="D23" i="115"/>
  <c r="F22" i="115"/>
  <c r="D22" i="115"/>
  <c r="F21" i="115"/>
  <c r="D21" i="115"/>
  <c r="F20" i="115"/>
  <c r="D20" i="115"/>
  <c r="F19" i="115"/>
  <c r="D19" i="115"/>
  <c r="F18" i="115"/>
  <c r="D18" i="115"/>
  <c r="F17" i="115"/>
  <c r="D17" i="115"/>
  <c r="F16" i="115"/>
  <c r="D16" i="115"/>
  <c r="F15" i="115"/>
  <c r="D15" i="115"/>
  <c r="F14" i="115"/>
  <c r="D14" i="115"/>
  <c r="F13" i="115"/>
  <c r="D13" i="115"/>
  <c r="F12" i="115"/>
  <c r="D12" i="115"/>
  <c r="F11" i="115"/>
  <c r="D11" i="115"/>
  <c r="F10" i="115"/>
  <c r="D10" i="115"/>
  <c r="F9" i="115"/>
  <c r="D9" i="115"/>
  <c r="F8" i="115"/>
  <c r="D8" i="115"/>
  <c r="F7" i="115"/>
  <c r="D7" i="115"/>
  <c r="F6" i="115"/>
  <c r="D6" i="115"/>
  <c r="F5" i="115"/>
  <c r="D5" i="115"/>
  <c r="N2" i="115"/>
  <c r="E2" i="115"/>
  <c r="I124" i="115"/>
  <c r="I123" i="115"/>
  <c r="I122" i="115"/>
  <c r="I121" i="115"/>
  <c r="I120" i="115"/>
  <c r="I119" i="115"/>
  <c r="I118" i="115"/>
  <c r="I117" i="115"/>
  <c r="I116" i="115"/>
  <c r="I115" i="115"/>
  <c r="I114" i="115"/>
  <c r="I113" i="115"/>
  <c r="I112" i="115"/>
  <c r="I111" i="115"/>
  <c r="I110" i="115"/>
  <c r="I109" i="115"/>
  <c r="I108" i="115"/>
  <c r="I107" i="115"/>
  <c r="I106" i="115"/>
  <c r="I105" i="115"/>
  <c r="I104" i="115"/>
  <c r="I103" i="115"/>
  <c r="I102" i="115"/>
  <c r="I101" i="115"/>
  <c r="I100" i="115"/>
  <c r="I99" i="115"/>
  <c r="I98" i="115"/>
  <c r="I97" i="115"/>
  <c r="I96" i="115"/>
  <c r="I95" i="115"/>
  <c r="I94" i="115"/>
  <c r="I93" i="115"/>
  <c r="I92" i="115"/>
  <c r="I91" i="115"/>
  <c r="I90" i="115"/>
  <c r="I89" i="115"/>
  <c r="I88" i="115"/>
  <c r="I87" i="115"/>
  <c r="I86" i="115"/>
  <c r="I85" i="115"/>
  <c r="I84" i="115"/>
  <c r="I83" i="115"/>
  <c r="I82" i="115"/>
  <c r="I81" i="115"/>
  <c r="I80" i="115"/>
  <c r="I79" i="115"/>
  <c r="I78" i="115"/>
  <c r="I77" i="115"/>
  <c r="I76" i="115"/>
  <c r="I75" i="115"/>
  <c r="I74" i="115"/>
  <c r="I73" i="115"/>
  <c r="I72" i="115"/>
  <c r="I71" i="115"/>
  <c r="I70" i="115"/>
  <c r="I69" i="115"/>
  <c r="I68" i="115"/>
  <c r="I67" i="115"/>
  <c r="I66" i="115"/>
  <c r="I65" i="115"/>
  <c r="I64" i="115"/>
  <c r="I63" i="115"/>
  <c r="I62" i="115"/>
  <c r="I61" i="115"/>
  <c r="I60" i="115"/>
  <c r="I59" i="115"/>
  <c r="I58" i="115"/>
  <c r="I57" i="115"/>
  <c r="I56" i="115"/>
  <c r="I55" i="115"/>
  <c r="I54" i="115"/>
  <c r="I53" i="115"/>
  <c r="I52" i="115"/>
  <c r="I51" i="115"/>
  <c r="I50" i="115"/>
  <c r="I49" i="115"/>
  <c r="I48" i="115"/>
  <c r="I47" i="115"/>
  <c r="I46" i="115"/>
  <c r="I45" i="115"/>
  <c r="I44" i="115"/>
  <c r="I43" i="115"/>
  <c r="I42" i="115"/>
  <c r="I41" i="115"/>
  <c r="I40" i="115"/>
  <c r="I39" i="115"/>
  <c r="I38" i="115"/>
  <c r="I37" i="115"/>
  <c r="I36" i="115"/>
  <c r="I35" i="115"/>
  <c r="I34" i="115"/>
  <c r="I33" i="115"/>
  <c r="I32" i="115"/>
  <c r="I31" i="115"/>
  <c r="I30" i="115"/>
  <c r="I29" i="115"/>
  <c r="I28" i="115"/>
  <c r="I27" i="115"/>
  <c r="I26" i="115"/>
  <c r="I25" i="115"/>
  <c r="I24" i="115"/>
  <c r="I23" i="115"/>
  <c r="I22" i="115"/>
  <c r="I21" i="115"/>
  <c r="I20" i="115"/>
  <c r="I19" i="115"/>
  <c r="I18" i="115"/>
  <c r="I17" i="115"/>
  <c r="I16" i="115"/>
  <c r="I15" i="115"/>
  <c r="I14" i="115"/>
  <c r="I13" i="115"/>
  <c r="I12" i="115"/>
  <c r="I11" i="115"/>
  <c r="I10" i="115"/>
  <c r="I9" i="115"/>
  <c r="I8" i="115"/>
  <c r="I7" i="115"/>
  <c r="I6" i="115"/>
  <c r="I5" i="115"/>
  <c r="C1" i="115"/>
  <c r="C2" i="105"/>
  <c r="R2" i="105"/>
  <c r="D2" i="105"/>
  <c r="S2" i="105" s="1"/>
  <c r="AT2" i="105" s="1"/>
  <c r="P2" i="114"/>
  <c r="A2" i="114"/>
  <c r="A1" i="114"/>
  <c r="S27" i="109"/>
  <c r="S81" i="109"/>
  <c r="S89" i="109"/>
  <c r="S100" i="109"/>
  <c r="S99" i="109"/>
  <c r="S51" i="109"/>
  <c r="S45" i="109"/>
  <c r="S52" i="109"/>
  <c r="S35" i="109"/>
  <c r="S77" i="109"/>
  <c r="S22" i="109"/>
  <c r="S67" i="109"/>
  <c r="S59" i="109"/>
  <c r="S24" i="109"/>
  <c r="S53" i="109"/>
  <c r="S19" i="109"/>
  <c r="S65" i="109"/>
  <c r="S17" i="109"/>
  <c r="S95" i="109"/>
  <c r="S25" i="109"/>
  <c r="S74" i="109"/>
  <c r="S62" i="109"/>
  <c r="S34" i="109"/>
  <c r="S11" i="109"/>
  <c r="S103" i="109"/>
  <c r="S61" i="109"/>
  <c r="S72" i="109"/>
  <c r="S16" i="109"/>
  <c r="S104" i="109"/>
  <c r="S76" i="109"/>
  <c r="S49" i="109"/>
  <c r="S93" i="109"/>
  <c r="S97" i="109"/>
  <c r="D31" i="109"/>
  <c r="D70" i="109"/>
  <c r="D50" i="109"/>
  <c r="D18" i="109"/>
  <c r="D48" i="109"/>
  <c r="D29" i="109"/>
  <c r="D56" i="109"/>
  <c r="D26" i="109"/>
  <c r="D41" i="109"/>
  <c r="D101" i="109"/>
  <c r="D60" i="109"/>
  <c r="D47" i="109"/>
  <c r="D94" i="109"/>
  <c r="D57" i="109"/>
  <c r="D71" i="109"/>
  <c r="D44" i="109"/>
  <c r="D36" i="109"/>
  <c r="D98" i="109"/>
  <c r="D64" i="109"/>
  <c r="D46" i="109"/>
  <c r="D90" i="109"/>
  <c r="D96" i="109"/>
  <c r="D54" i="109"/>
  <c r="D83" i="109"/>
  <c r="D33" i="109"/>
  <c r="D21" i="109"/>
  <c r="D63" i="109"/>
  <c r="D30" i="109"/>
  <c r="D73" i="109"/>
  <c r="D78" i="109"/>
  <c r="D27" i="109"/>
  <c r="D81" i="109"/>
  <c r="D89" i="109"/>
  <c r="D100" i="109"/>
  <c r="D99" i="109"/>
  <c r="D51" i="109"/>
  <c r="D45" i="109"/>
  <c r="D52" i="109"/>
  <c r="D35" i="109"/>
  <c r="D77" i="109"/>
  <c r="D22" i="109"/>
  <c r="D67" i="109"/>
  <c r="D59" i="109"/>
  <c r="D24" i="109"/>
  <c r="D53" i="109"/>
  <c r="D19" i="109"/>
  <c r="D65" i="109"/>
  <c r="D17" i="109"/>
  <c r="D95" i="109"/>
  <c r="D25" i="109"/>
  <c r="D74" i="109"/>
  <c r="D62" i="109"/>
  <c r="D34" i="109"/>
  <c r="D11" i="109"/>
  <c r="D103" i="109"/>
  <c r="D61" i="109"/>
  <c r="D72" i="109"/>
  <c r="D16" i="109"/>
  <c r="D104" i="109"/>
  <c r="D76" i="109"/>
  <c r="D49" i="109"/>
  <c r="D93" i="109"/>
  <c r="D97" i="109"/>
  <c r="O97" i="109"/>
  <c r="S105" i="109"/>
  <c r="S39" i="109"/>
  <c r="S14" i="109"/>
  <c r="S9" i="109"/>
  <c r="T9" i="109" s="1"/>
  <c r="S13" i="109"/>
  <c r="S12" i="109"/>
  <c r="S86" i="109"/>
  <c r="S84" i="109"/>
  <c r="S102" i="109"/>
  <c r="S15" i="109"/>
  <c r="S75" i="109"/>
  <c r="S91" i="109"/>
  <c r="S79" i="109"/>
  <c r="S68" i="109"/>
  <c r="S92" i="109"/>
  <c r="S23" i="109"/>
  <c r="S80" i="109"/>
  <c r="S66" i="109"/>
  <c r="T66" i="109" s="1"/>
  <c r="S69" i="109"/>
  <c r="S37" i="109"/>
  <c r="T37" i="109" s="1"/>
  <c r="S87" i="109"/>
  <c r="S85" i="109"/>
  <c r="T85" i="109" s="1"/>
  <c r="S40" i="109"/>
  <c r="S28" i="109"/>
  <c r="T28" i="109" s="1"/>
  <c r="S43" i="109"/>
  <c r="S20" i="109"/>
  <c r="S88" i="109"/>
  <c r="S82" i="109"/>
  <c r="S58" i="109"/>
  <c r="S31" i="109"/>
  <c r="S70" i="109"/>
  <c r="S50" i="109"/>
  <c r="S18" i="109"/>
  <c r="S48" i="109"/>
  <c r="S29" i="109"/>
  <c r="S56" i="109"/>
  <c r="S26" i="109"/>
  <c r="S41" i="109"/>
  <c r="S101" i="109"/>
  <c r="S60" i="109"/>
  <c r="S47" i="109"/>
  <c r="S94" i="109"/>
  <c r="S57" i="109"/>
  <c r="S71" i="109"/>
  <c r="S44" i="109"/>
  <c r="S36" i="109"/>
  <c r="S98" i="109"/>
  <c r="S64" i="109"/>
  <c r="S46" i="109"/>
  <c r="S90" i="109"/>
  <c r="S96" i="109"/>
  <c r="S54" i="109"/>
  <c r="S83" i="109"/>
  <c r="S33" i="109"/>
  <c r="S21" i="109"/>
  <c r="S63" i="109"/>
  <c r="S30" i="109"/>
  <c r="S73" i="109"/>
  <c r="S78" i="109"/>
  <c r="S10" i="109"/>
  <c r="Q10" i="109"/>
  <c r="K10" i="109"/>
  <c r="I10" i="109"/>
  <c r="C82" i="107"/>
  <c r="C81" i="107"/>
  <c r="C80" i="107"/>
  <c r="C79" i="107"/>
  <c r="C78" i="107"/>
  <c r="C77" i="107"/>
  <c r="C76" i="107"/>
  <c r="C74" i="107"/>
  <c r="C73" i="107"/>
  <c r="C72" i="107"/>
  <c r="C71" i="107"/>
  <c r="C70" i="107"/>
  <c r="C69" i="107"/>
  <c r="C68" i="107"/>
  <c r="C67" i="107"/>
  <c r="C66" i="107"/>
  <c r="C65" i="107"/>
  <c r="C62" i="107"/>
  <c r="C61" i="107"/>
  <c r="C60" i="107"/>
  <c r="C59" i="107"/>
  <c r="C58" i="107"/>
  <c r="C57" i="107"/>
  <c r="C56" i="107"/>
  <c r="C55" i="107"/>
  <c r="C54" i="107"/>
  <c r="C53" i="107"/>
  <c r="C52" i="107"/>
  <c r="C51" i="107"/>
  <c r="C50" i="107"/>
  <c r="C49" i="107"/>
  <c r="C48" i="107"/>
  <c r="C47" i="107"/>
  <c r="C46" i="107"/>
  <c r="C45" i="107"/>
  <c r="C42" i="107"/>
  <c r="C41" i="107"/>
  <c r="C40" i="107"/>
  <c r="C39" i="107"/>
  <c r="C38" i="107"/>
  <c r="C37" i="107"/>
  <c r="C36" i="107"/>
  <c r="C35" i="107"/>
  <c r="C34" i="107"/>
  <c r="C33" i="107"/>
  <c r="C32" i="107"/>
  <c r="C31" i="107"/>
  <c r="C30" i="107"/>
  <c r="C29" i="107"/>
  <c r="C28" i="107"/>
  <c r="C27" i="107"/>
  <c r="C26" i="107"/>
  <c r="C25" i="107"/>
  <c r="C22" i="107"/>
  <c r="C21" i="107"/>
  <c r="C20" i="107"/>
  <c r="C18" i="107"/>
  <c r="C16" i="107"/>
  <c r="C15" i="107"/>
  <c r="C14" i="107"/>
  <c r="C13" i="107"/>
  <c r="C12" i="107"/>
  <c r="C11" i="107"/>
  <c r="C10" i="107"/>
  <c r="C9" i="107"/>
  <c r="C8" i="107"/>
  <c r="C7" i="107"/>
  <c r="C5" i="107"/>
  <c r="L4" i="113"/>
  <c r="B4" i="113"/>
  <c r="C3" i="113"/>
  <c r="A2" i="113"/>
  <c r="U41" i="113"/>
  <c r="V41" i="113" s="1"/>
  <c r="L39" i="113"/>
  <c r="M40" i="113" s="1"/>
  <c r="U31" i="113"/>
  <c r="V31" i="113" s="1"/>
  <c r="AA28" i="113"/>
  <c r="AB28" i="113" s="1"/>
  <c r="AA26" i="113"/>
  <c r="AB26" i="113" s="1"/>
  <c r="P20" i="113"/>
  <c r="Q20" i="113" s="1"/>
  <c r="P18" i="113"/>
  <c r="P39" i="113"/>
  <c r="Q39" i="113" s="1"/>
  <c r="AD17" i="113"/>
  <c r="AE17" i="113" s="1"/>
  <c r="S17" i="113"/>
  <c r="T17" i="113" s="1"/>
  <c r="P16" i="113"/>
  <c r="Q16" i="113" s="1"/>
  <c r="P14" i="113"/>
  <c r="P37" i="113"/>
  <c r="Q37" i="113" s="1"/>
  <c r="S13" i="113"/>
  <c r="T13" i="113" s="1"/>
  <c r="P27" i="113"/>
  <c r="Q27" i="113" s="1"/>
  <c r="X12" i="113"/>
  <c r="Y12" i="113" s="1"/>
  <c r="P12" i="113"/>
  <c r="P35" i="113"/>
  <c r="P10" i="113"/>
  <c r="Q10" i="113" s="1"/>
  <c r="S9" i="113"/>
  <c r="T9" i="113" s="1"/>
  <c r="P8" i="113"/>
  <c r="Q8" i="113" s="1"/>
  <c r="P6" i="113"/>
  <c r="Q6" i="113" s="1"/>
  <c r="S5" i="113"/>
  <c r="T5" i="113" s="1"/>
  <c r="X4" i="113"/>
  <c r="Y4" i="113" s="1"/>
  <c r="N73" i="112"/>
  <c r="O73" i="112" s="1"/>
  <c r="K72" i="112"/>
  <c r="L72" i="112" s="1"/>
  <c r="K70" i="112"/>
  <c r="L70" i="112" s="1"/>
  <c r="N69" i="112"/>
  <c r="O69" i="112" s="1"/>
  <c r="H69" i="112"/>
  <c r="I69" i="112" s="1"/>
  <c r="H67" i="112"/>
  <c r="I67" i="112" s="1"/>
  <c r="H65" i="112"/>
  <c r="I65" i="112" s="1"/>
  <c r="N63" i="112"/>
  <c r="O63" i="112" s="1"/>
  <c r="H63" i="112"/>
  <c r="I63" i="112" s="1"/>
  <c r="K62" i="112"/>
  <c r="L62" i="112" s="1"/>
  <c r="K60" i="112"/>
  <c r="L60" i="112" s="1"/>
  <c r="E60" i="112"/>
  <c r="F60" i="112" s="1"/>
  <c r="N58" i="112"/>
  <c r="O58" i="112" s="1"/>
  <c r="E58" i="112"/>
  <c r="F58" i="112" s="1"/>
  <c r="E56" i="112"/>
  <c r="F56" i="112" s="1"/>
  <c r="E54" i="112"/>
  <c r="F54" i="112" s="1"/>
  <c r="E52" i="112"/>
  <c r="F52" i="112" s="1"/>
  <c r="E50" i="112"/>
  <c r="F50" i="112" s="1"/>
  <c r="E48" i="112"/>
  <c r="F48" i="112" s="1"/>
  <c r="E46" i="112"/>
  <c r="F46" i="112" s="1"/>
  <c r="N42" i="112"/>
  <c r="O42" i="112" s="1"/>
  <c r="H42" i="112"/>
  <c r="I42" i="112" s="1"/>
  <c r="H40" i="112"/>
  <c r="I40" i="112" s="1"/>
  <c r="H38" i="112"/>
  <c r="I38" i="112" s="1"/>
  <c r="H36" i="112"/>
  <c r="I36" i="112" s="1"/>
  <c r="K35" i="112"/>
  <c r="L35" i="112" s="1"/>
  <c r="K33" i="112"/>
  <c r="L33" i="112" s="1"/>
  <c r="N31" i="112"/>
  <c r="O31" i="112" s="1"/>
  <c r="J107" i="109"/>
  <c r="J106" i="109"/>
  <c r="A3" i="109"/>
  <c r="A2" i="109"/>
  <c r="R6" i="109"/>
  <c r="C6" i="109"/>
  <c r="D2" i="107"/>
  <c r="AB2" i="107"/>
  <c r="C2" i="107"/>
  <c r="C1" i="107"/>
  <c r="D82" i="106"/>
  <c r="E82" i="106" s="1"/>
  <c r="B82" i="106"/>
  <c r="C82" i="106"/>
  <c r="D78" i="106"/>
  <c r="E78" i="106" s="1"/>
  <c r="B78" i="106"/>
  <c r="C78" i="106" s="1"/>
  <c r="D77" i="106"/>
  <c r="E77" i="106" s="1"/>
  <c r="B77" i="106"/>
  <c r="C77" i="106" s="1"/>
  <c r="D76" i="106"/>
  <c r="E76" i="106" s="1"/>
  <c r="B76" i="106"/>
  <c r="C76" i="106" s="1"/>
  <c r="D70" i="106"/>
  <c r="E70" i="106" s="1"/>
  <c r="B70" i="106"/>
  <c r="C70" i="106" s="1"/>
  <c r="AA82" i="107"/>
  <c r="Y82" i="107"/>
  <c r="X82" i="107"/>
  <c r="V82" i="107"/>
  <c r="U82" i="107"/>
  <c r="S82" i="107"/>
  <c r="R82" i="107"/>
  <c r="P82" i="107"/>
  <c r="O82" i="107"/>
  <c r="M82" i="107"/>
  <c r="L82" i="107"/>
  <c r="J82" i="107"/>
  <c r="I82" i="107"/>
  <c r="G82" i="107"/>
  <c r="F82" i="107"/>
  <c r="D82" i="107"/>
  <c r="Y81" i="107"/>
  <c r="V81" i="107"/>
  <c r="S81" i="107"/>
  <c r="P81" i="107"/>
  <c r="M81" i="107"/>
  <c r="J81" i="107"/>
  <c r="G81" i="107"/>
  <c r="D81" i="107"/>
  <c r="AC80" i="107"/>
  <c r="Z82" i="107" s="1"/>
  <c r="X80" i="107"/>
  <c r="V80" i="107"/>
  <c r="U80" i="107"/>
  <c r="S80" i="107"/>
  <c r="R80" i="107"/>
  <c r="P80" i="107"/>
  <c r="O80" i="107"/>
  <c r="M80" i="107"/>
  <c r="L80" i="107"/>
  <c r="J80" i="107"/>
  <c r="I80" i="107"/>
  <c r="G80" i="107"/>
  <c r="F80" i="107"/>
  <c r="D80" i="107"/>
  <c r="V79" i="107"/>
  <c r="S79" i="107"/>
  <c r="P79" i="107"/>
  <c r="M79" i="107"/>
  <c r="J79" i="107"/>
  <c r="G79" i="107"/>
  <c r="D79" i="107"/>
  <c r="AC78" i="107"/>
  <c r="W82" i="107" s="1"/>
  <c r="Z78" i="107"/>
  <c r="W80" i="107" s="1"/>
  <c r="U78" i="107"/>
  <c r="S78" i="107"/>
  <c r="R78" i="107"/>
  <c r="P78" i="107"/>
  <c r="O78" i="107"/>
  <c r="M78" i="107"/>
  <c r="L78" i="107"/>
  <c r="J78" i="107"/>
  <c r="I78" i="107"/>
  <c r="G78" i="107"/>
  <c r="F78" i="107"/>
  <c r="D78" i="107"/>
  <c r="S77" i="107"/>
  <c r="P77" i="107"/>
  <c r="M77" i="107"/>
  <c r="J77" i="107"/>
  <c r="G77" i="107"/>
  <c r="D77" i="107"/>
  <c r="AC76" i="107"/>
  <c r="T82" i="107" s="1"/>
  <c r="Z76" i="107"/>
  <c r="T80" i="107" s="1"/>
  <c r="T78" i="107"/>
  <c r="R76" i="107"/>
  <c r="P76" i="107"/>
  <c r="O76" i="107"/>
  <c r="M76" i="107"/>
  <c r="L76" i="107"/>
  <c r="J76" i="107"/>
  <c r="I76" i="107"/>
  <c r="G76" i="107"/>
  <c r="F76" i="107"/>
  <c r="D76" i="107"/>
  <c r="P75" i="107"/>
  <c r="M75" i="107"/>
  <c r="J75" i="107"/>
  <c r="G75" i="107"/>
  <c r="D75" i="107"/>
  <c r="AC74" i="107"/>
  <c r="Q82" i="107" s="1"/>
  <c r="Z74" i="107"/>
  <c r="Q80" i="107" s="1"/>
  <c r="W74" i="107"/>
  <c r="Q78" i="107" s="1"/>
  <c r="T74" i="107"/>
  <c r="Q76" i="107" s="1"/>
  <c r="O74" i="107"/>
  <c r="M74" i="107"/>
  <c r="L74" i="107"/>
  <c r="J74" i="107"/>
  <c r="I74" i="107"/>
  <c r="G74" i="107"/>
  <c r="F74" i="107"/>
  <c r="D74" i="107"/>
  <c r="M73" i="107"/>
  <c r="J73" i="107"/>
  <c r="G73" i="107"/>
  <c r="D73" i="107"/>
  <c r="AC72" i="107"/>
  <c r="N82" i="107" s="1"/>
  <c r="Z72" i="107"/>
  <c r="N80" i="107" s="1"/>
  <c r="W72" i="107"/>
  <c r="N78" i="107" s="1"/>
  <c r="T72" i="107"/>
  <c r="N76" i="107" s="1"/>
  <c r="Q72" i="107"/>
  <c r="N74" i="107" s="1"/>
  <c r="L72" i="107"/>
  <c r="J72" i="107"/>
  <c r="I72" i="107"/>
  <c r="G72" i="107"/>
  <c r="F72" i="107"/>
  <c r="D72" i="107"/>
  <c r="J71" i="107"/>
  <c r="G71" i="107"/>
  <c r="D71" i="107"/>
  <c r="AC70" i="107"/>
  <c r="K82" i="107" s="1"/>
  <c r="Z70" i="107"/>
  <c r="K80" i="107" s="1"/>
  <c r="W70" i="107"/>
  <c r="K78" i="107" s="1"/>
  <c r="T70" i="107"/>
  <c r="K76" i="107" s="1"/>
  <c r="K74" i="107"/>
  <c r="N70" i="107"/>
  <c r="K72" i="107" s="1"/>
  <c r="I70" i="107"/>
  <c r="G70" i="107"/>
  <c r="F70" i="107"/>
  <c r="D70" i="107"/>
  <c r="G69" i="107"/>
  <c r="D69" i="107"/>
  <c r="AE69" i="107" s="1"/>
  <c r="AC68" i="107"/>
  <c r="H82" i="107" s="1"/>
  <c r="Z68" i="107"/>
  <c r="H80" i="107" s="1"/>
  <c r="W68" i="107"/>
  <c r="H78" i="107"/>
  <c r="T68" i="107"/>
  <c r="H76" i="107" s="1"/>
  <c r="Q68" i="107"/>
  <c r="H74" i="107" s="1"/>
  <c r="N68" i="107"/>
  <c r="H72" i="107" s="1"/>
  <c r="K68" i="107"/>
  <c r="H70" i="107" s="1"/>
  <c r="F68" i="107"/>
  <c r="E68" i="107"/>
  <c r="D68" i="107"/>
  <c r="D67" i="107"/>
  <c r="AE67" i="107" s="1"/>
  <c r="AC66" i="107"/>
  <c r="E82" i="107" s="1"/>
  <c r="Z66" i="107"/>
  <c r="E80" i="107" s="1"/>
  <c r="W66" i="107"/>
  <c r="E78" i="107" s="1"/>
  <c r="T66" i="107"/>
  <c r="E76" i="107" s="1"/>
  <c r="Q66" i="107"/>
  <c r="E74" i="107" s="1"/>
  <c r="N66" i="107"/>
  <c r="E72" i="107" s="1"/>
  <c r="K66" i="107"/>
  <c r="E70" i="107" s="1"/>
  <c r="H66" i="107"/>
  <c r="AA62" i="107"/>
  <c r="Y62" i="107"/>
  <c r="X62" i="107"/>
  <c r="V62" i="107"/>
  <c r="U62" i="107"/>
  <c r="S62" i="107"/>
  <c r="R62" i="107"/>
  <c r="P62" i="107"/>
  <c r="O62" i="107"/>
  <c r="M62" i="107"/>
  <c r="L62" i="107"/>
  <c r="J62" i="107"/>
  <c r="I62" i="107"/>
  <c r="G62" i="107"/>
  <c r="F62" i="107"/>
  <c r="D62" i="107"/>
  <c r="Y61" i="107"/>
  <c r="V61" i="107"/>
  <c r="S61" i="107"/>
  <c r="P61" i="107"/>
  <c r="M61" i="107"/>
  <c r="J61" i="107"/>
  <c r="G61" i="107"/>
  <c r="D61" i="107"/>
  <c r="AC60" i="107"/>
  <c r="Z62" i="107" s="1"/>
  <c r="X60" i="107"/>
  <c r="V60" i="107"/>
  <c r="U60" i="107"/>
  <c r="S60" i="107"/>
  <c r="R60" i="107"/>
  <c r="P60" i="107"/>
  <c r="O60" i="107"/>
  <c r="M60" i="107"/>
  <c r="L60" i="107"/>
  <c r="J60" i="107"/>
  <c r="I60" i="107"/>
  <c r="G60" i="107"/>
  <c r="F60" i="107"/>
  <c r="D60" i="107"/>
  <c r="V59" i="107"/>
  <c r="S59" i="107"/>
  <c r="P59" i="107"/>
  <c r="M59" i="107"/>
  <c r="J59" i="107"/>
  <c r="G59" i="107"/>
  <c r="D59" i="107"/>
  <c r="AC58" i="107"/>
  <c r="W62" i="107" s="1"/>
  <c r="Z58" i="107"/>
  <c r="W60" i="107" s="1"/>
  <c r="U58" i="107"/>
  <c r="S58" i="107"/>
  <c r="R58" i="107"/>
  <c r="P58" i="107"/>
  <c r="O58" i="107"/>
  <c r="M58" i="107"/>
  <c r="L58" i="107"/>
  <c r="J58" i="107"/>
  <c r="I58" i="107"/>
  <c r="G58" i="107"/>
  <c r="F58" i="107"/>
  <c r="D58" i="107"/>
  <c r="S57" i="107"/>
  <c r="P57" i="107"/>
  <c r="M57" i="107"/>
  <c r="J57" i="107"/>
  <c r="G57" i="107"/>
  <c r="D57" i="107"/>
  <c r="AC56" i="107"/>
  <c r="T62" i="107" s="1"/>
  <c r="Z56" i="107"/>
  <c r="T60" i="107" s="1"/>
  <c r="W56" i="107"/>
  <c r="T58" i="107" s="1"/>
  <c r="R56" i="107"/>
  <c r="P56" i="107"/>
  <c r="O56" i="107"/>
  <c r="M56" i="107"/>
  <c r="L56" i="107"/>
  <c r="J56" i="107"/>
  <c r="I56" i="107"/>
  <c r="G56" i="107"/>
  <c r="F56" i="107"/>
  <c r="D56" i="107"/>
  <c r="P55" i="107"/>
  <c r="M55" i="107"/>
  <c r="J55" i="107"/>
  <c r="G55" i="107"/>
  <c r="D55" i="107"/>
  <c r="AC54" i="107"/>
  <c r="Q62" i="107" s="1"/>
  <c r="Z54" i="107"/>
  <c r="Q60" i="107" s="1"/>
  <c r="W54" i="107"/>
  <c r="Q58" i="107" s="1"/>
  <c r="T54" i="107"/>
  <c r="Q56" i="107" s="1"/>
  <c r="O54" i="107"/>
  <c r="M54" i="107"/>
  <c r="L54" i="107"/>
  <c r="J54" i="107"/>
  <c r="I54" i="107"/>
  <c r="G54" i="107"/>
  <c r="F54" i="107"/>
  <c r="D54" i="107"/>
  <c r="M53" i="107"/>
  <c r="J53" i="107"/>
  <c r="G53" i="107"/>
  <c r="D53" i="107"/>
  <c r="AC52" i="107"/>
  <c r="N62" i="107" s="1"/>
  <c r="Z52" i="107"/>
  <c r="N60" i="107" s="1"/>
  <c r="W52" i="107"/>
  <c r="N58" i="107" s="1"/>
  <c r="T52" i="107"/>
  <c r="N56" i="107" s="1"/>
  <c r="Q52" i="107"/>
  <c r="N54" i="107" s="1"/>
  <c r="L52" i="107"/>
  <c r="J52" i="107"/>
  <c r="I52" i="107"/>
  <c r="G52" i="107"/>
  <c r="F52" i="107"/>
  <c r="D52" i="107"/>
  <c r="J51" i="107"/>
  <c r="G51" i="107"/>
  <c r="D51" i="107"/>
  <c r="AC50" i="107"/>
  <c r="K62" i="107" s="1"/>
  <c r="Z50" i="107"/>
  <c r="K60" i="107" s="1"/>
  <c r="W50" i="107"/>
  <c r="K58" i="107" s="1"/>
  <c r="T50" i="107"/>
  <c r="K56" i="107" s="1"/>
  <c r="Q50" i="107"/>
  <c r="K54" i="107" s="1"/>
  <c r="N50" i="107"/>
  <c r="K52" i="107" s="1"/>
  <c r="I50" i="107"/>
  <c r="G50" i="107"/>
  <c r="F50" i="107"/>
  <c r="D50" i="107"/>
  <c r="G49" i="107"/>
  <c r="D49" i="107"/>
  <c r="AC48" i="107"/>
  <c r="H62" i="107" s="1"/>
  <c r="Z48" i="107"/>
  <c r="H60" i="107" s="1"/>
  <c r="W48" i="107"/>
  <c r="H58" i="107" s="1"/>
  <c r="T48" i="107"/>
  <c r="Q48" i="107"/>
  <c r="H54" i="107" s="1"/>
  <c r="N48" i="107"/>
  <c r="H52" i="107" s="1"/>
  <c r="K48" i="107"/>
  <c r="H50" i="107" s="1"/>
  <c r="F48" i="107"/>
  <c r="E48" i="107"/>
  <c r="D48" i="107"/>
  <c r="D47" i="107"/>
  <c r="AC46" i="107"/>
  <c r="E62" i="107" s="1"/>
  <c r="Z46" i="107"/>
  <c r="E60" i="107" s="1"/>
  <c r="W46" i="107"/>
  <c r="E58" i="107" s="1"/>
  <c r="T46" i="107"/>
  <c r="E56" i="107" s="1"/>
  <c r="Q46" i="107"/>
  <c r="E54" i="107" s="1"/>
  <c r="N46" i="107"/>
  <c r="E52" i="107" s="1"/>
  <c r="K46" i="107"/>
  <c r="E50" i="107" s="1"/>
  <c r="H46" i="107"/>
  <c r="AA42" i="107"/>
  <c r="Y42" i="107"/>
  <c r="X42" i="107"/>
  <c r="V42" i="107"/>
  <c r="U42" i="107"/>
  <c r="S42" i="107"/>
  <c r="R42" i="107"/>
  <c r="P42" i="107"/>
  <c r="O42" i="107"/>
  <c r="M42" i="107"/>
  <c r="L42" i="107"/>
  <c r="J42" i="107"/>
  <c r="I42" i="107"/>
  <c r="G42" i="107"/>
  <c r="F42" i="107"/>
  <c r="D42" i="107"/>
  <c r="Y41" i="107"/>
  <c r="V41" i="107"/>
  <c r="S41" i="107"/>
  <c r="P41" i="107"/>
  <c r="M41" i="107"/>
  <c r="J41" i="107"/>
  <c r="G41" i="107"/>
  <c r="D41" i="107"/>
  <c r="AC40" i="107"/>
  <c r="Z42" i="107" s="1"/>
  <c r="X40" i="107"/>
  <c r="V40" i="107"/>
  <c r="U40" i="107"/>
  <c r="S40" i="107"/>
  <c r="R40" i="107"/>
  <c r="P40" i="107"/>
  <c r="O40" i="107"/>
  <c r="M40" i="107"/>
  <c r="L40" i="107"/>
  <c r="J40" i="107"/>
  <c r="I40" i="107"/>
  <c r="G40" i="107"/>
  <c r="F40" i="107"/>
  <c r="D40" i="107"/>
  <c r="V39" i="107"/>
  <c r="S39" i="107"/>
  <c r="P39" i="107"/>
  <c r="M39" i="107"/>
  <c r="J39" i="107"/>
  <c r="G39" i="107"/>
  <c r="D39" i="107"/>
  <c r="AC38" i="107"/>
  <c r="W42" i="107" s="1"/>
  <c r="Z38" i="107"/>
  <c r="W40" i="107" s="1"/>
  <c r="U38" i="107"/>
  <c r="S38" i="107"/>
  <c r="R38" i="107"/>
  <c r="P38" i="107"/>
  <c r="O38" i="107"/>
  <c r="M38" i="107"/>
  <c r="L38" i="107"/>
  <c r="J38" i="107"/>
  <c r="I38" i="107"/>
  <c r="G38" i="107"/>
  <c r="F38" i="107"/>
  <c r="D38" i="107"/>
  <c r="S37" i="107"/>
  <c r="P37" i="107"/>
  <c r="M37" i="107"/>
  <c r="J37" i="107"/>
  <c r="G37" i="107"/>
  <c r="D37" i="107"/>
  <c r="AC36" i="107"/>
  <c r="T42" i="107" s="1"/>
  <c r="Z36" i="107"/>
  <c r="T40" i="107" s="1"/>
  <c r="W36" i="107"/>
  <c r="T38" i="107" s="1"/>
  <c r="R36" i="107"/>
  <c r="P36" i="107"/>
  <c r="O36" i="107"/>
  <c r="M36" i="107"/>
  <c r="L36" i="107"/>
  <c r="J36" i="107"/>
  <c r="I36" i="107"/>
  <c r="G36" i="107"/>
  <c r="F36" i="107"/>
  <c r="D36" i="107"/>
  <c r="P35" i="107"/>
  <c r="M35" i="107"/>
  <c r="J35" i="107"/>
  <c r="G35" i="107"/>
  <c r="D35" i="107"/>
  <c r="AC34" i="107"/>
  <c r="Q42" i="107" s="1"/>
  <c r="Z34" i="107"/>
  <c r="Q40" i="107" s="1"/>
  <c r="W34" i="107"/>
  <c r="Q38" i="107" s="1"/>
  <c r="T34" i="107"/>
  <c r="Q36" i="107" s="1"/>
  <c r="O34" i="107"/>
  <c r="M34" i="107"/>
  <c r="L34" i="107"/>
  <c r="J34" i="107"/>
  <c r="I34" i="107"/>
  <c r="G34" i="107"/>
  <c r="F34" i="107"/>
  <c r="D34" i="107"/>
  <c r="M33" i="107"/>
  <c r="J33" i="107"/>
  <c r="G33" i="107"/>
  <c r="D33" i="107"/>
  <c r="AC32" i="107"/>
  <c r="N42" i="107" s="1"/>
  <c r="Z32" i="107"/>
  <c r="N40" i="107" s="1"/>
  <c r="W32" i="107"/>
  <c r="N38" i="107" s="1"/>
  <c r="T32" i="107"/>
  <c r="N36" i="107" s="1"/>
  <c r="Q32" i="107"/>
  <c r="N34" i="107" s="1"/>
  <c r="L32" i="107"/>
  <c r="J32" i="107"/>
  <c r="I32" i="107"/>
  <c r="G32" i="107"/>
  <c r="F32" i="107"/>
  <c r="D32" i="107"/>
  <c r="J31" i="107"/>
  <c r="G31" i="107"/>
  <c r="D31" i="107"/>
  <c r="AC30" i="107"/>
  <c r="K42" i="107" s="1"/>
  <c r="Z30" i="107"/>
  <c r="K40" i="107" s="1"/>
  <c r="W30" i="107"/>
  <c r="K38" i="107" s="1"/>
  <c r="T30" i="107"/>
  <c r="K36" i="107" s="1"/>
  <c r="K34" i="107"/>
  <c r="N30" i="107"/>
  <c r="K32" i="107" s="1"/>
  <c r="I30" i="107"/>
  <c r="G30" i="107"/>
  <c r="F30" i="107"/>
  <c r="D30" i="107"/>
  <c r="G29" i="107"/>
  <c r="D29" i="107"/>
  <c r="AC28" i="107"/>
  <c r="H42" i="107" s="1"/>
  <c r="Z28" i="107"/>
  <c r="H40" i="107" s="1"/>
  <c r="W28" i="107"/>
  <c r="H38" i="107" s="1"/>
  <c r="T28" i="107"/>
  <c r="H36" i="107" s="1"/>
  <c r="Q28" i="107"/>
  <c r="H34" i="107" s="1"/>
  <c r="N28" i="107"/>
  <c r="H32" i="107" s="1"/>
  <c r="K28" i="107"/>
  <c r="H30" i="107" s="1"/>
  <c r="F28" i="107"/>
  <c r="E28" i="107"/>
  <c r="D28" i="107"/>
  <c r="D27" i="107"/>
  <c r="AE27" i="107" s="1"/>
  <c r="AC26" i="107"/>
  <c r="E42" i="107" s="1"/>
  <c r="Z26" i="107"/>
  <c r="E40" i="107" s="1"/>
  <c r="W26" i="107"/>
  <c r="E38" i="107" s="1"/>
  <c r="T26" i="107"/>
  <c r="E36" i="107" s="1"/>
  <c r="Q26" i="107"/>
  <c r="E34" i="107" s="1"/>
  <c r="N26" i="107"/>
  <c r="E32" i="107" s="1"/>
  <c r="K26" i="107"/>
  <c r="E30" i="107" s="1"/>
  <c r="H26" i="107"/>
  <c r="AC84" i="107"/>
  <c r="D84" i="107"/>
  <c r="AE65" i="107"/>
  <c r="AE25" i="107"/>
  <c r="AA22" i="107"/>
  <c r="Y22" i="107"/>
  <c r="X22" i="107"/>
  <c r="V22" i="107"/>
  <c r="U22" i="107"/>
  <c r="S22" i="107"/>
  <c r="R22" i="107"/>
  <c r="P22" i="107"/>
  <c r="O22" i="107"/>
  <c r="M22" i="107"/>
  <c r="L22" i="107"/>
  <c r="J22" i="107"/>
  <c r="I22" i="107"/>
  <c r="G22" i="107"/>
  <c r="F22" i="107"/>
  <c r="D22" i="107"/>
  <c r="Y21" i="107"/>
  <c r="V21" i="107"/>
  <c r="S21" i="107"/>
  <c r="P21" i="107"/>
  <c r="M21" i="107"/>
  <c r="J21" i="107"/>
  <c r="G21" i="107"/>
  <c r="D21" i="107"/>
  <c r="AE21" i="107" s="1"/>
  <c r="AC20" i="107"/>
  <c r="Z22" i="107" s="1"/>
  <c r="X20" i="107"/>
  <c r="V20" i="107"/>
  <c r="U20" i="107"/>
  <c r="S20" i="107"/>
  <c r="R20" i="107"/>
  <c r="P20" i="107"/>
  <c r="O20" i="107"/>
  <c r="M20" i="107"/>
  <c r="L20" i="107"/>
  <c r="J20" i="107"/>
  <c r="I20" i="107"/>
  <c r="G20" i="107"/>
  <c r="F20" i="107"/>
  <c r="D20" i="107"/>
  <c r="V19" i="107"/>
  <c r="S19" i="107"/>
  <c r="P19" i="107"/>
  <c r="M19" i="107"/>
  <c r="J19" i="107"/>
  <c r="G19" i="107"/>
  <c r="D19" i="107"/>
  <c r="AC18" i="107"/>
  <c r="W22" i="107" s="1"/>
  <c r="Z18" i="107"/>
  <c r="W20" i="107" s="1"/>
  <c r="U18" i="107"/>
  <c r="S18" i="107"/>
  <c r="R18" i="107"/>
  <c r="P18" i="107"/>
  <c r="O18" i="107"/>
  <c r="M18" i="107"/>
  <c r="L18" i="107"/>
  <c r="J18" i="107"/>
  <c r="I18" i="107"/>
  <c r="G18" i="107"/>
  <c r="F18" i="107"/>
  <c r="D18" i="107"/>
  <c r="S17" i="107"/>
  <c r="P17" i="107"/>
  <c r="M17" i="107"/>
  <c r="J17" i="107"/>
  <c r="G17" i="107"/>
  <c r="D17" i="107"/>
  <c r="AC16" i="107"/>
  <c r="T22" i="107" s="1"/>
  <c r="Z16" i="107"/>
  <c r="T20" i="107" s="1"/>
  <c r="W16" i="107"/>
  <c r="T18" i="107" s="1"/>
  <c r="R16" i="107"/>
  <c r="P16" i="107"/>
  <c r="O16" i="107"/>
  <c r="M16" i="107"/>
  <c r="L16" i="107"/>
  <c r="J16" i="107"/>
  <c r="I16" i="107"/>
  <c r="G16" i="107"/>
  <c r="F16" i="107"/>
  <c r="D16" i="107"/>
  <c r="P15" i="107"/>
  <c r="M15" i="107"/>
  <c r="J15" i="107"/>
  <c r="G15" i="107"/>
  <c r="D15" i="107"/>
  <c r="AC14" i="107"/>
  <c r="Q22" i="107"/>
  <c r="Z14" i="107"/>
  <c r="Q20" i="107" s="1"/>
  <c r="W14" i="107"/>
  <c r="Q18" i="107" s="1"/>
  <c r="T14" i="107"/>
  <c r="Q16" i="107" s="1"/>
  <c r="O14" i="107"/>
  <c r="M14" i="107"/>
  <c r="L14" i="107"/>
  <c r="J14" i="107"/>
  <c r="I14" i="107"/>
  <c r="G14" i="107"/>
  <c r="F14" i="107"/>
  <c r="D14" i="107"/>
  <c r="M13" i="107"/>
  <c r="J13" i="107"/>
  <c r="G13" i="107"/>
  <c r="D13" i="107"/>
  <c r="AC12" i="107"/>
  <c r="N22" i="107" s="1"/>
  <c r="Z12" i="107"/>
  <c r="N20" i="107" s="1"/>
  <c r="W12" i="107"/>
  <c r="N18" i="107" s="1"/>
  <c r="T12" i="107"/>
  <c r="N16" i="107" s="1"/>
  <c r="Q12" i="107"/>
  <c r="N14" i="107" s="1"/>
  <c r="L12" i="107"/>
  <c r="J12" i="107"/>
  <c r="I12" i="107"/>
  <c r="G12" i="107"/>
  <c r="F12" i="107"/>
  <c r="D12" i="107"/>
  <c r="J11" i="107"/>
  <c r="G11" i="107"/>
  <c r="D11" i="107"/>
  <c r="AC10" i="107"/>
  <c r="K22" i="107" s="1"/>
  <c r="Z10" i="107"/>
  <c r="K20" i="107" s="1"/>
  <c r="W10" i="107"/>
  <c r="K18" i="107" s="1"/>
  <c r="T10" i="107"/>
  <c r="K16" i="107" s="1"/>
  <c r="Q10" i="107"/>
  <c r="K14" i="107" s="1"/>
  <c r="N10" i="107"/>
  <c r="K12" i="107" s="1"/>
  <c r="I10" i="107"/>
  <c r="G10" i="107"/>
  <c r="F10" i="107"/>
  <c r="D10" i="107"/>
  <c r="G9" i="107"/>
  <c r="D9" i="107"/>
  <c r="AC8" i="107"/>
  <c r="H22" i="107" s="1"/>
  <c r="Z8" i="107"/>
  <c r="H20" i="107" s="1"/>
  <c r="W8" i="107"/>
  <c r="H18" i="107" s="1"/>
  <c r="T8" i="107"/>
  <c r="Q8" i="107"/>
  <c r="H16" i="107" s="1"/>
  <c r="N8" i="107"/>
  <c r="H12" i="107" s="1"/>
  <c r="K8" i="107"/>
  <c r="H10" i="107" s="1"/>
  <c r="F8" i="107"/>
  <c r="E8" i="107"/>
  <c r="D8" i="107"/>
  <c r="D7" i="107"/>
  <c r="AE7" i="107" s="1"/>
  <c r="AC6" i="107"/>
  <c r="E22" i="107" s="1"/>
  <c r="Z6" i="107"/>
  <c r="E20" i="107" s="1"/>
  <c r="W6" i="107"/>
  <c r="E18" i="107" s="1"/>
  <c r="T6" i="107"/>
  <c r="E16" i="107" s="1"/>
  <c r="Q6" i="107"/>
  <c r="E14" i="107" s="1"/>
  <c r="N6" i="107"/>
  <c r="E12" i="107" s="1"/>
  <c r="K6" i="107"/>
  <c r="E10" i="107"/>
  <c r="AE5" i="107"/>
  <c r="E65" i="106"/>
  <c r="C65" i="106"/>
  <c r="E61" i="106"/>
  <c r="E60" i="106"/>
  <c r="E59" i="106"/>
  <c r="C53" i="106"/>
  <c r="C61" i="106"/>
  <c r="E49" i="106"/>
  <c r="C49" i="106"/>
  <c r="C48" i="106"/>
  <c r="E47" i="106"/>
  <c r="C46" i="106"/>
  <c r="E46" i="106"/>
  <c r="E45" i="106"/>
  <c r="C44" i="106"/>
  <c r="G5" i="106"/>
  <c r="G6" i="106"/>
  <c r="G7" i="106"/>
  <c r="G8" i="106"/>
  <c r="G9" i="106"/>
  <c r="G10" i="106"/>
  <c r="G11" i="106"/>
  <c r="G12" i="106"/>
  <c r="G13" i="106"/>
  <c r="G14" i="106"/>
  <c r="G15" i="106"/>
  <c r="G16" i="106"/>
  <c r="G17" i="106"/>
  <c r="G18" i="106"/>
  <c r="G19" i="106"/>
  <c r="G20" i="106"/>
  <c r="G21" i="106"/>
  <c r="G22" i="106"/>
  <c r="G23" i="106"/>
  <c r="G24" i="106"/>
  <c r="G25" i="106"/>
  <c r="G26" i="106"/>
  <c r="G27" i="106"/>
  <c r="G28" i="106"/>
  <c r="G29" i="106"/>
  <c r="G30" i="106"/>
  <c r="G31" i="106"/>
  <c r="G32" i="106"/>
  <c r="G33" i="106"/>
  <c r="G34" i="106"/>
  <c r="G35" i="106"/>
  <c r="G36" i="106"/>
  <c r="G37" i="106"/>
  <c r="G38" i="106"/>
  <c r="G39" i="106"/>
  <c r="G40" i="106"/>
  <c r="G41" i="106"/>
  <c r="G42" i="106"/>
  <c r="G43" i="106"/>
  <c r="G44" i="106"/>
  <c r="G45" i="106"/>
  <c r="G46" i="106"/>
  <c r="G47" i="106"/>
  <c r="G48" i="106"/>
  <c r="G49" i="106"/>
  <c r="G50" i="106"/>
  <c r="G51" i="106"/>
  <c r="G52" i="106"/>
  <c r="G53" i="106"/>
  <c r="G54" i="106"/>
  <c r="G55" i="106"/>
  <c r="G56" i="106"/>
  <c r="G57" i="106"/>
  <c r="G58" i="106"/>
  <c r="G59" i="106"/>
  <c r="G60" i="106"/>
  <c r="G61" i="106"/>
  <c r="G62" i="106"/>
  <c r="G63" i="106"/>
  <c r="G64" i="106"/>
  <c r="G65" i="106"/>
  <c r="G66" i="106"/>
  <c r="G67" i="106"/>
  <c r="G68" i="106"/>
  <c r="G69" i="106"/>
  <c r="G70" i="106"/>
  <c r="G71" i="106"/>
  <c r="G72" i="106"/>
  <c r="G73" i="106"/>
  <c r="G74" i="106"/>
  <c r="G75" i="106"/>
  <c r="G76" i="106"/>
  <c r="G77" i="106"/>
  <c r="G78" i="106"/>
  <c r="G79" i="106"/>
  <c r="G80" i="106"/>
  <c r="G81" i="106"/>
  <c r="G82" i="106"/>
  <c r="G83" i="106"/>
  <c r="G4" i="106"/>
  <c r="AD20" i="105"/>
  <c r="D19" i="106"/>
  <c r="D18" i="106"/>
  <c r="D17" i="106"/>
  <c r="D16" i="106"/>
  <c r="D15" i="106"/>
  <c r="D14" i="106"/>
  <c r="D13" i="106"/>
  <c r="D12" i="106"/>
  <c r="D11" i="106"/>
  <c r="D10" i="106"/>
  <c r="D9" i="106"/>
  <c r="D8" i="106"/>
  <c r="D7" i="106"/>
  <c r="D6" i="106"/>
  <c r="D5" i="106"/>
  <c r="D4" i="106"/>
  <c r="B19" i="106"/>
  <c r="E42" i="106"/>
  <c r="B18" i="106"/>
  <c r="B17" i="106"/>
  <c r="E41" i="106"/>
  <c r="B16" i="106"/>
  <c r="B15" i="106"/>
  <c r="E40" i="106"/>
  <c r="B14" i="106"/>
  <c r="B13" i="106"/>
  <c r="B12" i="106"/>
  <c r="B11" i="106"/>
  <c r="E38" i="106"/>
  <c r="B10" i="106"/>
  <c r="B9" i="106"/>
  <c r="E37" i="106"/>
  <c r="B8" i="106"/>
  <c r="B7" i="106"/>
  <c r="B6" i="106"/>
  <c r="B5" i="106"/>
  <c r="B4" i="106"/>
  <c r="D69" i="105"/>
  <c r="C69" i="105"/>
  <c r="C68" i="105"/>
  <c r="D67" i="105"/>
  <c r="C67" i="105"/>
  <c r="D65" i="105"/>
  <c r="C65" i="105"/>
  <c r="C63" i="105"/>
  <c r="C61" i="105"/>
  <c r="D59" i="105"/>
  <c r="C59" i="105"/>
  <c r="D57" i="105"/>
  <c r="C57" i="105"/>
  <c r="C55" i="105"/>
  <c r="C53" i="105"/>
  <c r="D51" i="105"/>
  <c r="C51" i="105"/>
  <c r="C49" i="105"/>
  <c r="C47" i="105"/>
  <c r="C45" i="105"/>
  <c r="C43" i="105"/>
  <c r="C41" i="105"/>
  <c r="C39" i="105"/>
  <c r="C37" i="105"/>
  <c r="C35" i="105"/>
  <c r="C33" i="105"/>
  <c r="C31" i="105"/>
  <c r="D29" i="105"/>
  <c r="C29" i="105"/>
  <c r="C27" i="105"/>
  <c r="C25" i="105"/>
  <c r="D23" i="105"/>
  <c r="C23" i="105"/>
  <c r="D21" i="105"/>
  <c r="C21" i="105"/>
  <c r="C19" i="105"/>
  <c r="D17" i="105"/>
  <c r="C17" i="105"/>
  <c r="C15" i="105"/>
  <c r="C13" i="105"/>
  <c r="D9" i="105"/>
  <c r="C9" i="105"/>
  <c r="C7" i="105"/>
  <c r="A1" i="105"/>
  <c r="AE1" i="105" s="1"/>
  <c r="Q83" i="106"/>
  <c r="P83" i="106"/>
  <c r="R83" i="106"/>
  <c r="Q82" i="106"/>
  <c r="P82" i="106"/>
  <c r="R82" i="106"/>
  <c r="AR63" i="105" s="1"/>
  <c r="AS63" i="105" s="1"/>
  <c r="Q81" i="106"/>
  <c r="P81" i="106"/>
  <c r="R81" i="106"/>
  <c r="Q80" i="106"/>
  <c r="P80" i="106"/>
  <c r="R80" i="106"/>
  <c r="Q79" i="106"/>
  <c r="P79" i="106"/>
  <c r="R79" i="106"/>
  <c r="AR57" i="105" s="1"/>
  <c r="AS57" i="105" s="1"/>
  <c r="Q78" i="106"/>
  <c r="P78" i="106"/>
  <c r="R78" i="106"/>
  <c r="Q77" i="106"/>
  <c r="P77" i="106"/>
  <c r="R77" i="106"/>
  <c r="AO55" i="105" s="1"/>
  <c r="AP55" i="105" s="1"/>
  <c r="Q76" i="106"/>
  <c r="P76" i="106"/>
  <c r="R76" i="106"/>
  <c r="Q75" i="106"/>
  <c r="P75" i="106"/>
  <c r="R75" i="106"/>
  <c r="Q74" i="106"/>
  <c r="P74" i="106"/>
  <c r="R74" i="106"/>
  <c r="Q73" i="106"/>
  <c r="P73" i="106"/>
  <c r="R73" i="106"/>
  <c r="Q72" i="106"/>
  <c r="P72" i="106"/>
  <c r="R72" i="106"/>
  <c r="Q71" i="106"/>
  <c r="P71" i="106"/>
  <c r="Q70" i="106"/>
  <c r="P70" i="106"/>
  <c r="R70" i="106"/>
  <c r="Q69" i="106"/>
  <c r="P69" i="106"/>
  <c r="R69" i="106"/>
  <c r="Q68" i="106"/>
  <c r="P68" i="106"/>
  <c r="R68" i="106"/>
  <c r="Q67" i="106"/>
  <c r="P67" i="106"/>
  <c r="R67" i="106"/>
  <c r="AR32" i="105" s="1"/>
  <c r="AS32" i="105" s="1"/>
  <c r="Q66" i="106"/>
  <c r="P66" i="106"/>
  <c r="R66" i="106"/>
  <c r="Q65" i="106"/>
  <c r="P65" i="106"/>
  <c r="R65" i="106"/>
  <c r="Q64" i="106"/>
  <c r="P64" i="106"/>
  <c r="R64" i="106"/>
  <c r="Q63" i="106"/>
  <c r="P63" i="106"/>
  <c r="R63" i="106"/>
  <c r="AL38" i="105" s="1"/>
  <c r="AM38" i="105" s="1"/>
  <c r="Q62" i="106"/>
  <c r="P62" i="106"/>
  <c r="R62" i="106"/>
  <c r="AL36" i="105" s="1"/>
  <c r="AM36" i="105" s="1"/>
  <c r="Q61" i="106"/>
  <c r="P61" i="106"/>
  <c r="R61" i="106"/>
  <c r="AL34" i="105" s="1"/>
  <c r="AM34" i="105" s="1"/>
  <c r="Q60" i="106"/>
  <c r="P60" i="106"/>
  <c r="R60" i="106"/>
  <c r="Q59" i="106"/>
  <c r="P59" i="106"/>
  <c r="R59" i="106"/>
  <c r="Q58" i="106"/>
  <c r="P58" i="106"/>
  <c r="R58" i="106"/>
  <c r="Q57" i="106"/>
  <c r="P57" i="106"/>
  <c r="R57" i="106"/>
  <c r="Q56" i="106"/>
  <c r="P56" i="106"/>
  <c r="R56" i="106"/>
  <c r="Q55" i="106"/>
  <c r="P55" i="106"/>
  <c r="R55" i="106"/>
  <c r="AI47" i="105" s="1"/>
  <c r="AJ47" i="105" s="1"/>
  <c r="Q54" i="106"/>
  <c r="P54" i="106"/>
  <c r="R54" i="106"/>
  <c r="Q53" i="106"/>
  <c r="P53" i="106"/>
  <c r="R53" i="106"/>
  <c r="Q52" i="106"/>
  <c r="P52" i="106"/>
  <c r="O52" i="106"/>
  <c r="R52" i="106"/>
  <c r="AJ42" i="105" s="1"/>
  <c r="Q51" i="106"/>
  <c r="P51" i="106"/>
  <c r="O51" i="106"/>
  <c r="R51" i="106"/>
  <c r="Q50" i="106"/>
  <c r="P50" i="106"/>
  <c r="O50" i="106"/>
  <c r="R50" i="106"/>
  <c r="Q49" i="106"/>
  <c r="P49" i="106"/>
  <c r="O49" i="106"/>
  <c r="R49" i="106"/>
  <c r="Q48" i="106"/>
  <c r="P48" i="106"/>
  <c r="O48" i="106"/>
  <c r="R48" i="106"/>
  <c r="E48" i="106"/>
  <c r="Q47" i="106"/>
  <c r="P47" i="106"/>
  <c r="O47" i="106"/>
  <c r="R47" i="106"/>
  <c r="Q46" i="106"/>
  <c r="P46" i="106"/>
  <c r="O46" i="106"/>
  <c r="R46" i="106"/>
  <c r="Q45" i="106"/>
  <c r="P45" i="106"/>
  <c r="O45" i="106"/>
  <c r="R45" i="106"/>
  <c r="Q44" i="106"/>
  <c r="P44" i="106"/>
  <c r="O44" i="106"/>
  <c r="R44" i="106"/>
  <c r="Z46" i="105"/>
  <c r="AA46" i="105" s="1"/>
  <c r="E44" i="106"/>
  <c r="Q43" i="106"/>
  <c r="P43" i="106"/>
  <c r="O43" i="106"/>
  <c r="R43" i="106"/>
  <c r="E43" i="106"/>
  <c r="Q42" i="106"/>
  <c r="P42" i="106"/>
  <c r="O42" i="106"/>
  <c r="R42" i="106"/>
  <c r="Q41" i="106"/>
  <c r="P41" i="106"/>
  <c r="O41" i="106"/>
  <c r="R41" i="106"/>
  <c r="Q40" i="106"/>
  <c r="P40" i="106"/>
  <c r="O40" i="106"/>
  <c r="R40" i="106"/>
  <c r="Q39" i="106"/>
  <c r="P39" i="106"/>
  <c r="O39" i="106"/>
  <c r="R39" i="106"/>
  <c r="Q38" i="106"/>
  <c r="P38" i="106"/>
  <c r="O38" i="106"/>
  <c r="R38" i="106"/>
  <c r="Q37" i="106"/>
  <c r="P37" i="106"/>
  <c r="O37" i="106"/>
  <c r="R37" i="106"/>
  <c r="Q36" i="106"/>
  <c r="P36" i="106"/>
  <c r="O36" i="106"/>
  <c r="R36" i="106"/>
  <c r="Q35" i="106"/>
  <c r="P35" i="106"/>
  <c r="O35" i="106"/>
  <c r="R35" i="106"/>
  <c r="Q34" i="106"/>
  <c r="P34" i="106"/>
  <c r="O34" i="106"/>
  <c r="R34" i="106"/>
  <c r="Q60" i="105" s="1"/>
  <c r="R61" i="105" s="1"/>
  <c r="D34" i="106"/>
  <c r="E34" i="106" s="1"/>
  <c r="B34" i="106"/>
  <c r="C34" i="106"/>
  <c r="Q33" i="106"/>
  <c r="P33" i="106"/>
  <c r="O33" i="106"/>
  <c r="R33" i="106"/>
  <c r="Z10" i="105"/>
  <c r="D33" i="106"/>
  <c r="E33" i="106" s="1"/>
  <c r="B33" i="106"/>
  <c r="Q32" i="106"/>
  <c r="P32" i="106"/>
  <c r="O32" i="106"/>
  <c r="R32" i="106"/>
  <c r="D32" i="106"/>
  <c r="E32" i="106" s="1"/>
  <c r="B32" i="106"/>
  <c r="C32" i="106" s="1"/>
  <c r="Q31" i="106"/>
  <c r="P31" i="106"/>
  <c r="O31" i="106"/>
  <c r="R31" i="106"/>
  <c r="W20" i="105" s="1"/>
  <c r="D31" i="106"/>
  <c r="E31" i="106" s="1"/>
  <c r="B31" i="106"/>
  <c r="Q30" i="106"/>
  <c r="P30" i="106"/>
  <c r="O30" i="106"/>
  <c r="R30" i="106"/>
  <c r="W18" i="105" s="1"/>
  <c r="D30" i="106"/>
  <c r="E30" i="106" s="1"/>
  <c r="B30" i="106"/>
  <c r="Q29" i="106"/>
  <c r="P29" i="106"/>
  <c r="O29" i="106"/>
  <c r="R29" i="106"/>
  <c r="W16" i="105" s="1"/>
  <c r="D29" i="106"/>
  <c r="E29" i="106" s="1"/>
  <c r="B29" i="106"/>
  <c r="Q28" i="106"/>
  <c r="P28" i="106"/>
  <c r="O28" i="106"/>
  <c r="R28" i="106"/>
  <c r="D28" i="106"/>
  <c r="E28" i="106" s="1"/>
  <c r="B28" i="106"/>
  <c r="Q27" i="106"/>
  <c r="P27" i="106"/>
  <c r="O27" i="106"/>
  <c r="R27" i="106"/>
  <c r="D27" i="106"/>
  <c r="E27" i="106" s="1"/>
  <c r="B27" i="106"/>
  <c r="C27" i="106" s="1"/>
  <c r="Q26" i="106"/>
  <c r="P26" i="106"/>
  <c r="O26" i="106"/>
  <c r="R26" i="106"/>
  <c r="T42" i="105" s="1"/>
  <c r="D26" i="106"/>
  <c r="E26" i="106" s="1"/>
  <c r="B26" i="106"/>
  <c r="Q25" i="106"/>
  <c r="P25" i="106"/>
  <c r="O25" i="106"/>
  <c r="R25" i="106"/>
  <c r="D25" i="106"/>
  <c r="E25" i="106" s="1"/>
  <c r="B25" i="106"/>
  <c r="Q24" i="106"/>
  <c r="P24" i="106"/>
  <c r="O24" i="106"/>
  <c r="R24" i="106"/>
  <c r="D24" i="106"/>
  <c r="E24" i="106" s="1"/>
  <c r="B24" i="106"/>
  <c r="Q23" i="106"/>
  <c r="P23" i="106"/>
  <c r="O23" i="106"/>
  <c r="R23" i="106"/>
  <c r="T36" i="105" s="1"/>
  <c r="D23" i="106"/>
  <c r="E23" i="106" s="1"/>
  <c r="B23" i="106"/>
  <c r="C23" i="106" s="1"/>
  <c r="Q22" i="106"/>
  <c r="P22" i="106"/>
  <c r="O22" i="106"/>
  <c r="R22" i="106"/>
  <c r="T34" i="105" s="1"/>
  <c r="D22" i="106"/>
  <c r="E22" i="106" s="1"/>
  <c r="B22" i="106"/>
  <c r="C22" i="106" s="1"/>
  <c r="W21" i="106"/>
  <c r="Q21" i="106"/>
  <c r="P21" i="106"/>
  <c r="O21" i="106"/>
  <c r="R21" i="106"/>
  <c r="D21" i="106"/>
  <c r="E21" i="106" s="1"/>
  <c r="B21" i="106"/>
  <c r="C21" i="106" s="1"/>
  <c r="W20" i="106"/>
  <c r="Q20" i="106"/>
  <c r="P20" i="106"/>
  <c r="O20" i="106"/>
  <c r="R20" i="106"/>
  <c r="T30" i="105"/>
  <c r="D20" i="106"/>
  <c r="E20" i="106" s="1"/>
  <c r="B20" i="106"/>
  <c r="W19" i="106"/>
  <c r="Q19" i="106"/>
  <c r="P19" i="106"/>
  <c r="O19" i="106"/>
  <c r="R19" i="106"/>
  <c r="AF29" i="105" s="1"/>
  <c r="W18" i="106"/>
  <c r="Q18" i="106"/>
  <c r="P18" i="106"/>
  <c r="O18" i="106"/>
  <c r="R18" i="106"/>
  <c r="AF27" i="105" s="1"/>
  <c r="C42" i="106"/>
  <c r="W17" i="106"/>
  <c r="Q17" i="106"/>
  <c r="P17" i="106"/>
  <c r="O17" i="106"/>
  <c r="R17" i="106"/>
  <c r="AF26" i="105" s="1"/>
  <c r="W16" i="106"/>
  <c r="Q16" i="106"/>
  <c r="P16" i="106"/>
  <c r="O16" i="106"/>
  <c r="R16" i="106"/>
  <c r="AF24" i="105" s="1"/>
  <c r="W15" i="106"/>
  <c r="Q15" i="106"/>
  <c r="P15" i="106"/>
  <c r="O15" i="106"/>
  <c r="R15" i="106"/>
  <c r="AF23" i="105" s="1"/>
  <c r="W14" i="106"/>
  <c r="Q14" i="106"/>
  <c r="P14" i="106"/>
  <c r="O14" i="106"/>
  <c r="R14" i="106"/>
  <c r="AF21" i="105" s="1"/>
  <c r="C40" i="106"/>
  <c r="W13" i="106"/>
  <c r="Q13" i="106"/>
  <c r="P13" i="106"/>
  <c r="O13" i="106"/>
  <c r="R13" i="106"/>
  <c r="AF20" i="105"/>
  <c r="W12" i="106"/>
  <c r="Q12" i="106"/>
  <c r="P12" i="106"/>
  <c r="O12" i="106"/>
  <c r="R12" i="106"/>
  <c r="AF18" i="105" s="1"/>
  <c r="W11" i="106"/>
  <c r="Q11" i="106"/>
  <c r="P11" i="106"/>
  <c r="O11" i="106"/>
  <c r="R11" i="106"/>
  <c r="AF17" i="105" s="1"/>
  <c r="W10" i="106"/>
  <c r="Q10" i="106"/>
  <c r="P10" i="106"/>
  <c r="O10" i="106"/>
  <c r="R10" i="106"/>
  <c r="AF15" i="105" s="1"/>
  <c r="C38" i="106"/>
  <c r="W9" i="106"/>
  <c r="Q9" i="106"/>
  <c r="P9" i="106"/>
  <c r="O9" i="106"/>
  <c r="R9" i="106"/>
  <c r="AF14" i="105" s="1"/>
  <c r="W8" i="106"/>
  <c r="Q8" i="106"/>
  <c r="P8" i="106"/>
  <c r="O8" i="106"/>
  <c r="R8" i="106"/>
  <c r="AF12" i="105" s="1"/>
  <c r="W7" i="106"/>
  <c r="Q7" i="106"/>
  <c r="P7" i="106"/>
  <c r="O7" i="106"/>
  <c r="R7" i="106"/>
  <c r="AF11" i="105" s="1"/>
  <c r="E36" i="106"/>
  <c r="W6" i="106"/>
  <c r="Q6" i="106"/>
  <c r="P6" i="106"/>
  <c r="O6" i="106"/>
  <c r="R6" i="106"/>
  <c r="AF9" i="105"/>
  <c r="C36" i="106"/>
  <c r="W5" i="106"/>
  <c r="Q5" i="106"/>
  <c r="P5" i="106"/>
  <c r="O5" i="106"/>
  <c r="R5" i="106"/>
  <c r="AF8" i="105" s="1"/>
  <c r="E35" i="106"/>
  <c r="W4" i="106"/>
  <c r="Q4" i="106"/>
  <c r="P4" i="106"/>
  <c r="O4" i="106"/>
  <c r="R4" i="106"/>
  <c r="AF6" i="105"/>
  <c r="AR64" i="105"/>
  <c r="AC60" i="105"/>
  <c r="AC22" i="105"/>
  <c r="AE4" i="105"/>
  <c r="S4" i="105"/>
  <c r="AL38" i="101"/>
  <c r="E38" i="101"/>
  <c r="AV36" i="101"/>
  <c r="AT36" i="101"/>
  <c r="AS36" i="101"/>
  <c r="AQ36" i="101"/>
  <c r="AP36" i="101"/>
  <c r="AN36" i="101"/>
  <c r="AM36" i="101"/>
  <c r="AK36" i="101"/>
  <c r="AJ36" i="101"/>
  <c r="AH36" i="101"/>
  <c r="AG36" i="101"/>
  <c r="AE36" i="101"/>
  <c r="AD36" i="101"/>
  <c r="AB36" i="101"/>
  <c r="AA36" i="101"/>
  <c r="Y36" i="101"/>
  <c r="X36" i="101"/>
  <c r="V36" i="101"/>
  <c r="U36" i="101"/>
  <c r="S36" i="101"/>
  <c r="R36" i="101"/>
  <c r="P36" i="101"/>
  <c r="O36" i="101"/>
  <c r="M36" i="101"/>
  <c r="L36" i="101"/>
  <c r="J36" i="101"/>
  <c r="I36" i="101"/>
  <c r="G36" i="101"/>
  <c r="F36" i="101"/>
  <c r="D36" i="101"/>
  <c r="C36" i="101"/>
  <c r="AT35" i="101"/>
  <c r="AQ35" i="101"/>
  <c r="AN35" i="101"/>
  <c r="AK35" i="101"/>
  <c r="AH35" i="101"/>
  <c r="AE35" i="101"/>
  <c r="AB35" i="101"/>
  <c r="Y35" i="101"/>
  <c r="V35" i="101"/>
  <c r="S35" i="101"/>
  <c r="P35" i="101"/>
  <c r="M35" i="101"/>
  <c r="J35" i="101"/>
  <c r="G35" i="101"/>
  <c r="D35" i="101"/>
  <c r="C35" i="101"/>
  <c r="AX34" i="101"/>
  <c r="AU36" i="101"/>
  <c r="AS34" i="101"/>
  <c r="AQ34" i="101"/>
  <c r="AP34" i="101"/>
  <c r="AN34" i="101"/>
  <c r="AM34" i="101"/>
  <c r="AK34" i="101"/>
  <c r="AJ34" i="101"/>
  <c r="AH34" i="101"/>
  <c r="AG34" i="101"/>
  <c r="AE34" i="101"/>
  <c r="AD34" i="101"/>
  <c r="AB34" i="101"/>
  <c r="AA34" i="101"/>
  <c r="Y34" i="101"/>
  <c r="X34" i="101"/>
  <c r="V34" i="101"/>
  <c r="U34" i="101"/>
  <c r="S34" i="101"/>
  <c r="R34" i="101"/>
  <c r="P34" i="101"/>
  <c r="O34" i="101"/>
  <c r="M34" i="101"/>
  <c r="L34" i="101"/>
  <c r="J34" i="101"/>
  <c r="I34" i="101"/>
  <c r="G34" i="101"/>
  <c r="F34" i="101"/>
  <c r="D34" i="101"/>
  <c r="C34" i="101"/>
  <c r="AQ33" i="101"/>
  <c r="AN33" i="101"/>
  <c r="AK33" i="101"/>
  <c r="AH33" i="101"/>
  <c r="AE33" i="101"/>
  <c r="AB33" i="101"/>
  <c r="Y33" i="101"/>
  <c r="V33" i="101"/>
  <c r="S33" i="101"/>
  <c r="P33" i="101"/>
  <c r="M33" i="101"/>
  <c r="J33" i="101"/>
  <c r="G33" i="101"/>
  <c r="D33" i="101"/>
  <c r="C33" i="101"/>
  <c r="AX32" i="101"/>
  <c r="AR36" i="101" s="1"/>
  <c r="AU32" i="101"/>
  <c r="AR34" i="101" s="1"/>
  <c r="AP32" i="101"/>
  <c r="AN32" i="101"/>
  <c r="AM32" i="101"/>
  <c r="AK32" i="101"/>
  <c r="AJ32" i="101"/>
  <c r="AH32" i="101"/>
  <c r="AG32" i="101"/>
  <c r="AE32" i="101"/>
  <c r="AD32" i="101"/>
  <c r="AB32" i="101"/>
  <c r="AA32" i="101"/>
  <c r="Y32" i="101"/>
  <c r="X32" i="101"/>
  <c r="V32" i="101"/>
  <c r="U32" i="101"/>
  <c r="S32" i="101"/>
  <c r="R32" i="101"/>
  <c r="P32" i="101"/>
  <c r="O32" i="101"/>
  <c r="M32" i="101"/>
  <c r="L32" i="101"/>
  <c r="J32" i="101"/>
  <c r="I32" i="101"/>
  <c r="G32" i="101"/>
  <c r="F32" i="101"/>
  <c r="D32" i="101"/>
  <c r="C32" i="101"/>
  <c r="AN31" i="101"/>
  <c r="AK31" i="101"/>
  <c r="AH31" i="101"/>
  <c r="AE31" i="101"/>
  <c r="AB31" i="101"/>
  <c r="Y31" i="101"/>
  <c r="V31" i="101"/>
  <c r="S31" i="101"/>
  <c r="P31" i="101"/>
  <c r="M31" i="101"/>
  <c r="J31" i="101"/>
  <c r="G31" i="101"/>
  <c r="D31" i="101"/>
  <c r="C31" i="101"/>
  <c r="AX30" i="101"/>
  <c r="AO36" i="101" s="1"/>
  <c r="AU30" i="101"/>
  <c r="AO34" i="101"/>
  <c r="AR30" i="101"/>
  <c r="AO32" i="101" s="1"/>
  <c r="AM30" i="101"/>
  <c r="AK30" i="101"/>
  <c r="AJ30" i="101"/>
  <c r="AH30" i="101"/>
  <c r="AG30" i="101"/>
  <c r="AE30" i="101"/>
  <c r="AD30" i="101"/>
  <c r="AB30" i="101"/>
  <c r="AA30" i="101"/>
  <c r="Y30" i="101"/>
  <c r="X30" i="101"/>
  <c r="V30" i="101"/>
  <c r="U30" i="101"/>
  <c r="S30" i="101"/>
  <c r="R30" i="101"/>
  <c r="P30" i="101"/>
  <c r="O30" i="101"/>
  <c r="M30" i="101"/>
  <c r="L30" i="101"/>
  <c r="J30" i="101"/>
  <c r="I30" i="101"/>
  <c r="G30" i="101"/>
  <c r="F30" i="101"/>
  <c r="D30" i="101"/>
  <c r="C30" i="101"/>
  <c r="AK29" i="101"/>
  <c r="AH29" i="101"/>
  <c r="AE29" i="101"/>
  <c r="AB29" i="101"/>
  <c r="Y29" i="101"/>
  <c r="V29" i="101"/>
  <c r="S29" i="101"/>
  <c r="P29" i="101"/>
  <c r="M29" i="101"/>
  <c r="J29" i="101"/>
  <c r="G29" i="101"/>
  <c r="D29" i="101"/>
  <c r="C29" i="101"/>
  <c r="AX28" i="101"/>
  <c r="AL36" i="101" s="1"/>
  <c r="AU28" i="101"/>
  <c r="AL34" i="101" s="1"/>
  <c r="AR28" i="101"/>
  <c r="AL32" i="101" s="1"/>
  <c r="AO28" i="101"/>
  <c r="AL30" i="101" s="1"/>
  <c r="AJ28" i="101"/>
  <c r="AH28" i="101"/>
  <c r="AG28" i="101"/>
  <c r="AE28" i="101"/>
  <c r="AD28" i="101"/>
  <c r="AB28" i="101"/>
  <c r="AA28" i="101"/>
  <c r="Y28" i="101"/>
  <c r="X28" i="101"/>
  <c r="V28" i="101"/>
  <c r="U28" i="101"/>
  <c r="S28" i="101"/>
  <c r="R28" i="101"/>
  <c r="P28" i="101"/>
  <c r="O28" i="101"/>
  <c r="M28" i="101"/>
  <c r="L28" i="101"/>
  <c r="J28" i="101"/>
  <c r="I28" i="101"/>
  <c r="G28" i="101"/>
  <c r="F28" i="101"/>
  <c r="D28" i="101"/>
  <c r="C28" i="101"/>
  <c r="AH27" i="101"/>
  <c r="AE27" i="101"/>
  <c r="AB27" i="101"/>
  <c r="Y27" i="101"/>
  <c r="V27" i="101"/>
  <c r="S27" i="101"/>
  <c r="P27" i="101"/>
  <c r="M27" i="101"/>
  <c r="J27" i="101"/>
  <c r="G27" i="101"/>
  <c r="D27" i="101"/>
  <c r="C27" i="101"/>
  <c r="AX26" i="101"/>
  <c r="AI36" i="101" s="1"/>
  <c r="AU26" i="101"/>
  <c r="AI34" i="101" s="1"/>
  <c r="AR26" i="101"/>
  <c r="AI32" i="101" s="1"/>
  <c r="AO26" i="101"/>
  <c r="AI30" i="101" s="1"/>
  <c r="AL26" i="101"/>
  <c r="AI28" i="101"/>
  <c r="AG26" i="101"/>
  <c r="AE26" i="101"/>
  <c r="AD26" i="101"/>
  <c r="AB26" i="101"/>
  <c r="AA26" i="101"/>
  <c r="Y26" i="101"/>
  <c r="X26" i="101"/>
  <c r="V26" i="101"/>
  <c r="U26" i="101"/>
  <c r="S26" i="101"/>
  <c r="R26" i="101"/>
  <c r="P26" i="101"/>
  <c r="O26" i="101"/>
  <c r="M26" i="101"/>
  <c r="L26" i="101"/>
  <c r="J26" i="101"/>
  <c r="I26" i="101"/>
  <c r="G26" i="101"/>
  <c r="F26" i="101"/>
  <c r="D26" i="101"/>
  <c r="C26" i="101"/>
  <c r="AE25" i="101"/>
  <c r="AB25" i="101"/>
  <c r="Y25" i="101"/>
  <c r="V25" i="101"/>
  <c r="S25" i="101"/>
  <c r="P25" i="101"/>
  <c r="M25" i="101"/>
  <c r="J25" i="101"/>
  <c r="G25" i="101"/>
  <c r="D25" i="101"/>
  <c r="C25" i="101"/>
  <c r="AX24" i="101"/>
  <c r="AF36" i="101" s="1"/>
  <c r="AU24" i="101"/>
  <c r="AF34" i="101" s="1"/>
  <c r="AR24" i="101"/>
  <c r="AF32" i="101" s="1"/>
  <c r="AO24" i="101"/>
  <c r="AF30" i="101" s="1"/>
  <c r="AL24" i="101"/>
  <c r="AF28" i="101" s="1"/>
  <c r="AI24" i="101"/>
  <c r="AF26" i="101"/>
  <c r="AD24" i="101"/>
  <c r="AC24" i="101"/>
  <c r="AB24" i="101"/>
  <c r="AA24" i="101"/>
  <c r="Y24" i="101"/>
  <c r="X24" i="101"/>
  <c r="V24" i="101"/>
  <c r="U24" i="101"/>
  <c r="S24" i="101"/>
  <c r="R24" i="101"/>
  <c r="P24" i="101"/>
  <c r="O24" i="101"/>
  <c r="M24" i="101"/>
  <c r="L24" i="101"/>
  <c r="J24" i="101"/>
  <c r="I24" i="101"/>
  <c r="G24" i="101"/>
  <c r="F24" i="101"/>
  <c r="D24" i="101"/>
  <c r="C24" i="101"/>
  <c r="AB23" i="101"/>
  <c r="Y23" i="101"/>
  <c r="V23" i="101"/>
  <c r="S23" i="101"/>
  <c r="P23" i="101"/>
  <c r="M23" i="101"/>
  <c r="J23" i="101"/>
  <c r="G23" i="101"/>
  <c r="D23" i="101"/>
  <c r="C23" i="101"/>
  <c r="AX22" i="101"/>
  <c r="AC36" i="101" s="1"/>
  <c r="AU22" i="101"/>
  <c r="AC34" i="101" s="1"/>
  <c r="AR22" i="101"/>
  <c r="AC32" i="101" s="1"/>
  <c r="AO22" i="101"/>
  <c r="AC30" i="101" s="1"/>
  <c r="AL22" i="101"/>
  <c r="AC28" i="101" s="1"/>
  <c r="AI22" i="101"/>
  <c r="AC26" i="101" s="1"/>
  <c r="AF22" i="101"/>
  <c r="AA22" i="101"/>
  <c r="Y22" i="101"/>
  <c r="X22" i="101"/>
  <c r="W22" i="101"/>
  <c r="V22" i="101"/>
  <c r="U22" i="101"/>
  <c r="S22" i="101"/>
  <c r="R22" i="101"/>
  <c r="P22" i="101"/>
  <c r="O22" i="101"/>
  <c r="M22" i="101"/>
  <c r="L22" i="101"/>
  <c r="J22" i="101"/>
  <c r="I22" i="101"/>
  <c r="G22" i="101"/>
  <c r="F22" i="101"/>
  <c r="D22" i="101"/>
  <c r="C22" i="101"/>
  <c r="Y21" i="101"/>
  <c r="V21" i="101"/>
  <c r="S21" i="101"/>
  <c r="P21" i="101"/>
  <c r="M21" i="101"/>
  <c r="J21" i="101"/>
  <c r="G21" i="101"/>
  <c r="D21" i="101"/>
  <c r="C21" i="101"/>
  <c r="AX20" i="101"/>
  <c r="Z36" i="101" s="1"/>
  <c r="AU20" i="101"/>
  <c r="Z34" i="101"/>
  <c r="AR20" i="101"/>
  <c r="Z32" i="101" s="1"/>
  <c r="AO20" i="101"/>
  <c r="Z30" i="101"/>
  <c r="AL20" i="101"/>
  <c r="Z28" i="101" s="1"/>
  <c r="AI20" i="101"/>
  <c r="Z26" i="101"/>
  <c r="AF20" i="101"/>
  <c r="Z24" i="101" s="1"/>
  <c r="AC20" i="101"/>
  <c r="Z22" i="101"/>
  <c r="X20" i="101"/>
  <c r="V20" i="101"/>
  <c r="U20" i="101"/>
  <c r="S20" i="101"/>
  <c r="R20" i="101"/>
  <c r="P20" i="101"/>
  <c r="O20" i="101"/>
  <c r="M20" i="101"/>
  <c r="L20" i="101"/>
  <c r="J20" i="101"/>
  <c r="I20" i="101"/>
  <c r="G20" i="101"/>
  <c r="F20" i="101"/>
  <c r="D20" i="101"/>
  <c r="C20" i="101"/>
  <c r="V19" i="101"/>
  <c r="S19" i="101"/>
  <c r="P19" i="101"/>
  <c r="M19" i="101"/>
  <c r="J19" i="101"/>
  <c r="G19" i="101"/>
  <c r="D19" i="101"/>
  <c r="C19" i="101"/>
  <c r="AX18" i="101"/>
  <c r="W36" i="101"/>
  <c r="AU18" i="101"/>
  <c r="W34" i="101" s="1"/>
  <c r="AR18" i="101"/>
  <c r="W32" i="101"/>
  <c r="AO18" i="101"/>
  <c r="W30" i="101" s="1"/>
  <c r="AL18" i="101"/>
  <c r="W28" i="101"/>
  <c r="AI18" i="101"/>
  <c r="W26" i="101" s="1"/>
  <c r="AF18" i="101"/>
  <c r="W24" i="101"/>
  <c r="AC18" i="101"/>
  <c r="Z18" i="101"/>
  <c r="W20" i="101" s="1"/>
  <c r="U18" i="101"/>
  <c r="S18" i="101"/>
  <c r="R18" i="101"/>
  <c r="P18" i="101"/>
  <c r="O18" i="101"/>
  <c r="M18" i="101"/>
  <c r="L18" i="101"/>
  <c r="J18" i="101"/>
  <c r="I18" i="101"/>
  <c r="G18" i="101"/>
  <c r="F18" i="101"/>
  <c r="D18" i="101"/>
  <c r="C18" i="101"/>
  <c r="S17" i="101"/>
  <c r="P17" i="101"/>
  <c r="M17" i="101"/>
  <c r="J17" i="101"/>
  <c r="G17" i="101"/>
  <c r="D17" i="101"/>
  <c r="C17" i="101"/>
  <c r="AX16" i="101"/>
  <c r="T36" i="101"/>
  <c r="AU16" i="101"/>
  <c r="T34" i="101" s="1"/>
  <c r="AR16" i="101"/>
  <c r="T32" i="101"/>
  <c r="AO16" i="101"/>
  <c r="T30" i="101" s="1"/>
  <c r="AL16" i="101"/>
  <c r="T28" i="101"/>
  <c r="AI16" i="101"/>
  <c r="T26" i="101" s="1"/>
  <c r="AF16" i="101"/>
  <c r="T24" i="101"/>
  <c r="AC16" i="101"/>
  <c r="T22" i="101" s="1"/>
  <c r="Z16" i="101"/>
  <c r="T20" i="101"/>
  <c r="W16" i="101"/>
  <c r="T18" i="101" s="1"/>
  <c r="R16" i="101"/>
  <c r="P16" i="101"/>
  <c r="O16" i="101"/>
  <c r="M16" i="101"/>
  <c r="L16" i="101"/>
  <c r="J16" i="101"/>
  <c r="I16" i="101"/>
  <c r="G16" i="101"/>
  <c r="F16" i="101"/>
  <c r="D16" i="101"/>
  <c r="C16" i="101"/>
  <c r="P15" i="101"/>
  <c r="M15" i="101"/>
  <c r="J15" i="101"/>
  <c r="G15" i="101"/>
  <c r="D15" i="101"/>
  <c r="C15" i="101"/>
  <c r="AX14" i="101"/>
  <c r="Q36" i="101" s="1"/>
  <c r="AU14" i="101"/>
  <c r="Q34" i="101"/>
  <c r="AR14" i="101"/>
  <c r="Q32" i="101" s="1"/>
  <c r="AO14" i="101"/>
  <c r="Q30" i="101"/>
  <c r="AL14" i="101"/>
  <c r="Q28" i="101" s="1"/>
  <c r="AI14" i="101"/>
  <c r="Q26" i="101"/>
  <c r="AF14" i="101"/>
  <c r="Q24" i="101" s="1"/>
  <c r="AC14" i="101"/>
  <c r="Q22" i="101" s="1"/>
  <c r="Z14" i="101"/>
  <c r="Q20" i="101" s="1"/>
  <c r="W14" i="101"/>
  <c r="Q18" i="101" s="1"/>
  <c r="T14" i="101"/>
  <c r="Q16" i="101" s="1"/>
  <c r="O14" i="101"/>
  <c r="M14" i="101"/>
  <c r="L14" i="101"/>
  <c r="J14" i="101"/>
  <c r="I14" i="101"/>
  <c r="G14" i="101"/>
  <c r="F14" i="101"/>
  <c r="D14" i="101"/>
  <c r="C14" i="101"/>
  <c r="M13" i="101"/>
  <c r="J13" i="101"/>
  <c r="G13" i="101"/>
  <c r="D13" i="101"/>
  <c r="C13" i="101"/>
  <c r="AX12" i="101"/>
  <c r="N36" i="101"/>
  <c r="AU12" i="101"/>
  <c r="N34" i="101" s="1"/>
  <c r="AR12" i="101"/>
  <c r="N32" i="101"/>
  <c r="AO12" i="101"/>
  <c r="N30" i="101" s="1"/>
  <c r="AL12" i="101"/>
  <c r="N28" i="101"/>
  <c r="AI12" i="101"/>
  <c r="N26" i="101" s="1"/>
  <c r="AF12" i="101"/>
  <c r="N24" i="101"/>
  <c r="AC12" i="101"/>
  <c r="N22" i="101" s="1"/>
  <c r="Z12" i="101"/>
  <c r="N20" i="101"/>
  <c r="W12" i="101"/>
  <c r="N18" i="101" s="1"/>
  <c r="T12" i="101"/>
  <c r="N16" i="101"/>
  <c r="Q12" i="101"/>
  <c r="N14" i="101" s="1"/>
  <c r="L12" i="101"/>
  <c r="J12" i="101"/>
  <c r="I12" i="101"/>
  <c r="G12" i="101"/>
  <c r="F12" i="101"/>
  <c r="D12" i="101"/>
  <c r="C12" i="101"/>
  <c r="J11" i="101"/>
  <c r="G11" i="101"/>
  <c r="D11" i="101"/>
  <c r="C11" i="101"/>
  <c r="AX10" i="101"/>
  <c r="K36" i="101"/>
  <c r="AU10" i="101"/>
  <c r="K34" i="101" s="1"/>
  <c r="AR10" i="101"/>
  <c r="K32" i="101"/>
  <c r="AO10" i="101"/>
  <c r="K30" i="101" s="1"/>
  <c r="AL10" i="101"/>
  <c r="K28" i="101"/>
  <c r="AI10" i="101"/>
  <c r="K26" i="101" s="1"/>
  <c r="AF10" i="101"/>
  <c r="K24" i="101"/>
  <c r="AC10" i="101"/>
  <c r="K22" i="101" s="1"/>
  <c r="Z10" i="101"/>
  <c r="K20" i="101"/>
  <c r="W10" i="101"/>
  <c r="K18" i="101" s="1"/>
  <c r="T10" i="101"/>
  <c r="K16" i="101"/>
  <c r="Q10" i="101"/>
  <c r="K14" i="101" s="1"/>
  <c r="N10" i="101"/>
  <c r="K12" i="101"/>
  <c r="I10" i="101"/>
  <c r="G10" i="101"/>
  <c r="F10" i="101"/>
  <c r="D10" i="101"/>
  <c r="C10" i="101"/>
  <c r="G9" i="101"/>
  <c r="D9" i="101"/>
  <c r="C9" i="101"/>
  <c r="AX8" i="101"/>
  <c r="H36" i="101" s="1"/>
  <c r="AU8" i="101"/>
  <c r="H34" i="101" s="1"/>
  <c r="AR8" i="101"/>
  <c r="H32" i="101" s="1"/>
  <c r="AO8" i="101"/>
  <c r="H30" i="101" s="1"/>
  <c r="AL8" i="101"/>
  <c r="H28" i="101" s="1"/>
  <c r="AI8" i="101"/>
  <c r="H26" i="101" s="1"/>
  <c r="AF8" i="101"/>
  <c r="H24" i="101" s="1"/>
  <c r="AC8" i="101"/>
  <c r="H22" i="101" s="1"/>
  <c r="Z8" i="101"/>
  <c r="H20" i="101" s="1"/>
  <c r="W8" i="101"/>
  <c r="H18" i="101" s="1"/>
  <c r="T8" i="101"/>
  <c r="H16" i="101" s="1"/>
  <c r="Q8" i="101"/>
  <c r="H14" i="101" s="1"/>
  <c r="N8" i="101"/>
  <c r="H12" i="101" s="1"/>
  <c r="K8" i="101"/>
  <c r="H10" i="101" s="1"/>
  <c r="F8" i="101"/>
  <c r="E8" i="101"/>
  <c r="D8" i="101"/>
  <c r="C8" i="101"/>
  <c r="D7" i="101"/>
  <c r="C7" i="101"/>
  <c r="AX6" i="101"/>
  <c r="E36" i="101" s="1"/>
  <c r="AU6" i="101"/>
  <c r="E34" i="101"/>
  <c r="AR6" i="101"/>
  <c r="E32" i="101" s="1"/>
  <c r="AO6" i="101"/>
  <c r="E30" i="101"/>
  <c r="AL6" i="101"/>
  <c r="E28" i="101" s="1"/>
  <c r="AI6" i="101"/>
  <c r="E26" i="101"/>
  <c r="AF6" i="101"/>
  <c r="E24" i="101" s="1"/>
  <c r="AC6" i="101"/>
  <c r="E22" i="101"/>
  <c r="Z6" i="101"/>
  <c r="E20" i="101" s="1"/>
  <c r="W6" i="101"/>
  <c r="E18" i="101"/>
  <c r="T6" i="101"/>
  <c r="E16" i="101" s="1"/>
  <c r="Q6" i="101"/>
  <c r="E14" i="101"/>
  <c r="N6" i="101"/>
  <c r="E12" i="101" s="1"/>
  <c r="K6" i="101"/>
  <c r="E10" i="101"/>
  <c r="H6" i="101"/>
  <c r="C6" i="101"/>
  <c r="C5" i="101"/>
  <c r="AK2" i="101"/>
  <c r="I2" i="101"/>
  <c r="C2" i="101"/>
  <c r="A1" i="101"/>
  <c r="AL38" i="100"/>
  <c r="E38" i="100"/>
  <c r="AV36" i="100"/>
  <c r="AT36" i="100"/>
  <c r="AS36" i="100"/>
  <c r="AQ36" i="100"/>
  <c r="AP36" i="100"/>
  <c r="AN36" i="100"/>
  <c r="AM36" i="100"/>
  <c r="AK36" i="100"/>
  <c r="AJ36" i="100"/>
  <c r="AH36" i="100"/>
  <c r="AG36" i="100"/>
  <c r="AE36" i="100"/>
  <c r="AD36" i="100"/>
  <c r="AB36" i="100"/>
  <c r="AA36" i="100"/>
  <c r="Y36" i="100"/>
  <c r="X36" i="100"/>
  <c r="V36" i="100"/>
  <c r="U36" i="100"/>
  <c r="S36" i="100"/>
  <c r="R36" i="100"/>
  <c r="P36" i="100"/>
  <c r="O36" i="100"/>
  <c r="M36" i="100"/>
  <c r="L36" i="100"/>
  <c r="J36" i="100"/>
  <c r="I36" i="100"/>
  <c r="G36" i="100"/>
  <c r="F36" i="100"/>
  <c r="D36" i="100"/>
  <c r="C36" i="100"/>
  <c r="AT35" i="100"/>
  <c r="AQ35" i="100"/>
  <c r="AN35" i="100"/>
  <c r="AK35" i="100"/>
  <c r="AH35" i="100"/>
  <c r="AE35" i="100"/>
  <c r="AB35" i="100"/>
  <c r="Y35" i="100"/>
  <c r="V35" i="100"/>
  <c r="S35" i="100"/>
  <c r="P35" i="100"/>
  <c r="M35" i="100"/>
  <c r="J35" i="100"/>
  <c r="G35" i="100"/>
  <c r="D35" i="100"/>
  <c r="C35" i="100"/>
  <c r="AX34" i="100"/>
  <c r="AU36" i="100" s="1"/>
  <c r="AS34" i="100"/>
  <c r="AQ34" i="100"/>
  <c r="AP34" i="100"/>
  <c r="AN34" i="100"/>
  <c r="AM34" i="100"/>
  <c r="AK34" i="100"/>
  <c r="AJ34" i="100"/>
  <c r="AH34" i="100"/>
  <c r="AG34" i="100"/>
  <c r="AE34" i="100"/>
  <c r="AD34" i="100"/>
  <c r="AB34" i="100"/>
  <c r="AA34" i="100"/>
  <c r="Y34" i="100"/>
  <c r="X34" i="100"/>
  <c r="V34" i="100"/>
  <c r="U34" i="100"/>
  <c r="S34" i="100"/>
  <c r="R34" i="100"/>
  <c r="P34" i="100"/>
  <c r="O34" i="100"/>
  <c r="M34" i="100"/>
  <c r="L34" i="100"/>
  <c r="J34" i="100"/>
  <c r="I34" i="100"/>
  <c r="G34" i="100"/>
  <c r="F34" i="100"/>
  <c r="D34" i="100"/>
  <c r="C34" i="100"/>
  <c r="AQ33" i="100"/>
  <c r="AN33" i="100"/>
  <c r="AK33" i="100"/>
  <c r="AH33" i="100"/>
  <c r="AE33" i="100"/>
  <c r="AB33" i="100"/>
  <c r="Y33" i="100"/>
  <c r="V33" i="100"/>
  <c r="S33" i="100"/>
  <c r="P33" i="100"/>
  <c r="M33" i="100"/>
  <c r="J33" i="100"/>
  <c r="G33" i="100"/>
  <c r="D33" i="100"/>
  <c r="C33" i="100"/>
  <c r="AX32" i="100"/>
  <c r="AR36" i="100" s="1"/>
  <c r="AU32" i="100"/>
  <c r="AR34" i="100" s="1"/>
  <c r="AP32" i="100"/>
  <c r="AN32" i="100"/>
  <c r="AM32" i="100"/>
  <c r="AK32" i="100"/>
  <c r="AJ32" i="100"/>
  <c r="AH32" i="100"/>
  <c r="AG32" i="100"/>
  <c r="AE32" i="100"/>
  <c r="AD32" i="100"/>
  <c r="AB32" i="100"/>
  <c r="AA32" i="100"/>
  <c r="Y32" i="100"/>
  <c r="X32" i="100"/>
  <c r="V32" i="100"/>
  <c r="U32" i="100"/>
  <c r="S32" i="100"/>
  <c r="R32" i="100"/>
  <c r="P32" i="100"/>
  <c r="O32" i="100"/>
  <c r="M32" i="100"/>
  <c r="L32" i="100"/>
  <c r="J32" i="100"/>
  <c r="I32" i="100"/>
  <c r="G32" i="100"/>
  <c r="F32" i="100"/>
  <c r="D32" i="100"/>
  <c r="C32" i="100"/>
  <c r="AN31" i="100"/>
  <c r="AK31" i="100"/>
  <c r="AH31" i="100"/>
  <c r="AE31" i="100"/>
  <c r="AB31" i="100"/>
  <c r="Y31" i="100"/>
  <c r="V31" i="100"/>
  <c r="S31" i="100"/>
  <c r="P31" i="100"/>
  <c r="M31" i="100"/>
  <c r="J31" i="100"/>
  <c r="G31" i="100"/>
  <c r="D31" i="100"/>
  <c r="C31" i="100"/>
  <c r="AX30" i="100"/>
  <c r="AO36" i="100" s="1"/>
  <c r="AU30" i="100"/>
  <c r="AO34" i="100" s="1"/>
  <c r="AR30" i="100"/>
  <c r="AO32" i="100" s="1"/>
  <c r="AM30" i="100"/>
  <c r="AK30" i="100"/>
  <c r="AJ30" i="100"/>
  <c r="AH30" i="100"/>
  <c r="AG30" i="100"/>
  <c r="AE30" i="100"/>
  <c r="AD30" i="100"/>
  <c r="AB30" i="100"/>
  <c r="AA30" i="100"/>
  <c r="Y30" i="100"/>
  <c r="X30" i="100"/>
  <c r="V30" i="100"/>
  <c r="U30" i="100"/>
  <c r="S30" i="100"/>
  <c r="R30" i="100"/>
  <c r="P30" i="100"/>
  <c r="O30" i="100"/>
  <c r="M30" i="100"/>
  <c r="L30" i="100"/>
  <c r="J30" i="100"/>
  <c r="I30" i="100"/>
  <c r="G30" i="100"/>
  <c r="F30" i="100"/>
  <c r="D30" i="100"/>
  <c r="C30" i="100"/>
  <c r="AK29" i="100"/>
  <c r="AH29" i="100"/>
  <c r="AE29" i="100"/>
  <c r="AB29" i="100"/>
  <c r="Y29" i="100"/>
  <c r="V29" i="100"/>
  <c r="S29" i="100"/>
  <c r="P29" i="100"/>
  <c r="M29" i="100"/>
  <c r="J29" i="100"/>
  <c r="G29" i="100"/>
  <c r="D29" i="100"/>
  <c r="C29" i="100"/>
  <c r="AX28" i="100"/>
  <c r="AL36" i="100" s="1"/>
  <c r="AU28" i="100"/>
  <c r="AL34" i="100" s="1"/>
  <c r="AR28" i="100"/>
  <c r="AL32" i="100" s="1"/>
  <c r="AO28" i="100"/>
  <c r="AL30" i="100" s="1"/>
  <c r="AJ28" i="100"/>
  <c r="AH28" i="100"/>
  <c r="AG28" i="100"/>
  <c r="AE28" i="100"/>
  <c r="AD28" i="100"/>
  <c r="AB28" i="100"/>
  <c r="AA28" i="100"/>
  <c r="Y28" i="100"/>
  <c r="X28" i="100"/>
  <c r="V28" i="100"/>
  <c r="U28" i="100"/>
  <c r="S28" i="100"/>
  <c r="R28" i="100"/>
  <c r="P28" i="100"/>
  <c r="O28" i="100"/>
  <c r="M28" i="100"/>
  <c r="L28" i="100"/>
  <c r="J28" i="100"/>
  <c r="I28" i="100"/>
  <c r="G28" i="100"/>
  <c r="F28" i="100"/>
  <c r="D28" i="100"/>
  <c r="C28" i="100"/>
  <c r="AH27" i="100"/>
  <c r="AE27" i="100"/>
  <c r="AB27" i="100"/>
  <c r="Y27" i="100"/>
  <c r="V27" i="100"/>
  <c r="S27" i="100"/>
  <c r="P27" i="100"/>
  <c r="M27" i="100"/>
  <c r="J27" i="100"/>
  <c r="G27" i="100"/>
  <c r="D27" i="100"/>
  <c r="C27" i="100"/>
  <c r="AX26" i="100"/>
  <c r="AI36" i="100" s="1"/>
  <c r="AU26" i="100"/>
  <c r="AI34" i="100" s="1"/>
  <c r="AR26" i="100"/>
  <c r="AI32" i="100" s="1"/>
  <c r="AO26" i="100"/>
  <c r="AI30" i="100" s="1"/>
  <c r="AL26" i="100"/>
  <c r="AI28" i="100" s="1"/>
  <c r="AG26" i="100"/>
  <c r="AE26" i="100"/>
  <c r="AD26" i="100"/>
  <c r="AB26" i="100"/>
  <c r="AA26" i="100"/>
  <c r="Y26" i="100"/>
  <c r="X26" i="100"/>
  <c r="V26" i="100"/>
  <c r="U26" i="100"/>
  <c r="S26" i="100"/>
  <c r="R26" i="100"/>
  <c r="P26" i="100"/>
  <c r="O26" i="100"/>
  <c r="M26" i="100"/>
  <c r="L26" i="100"/>
  <c r="J26" i="100"/>
  <c r="I26" i="100"/>
  <c r="G26" i="100"/>
  <c r="F26" i="100"/>
  <c r="D26" i="100"/>
  <c r="C26" i="100"/>
  <c r="AE25" i="100"/>
  <c r="AB25" i="100"/>
  <c r="Y25" i="100"/>
  <c r="V25" i="100"/>
  <c r="S25" i="100"/>
  <c r="P25" i="100"/>
  <c r="M25" i="100"/>
  <c r="J25" i="100"/>
  <c r="G25" i="100"/>
  <c r="D25" i="100"/>
  <c r="C25" i="100"/>
  <c r="AX24" i="100"/>
  <c r="AF36" i="100" s="1"/>
  <c r="AU24" i="100"/>
  <c r="AF34" i="100" s="1"/>
  <c r="AR24" i="100"/>
  <c r="AF32" i="100" s="1"/>
  <c r="AO24" i="100"/>
  <c r="AF30" i="100" s="1"/>
  <c r="AL24" i="100"/>
  <c r="AF28" i="100" s="1"/>
  <c r="AI24" i="100"/>
  <c r="AF26" i="100" s="1"/>
  <c r="AD24" i="100"/>
  <c r="AC24" i="100"/>
  <c r="AB24" i="100"/>
  <c r="AA24" i="100"/>
  <c r="Y24" i="100"/>
  <c r="X24" i="100"/>
  <c r="V24" i="100"/>
  <c r="U24" i="100"/>
  <c r="S24" i="100"/>
  <c r="R24" i="100"/>
  <c r="P24" i="100"/>
  <c r="O24" i="100"/>
  <c r="M24" i="100"/>
  <c r="L24" i="100"/>
  <c r="J24" i="100"/>
  <c r="I24" i="100"/>
  <c r="G24" i="100"/>
  <c r="F24" i="100"/>
  <c r="D24" i="100"/>
  <c r="C24" i="100"/>
  <c r="AB23" i="100"/>
  <c r="Y23" i="100"/>
  <c r="V23" i="100"/>
  <c r="S23" i="100"/>
  <c r="P23" i="100"/>
  <c r="M23" i="100"/>
  <c r="J23" i="100"/>
  <c r="G23" i="100"/>
  <c r="D23" i="100"/>
  <c r="C23" i="100"/>
  <c r="AX22" i="100"/>
  <c r="AC36" i="100" s="1"/>
  <c r="AU22" i="100"/>
  <c r="AC34" i="100" s="1"/>
  <c r="AR22" i="100"/>
  <c r="AC32" i="100" s="1"/>
  <c r="AO22" i="100"/>
  <c r="AC30" i="100" s="1"/>
  <c r="AL22" i="100"/>
  <c r="AC28" i="100" s="1"/>
  <c r="AI22" i="100"/>
  <c r="AC26" i="100"/>
  <c r="AF22" i="100"/>
  <c r="AA22" i="100"/>
  <c r="Y22" i="100"/>
  <c r="X22" i="100"/>
  <c r="V22" i="100"/>
  <c r="U22" i="100"/>
  <c r="S22" i="100"/>
  <c r="R22" i="100"/>
  <c r="P22" i="100"/>
  <c r="O22" i="100"/>
  <c r="M22" i="100"/>
  <c r="L22" i="100"/>
  <c r="J22" i="100"/>
  <c r="I22" i="100"/>
  <c r="G22" i="100"/>
  <c r="F22" i="100"/>
  <c r="D22" i="100"/>
  <c r="C22" i="100"/>
  <c r="Y21" i="100"/>
  <c r="V21" i="100"/>
  <c r="S21" i="100"/>
  <c r="P21" i="100"/>
  <c r="M21" i="100"/>
  <c r="J21" i="100"/>
  <c r="G21" i="100"/>
  <c r="D21" i="100"/>
  <c r="C21" i="100"/>
  <c r="AX20" i="100"/>
  <c r="Z36" i="100" s="1"/>
  <c r="AU20" i="100"/>
  <c r="Z34" i="100" s="1"/>
  <c r="AR20" i="100"/>
  <c r="Z32" i="100"/>
  <c r="AO20" i="100"/>
  <c r="Z30" i="100" s="1"/>
  <c r="AL20" i="100"/>
  <c r="Z28" i="100" s="1"/>
  <c r="AI20" i="100"/>
  <c r="Z26" i="100" s="1"/>
  <c r="AF20" i="100"/>
  <c r="Z24" i="100" s="1"/>
  <c r="AC20" i="100"/>
  <c r="Z22" i="100" s="1"/>
  <c r="X20" i="100"/>
  <c r="V20" i="100"/>
  <c r="U20" i="100"/>
  <c r="S20" i="100"/>
  <c r="R20" i="100"/>
  <c r="P20" i="100"/>
  <c r="O20" i="100"/>
  <c r="M20" i="100"/>
  <c r="L20" i="100"/>
  <c r="J20" i="100"/>
  <c r="I20" i="100"/>
  <c r="G20" i="100"/>
  <c r="F20" i="100"/>
  <c r="D20" i="100"/>
  <c r="C20" i="100"/>
  <c r="V19" i="100"/>
  <c r="S19" i="100"/>
  <c r="P19" i="100"/>
  <c r="M19" i="100"/>
  <c r="J19" i="100"/>
  <c r="G19" i="100"/>
  <c r="D19" i="100"/>
  <c r="C19" i="100"/>
  <c r="AX18" i="100"/>
  <c r="W36" i="100" s="1"/>
  <c r="AU18" i="100"/>
  <c r="W34" i="100" s="1"/>
  <c r="AR18" i="100"/>
  <c r="W32" i="100"/>
  <c r="AO18" i="100"/>
  <c r="W30" i="100" s="1"/>
  <c r="AL18" i="100"/>
  <c r="W28" i="100" s="1"/>
  <c r="AI18" i="100"/>
  <c r="W26" i="100" s="1"/>
  <c r="AF18" i="100"/>
  <c r="W24" i="100" s="1"/>
  <c r="AC18" i="100"/>
  <c r="W22" i="100" s="1"/>
  <c r="Z18" i="100"/>
  <c r="W20" i="100" s="1"/>
  <c r="U18" i="100"/>
  <c r="S18" i="100"/>
  <c r="R18" i="100"/>
  <c r="P18" i="100"/>
  <c r="O18" i="100"/>
  <c r="M18" i="100"/>
  <c r="L18" i="100"/>
  <c r="J18" i="100"/>
  <c r="I18" i="100"/>
  <c r="G18" i="100"/>
  <c r="F18" i="100"/>
  <c r="D18" i="100"/>
  <c r="C18" i="100"/>
  <c r="S17" i="100"/>
  <c r="P17" i="100"/>
  <c r="M17" i="100"/>
  <c r="J17" i="100"/>
  <c r="G17" i="100"/>
  <c r="D17" i="100"/>
  <c r="C17" i="100"/>
  <c r="AX16" i="100"/>
  <c r="T36" i="100" s="1"/>
  <c r="AU16" i="100"/>
  <c r="T34" i="100" s="1"/>
  <c r="AR16" i="100"/>
  <c r="T32" i="100" s="1"/>
  <c r="AO16" i="100"/>
  <c r="T30" i="100" s="1"/>
  <c r="AL16" i="100"/>
  <c r="T28" i="100" s="1"/>
  <c r="AI16" i="100"/>
  <c r="T26" i="100" s="1"/>
  <c r="AF16" i="100"/>
  <c r="T24" i="100" s="1"/>
  <c r="AC16" i="100"/>
  <c r="T22" i="100" s="1"/>
  <c r="Z16" i="100"/>
  <c r="T20" i="100" s="1"/>
  <c r="W16" i="100"/>
  <c r="T18" i="100" s="1"/>
  <c r="R16" i="100"/>
  <c r="P16" i="100"/>
  <c r="O16" i="100"/>
  <c r="M16" i="100"/>
  <c r="L16" i="100"/>
  <c r="J16" i="100"/>
  <c r="I16" i="100"/>
  <c r="G16" i="100"/>
  <c r="F16" i="100"/>
  <c r="D16" i="100"/>
  <c r="C16" i="100"/>
  <c r="P15" i="100"/>
  <c r="M15" i="100"/>
  <c r="J15" i="100"/>
  <c r="G15" i="100"/>
  <c r="D15" i="100"/>
  <c r="C15" i="100"/>
  <c r="AX14" i="100"/>
  <c r="Q36" i="100" s="1"/>
  <c r="AU14" i="100"/>
  <c r="Q34" i="100" s="1"/>
  <c r="AR14" i="100"/>
  <c r="Q32" i="100" s="1"/>
  <c r="AO14" i="100"/>
  <c r="Q30" i="100" s="1"/>
  <c r="AL14" i="100"/>
  <c r="Q28" i="100" s="1"/>
  <c r="AI14" i="100"/>
  <c r="Q26" i="100" s="1"/>
  <c r="AF14" i="100"/>
  <c r="Q24" i="100" s="1"/>
  <c r="AC14" i="100"/>
  <c r="Q22" i="100" s="1"/>
  <c r="Z14" i="100"/>
  <c r="Q20" i="100" s="1"/>
  <c r="W14" i="100"/>
  <c r="Q18" i="100" s="1"/>
  <c r="T14" i="100"/>
  <c r="Q16" i="100" s="1"/>
  <c r="O14" i="100"/>
  <c r="M14" i="100"/>
  <c r="L14" i="100"/>
  <c r="J14" i="100"/>
  <c r="I14" i="100"/>
  <c r="G14" i="100"/>
  <c r="F14" i="100"/>
  <c r="D14" i="100"/>
  <c r="C14" i="100"/>
  <c r="M13" i="100"/>
  <c r="J13" i="100"/>
  <c r="G13" i="100"/>
  <c r="D13" i="100"/>
  <c r="C13" i="100"/>
  <c r="AX12" i="100"/>
  <c r="N36" i="100" s="1"/>
  <c r="AU12" i="100"/>
  <c r="N34" i="100" s="1"/>
  <c r="AR12" i="100"/>
  <c r="N32" i="100"/>
  <c r="AO12" i="100"/>
  <c r="N30" i="100" s="1"/>
  <c r="AL12" i="100"/>
  <c r="N28" i="100" s="1"/>
  <c r="AI12" i="100"/>
  <c r="N26" i="100" s="1"/>
  <c r="AF12" i="100"/>
  <c r="N24" i="100" s="1"/>
  <c r="AC12" i="100"/>
  <c r="N22" i="100" s="1"/>
  <c r="Z12" i="100"/>
  <c r="N20" i="100" s="1"/>
  <c r="W12" i="100"/>
  <c r="N18" i="100" s="1"/>
  <c r="T12" i="100"/>
  <c r="N16" i="100" s="1"/>
  <c r="Q12" i="100"/>
  <c r="N14" i="100" s="1"/>
  <c r="L12" i="100"/>
  <c r="J12" i="100"/>
  <c r="I12" i="100"/>
  <c r="G12" i="100"/>
  <c r="F12" i="100"/>
  <c r="D12" i="100"/>
  <c r="C12" i="100"/>
  <c r="J11" i="100"/>
  <c r="G11" i="100"/>
  <c r="D11" i="100"/>
  <c r="C11" i="100"/>
  <c r="AX10" i="100"/>
  <c r="K36" i="100"/>
  <c r="AU10" i="100"/>
  <c r="K34" i="100"/>
  <c r="AR10" i="100"/>
  <c r="K32" i="100"/>
  <c r="AO10" i="100"/>
  <c r="K30" i="100" s="1"/>
  <c r="AL10" i="100"/>
  <c r="K28" i="100" s="1"/>
  <c r="AI10" i="100"/>
  <c r="K26" i="100" s="1"/>
  <c r="AF10" i="100"/>
  <c r="K24" i="100" s="1"/>
  <c r="AC10" i="100"/>
  <c r="K22" i="100" s="1"/>
  <c r="Z10" i="100"/>
  <c r="K20" i="100" s="1"/>
  <c r="W10" i="100"/>
  <c r="K18" i="100" s="1"/>
  <c r="T10" i="100"/>
  <c r="K16" i="100" s="1"/>
  <c r="Q10" i="100"/>
  <c r="K14" i="100" s="1"/>
  <c r="N10" i="100"/>
  <c r="K12" i="100" s="1"/>
  <c r="I10" i="100"/>
  <c r="G10" i="100"/>
  <c r="F10" i="100"/>
  <c r="D10" i="100"/>
  <c r="C10" i="100"/>
  <c r="G9" i="100"/>
  <c r="D9" i="100"/>
  <c r="C9" i="100"/>
  <c r="AX8" i="100"/>
  <c r="H36" i="100" s="1"/>
  <c r="AU8" i="100"/>
  <c r="H34" i="100" s="1"/>
  <c r="AR8" i="100"/>
  <c r="H32" i="100" s="1"/>
  <c r="AO8" i="100"/>
  <c r="H30" i="100" s="1"/>
  <c r="AL8" i="100"/>
  <c r="H28" i="100" s="1"/>
  <c r="AI8" i="100"/>
  <c r="H26" i="100" s="1"/>
  <c r="AF8" i="100"/>
  <c r="H24" i="100" s="1"/>
  <c r="AC8" i="100"/>
  <c r="H22" i="100" s="1"/>
  <c r="Z8" i="100"/>
  <c r="H20" i="100" s="1"/>
  <c r="W8" i="100"/>
  <c r="H18" i="100" s="1"/>
  <c r="T8" i="100"/>
  <c r="H16" i="100" s="1"/>
  <c r="Q8" i="100"/>
  <c r="H14" i="100" s="1"/>
  <c r="N8" i="100"/>
  <c r="H12" i="100" s="1"/>
  <c r="K8" i="100"/>
  <c r="H10" i="100" s="1"/>
  <c r="F8" i="100"/>
  <c r="E8" i="100"/>
  <c r="D8" i="100"/>
  <c r="C8" i="100"/>
  <c r="D7" i="100"/>
  <c r="C7" i="100"/>
  <c r="AX6" i="100"/>
  <c r="E36" i="100" s="1"/>
  <c r="AU6" i="100"/>
  <c r="E34" i="100" s="1"/>
  <c r="AR6" i="100"/>
  <c r="E32" i="100" s="1"/>
  <c r="AO6" i="100"/>
  <c r="E30" i="100" s="1"/>
  <c r="AL6" i="100"/>
  <c r="E28" i="100" s="1"/>
  <c r="AI6" i="100"/>
  <c r="E26" i="100" s="1"/>
  <c r="AF6" i="100"/>
  <c r="E24" i="100" s="1"/>
  <c r="AC6" i="100"/>
  <c r="E22" i="100" s="1"/>
  <c r="Z6" i="100"/>
  <c r="E20" i="100" s="1"/>
  <c r="W6" i="100"/>
  <c r="E18" i="100" s="1"/>
  <c r="T6" i="100"/>
  <c r="E16" i="100" s="1"/>
  <c r="Q6" i="100"/>
  <c r="E14" i="100" s="1"/>
  <c r="N6" i="100"/>
  <c r="E12" i="100" s="1"/>
  <c r="K6" i="100"/>
  <c r="E10" i="100" s="1"/>
  <c r="H6" i="100"/>
  <c r="C6" i="100"/>
  <c r="C5" i="100"/>
  <c r="AK2" i="100"/>
  <c r="I2" i="100"/>
  <c r="C2" i="100"/>
  <c r="A1" i="100"/>
  <c r="AL38" i="99"/>
  <c r="E38" i="99"/>
  <c r="AV36" i="99"/>
  <c r="AT36" i="99"/>
  <c r="AS36" i="99"/>
  <c r="AQ36" i="99"/>
  <c r="AP36" i="99"/>
  <c r="AN36" i="99"/>
  <c r="AM36" i="99"/>
  <c r="AK36" i="99"/>
  <c r="AJ36" i="99"/>
  <c r="AH36" i="99"/>
  <c r="AG36" i="99"/>
  <c r="AE36" i="99"/>
  <c r="AD36" i="99"/>
  <c r="AB36" i="99"/>
  <c r="AA36" i="99"/>
  <c r="Y36" i="99"/>
  <c r="X36" i="99"/>
  <c r="V36" i="99"/>
  <c r="U36" i="99"/>
  <c r="S36" i="99"/>
  <c r="R36" i="99"/>
  <c r="P36" i="99"/>
  <c r="O36" i="99"/>
  <c r="M36" i="99"/>
  <c r="L36" i="99"/>
  <c r="J36" i="99"/>
  <c r="I36" i="99"/>
  <c r="G36" i="99"/>
  <c r="F36" i="99"/>
  <c r="D36" i="99"/>
  <c r="AT35" i="99"/>
  <c r="AQ35" i="99"/>
  <c r="AN35" i="99"/>
  <c r="AK35" i="99"/>
  <c r="AH35" i="99"/>
  <c r="AE35" i="99"/>
  <c r="AB35" i="99"/>
  <c r="Y35" i="99"/>
  <c r="V35" i="99"/>
  <c r="S35" i="99"/>
  <c r="P35" i="99"/>
  <c r="M35" i="99"/>
  <c r="J35" i="99"/>
  <c r="G35" i="99"/>
  <c r="D35" i="99"/>
  <c r="C35" i="99"/>
  <c r="AX34" i="99"/>
  <c r="AU36" i="99" s="1"/>
  <c r="AS34" i="99"/>
  <c r="AQ34" i="99"/>
  <c r="AP34" i="99"/>
  <c r="AN34" i="99"/>
  <c r="AM34" i="99"/>
  <c r="AK34" i="99"/>
  <c r="AJ34" i="99"/>
  <c r="AH34" i="99"/>
  <c r="AG34" i="99"/>
  <c r="AE34" i="99"/>
  <c r="AD34" i="99"/>
  <c r="AB34" i="99"/>
  <c r="AA34" i="99"/>
  <c r="Y34" i="99"/>
  <c r="X34" i="99"/>
  <c r="V34" i="99"/>
  <c r="U34" i="99"/>
  <c r="S34" i="99"/>
  <c r="R34" i="99"/>
  <c r="P34" i="99"/>
  <c r="O34" i="99"/>
  <c r="M34" i="99"/>
  <c r="L34" i="99"/>
  <c r="J34" i="99"/>
  <c r="I34" i="99"/>
  <c r="G34" i="99"/>
  <c r="F34" i="99"/>
  <c r="D34" i="99"/>
  <c r="AQ33" i="99"/>
  <c r="AN33" i="99"/>
  <c r="AK33" i="99"/>
  <c r="AH33" i="99"/>
  <c r="AE33" i="99"/>
  <c r="AB33" i="99"/>
  <c r="Y33" i="99"/>
  <c r="V33" i="99"/>
  <c r="S33" i="99"/>
  <c r="P33" i="99"/>
  <c r="M33" i="99"/>
  <c r="J33" i="99"/>
  <c r="G33" i="99"/>
  <c r="D33" i="99"/>
  <c r="C33" i="99"/>
  <c r="AX32" i="99"/>
  <c r="AR36" i="99" s="1"/>
  <c r="AU32" i="99"/>
  <c r="AR34" i="99" s="1"/>
  <c r="AP32" i="99"/>
  <c r="AN32" i="99"/>
  <c r="AM32" i="99"/>
  <c r="AK32" i="99"/>
  <c r="AJ32" i="99"/>
  <c r="AH32" i="99"/>
  <c r="AG32" i="99"/>
  <c r="AE32" i="99"/>
  <c r="AD32" i="99"/>
  <c r="AB32" i="99"/>
  <c r="X32" i="99"/>
  <c r="V32" i="99"/>
  <c r="U32" i="99"/>
  <c r="S32" i="99"/>
  <c r="R32" i="99"/>
  <c r="P32" i="99"/>
  <c r="O32" i="99"/>
  <c r="M32" i="99"/>
  <c r="L32" i="99"/>
  <c r="J32" i="99"/>
  <c r="I32" i="99"/>
  <c r="G32" i="99"/>
  <c r="F32" i="99"/>
  <c r="D32" i="99"/>
  <c r="AN31" i="99"/>
  <c r="AK31" i="99"/>
  <c r="AH31" i="99"/>
  <c r="AE31" i="99"/>
  <c r="AB31" i="99"/>
  <c r="Y31" i="99"/>
  <c r="V31" i="99"/>
  <c r="S31" i="99"/>
  <c r="P31" i="99"/>
  <c r="M31" i="99"/>
  <c r="J31" i="99"/>
  <c r="G31" i="99"/>
  <c r="D31" i="99"/>
  <c r="C31" i="99"/>
  <c r="AX30" i="99"/>
  <c r="AO36" i="99" s="1"/>
  <c r="AU30" i="99"/>
  <c r="AO34" i="99" s="1"/>
  <c r="AR30" i="99"/>
  <c r="AO32" i="99" s="1"/>
  <c r="AM30" i="99"/>
  <c r="AK30" i="99"/>
  <c r="AJ30" i="99"/>
  <c r="AH30" i="99"/>
  <c r="AG30" i="99"/>
  <c r="AE30" i="99"/>
  <c r="AD30" i="99"/>
  <c r="AB30" i="99"/>
  <c r="AA30" i="99"/>
  <c r="Y30" i="99"/>
  <c r="X30" i="99"/>
  <c r="V30" i="99"/>
  <c r="U30" i="99"/>
  <c r="S30" i="99"/>
  <c r="R30" i="99"/>
  <c r="P30" i="99"/>
  <c r="O30" i="99"/>
  <c r="M30" i="99"/>
  <c r="L30" i="99"/>
  <c r="J30" i="99"/>
  <c r="I30" i="99"/>
  <c r="G30" i="99"/>
  <c r="F30" i="99"/>
  <c r="D30" i="99"/>
  <c r="AK29" i="99"/>
  <c r="AH29" i="99"/>
  <c r="AE29" i="99"/>
  <c r="AB29" i="99"/>
  <c r="Y29" i="99"/>
  <c r="V29" i="99"/>
  <c r="S29" i="99"/>
  <c r="P29" i="99"/>
  <c r="M29" i="99"/>
  <c r="J29" i="99"/>
  <c r="G29" i="99"/>
  <c r="D29" i="99"/>
  <c r="C29" i="99"/>
  <c r="AX28" i="99"/>
  <c r="AL36" i="99" s="1"/>
  <c r="AU28" i="99"/>
  <c r="AL34" i="99" s="1"/>
  <c r="AR28" i="99"/>
  <c r="AL32" i="99" s="1"/>
  <c r="AO28" i="99"/>
  <c r="AL30" i="99" s="1"/>
  <c r="AJ28" i="99"/>
  <c r="AH28" i="99"/>
  <c r="AG28" i="99"/>
  <c r="AE28" i="99"/>
  <c r="AD28" i="99"/>
  <c r="AB28" i="99"/>
  <c r="AA28" i="99"/>
  <c r="Y28" i="99"/>
  <c r="X28" i="99"/>
  <c r="V28" i="99"/>
  <c r="U28" i="99"/>
  <c r="S28" i="99"/>
  <c r="R28" i="99"/>
  <c r="P28" i="99"/>
  <c r="O28" i="99"/>
  <c r="M28" i="99"/>
  <c r="L28" i="99"/>
  <c r="J28" i="99"/>
  <c r="I28" i="99"/>
  <c r="G28" i="99"/>
  <c r="F28" i="99"/>
  <c r="D28" i="99"/>
  <c r="AH27" i="99"/>
  <c r="AE27" i="99"/>
  <c r="AB27" i="99"/>
  <c r="Y27" i="99"/>
  <c r="V27" i="99"/>
  <c r="S27" i="99"/>
  <c r="P27" i="99"/>
  <c r="M27" i="99"/>
  <c r="J27" i="99"/>
  <c r="G27" i="99"/>
  <c r="D27" i="99"/>
  <c r="C27" i="99"/>
  <c r="AX26" i="99"/>
  <c r="AI36" i="99" s="1"/>
  <c r="AU26" i="99"/>
  <c r="AI34" i="99" s="1"/>
  <c r="AR26" i="99"/>
  <c r="AI32" i="99" s="1"/>
  <c r="AO26" i="99"/>
  <c r="AI30" i="99" s="1"/>
  <c r="AL26" i="99"/>
  <c r="AI28" i="99" s="1"/>
  <c r="AG26" i="99"/>
  <c r="AE26" i="99"/>
  <c r="AD26" i="99"/>
  <c r="AB26" i="99"/>
  <c r="AA26" i="99"/>
  <c r="Y26" i="99"/>
  <c r="X26" i="99"/>
  <c r="V26" i="99"/>
  <c r="U26" i="99"/>
  <c r="S26" i="99"/>
  <c r="R26" i="99"/>
  <c r="P26" i="99"/>
  <c r="O26" i="99"/>
  <c r="M26" i="99"/>
  <c r="L26" i="99"/>
  <c r="J26" i="99"/>
  <c r="I26" i="99"/>
  <c r="G26" i="99"/>
  <c r="F26" i="99"/>
  <c r="D26" i="99"/>
  <c r="AE25" i="99"/>
  <c r="AB25" i="99"/>
  <c r="Y25" i="99"/>
  <c r="V25" i="99"/>
  <c r="S25" i="99"/>
  <c r="P25" i="99"/>
  <c r="M25" i="99"/>
  <c r="J25" i="99"/>
  <c r="G25" i="99"/>
  <c r="D25" i="99"/>
  <c r="C25" i="99"/>
  <c r="AX24" i="99"/>
  <c r="AF36" i="99"/>
  <c r="AU24" i="99"/>
  <c r="AF34" i="99"/>
  <c r="AR24" i="99"/>
  <c r="AF32" i="99"/>
  <c r="AO24" i="99"/>
  <c r="AF30" i="99"/>
  <c r="AL24" i="99"/>
  <c r="AF28" i="99" s="1"/>
  <c r="AI24" i="99"/>
  <c r="AF26" i="99" s="1"/>
  <c r="AD24" i="99"/>
  <c r="AC24" i="99"/>
  <c r="AB24" i="99"/>
  <c r="AA24" i="99"/>
  <c r="Y24" i="99"/>
  <c r="X24" i="99"/>
  <c r="V24" i="99"/>
  <c r="U24" i="99"/>
  <c r="S24" i="99"/>
  <c r="R24" i="99"/>
  <c r="P24" i="99"/>
  <c r="O24" i="99"/>
  <c r="M24" i="99"/>
  <c r="L24" i="99"/>
  <c r="J24" i="99"/>
  <c r="I24" i="99"/>
  <c r="G24" i="99"/>
  <c r="F24" i="99"/>
  <c r="D24" i="99"/>
  <c r="AB23" i="99"/>
  <c r="Y23" i="99"/>
  <c r="V23" i="99"/>
  <c r="S23" i="99"/>
  <c r="P23" i="99"/>
  <c r="M23" i="99"/>
  <c r="J23" i="99"/>
  <c r="G23" i="99"/>
  <c r="D23" i="99"/>
  <c r="C23" i="99"/>
  <c r="AX22" i="99"/>
  <c r="AC36" i="99" s="1"/>
  <c r="AU22" i="99"/>
  <c r="AC34" i="99" s="1"/>
  <c r="AR22" i="99"/>
  <c r="AC32" i="99" s="1"/>
  <c r="AO22" i="99"/>
  <c r="AC30" i="99" s="1"/>
  <c r="AL22" i="99"/>
  <c r="AC28" i="99" s="1"/>
  <c r="AI22" i="99"/>
  <c r="AC26" i="99" s="1"/>
  <c r="AF22" i="99"/>
  <c r="AA22" i="99"/>
  <c r="Y22" i="99"/>
  <c r="X22" i="99"/>
  <c r="V22" i="99"/>
  <c r="U22" i="99"/>
  <c r="S22" i="99"/>
  <c r="R22" i="99"/>
  <c r="P22" i="99"/>
  <c r="O22" i="99"/>
  <c r="M22" i="99"/>
  <c r="L22" i="99"/>
  <c r="J22" i="99"/>
  <c r="I22" i="99"/>
  <c r="G22" i="99"/>
  <c r="F22" i="99"/>
  <c r="D22" i="99"/>
  <c r="Y21" i="99"/>
  <c r="V21" i="99"/>
  <c r="S21" i="99"/>
  <c r="P21" i="99"/>
  <c r="M21" i="99"/>
  <c r="J21" i="99"/>
  <c r="G21" i="99"/>
  <c r="D21" i="99"/>
  <c r="C21" i="99"/>
  <c r="AX20" i="99"/>
  <c r="Z36" i="99" s="1"/>
  <c r="AU20" i="99"/>
  <c r="Z34" i="99" s="1"/>
  <c r="AR20" i="99"/>
  <c r="Z32" i="99" s="1"/>
  <c r="AO20" i="99"/>
  <c r="Z30" i="99" s="1"/>
  <c r="AL20" i="99"/>
  <c r="Z28" i="99" s="1"/>
  <c r="AI20" i="99"/>
  <c r="Z26" i="99" s="1"/>
  <c r="AF20" i="99"/>
  <c r="Z24" i="99" s="1"/>
  <c r="AC20" i="99"/>
  <c r="Z22" i="99" s="1"/>
  <c r="X20" i="99"/>
  <c r="V20" i="99"/>
  <c r="U20" i="99"/>
  <c r="S20" i="99"/>
  <c r="R20" i="99"/>
  <c r="P20" i="99"/>
  <c r="O20" i="99"/>
  <c r="M20" i="99"/>
  <c r="L20" i="99"/>
  <c r="J20" i="99"/>
  <c r="I20" i="99"/>
  <c r="G20" i="99"/>
  <c r="F20" i="99"/>
  <c r="D20" i="99"/>
  <c r="V19" i="99"/>
  <c r="S19" i="99"/>
  <c r="P19" i="99"/>
  <c r="M19" i="99"/>
  <c r="J19" i="99"/>
  <c r="G19" i="99"/>
  <c r="D19" i="99"/>
  <c r="C19" i="99"/>
  <c r="AX18" i="99"/>
  <c r="W36" i="99" s="1"/>
  <c r="AU18" i="99"/>
  <c r="W34" i="99" s="1"/>
  <c r="AR18" i="99"/>
  <c r="W32" i="99" s="1"/>
  <c r="AO18" i="99"/>
  <c r="W30" i="99" s="1"/>
  <c r="AL18" i="99"/>
  <c r="W28" i="99" s="1"/>
  <c r="AI18" i="99"/>
  <c r="W26" i="99" s="1"/>
  <c r="AF18" i="99"/>
  <c r="W24" i="99" s="1"/>
  <c r="AC18" i="99"/>
  <c r="W22" i="99" s="1"/>
  <c r="Z18" i="99"/>
  <c r="W20" i="99" s="1"/>
  <c r="U18" i="99"/>
  <c r="S18" i="99"/>
  <c r="R18" i="99"/>
  <c r="P18" i="99"/>
  <c r="O18" i="99"/>
  <c r="M18" i="99"/>
  <c r="L18" i="99"/>
  <c r="J18" i="99"/>
  <c r="I18" i="99"/>
  <c r="G18" i="99"/>
  <c r="F18" i="99"/>
  <c r="D18" i="99"/>
  <c r="S17" i="99"/>
  <c r="P17" i="99"/>
  <c r="M17" i="99"/>
  <c r="J17" i="99"/>
  <c r="G17" i="99"/>
  <c r="D17" i="99"/>
  <c r="C17" i="99"/>
  <c r="AX16" i="99"/>
  <c r="T36" i="99" s="1"/>
  <c r="AU16" i="99"/>
  <c r="T34" i="99" s="1"/>
  <c r="AR16" i="99"/>
  <c r="T32" i="99" s="1"/>
  <c r="AO16" i="99"/>
  <c r="T30" i="99" s="1"/>
  <c r="AL16" i="99"/>
  <c r="T28" i="99" s="1"/>
  <c r="AI16" i="99"/>
  <c r="T26" i="99" s="1"/>
  <c r="AF16" i="99"/>
  <c r="T24" i="99" s="1"/>
  <c r="AC16" i="99"/>
  <c r="T22" i="99" s="1"/>
  <c r="Z16" i="99"/>
  <c r="T20" i="99" s="1"/>
  <c r="W16" i="99"/>
  <c r="T18" i="99" s="1"/>
  <c r="R16" i="99"/>
  <c r="P16" i="99"/>
  <c r="O16" i="99"/>
  <c r="M16" i="99"/>
  <c r="L16" i="99"/>
  <c r="J16" i="99"/>
  <c r="I16" i="99"/>
  <c r="G16" i="99"/>
  <c r="F16" i="99"/>
  <c r="D16" i="99"/>
  <c r="P15" i="99"/>
  <c r="M15" i="99"/>
  <c r="J15" i="99"/>
  <c r="G15" i="99"/>
  <c r="D15" i="99"/>
  <c r="C15" i="99"/>
  <c r="AX14" i="99"/>
  <c r="Q36" i="99" s="1"/>
  <c r="AU14" i="99"/>
  <c r="Q34" i="99" s="1"/>
  <c r="AR14" i="99"/>
  <c r="Q32" i="99" s="1"/>
  <c r="AO14" i="99"/>
  <c r="Q30" i="99" s="1"/>
  <c r="AL14" i="99"/>
  <c r="Q28" i="99" s="1"/>
  <c r="AI14" i="99"/>
  <c r="Q26" i="99" s="1"/>
  <c r="AF14" i="99"/>
  <c r="Q24" i="99" s="1"/>
  <c r="AC14" i="99"/>
  <c r="Q22" i="99" s="1"/>
  <c r="Z14" i="99"/>
  <c r="Q20" i="99" s="1"/>
  <c r="W14" i="99"/>
  <c r="Q18" i="99" s="1"/>
  <c r="T14" i="99"/>
  <c r="Q16" i="99" s="1"/>
  <c r="O14" i="99"/>
  <c r="M14" i="99"/>
  <c r="L14" i="99"/>
  <c r="J14" i="99"/>
  <c r="I14" i="99"/>
  <c r="G14" i="99"/>
  <c r="F14" i="99"/>
  <c r="D14" i="99"/>
  <c r="M13" i="99"/>
  <c r="J13" i="99"/>
  <c r="G13" i="99"/>
  <c r="D13" i="99"/>
  <c r="C13" i="99"/>
  <c r="AX12" i="99"/>
  <c r="N36" i="99" s="1"/>
  <c r="AU12" i="99"/>
  <c r="N34" i="99" s="1"/>
  <c r="AR12" i="99"/>
  <c r="N32" i="99" s="1"/>
  <c r="AO12" i="99"/>
  <c r="N30" i="99" s="1"/>
  <c r="AL12" i="99"/>
  <c r="N28" i="99" s="1"/>
  <c r="AI12" i="99"/>
  <c r="N26" i="99" s="1"/>
  <c r="AF12" i="99"/>
  <c r="N24" i="99" s="1"/>
  <c r="AC12" i="99"/>
  <c r="N22" i="99" s="1"/>
  <c r="Z12" i="99"/>
  <c r="N20" i="99" s="1"/>
  <c r="W12" i="99"/>
  <c r="N18" i="99" s="1"/>
  <c r="T12" i="99"/>
  <c r="N16" i="99" s="1"/>
  <c r="Q12" i="99"/>
  <c r="N14" i="99" s="1"/>
  <c r="L12" i="99"/>
  <c r="J12" i="99"/>
  <c r="I12" i="99"/>
  <c r="G12" i="99"/>
  <c r="F12" i="99"/>
  <c r="D12" i="99"/>
  <c r="J11" i="99"/>
  <c r="G11" i="99"/>
  <c r="D11" i="99"/>
  <c r="C11" i="99"/>
  <c r="AX10" i="99"/>
  <c r="K36" i="99" s="1"/>
  <c r="AU10" i="99"/>
  <c r="K34" i="99" s="1"/>
  <c r="AR10" i="99"/>
  <c r="K32" i="99" s="1"/>
  <c r="AO10" i="99"/>
  <c r="K30" i="99" s="1"/>
  <c r="AL10" i="99"/>
  <c r="K28" i="99" s="1"/>
  <c r="AI10" i="99"/>
  <c r="K26" i="99" s="1"/>
  <c r="AF10" i="99"/>
  <c r="K24" i="99" s="1"/>
  <c r="AC10" i="99"/>
  <c r="K22" i="99" s="1"/>
  <c r="Z10" i="99"/>
  <c r="K20" i="99" s="1"/>
  <c r="W10" i="99"/>
  <c r="K18" i="99" s="1"/>
  <c r="T10" i="99"/>
  <c r="K16" i="99" s="1"/>
  <c r="Q10" i="99"/>
  <c r="K14" i="99" s="1"/>
  <c r="N10" i="99"/>
  <c r="K12" i="99" s="1"/>
  <c r="I10" i="99"/>
  <c r="G10" i="99"/>
  <c r="F10" i="99"/>
  <c r="D10" i="99"/>
  <c r="C10" i="99"/>
  <c r="G9" i="99"/>
  <c r="D9" i="99"/>
  <c r="C9" i="99"/>
  <c r="AX8" i="99"/>
  <c r="H36" i="99" s="1"/>
  <c r="AU8" i="99"/>
  <c r="H34" i="99" s="1"/>
  <c r="AR8" i="99"/>
  <c r="H32" i="99" s="1"/>
  <c r="AO8" i="99"/>
  <c r="H30" i="99" s="1"/>
  <c r="AL8" i="99"/>
  <c r="H28" i="99" s="1"/>
  <c r="AI8" i="99"/>
  <c r="H26" i="99" s="1"/>
  <c r="AF8" i="99"/>
  <c r="H24" i="99" s="1"/>
  <c r="AC8" i="99"/>
  <c r="H22" i="99" s="1"/>
  <c r="Z8" i="99"/>
  <c r="H20" i="99" s="1"/>
  <c r="W8" i="99"/>
  <c r="H18" i="99" s="1"/>
  <c r="T8" i="99"/>
  <c r="H16" i="99" s="1"/>
  <c r="Q8" i="99"/>
  <c r="H14" i="99" s="1"/>
  <c r="N8" i="99"/>
  <c r="H12" i="99" s="1"/>
  <c r="K8" i="99"/>
  <c r="H10" i="99" s="1"/>
  <c r="F8" i="99"/>
  <c r="E8" i="99"/>
  <c r="D8" i="99"/>
  <c r="D7" i="99"/>
  <c r="C7" i="99"/>
  <c r="AX6" i="99"/>
  <c r="E36" i="99" s="1"/>
  <c r="AU6" i="99"/>
  <c r="E34" i="99" s="1"/>
  <c r="AR6" i="99"/>
  <c r="E32" i="99" s="1"/>
  <c r="AO6" i="99"/>
  <c r="E30" i="99" s="1"/>
  <c r="AL6" i="99"/>
  <c r="E28" i="99" s="1"/>
  <c r="AI6" i="99"/>
  <c r="E26" i="99" s="1"/>
  <c r="AF6" i="99"/>
  <c r="E24" i="99" s="1"/>
  <c r="AC6" i="99"/>
  <c r="E22" i="99" s="1"/>
  <c r="Z6" i="99"/>
  <c r="E20" i="99" s="1"/>
  <c r="W6" i="99"/>
  <c r="E18" i="99" s="1"/>
  <c r="T6" i="99"/>
  <c r="E16" i="99" s="1"/>
  <c r="Q6" i="99"/>
  <c r="E14" i="99" s="1"/>
  <c r="N6" i="99"/>
  <c r="E12" i="99" s="1"/>
  <c r="K6" i="99"/>
  <c r="E10" i="99"/>
  <c r="H6" i="99"/>
  <c r="C5" i="99"/>
  <c r="AK2" i="99"/>
  <c r="I2" i="99"/>
  <c r="C2" i="99"/>
  <c r="A1" i="99"/>
  <c r="AL38" i="86"/>
  <c r="E38" i="86"/>
  <c r="C18" i="99"/>
  <c r="C8" i="99"/>
  <c r="D68" i="109"/>
  <c r="C28" i="99"/>
  <c r="D39" i="109"/>
  <c r="D12" i="109"/>
  <c r="C24" i="99"/>
  <c r="C26" i="99"/>
  <c r="C34" i="99"/>
  <c r="C12" i="99"/>
  <c r="D91" i="109"/>
  <c r="D80" i="109"/>
  <c r="D92" i="109"/>
  <c r="C20" i="99"/>
  <c r="D23" i="109"/>
  <c r="D15" i="109"/>
  <c r="D102" i="109"/>
  <c r="D66" i="109"/>
  <c r="D79" i="109"/>
  <c r="D69" i="109"/>
  <c r="C32" i="99"/>
  <c r="D37" i="109"/>
  <c r="D87" i="109"/>
  <c r="D85" i="109"/>
  <c r="D40" i="109"/>
  <c r="D28" i="109"/>
  <c r="D43" i="109"/>
  <c r="D20" i="109"/>
  <c r="D88" i="109"/>
  <c r="D82" i="109"/>
  <c r="D58" i="109"/>
  <c r="C36" i="99"/>
  <c r="AK2" i="86"/>
  <c r="C2" i="86"/>
  <c r="I2" i="86"/>
  <c r="AR30" i="86"/>
  <c r="AO32" i="86" s="1"/>
  <c r="AU30" i="86"/>
  <c r="AO34" i="86" s="1"/>
  <c r="AO28" i="86"/>
  <c r="AL30" i="86" s="1"/>
  <c r="AR28" i="86"/>
  <c r="AL32" i="86"/>
  <c r="AU28" i="86"/>
  <c r="AL34" i="86" s="1"/>
  <c r="AX28" i="86"/>
  <c r="AL36" i="86"/>
  <c r="AL26" i="86"/>
  <c r="AI28" i="86" s="1"/>
  <c r="AO26" i="86"/>
  <c r="AI30" i="86" s="1"/>
  <c r="AR26" i="86"/>
  <c r="AU26" i="86"/>
  <c r="AI34" i="86" s="1"/>
  <c r="AX26" i="86"/>
  <c r="AI36" i="86" s="1"/>
  <c r="AI24" i="86"/>
  <c r="AF26" i="86" s="1"/>
  <c r="AL24" i="86"/>
  <c r="AF28" i="86" s="1"/>
  <c r="AO24" i="86"/>
  <c r="AF30" i="86" s="1"/>
  <c r="AR24" i="86"/>
  <c r="AF32" i="86" s="1"/>
  <c r="AU24" i="86"/>
  <c r="AF34" i="86" s="1"/>
  <c r="AX24" i="86"/>
  <c r="AF36" i="86" s="1"/>
  <c r="AF22" i="86"/>
  <c r="AI22" i="86"/>
  <c r="AC26" i="86" s="1"/>
  <c r="AL22" i="86"/>
  <c r="AO22" i="86"/>
  <c r="AC30" i="86" s="1"/>
  <c r="AR22" i="86"/>
  <c r="AC32" i="86" s="1"/>
  <c r="AU22" i="86"/>
  <c r="AC34" i="86" s="1"/>
  <c r="AX22" i="86"/>
  <c r="AC36" i="86" s="1"/>
  <c r="AC20" i="86"/>
  <c r="Z22" i="86" s="1"/>
  <c r="AF20" i="86"/>
  <c r="Z24" i="86" s="1"/>
  <c r="AI20" i="86"/>
  <c r="Z26" i="86" s="1"/>
  <c r="AL20" i="86"/>
  <c r="Z28" i="86" s="1"/>
  <c r="AO20" i="86"/>
  <c r="Z30" i="86" s="1"/>
  <c r="AR20" i="86"/>
  <c r="Z32" i="86" s="1"/>
  <c r="AU20" i="86"/>
  <c r="AX20" i="86"/>
  <c r="Z36" i="86" s="1"/>
  <c r="Z18" i="86"/>
  <c r="W20" i="86" s="1"/>
  <c r="AC18" i="86"/>
  <c r="W22" i="86" s="1"/>
  <c r="AF18" i="86"/>
  <c r="W24" i="86" s="1"/>
  <c r="AI18" i="86"/>
  <c r="W26" i="86" s="1"/>
  <c r="AL18" i="86"/>
  <c r="W28" i="86" s="1"/>
  <c r="AO18" i="86"/>
  <c r="W30" i="86" s="1"/>
  <c r="AR18" i="86"/>
  <c r="W32" i="86" s="1"/>
  <c r="AU18" i="86"/>
  <c r="W34" i="86" s="1"/>
  <c r="W16" i="86"/>
  <c r="T18" i="86" s="1"/>
  <c r="Z16" i="86"/>
  <c r="T20" i="86" s="1"/>
  <c r="AC16" i="86"/>
  <c r="T22" i="86" s="1"/>
  <c r="AF16" i="86"/>
  <c r="T24" i="86" s="1"/>
  <c r="AI16" i="86"/>
  <c r="T26" i="86" s="1"/>
  <c r="AL16" i="86"/>
  <c r="T28" i="86" s="1"/>
  <c r="AO16" i="86"/>
  <c r="T30" i="86" s="1"/>
  <c r="AR16" i="86"/>
  <c r="T32" i="86" s="1"/>
  <c r="AU16" i="86"/>
  <c r="T34" i="86" s="1"/>
  <c r="T14" i="86"/>
  <c r="Q16" i="86" s="1"/>
  <c r="W14" i="86"/>
  <c r="Q18" i="86" s="1"/>
  <c r="Z14" i="86"/>
  <c r="Q20" i="86" s="1"/>
  <c r="AC14" i="86"/>
  <c r="AF14" i="86"/>
  <c r="Q24" i="86" s="1"/>
  <c r="AI14" i="86"/>
  <c r="Q26" i="86" s="1"/>
  <c r="AL14" i="86"/>
  <c r="Q28" i="86" s="1"/>
  <c r="AO14" i="86"/>
  <c r="Q30" i="86" s="1"/>
  <c r="AR14" i="86"/>
  <c r="Q32" i="86" s="1"/>
  <c r="AU14" i="86"/>
  <c r="Q34" i="86" s="1"/>
  <c r="Q12" i="86"/>
  <c r="N14" i="86" s="1"/>
  <c r="T12" i="86"/>
  <c r="N16" i="86" s="1"/>
  <c r="W12" i="86"/>
  <c r="N18" i="86" s="1"/>
  <c r="Z12" i="86"/>
  <c r="N20" i="86" s="1"/>
  <c r="AC12" i="86"/>
  <c r="N22" i="86" s="1"/>
  <c r="AF12" i="86"/>
  <c r="N24" i="86" s="1"/>
  <c r="AI12" i="86"/>
  <c r="N26" i="86" s="1"/>
  <c r="AL12" i="86"/>
  <c r="N28" i="86" s="1"/>
  <c r="AO12" i="86"/>
  <c r="N30" i="86" s="1"/>
  <c r="AR12" i="86"/>
  <c r="N32" i="86" s="1"/>
  <c r="AU12" i="86"/>
  <c r="N34" i="86" s="1"/>
  <c r="N10" i="86"/>
  <c r="K12" i="86" s="1"/>
  <c r="Q10" i="86"/>
  <c r="K14" i="86" s="1"/>
  <c r="T10" i="86"/>
  <c r="K16" i="86" s="1"/>
  <c r="W10" i="86"/>
  <c r="K18" i="86" s="1"/>
  <c r="Z10" i="86"/>
  <c r="K20" i="86" s="1"/>
  <c r="AC10" i="86"/>
  <c r="K22" i="86" s="1"/>
  <c r="AF10" i="86"/>
  <c r="K24" i="86"/>
  <c r="AI10" i="86"/>
  <c r="AL10" i="86"/>
  <c r="K28" i="86" s="1"/>
  <c r="AO10" i="86"/>
  <c r="K30" i="86" s="1"/>
  <c r="AR10" i="86"/>
  <c r="K32" i="86" s="1"/>
  <c r="AU10" i="86"/>
  <c r="K34" i="86" s="1"/>
  <c r="K8" i="86"/>
  <c r="H10" i="86" s="1"/>
  <c r="N8" i="86"/>
  <c r="Q8" i="86"/>
  <c r="H14" i="86" s="1"/>
  <c r="T8" i="86"/>
  <c r="H16" i="86" s="1"/>
  <c r="W8" i="86"/>
  <c r="H18" i="86" s="1"/>
  <c r="Z8" i="86"/>
  <c r="H20" i="86" s="1"/>
  <c r="AC8" i="86"/>
  <c r="H22" i="86" s="1"/>
  <c r="AF8" i="86"/>
  <c r="H24" i="86" s="1"/>
  <c r="AI8" i="86"/>
  <c r="H26" i="86" s="1"/>
  <c r="AL8" i="86"/>
  <c r="H28" i="86" s="1"/>
  <c r="AO8" i="86"/>
  <c r="H30" i="86" s="1"/>
  <c r="AR8" i="86"/>
  <c r="H32" i="86" s="1"/>
  <c r="AU8" i="86"/>
  <c r="H34" i="86" s="1"/>
  <c r="AX8" i="86"/>
  <c r="H36" i="86" s="1"/>
  <c r="H6" i="86"/>
  <c r="K6" i="86"/>
  <c r="E10" i="86" s="1"/>
  <c r="N6" i="86"/>
  <c r="E12" i="86" s="1"/>
  <c r="Q6" i="86"/>
  <c r="E14" i="86" s="1"/>
  <c r="T6" i="86"/>
  <c r="E16" i="86" s="1"/>
  <c r="W6" i="86"/>
  <c r="E18" i="86" s="1"/>
  <c r="Z6" i="86"/>
  <c r="E20" i="86" s="1"/>
  <c r="AC6" i="86"/>
  <c r="E22" i="86" s="1"/>
  <c r="AF6" i="86"/>
  <c r="E24" i="86" s="1"/>
  <c r="AI6" i="86"/>
  <c r="E26" i="86" s="1"/>
  <c r="AL6" i="86"/>
  <c r="AO6" i="86"/>
  <c r="E30" i="86" s="1"/>
  <c r="AU6" i="86"/>
  <c r="E34" i="86" s="1"/>
  <c r="A1" i="86"/>
  <c r="C9" i="86"/>
  <c r="C11" i="86"/>
  <c r="C13" i="86"/>
  <c r="C15" i="86"/>
  <c r="C17" i="86"/>
  <c r="C19" i="86"/>
  <c r="C21" i="86"/>
  <c r="C23" i="86"/>
  <c r="C25" i="86"/>
  <c r="C27" i="86"/>
  <c r="C29" i="86"/>
  <c r="C31" i="86"/>
  <c r="C32" i="86"/>
  <c r="C33" i="86"/>
  <c r="C35" i="86"/>
  <c r="C7" i="86"/>
  <c r="C5" i="86"/>
  <c r="AV36" i="86"/>
  <c r="AT36" i="86"/>
  <c r="AS36" i="86"/>
  <c r="AQ36" i="86"/>
  <c r="AP36" i="86"/>
  <c r="AN36" i="86"/>
  <c r="AM36" i="86"/>
  <c r="AK36" i="86"/>
  <c r="AJ36" i="86"/>
  <c r="AH36" i="86"/>
  <c r="AG36" i="86"/>
  <c r="AE36" i="86"/>
  <c r="AD36" i="86"/>
  <c r="AB36" i="86"/>
  <c r="AA36" i="86"/>
  <c r="Y36" i="86"/>
  <c r="X36" i="86"/>
  <c r="V36" i="86"/>
  <c r="U36" i="86"/>
  <c r="S36" i="86"/>
  <c r="R36" i="86"/>
  <c r="P36" i="86"/>
  <c r="O36" i="86"/>
  <c r="M36" i="86"/>
  <c r="L36" i="86"/>
  <c r="J36" i="86"/>
  <c r="I36" i="86"/>
  <c r="G36" i="86"/>
  <c r="F36" i="86"/>
  <c r="D36" i="86"/>
  <c r="AT35" i="86"/>
  <c r="AQ35" i="86"/>
  <c r="AN35" i="86"/>
  <c r="AK35" i="86"/>
  <c r="AH35" i="86"/>
  <c r="AE35" i="86"/>
  <c r="AB35" i="86"/>
  <c r="Y35" i="86"/>
  <c r="V35" i="86"/>
  <c r="S35" i="86"/>
  <c r="P35" i="86"/>
  <c r="M35" i="86"/>
  <c r="J35" i="86"/>
  <c r="G35" i="86"/>
  <c r="D35" i="86"/>
  <c r="AX34" i="86"/>
  <c r="AU36" i="86" s="1"/>
  <c r="AS34" i="86"/>
  <c r="AQ34" i="86"/>
  <c r="AP34" i="86"/>
  <c r="AN34" i="86"/>
  <c r="AM34" i="86"/>
  <c r="AK34" i="86"/>
  <c r="AJ34" i="86"/>
  <c r="AH34" i="86"/>
  <c r="AG34" i="86"/>
  <c r="AE34" i="86"/>
  <c r="AD34" i="86"/>
  <c r="AB34" i="86"/>
  <c r="AA34" i="86"/>
  <c r="Y34" i="86"/>
  <c r="X34" i="86"/>
  <c r="V34" i="86"/>
  <c r="U34" i="86"/>
  <c r="S34" i="86"/>
  <c r="R34" i="86"/>
  <c r="P34" i="86"/>
  <c r="O34" i="86"/>
  <c r="M34" i="86"/>
  <c r="L34" i="86"/>
  <c r="J34" i="86"/>
  <c r="I34" i="86"/>
  <c r="G34" i="86"/>
  <c r="F34" i="86"/>
  <c r="D34" i="86"/>
  <c r="AQ33" i="86"/>
  <c r="AN33" i="86"/>
  <c r="AK33" i="86"/>
  <c r="AH33" i="86"/>
  <c r="AE33" i="86"/>
  <c r="AB33" i="86"/>
  <c r="Y33" i="86"/>
  <c r="V33" i="86"/>
  <c r="S33" i="86"/>
  <c r="P33" i="86"/>
  <c r="M33" i="86"/>
  <c r="J33" i="86"/>
  <c r="G33" i="86"/>
  <c r="D33" i="86"/>
  <c r="AR36" i="86"/>
  <c r="AU32" i="86"/>
  <c r="AR34" i="86"/>
  <c r="AP32" i="86"/>
  <c r="AN32" i="86"/>
  <c r="AM32" i="86"/>
  <c r="AK32" i="86"/>
  <c r="AJ32" i="86"/>
  <c r="AH32" i="86"/>
  <c r="AG32" i="86"/>
  <c r="AE32" i="86"/>
  <c r="AD32" i="86"/>
  <c r="AB32" i="86"/>
  <c r="X32" i="86"/>
  <c r="V32" i="86"/>
  <c r="U32" i="86"/>
  <c r="S32" i="86"/>
  <c r="R32" i="86"/>
  <c r="P32" i="86"/>
  <c r="O32" i="86"/>
  <c r="M32" i="86"/>
  <c r="L32" i="86"/>
  <c r="J32" i="86"/>
  <c r="I32" i="86"/>
  <c r="G32" i="86"/>
  <c r="F32" i="86"/>
  <c r="D32" i="86"/>
  <c r="AN31" i="86"/>
  <c r="AK31" i="86"/>
  <c r="AH31" i="86"/>
  <c r="AE31" i="86"/>
  <c r="AB31" i="86"/>
  <c r="Y31" i="86"/>
  <c r="V31" i="86"/>
  <c r="S31" i="86"/>
  <c r="P31" i="86"/>
  <c r="M31" i="86"/>
  <c r="J31" i="86"/>
  <c r="G31" i="86"/>
  <c r="D31" i="86"/>
  <c r="AX30" i="86"/>
  <c r="AO36" i="86" s="1"/>
  <c r="AM30" i="86"/>
  <c r="AK30" i="86"/>
  <c r="AJ30" i="86"/>
  <c r="AH30" i="86"/>
  <c r="AG30" i="86"/>
  <c r="AE30" i="86"/>
  <c r="AD30" i="86"/>
  <c r="AB30" i="86"/>
  <c r="AA30" i="86"/>
  <c r="Y30" i="86"/>
  <c r="X30" i="86"/>
  <c r="V30" i="86"/>
  <c r="U30" i="86"/>
  <c r="S30" i="86"/>
  <c r="R30" i="86"/>
  <c r="P30" i="86"/>
  <c r="O30" i="86"/>
  <c r="M30" i="86"/>
  <c r="L30" i="86"/>
  <c r="J30" i="86"/>
  <c r="I30" i="86"/>
  <c r="G30" i="86"/>
  <c r="F30" i="86"/>
  <c r="D30" i="86"/>
  <c r="AK29" i="86"/>
  <c r="AH29" i="86"/>
  <c r="AE29" i="86"/>
  <c r="AB29" i="86"/>
  <c r="Y29" i="86"/>
  <c r="V29" i="86"/>
  <c r="S29" i="86"/>
  <c r="P29" i="86"/>
  <c r="M29" i="86"/>
  <c r="J29" i="86"/>
  <c r="G29" i="86"/>
  <c r="D29" i="86"/>
  <c r="AJ28" i="86"/>
  <c r="AH28" i="86"/>
  <c r="AG28" i="86"/>
  <c r="AE28" i="86"/>
  <c r="AD28" i="86"/>
  <c r="AB28" i="86"/>
  <c r="AA28" i="86"/>
  <c r="Y28" i="86"/>
  <c r="X28" i="86"/>
  <c r="V28" i="86"/>
  <c r="U28" i="86"/>
  <c r="S28" i="86"/>
  <c r="R28" i="86"/>
  <c r="P28" i="86"/>
  <c r="O28" i="86"/>
  <c r="M28" i="86"/>
  <c r="L28" i="86"/>
  <c r="J28" i="86"/>
  <c r="I28" i="86"/>
  <c r="G28" i="86"/>
  <c r="F28" i="86"/>
  <c r="D28" i="86"/>
  <c r="AH27" i="86"/>
  <c r="AE27" i="86"/>
  <c r="AB27" i="86"/>
  <c r="Y27" i="86"/>
  <c r="V27" i="86"/>
  <c r="S27" i="86"/>
  <c r="P27" i="86"/>
  <c r="M27" i="86"/>
  <c r="J27" i="86"/>
  <c r="G27" i="86"/>
  <c r="D27" i="86"/>
  <c r="AG26" i="86"/>
  <c r="AE26" i="86"/>
  <c r="AD26" i="86"/>
  <c r="AB26" i="86"/>
  <c r="AA26" i="86"/>
  <c r="Y26" i="86"/>
  <c r="X26" i="86"/>
  <c r="V26" i="86"/>
  <c r="U26" i="86"/>
  <c r="S26" i="86"/>
  <c r="R26" i="86"/>
  <c r="P26" i="86"/>
  <c r="O26" i="86"/>
  <c r="M26" i="86"/>
  <c r="L26" i="86"/>
  <c r="J26" i="86"/>
  <c r="I26" i="86"/>
  <c r="G26" i="86"/>
  <c r="F26" i="86"/>
  <c r="D26" i="86"/>
  <c r="AE25" i="86"/>
  <c r="AB25" i="86"/>
  <c r="Y25" i="86"/>
  <c r="V25" i="86"/>
  <c r="S25" i="86"/>
  <c r="P25" i="86"/>
  <c r="M25" i="86"/>
  <c r="J25" i="86"/>
  <c r="G25" i="86"/>
  <c r="D25" i="86"/>
  <c r="AD24" i="86"/>
  <c r="AC24" i="86"/>
  <c r="AB24" i="86"/>
  <c r="AA24" i="86"/>
  <c r="Y24" i="86"/>
  <c r="X24" i="86"/>
  <c r="V24" i="86"/>
  <c r="U24" i="86"/>
  <c r="S24" i="86"/>
  <c r="R24" i="86"/>
  <c r="P24" i="86"/>
  <c r="O24" i="86"/>
  <c r="M24" i="86"/>
  <c r="L24" i="86"/>
  <c r="J24" i="86"/>
  <c r="I24" i="86"/>
  <c r="G24" i="86"/>
  <c r="F24" i="86"/>
  <c r="D24" i="86"/>
  <c r="AB23" i="86"/>
  <c r="Y23" i="86"/>
  <c r="V23" i="86"/>
  <c r="S23" i="86"/>
  <c r="P23" i="86"/>
  <c r="M23" i="86"/>
  <c r="J23" i="86"/>
  <c r="G23" i="86"/>
  <c r="D23" i="86"/>
  <c r="AA22" i="86"/>
  <c r="Y22" i="86"/>
  <c r="X22" i="86"/>
  <c r="V22" i="86"/>
  <c r="U22" i="86"/>
  <c r="S22" i="86"/>
  <c r="R22" i="86"/>
  <c r="P22" i="86"/>
  <c r="O22" i="86"/>
  <c r="M22" i="86"/>
  <c r="L22" i="86"/>
  <c r="J22" i="86"/>
  <c r="I22" i="86"/>
  <c r="G22" i="86"/>
  <c r="F22" i="86"/>
  <c r="D22" i="86"/>
  <c r="Y21" i="86"/>
  <c r="V21" i="86"/>
  <c r="S21" i="86"/>
  <c r="P21" i="86"/>
  <c r="M21" i="86"/>
  <c r="J21" i="86"/>
  <c r="G21" i="86"/>
  <c r="D21" i="86"/>
  <c r="Z34" i="86"/>
  <c r="X20" i="86"/>
  <c r="V20" i="86"/>
  <c r="U20" i="86"/>
  <c r="S20" i="86"/>
  <c r="R20" i="86"/>
  <c r="P20" i="86"/>
  <c r="O20" i="86"/>
  <c r="M20" i="86"/>
  <c r="L20" i="86"/>
  <c r="J20" i="86"/>
  <c r="I20" i="86"/>
  <c r="G20" i="86"/>
  <c r="F20" i="86"/>
  <c r="D20" i="86"/>
  <c r="V19" i="86"/>
  <c r="S19" i="86"/>
  <c r="P19" i="86"/>
  <c r="M19" i="86"/>
  <c r="J19" i="86"/>
  <c r="G19" i="86"/>
  <c r="D19" i="86"/>
  <c r="AX18" i="86"/>
  <c r="W36" i="86" s="1"/>
  <c r="U18" i="86"/>
  <c r="S18" i="86"/>
  <c r="R18" i="86"/>
  <c r="P18" i="86"/>
  <c r="O18" i="86"/>
  <c r="M18" i="86"/>
  <c r="L18" i="86"/>
  <c r="J18" i="86"/>
  <c r="I18" i="86"/>
  <c r="G18" i="86"/>
  <c r="F18" i="86"/>
  <c r="D18" i="86"/>
  <c r="S17" i="86"/>
  <c r="P17" i="86"/>
  <c r="M17" i="86"/>
  <c r="J17" i="86"/>
  <c r="G17" i="86"/>
  <c r="D17" i="86"/>
  <c r="AX16" i="86"/>
  <c r="T36" i="86" s="1"/>
  <c r="R16" i="86"/>
  <c r="P16" i="86"/>
  <c r="O16" i="86"/>
  <c r="M16" i="86"/>
  <c r="L16" i="86"/>
  <c r="J16" i="86"/>
  <c r="I16" i="86"/>
  <c r="G16" i="86"/>
  <c r="F16" i="86"/>
  <c r="D16" i="86"/>
  <c r="P15" i="86"/>
  <c r="M15" i="86"/>
  <c r="J15" i="86"/>
  <c r="G15" i="86"/>
  <c r="D15" i="86"/>
  <c r="AX14" i="86"/>
  <c r="Q36" i="86" s="1"/>
  <c r="Q22" i="86"/>
  <c r="O14" i="86"/>
  <c r="M14" i="86"/>
  <c r="L14" i="86"/>
  <c r="J14" i="86"/>
  <c r="I14" i="86"/>
  <c r="G14" i="86"/>
  <c r="F14" i="86"/>
  <c r="D14" i="86"/>
  <c r="M13" i="86"/>
  <c r="J13" i="86"/>
  <c r="G13" i="86"/>
  <c r="D13" i="86"/>
  <c r="AX12" i="86"/>
  <c r="N36" i="86" s="1"/>
  <c r="L12" i="86"/>
  <c r="J12" i="86"/>
  <c r="I12" i="86"/>
  <c r="G12" i="86"/>
  <c r="F12" i="86"/>
  <c r="D12" i="86"/>
  <c r="J11" i="86"/>
  <c r="G11" i="86"/>
  <c r="D11" i="86"/>
  <c r="AX10" i="86"/>
  <c r="K36" i="86" s="1"/>
  <c r="K26" i="86"/>
  <c r="I10" i="86"/>
  <c r="G10" i="86"/>
  <c r="F10" i="86"/>
  <c r="D10" i="86"/>
  <c r="G9" i="86"/>
  <c r="D9" i="86"/>
  <c r="H12" i="86"/>
  <c r="F8" i="86"/>
  <c r="E8" i="86"/>
  <c r="D8" i="86"/>
  <c r="D7" i="86"/>
  <c r="AX6" i="86"/>
  <c r="E36" i="86" s="1"/>
  <c r="AR6" i="86"/>
  <c r="E32" i="86" s="1"/>
  <c r="E28" i="86"/>
  <c r="K21" i="52"/>
  <c r="K49" i="52"/>
  <c r="K35" i="52"/>
  <c r="K10" i="52"/>
  <c r="K25" i="52"/>
  <c r="K13" i="52"/>
  <c r="K82" i="52"/>
  <c r="K34" i="52"/>
  <c r="K38" i="52"/>
  <c r="K55" i="52"/>
  <c r="K24" i="52"/>
  <c r="K12" i="52"/>
  <c r="K19" i="52"/>
  <c r="K28" i="52"/>
  <c r="K22" i="52"/>
  <c r="K14" i="52"/>
  <c r="K40" i="52"/>
  <c r="K46" i="52"/>
  <c r="K69" i="52"/>
  <c r="K39" i="52"/>
  <c r="K87" i="52"/>
  <c r="K96" i="52"/>
  <c r="K51" i="52"/>
  <c r="K32" i="52"/>
  <c r="K73" i="52"/>
  <c r="K50" i="52"/>
  <c r="K83" i="52"/>
  <c r="K86" i="52"/>
  <c r="K62" i="52"/>
  <c r="K77" i="52"/>
  <c r="K84" i="52"/>
  <c r="K76" i="52"/>
  <c r="K71" i="52"/>
  <c r="K89" i="52"/>
  <c r="K90" i="52"/>
  <c r="K81" i="52"/>
  <c r="K91" i="52"/>
  <c r="K68" i="52"/>
  <c r="K78" i="52"/>
  <c r="K79" i="52"/>
  <c r="K59" i="52"/>
  <c r="K70" i="52"/>
  <c r="K54" i="52"/>
  <c r="K72" i="52"/>
  <c r="K92" i="52"/>
  <c r="K75" i="52"/>
  <c r="K95" i="52"/>
  <c r="K93" i="52"/>
  <c r="K65" i="52"/>
  <c r="K97" i="52"/>
  <c r="K58" i="52"/>
  <c r="K61" i="52"/>
  <c r="K105" i="52"/>
  <c r="K60" i="52"/>
  <c r="K74" i="52"/>
  <c r="K66" i="52"/>
  <c r="K80" i="52"/>
  <c r="K64" i="52"/>
  <c r="K103" i="52"/>
  <c r="K88" i="52"/>
  <c r="K101" i="52"/>
  <c r="K99" i="52"/>
  <c r="K106" i="52"/>
  <c r="K108" i="52"/>
  <c r="K98" i="52"/>
  <c r="K102" i="52"/>
  <c r="K104" i="52"/>
  <c r="K100" i="52"/>
  <c r="J21" i="52"/>
  <c r="J49" i="52"/>
  <c r="L49" i="52" s="1"/>
  <c r="J35" i="52"/>
  <c r="J10" i="52"/>
  <c r="L10" i="52" s="1"/>
  <c r="F105" i="109" s="1"/>
  <c r="J25" i="52"/>
  <c r="J13" i="52"/>
  <c r="L13" i="52" s="1"/>
  <c r="J82" i="52"/>
  <c r="J34" i="52"/>
  <c r="J38" i="52"/>
  <c r="J55" i="52"/>
  <c r="L55" i="52" s="1"/>
  <c r="J24" i="52"/>
  <c r="J12" i="52"/>
  <c r="J19" i="52"/>
  <c r="J28" i="52"/>
  <c r="L28" i="52" s="1"/>
  <c r="O70" i="109" s="1"/>
  <c r="J22" i="52"/>
  <c r="J14" i="52"/>
  <c r="J40" i="52"/>
  <c r="J46" i="52"/>
  <c r="J69" i="52"/>
  <c r="J39" i="52"/>
  <c r="L39" i="52" s="1"/>
  <c r="F37" i="109" s="1"/>
  <c r="J87" i="52"/>
  <c r="J96" i="52"/>
  <c r="J51" i="52"/>
  <c r="J32" i="52"/>
  <c r="L32" i="52" s="1"/>
  <c r="J73" i="52"/>
  <c r="J50" i="52"/>
  <c r="L50" i="52" s="1"/>
  <c r="J83" i="52"/>
  <c r="J86" i="52"/>
  <c r="L86" i="52" s="1"/>
  <c r="J62" i="52"/>
  <c r="J77" i="52"/>
  <c r="L77" i="52" s="1"/>
  <c r="J84" i="52"/>
  <c r="J76" i="52"/>
  <c r="L76" i="52" s="1"/>
  <c r="J71" i="52"/>
  <c r="J89" i="52"/>
  <c r="L89" i="52" s="1"/>
  <c r="J90" i="52"/>
  <c r="J81" i="52"/>
  <c r="L81" i="52" s="1"/>
  <c r="J91" i="52"/>
  <c r="J68" i="52"/>
  <c r="L68" i="52" s="1"/>
  <c r="J78" i="52"/>
  <c r="J79" i="52"/>
  <c r="J59" i="52"/>
  <c r="J70" i="52"/>
  <c r="J54" i="52"/>
  <c r="J72" i="52"/>
  <c r="J92" i="52"/>
  <c r="J75" i="52"/>
  <c r="J95" i="52"/>
  <c r="J93" i="52"/>
  <c r="J65" i="52"/>
  <c r="J97" i="52"/>
  <c r="J58" i="52"/>
  <c r="J61" i="52"/>
  <c r="J105" i="52"/>
  <c r="J60" i="52"/>
  <c r="J74" i="52"/>
  <c r="J66" i="52"/>
  <c r="J80" i="52"/>
  <c r="J64" i="52"/>
  <c r="L64" i="52" s="1"/>
  <c r="J103" i="52"/>
  <c r="L103" i="52" s="1"/>
  <c r="J88" i="52"/>
  <c r="J101" i="52"/>
  <c r="J99" i="52"/>
  <c r="J106" i="52"/>
  <c r="J108" i="52"/>
  <c r="J98" i="52"/>
  <c r="L98" i="52" s="1"/>
  <c r="AA55" i="138" s="1"/>
  <c r="J102" i="52"/>
  <c r="J104" i="52"/>
  <c r="J100" i="52"/>
  <c r="J11" i="52"/>
  <c r="K11" i="52"/>
  <c r="J48" i="52"/>
  <c r="K48" i="52"/>
  <c r="J26" i="52"/>
  <c r="K26" i="52"/>
  <c r="J18" i="52"/>
  <c r="K18" i="52"/>
  <c r="J37" i="52"/>
  <c r="K37" i="52"/>
  <c r="J30" i="52"/>
  <c r="K30" i="52"/>
  <c r="J17" i="52"/>
  <c r="K17" i="52"/>
  <c r="J9" i="52"/>
  <c r="K9" i="52"/>
  <c r="J33" i="52"/>
  <c r="K33" i="52"/>
  <c r="J31" i="52"/>
  <c r="K31" i="52"/>
  <c r="J45" i="52"/>
  <c r="K45" i="52"/>
  <c r="J52" i="52"/>
  <c r="K52" i="52"/>
  <c r="J47" i="52"/>
  <c r="K47" i="52"/>
  <c r="J41" i="52"/>
  <c r="K41" i="52"/>
  <c r="J42" i="52"/>
  <c r="K42" i="52"/>
  <c r="J63" i="52"/>
  <c r="K63" i="52"/>
  <c r="J20" i="52"/>
  <c r="K20" i="52"/>
  <c r="J29" i="52"/>
  <c r="K29" i="52"/>
  <c r="J53" i="52"/>
  <c r="K53" i="52"/>
  <c r="C9" i="138"/>
  <c r="J15" i="52"/>
  <c r="K15" i="52"/>
  <c r="J23" i="52"/>
  <c r="K23" i="52"/>
  <c r="J27" i="52"/>
  <c r="K27" i="52"/>
  <c r="J36" i="52"/>
  <c r="K36" i="52"/>
  <c r="J43" i="52"/>
  <c r="K43" i="52"/>
  <c r="J16" i="52"/>
  <c r="K16" i="52"/>
  <c r="J44" i="52"/>
  <c r="K44" i="52"/>
  <c r="J56" i="52"/>
  <c r="K56" i="52"/>
  <c r="J67" i="52"/>
  <c r="K67" i="52"/>
  <c r="AI32" i="86"/>
  <c r="AC28" i="86"/>
  <c r="C34" i="86"/>
  <c r="C28" i="86"/>
  <c r="C22" i="86"/>
  <c r="C18" i="86"/>
  <c r="C14" i="86"/>
  <c r="H56" i="107"/>
  <c r="AR52" i="105"/>
  <c r="AS52" i="105" s="1"/>
  <c r="C41" i="106"/>
  <c r="C39" i="106"/>
  <c r="C37" i="106"/>
  <c r="C26" i="106"/>
  <c r="C24" i="106"/>
  <c r="C20" i="106"/>
  <c r="E56" i="106"/>
  <c r="E58" i="106"/>
  <c r="E72" i="106"/>
  <c r="E73" i="106"/>
  <c r="C25" i="106"/>
  <c r="E50" i="106"/>
  <c r="C47" i="106"/>
  <c r="C45" i="106"/>
  <c r="C43" i="106"/>
  <c r="C33" i="106"/>
  <c r="C31" i="106"/>
  <c r="C29" i="106"/>
  <c r="E52" i="106"/>
  <c r="C30" i="106"/>
  <c r="C28" i="106"/>
  <c r="C69" i="106"/>
  <c r="C67" i="106"/>
  <c r="P23" i="113"/>
  <c r="Q23" i="113" s="1"/>
  <c r="P25" i="113"/>
  <c r="P29" i="113"/>
  <c r="Q29" i="113" s="1"/>
  <c r="P33" i="113"/>
  <c r="Q33" i="113" s="1"/>
  <c r="K43" i="112"/>
  <c r="L43" i="112" s="1"/>
  <c r="AA35" i="113"/>
  <c r="AB35" i="113" s="1"/>
  <c r="C6" i="107"/>
  <c r="C24" i="86"/>
  <c r="C8" i="86"/>
  <c r="C6" i="86"/>
  <c r="C62" i="106"/>
  <c r="C59" i="106"/>
  <c r="C60" i="106"/>
  <c r="AA21" i="113"/>
  <c r="AB21" i="113" s="1"/>
  <c r="AD31" i="113"/>
  <c r="AE31" i="113"/>
  <c r="AA33" i="113"/>
  <c r="AB33" i="113" s="1"/>
  <c r="M39" i="113"/>
  <c r="AA19" i="113"/>
  <c r="AB19" i="113" s="1"/>
  <c r="Q25" i="113"/>
  <c r="AA40" i="113"/>
  <c r="AB40" i="113" s="1"/>
  <c r="Q35" i="113"/>
  <c r="Q12" i="113"/>
  <c r="Q14" i="113"/>
  <c r="Q18" i="113"/>
  <c r="AA42" i="113"/>
  <c r="AB42" i="113" s="1"/>
  <c r="AD37" i="113"/>
  <c r="AE37" i="113" s="1"/>
  <c r="N36" i="112"/>
  <c r="O36" i="112" s="1"/>
  <c r="K45" i="112"/>
  <c r="L45" i="112" s="1"/>
  <c r="T23" i="109"/>
  <c r="C74" i="106"/>
  <c r="D81" i="106"/>
  <c r="E81" i="106" s="1"/>
  <c r="E68" i="106"/>
  <c r="D80" i="106"/>
  <c r="E80" i="106" s="1"/>
  <c r="C71" i="106"/>
  <c r="C50" i="106"/>
  <c r="AD24" i="113"/>
  <c r="AE24" i="113" s="1"/>
  <c r="AD44" i="113"/>
  <c r="AE44" i="113" s="1"/>
  <c r="N46" i="112"/>
  <c r="O46" i="112" s="1"/>
  <c r="Q1" i="123"/>
  <c r="B9" i="123"/>
  <c r="B17" i="123" s="1"/>
  <c r="B25" i="123" s="1"/>
  <c r="Q9" i="123"/>
  <c r="Q17" i="123"/>
  <c r="T68" i="109"/>
  <c r="K1" i="123"/>
  <c r="U1" i="123"/>
  <c r="Z1" i="123" s="1"/>
  <c r="F9" i="123"/>
  <c r="K9" i="123" s="1"/>
  <c r="U9" i="123"/>
  <c r="Z9" i="123" s="1"/>
  <c r="F17" i="123"/>
  <c r="K17" i="123" s="1"/>
  <c r="U17" i="123"/>
  <c r="Z17" i="123"/>
  <c r="F25" i="123"/>
  <c r="K25" i="123"/>
  <c r="Z25" i="123"/>
  <c r="K1" i="122"/>
  <c r="U1" i="122"/>
  <c r="Z1" i="122" s="1"/>
  <c r="F9" i="122"/>
  <c r="A12" i="122" s="1"/>
  <c r="U9" i="122"/>
  <c r="Z9" i="122" s="1"/>
  <c r="F17" i="122"/>
  <c r="K17" i="122" s="1"/>
  <c r="U17" i="122"/>
  <c r="Z17" i="122" s="1"/>
  <c r="F25" i="122"/>
  <c r="A29" i="122" s="1"/>
  <c r="C29" i="122" s="1"/>
  <c r="Z25" i="122"/>
  <c r="Q17" i="121"/>
  <c r="Q1" i="121"/>
  <c r="B9" i="121"/>
  <c r="B17" i="121" s="1"/>
  <c r="B25" i="121" s="1"/>
  <c r="Q9" i="121"/>
  <c r="K1" i="121"/>
  <c r="U1" i="121"/>
  <c r="Z1" i="121"/>
  <c r="F9" i="121"/>
  <c r="K9" i="121" s="1"/>
  <c r="U9" i="121"/>
  <c r="Z9" i="121" s="1"/>
  <c r="F17" i="121"/>
  <c r="K17" i="121" s="1"/>
  <c r="U17" i="121"/>
  <c r="Z17" i="121" s="1"/>
  <c r="F25" i="121"/>
  <c r="K25" i="121" s="1"/>
  <c r="K1" i="120"/>
  <c r="A5" i="120"/>
  <c r="C5" i="120" s="1"/>
  <c r="A4" i="120"/>
  <c r="B4" i="120" s="1"/>
  <c r="Q1" i="120"/>
  <c r="B9" i="120"/>
  <c r="B17" i="120" s="1"/>
  <c r="B25" i="120" s="1"/>
  <c r="Q9" i="120"/>
  <c r="Q17" i="120"/>
  <c r="U1" i="120"/>
  <c r="P5" i="120" s="1"/>
  <c r="Q5" i="120" s="1"/>
  <c r="P4" i="120"/>
  <c r="R4" i="120" s="1"/>
  <c r="F9" i="120"/>
  <c r="A12" i="120"/>
  <c r="C12" i="120" s="1"/>
  <c r="U9" i="120"/>
  <c r="Z9" i="120" s="1"/>
  <c r="P12" i="120"/>
  <c r="R12" i="120" s="1"/>
  <c r="F17" i="120"/>
  <c r="A20" i="120"/>
  <c r="B20" i="120" s="1"/>
  <c r="U17" i="120"/>
  <c r="P20" i="120"/>
  <c r="R20" i="120" s="1"/>
  <c r="F25" i="120"/>
  <c r="A28" i="120"/>
  <c r="C28" i="120" s="1"/>
  <c r="K9" i="122"/>
  <c r="A12" i="121"/>
  <c r="B12" i="121" s="1"/>
  <c r="K25" i="120"/>
  <c r="Z1" i="120"/>
  <c r="P28" i="123"/>
  <c r="R28" i="123" s="1"/>
  <c r="A29" i="123"/>
  <c r="C29" i="123" s="1"/>
  <c r="P29" i="123"/>
  <c r="R29" i="123" s="1"/>
  <c r="A28" i="123"/>
  <c r="Q25" i="122"/>
  <c r="C30" i="86"/>
  <c r="C10" i="86"/>
  <c r="C16" i="86"/>
  <c r="C20" i="86"/>
  <c r="C36" i="86"/>
  <c r="D105" i="109"/>
  <c r="D86" i="109"/>
  <c r="C16" i="99"/>
  <c r="C12" i="86"/>
  <c r="C26" i="86"/>
  <c r="C6" i="99"/>
  <c r="C14" i="99"/>
  <c r="C22" i="99"/>
  <c r="C30" i="99"/>
  <c r="D75" i="109"/>
  <c r="D9" i="109"/>
  <c r="D13" i="109"/>
  <c r="D14" i="109"/>
  <c r="D84" i="109"/>
  <c r="A28" i="122"/>
  <c r="B28" i="122" s="1"/>
  <c r="P13" i="122"/>
  <c r="P20" i="123"/>
  <c r="R20" i="123" s="1"/>
  <c r="A4" i="123"/>
  <c r="P21" i="123"/>
  <c r="R21" i="123" s="1"/>
  <c r="P5" i="123"/>
  <c r="A13" i="121"/>
  <c r="B13" i="121" s="1"/>
  <c r="A13" i="122"/>
  <c r="P29" i="122"/>
  <c r="P20" i="122"/>
  <c r="Q20" i="122" s="1"/>
  <c r="P21" i="122"/>
  <c r="Q21" i="122" s="1"/>
  <c r="A21" i="122"/>
  <c r="B21" i="122" s="1"/>
  <c r="A5" i="122"/>
  <c r="C5" i="122" s="1"/>
  <c r="P5" i="122"/>
  <c r="Q5" i="122" s="1"/>
  <c r="P28" i="122"/>
  <c r="Q28" i="122" s="1"/>
  <c r="P12" i="122"/>
  <c r="A20" i="121"/>
  <c r="AE2" i="105"/>
  <c r="C68" i="106"/>
  <c r="E62" i="106"/>
  <c r="E67" i="106"/>
  <c r="E69" i="106"/>
  <c r="C72" i="106"/>
  <c r="C35" i="106"/>
  <c r="P21" i="120"/>
  <c r="R21" i="120" s="1"/>
  <c r="Z17" i="120"/>
  <c r="P13" i="120"/>
  <c r="Q13" i="120" s="1"/>
  <c r="E55" i="106"/>
  <c r="C75" i="106"/>
  <c r="T91" i="109"/>
  <c r="C54" i="106"/>
  <c r="C56" i="106"/>
  <c r="E63" i="106"/>
  <c r="A29" i="120"/>
  <c r="C29" i="120" s="1"/>
  <c r="K9" i="120"/>
  <c r="P21" i="121"/>
  <c r="Q21" i="121" s="1"/>
  <c r="A21" i="121"/>
  <c r="B21" i="121" s="1"/>
  <c r="C73" i="106"/>
  <c r="R71" i="106"/>
  <c r="P29" i="120"/>
  <c r="Q29" i="120" s="1"/>
  <c r="Z25" i="120"/>
  <c r="P28" i="120"/>
  <c r="R28" i="120" s="1"/>
  <c r="A21" i="120"/>
  <c r="B21" i="120" s="1"/>
  <c r="A13" i="120"/>
  <c r="B13" i="120" s="1"/>
  <c r="K17" i="120"/>
  <c r="J15" i="133"/>
  <c r="G18" i="133"/>
  <c r="W14" i="105"/>
  <c r="Z26" i="105"/>
  <c r="AA26" i="105" s="1"/>
  <c r="AO41" i="105"/>
  <c r="AP41" i="105" s="1"/>
  <c r="AC29" i="105"/>
  <c r="AD29" i="105" s="1"/>
  <c r="Z24" i="105"/>
  <c r="AA24" i="105" s="1"/>
  <c r="AC67" i="105"/>
  <c r="AD67" i="105" s="1"/>
  <c r="Z48" i="105"/>
  <c r="AA48" i="105" s="1"/>
  <c r="AR69" i="105"/>
  <c r="AS69" i="105" s="1"/>
  <c r="AO53" i="105"/>
  <c r="AP53" i="105" s="1"/>
  <c r="AR25" i="105"/>
  <c r="AS25" i="105" s="1"/>
  <c r="AO28" i="105"/>
  <c r="AP28" i="105" s="1"/>
  <c r="AO30" i="105"/>
  <c r="AP30" i="105" s="1"/>
  <c r="AI53" i="105"/>
  <c r="AJ53" i="105" s="1"/>
  <c r="AI51" i="105"/>
  <c r="AJ51" i="105" s="1"/>
  <c r="AI50" i="105"/>
  <c r="AJ50" i="105" s="1"/>
  <c r="AI48" i="105"/>
  <c r="AJ48" i="105" s="1"/>
  <c r="AI45" i="105"/>
  <c r="AJ45" i="105" s="1"/>
  <c r="AI44" i="105"/>
  <c r="AJ44" i="105" s="1"/>
  <c r="AC59" i="105"/>
  <c r="AD59" i="105" s="1"/>
  <c r="AC43" i="105"/>
  <c r="AD43" i="105" s="1"/>
  <c r="W54" i="105"/>
  <c r="X54" i="105" s="1"/>
  <c r="W52" i="105"/>
  <c r="X52" i="105" s="1"/>
  <c r="AC21" i="105"/>
  <c r="AD21" i="105" s="1"/>
  <c r="C52" i="106"/>
  <c r="E54" i="106"/>
  <c r="D39" i="106"/>
  <c r="E39" i="106" s="1"/>
  <c r="AC13" i="105"/>
  <c r="AD13" i="105" s="1"/>
  <c r="T44" i="105"/>
  <c r="C58" i="106"/>
  <c r="E64" i="106"/>
  <c r="C55" i="106"/>
  <c r="B80" i="106"/>
  <c r="C80" i="106" s="1"/>
  <c r="T38" i="105"/>
  <c r="AC51" i="105"/>
  <c r="AD51" i="105" s="1"/>
  <c r="T40" i="105"/>
  <c r="E71" i="106"/>
  <c r="R40" i="105"/>
  <c r="W58" i="105"/>
  <c r="X58" i="105" s="1"/>
  <c r="W56" i="105"/>
  <c r="X56" i="105" s="1"/>
  <c r="C66" i="106"/>
  <c r="C63" i="106"/>
  <c r="C57" i="106"/>
  <c r="C64" i="106"/>
  <c r="E66" i="106"/>
  <c r="AL63" i="105" l="1"/>
  <c r="AM63" i="105" s="1"/>
  <c r="AL61" i="105"/>
  <c r="AL59" i="105"/>
  <c r="AM59" i="105" s="1"/>
  <c r="AL57" i="105"/>
  <c r="Z64" i="105"/>
  <c r="AA64" i="105" s="1"/>
  <c r="Z62" i="105"/>
  <c r="AA62" i="105" s="1"/>
  <c r="AE71" i="107"/>
  <c r="AE9" i="107"/>
  <c r="AE19" i="107"/>
  <c r="AE75" i="107"/>
  <c r="AE15" i="107"/>
  <c r="AE17" i="107"/>
  <c r="H14" i="107"/>
  <c r="B79" i="106"/>
  <c r="C79" i="106" s="1"/>
  <c r="D79" i="106"/>
  <c r="E79" i="106" s="1"/>
  <c r="A5" i="121"/>
  <c r="C5" i="121" s="1"/>
  <c r="A4" i="121"/>
  <c r="B4" i="121" s="1"/>
  <c r="S1" i="105"/>
  <c r="P5" i="121"/>
  <c r="R5" i="121" s="1"/>
  <c r="P4" i="121"/>
  <c r="R4" i="121" s="1"/>
  <c r="AE35" i="107"/>
  <c r="AE31" i="107"/>
  <c r="AE41" i="107"/>
  <c r="AE59" i="107"/>
  <c r="AE39" i="107"/>
  <c r="AE73" i="107"/>
  <c r="AE77" i="107"/>
  <c r="AE79" i="107"/>
  <c r="AE81" i="107"/>
  <c r="AE61" i="107"/>
  <c r="B51" i="106"/>
  <c r="C51" i="106" s="1"/>
  <c r="B65" i="172"/>
  <c r="G5" i="172"/>
  <c r="H50" i="172"/>
  <c r="B35" i="172"/>
  <c r="C20" i="172"/>
  <c r="H20" i="172"/>
  <c r="C50" i="172"/>
  <c r="B5" i="172"/>
  <c r="G35" i="172"/>
  <c r="C65" i="172"/>
  <c r="L35" i="172"/>
  <c r="H65" i="172"/>
  <c r="M50" i="172"/>
  <c r="B20" i="172"/>
  <c r="C5" i="172"/>
  <c r="M65" i="172"/>
  <c r="G50" i="172"/>
  <c r="M5" i="172"/>
  <c r="G20" i="172"/>
  <c r="M35" i="172"/>
  <c r="B35" i="173"/>
  <c r="C20" i="173"/>
  <c r="H50" i="173"/>
  <c r="B65" i="173"/>
  <c r="G5" i="173"/>
  <c r="G65" i="173"/>
  <c r="M20" i="173"/>
  <c r="L5" i="173"/>
  <c r="C50" i="173"/>
  <c r="C35" i="173"/>
  <c r="L50" i="173"/>
  <c r="H35" i="173"/>
  <c r="L20" i="173"/>
  <c r="H5" i="173"/>
  <c r="L65" i="173"/>
  <c r="H20" i="174"/>
  <c r="C50" i="174"/>
  <c r="B5" i="174"/>
  <c r="G35" i="174"/>
  <c r="C65" i="174"/>
  <c r="L35" i="174"/>
  <c r="H65" i="174"/>
  <c r="M50" i="174"/>
  <c r="B20" i="174"/>
  <c r="C5" i="174"/>
  <c r="M65" i="174"/>
  <c r="G50" i="174"/>
  <c r="M5" i="174"/>
  <c r="G20" i="174"/>
  <c r="M35" i="174"/>
  <c r="G5" i="175"/>
  <c r="H50" i="175"/>
  <c r="B35" i="175"/>
  <c r="C20" i="175"/>
  <c r="B65" i="175"/>
  <c r="G65" i="175"/>
  <c r="B50" i="175"/>
  <c r="M20" i="175"/>
  <c r="L5" i="175"/>
  <c r="C35" i="175"/>
  <c r="L50" i="175"/>
  <c r="H5" i="175"/>
  <c r="L65" i="175"/>
  <c r="H35" i="175"/>
  <c r="L20" i="175"/>
  <c r="M20" i="172"/>
  <c r="L5" i="172"/>
  <c r="C35" i="172"/>
  <c r="G65" i="172"/>
  <c r="B50" i="172"/>
  <c r="H5" i="172"/>
  <c r="L65" i="172"/>
  <c r="H35" i="172"/>
  <c r="L20" i="172"/>
  <c r="L50" i="172"/>
  <c r="B50" i="173"/>
  <c r="C65" i="173"/>
  <c r="H20" i="173"/>
  <c r="G35" i="173"/>
  <c r="B5" i="173"/>
  <c r="C5" i="173"/>
  <c r="L35" i="173"/>
  <c r="H65" i="173"/>
  <c r="M50" i="173"/>
  <c r="B20" i="173"/>
  <c r="M35" i="173"/>
  <c r="M5" i="173"/>
  <c r="M65" i="173"/>
  <c r="G50" i="173"/>
  <c r="G20" i="173"/>
  <c r="B65" i="174"/>
  <c r="G5" i="174"/>
  <c r="H50" i="174"/>
  <c r="B35" i="174"/>
  <c r="C20" i="174"/>
  <c r="M20" i="174"/>
  <c r="L5" i="174"/>
  <c r="C35" i="174"/>
  <c r="G65" i="174"/>
  <c r="B50" i="174"/>
  <c r="H5" i="174"/>
  <c r="L65" i="174"/>
  <c r="H35" i="174"/>
  <c r="L20" i="174"/>
  <c r="L50" i="174"/>
  <c r="G35" i="175"/>
  <c r="C65" i="175"/>
  <c r="H20" i="175"/>
  <c r="C50" i="175"/>
  <c r="B5" i="175"/>
  <c r="C5" i="175"/>
  <c r="L35" i="175"/>
  <c r="H65" i="175"/>
  <c r="M50" i="175"/>
  <c r="B20" i="175"/>
  <c r="G20" i="175"/>
  <c r="M35" i="175"/>
  <c r="M65" i="175"/>
  <c r="G50" i="175"/>
  <c r="M5" i="175"/>
  <c r="L5" i="148"/>
  <c r="M95" i="148"/>
  <c r="C65" i="148"/>
  <c r="B125" i="148"/>
  <c r="G80" i="148"/>
  <c r="L35" i="148"/>
  <c r="M20" i="148"/>
  <c r="L80" i="148"/>
  <c r="B50" i="148"/>
  <c r="B5" i="148"/>
  <c r="C125" i="148"/>
  <c r="M65" i="148"/>
  <c r="H20" i="148"/>
  <c r="C110" i="148"/>
  <c r="L95" i="148"/>
  <c r="G50" i="148"/>
  <c r="H125" i="148"/>
  <c r="M80" i="148"/>
  <c r="H65" i="148"/>
  <c r="H35" i="148"/>
  <c r="B20" i="148"/>
  <c r="G95" i="148"/>
  <c r="B80" i="148"/>
  <c r="L20" i="148"/>
  <c r="M125" i="148"/>
  <c r="H110" i="148"/>
  <c r="H50" i="148"/>
  <c r="C5" i="148"/>
  <c r="C20" i="148"/>
  <c r="L110" i="148"/>
  <c r="B65" i="148"/>
  <c r="B35" i="148"/>
  <c r="C140" i="148"/>
  <c r="H95" i="148"/>
  <c r="C50" i="148"/>
  <c r="B125" i="149"/>
  <c r="L5" i="149"/>
  <c r="M95" i="149"/>
  <c r="C65" i="149"/>
  <c r="G80" i="149"/>
  <c r="L35" i="149"/>
  <c r="M20" i="149"/>
  <c r="G125" i="149"/>
  <c r="B110" i="149"/>
  <c r="G5" i="149"/>
  <c r="L50" i="149"/>
  <c r="H80" i="149"/>
  <c r="C35" i="149"/>
  <c r="C80" i="149"/>
  <c r="L125" i="149"/>
  <c r="M110" i="149"/>
  <c r="G65" i="149"/>
  <c r="M35" i="149"/>
  <c r="B95" i="149"/>
  <c r="G20" i="149"/>
  <c r="H5" i="149"/>
  <c r="B140" i="149"/>
  <c r="G110" i="149"/>
  <c r="M5" i="149"/>
  <c r="G35" i="149"/>
  <c r="C95" i="149"/>
  <c r="L65" i="149"/>
  <c r="M50" i="149"/>
  <c r="L80" i="150"/>
  <c r="B50" i="150"/>
  <c r="C125" i="150"/>
  <c r="M65" i="150"/>
  <c r="H20" i="150"/>
  <c r="B5" i="150"/>
  <c r="C110" i="150"/>
  <c r="L95" i="150"/>
  <c r="G50" i="150"/>
  <c r="H125" i="150"/>
  <c r="M80" i="150"/>
  <c r="H65" i="150"/>
  <c r="H35" i="150"/>
  <c r="B20" i="150"/>
  <c r="G95" i="150"/>
  <c r="B80" i="150"/>
  <c r="L20" i="150"/>
  <c r="M125" i="150"/>
  <c r="H110" i="150"/>
  <c r="H50" i="150"/>
  <c r="C5" i="150"/>
  <c r="L110" i="150"/>
  <c r="B65" i="150"/>
  <c r="B35" i="150"/>
  <c r="C20" i="150"/>
  <c r="C140" i="150"/>
  <c r="H95" i="150"/>
  <c r="C50" i="150"/>
  <c r="B125" i="151"/>
  <c r="G80" i="151"/>
  <c r="L35" i="151"/>
  <c r="M20" i="151"/>
  <c r="L5" i="151"/>
  <c r="M95" i="151"/>
  <c r="C65" i="151"/>
  <c r="G5" i="151"/>
  <c r="C80" i="151"/>
  <c r="G125" i="151"/>
  <c r="B110" i="151"/>
  <c r="L50" i="151"/>
  <c r="H80" i="151"/>
  <c r="C35" i="151"/>
  <c r="L125" i="151"/>
  <c r="B95" i="151"/>
  <c r="G20" i="151"/>
  <c r="M110" i="151"/>
  <c r="G65" i="151"/>
  <c r="M35" i="151"/>
  <c r="H5" i="151"/>
  <c r="G110" i="151"/>
  <c r="L65" i="151"/>
  <c r="M50" i="151"/>
  <c r="M5" i="151"/>
  <c r="B140" i="151"/>
  <c r="G35" i="151"/>
  <c r="C95" i="151"/>
  <c r="G5" i="148"/>
  <c r="G125" i="148"/>
  <c r="B110" i="148"/>
  <c r="L50" i="148"/>
  <c r="H80" i="148"/>
  <c r="C35" i="148"/>
  <c r="C80" i="148"/>
  <c r="G65" i="148"/>
  <c r="H5" i="148"/>
  <c r="M35" i="148"/>
  <c r="L125" i="148"/>
  <c r="B95" i="148"/>
  <c r="G20" i="148"/>
  <c r="M110" i="148"/>
  <c r="M5" i="148"/>
  <c r="B140" i="148"/>
  <c r="G35" i="148"/>
  <c r="C95" i="148"/>
  <c r="G110" i="148"/>
  <c r="L65" i="148"/>
  <c r="M50" i="148"/>
  <c r="C125" i="149"/>
  <c r="C110" i="149"/>
  <c r="L80" i="149"/>
  <c r="B50" i="149"/>
  <c r="B5" i="149"/>
  <c r="M65" i="149"/>
  <c r="H20" i="149"/>
  <c r="H125" i="149"/>
  <c r="L95" i="149"/>
  <c r="G50" i="149"/>
  <c r="M80" i="149"/>
  <c r="H65" i="149"/>
  <c r="H35" i="149"/>
  <c r="B20" i="149"/>
  <c r="M125" i="149"/>
  <c r="H110" i="149"/>
  <c r="G95" i="149"/>
  <c r="B80" i="149"/>
  <c r="L20" i="149"/>
  <c r="H50" i="149"/>
  <c r="C5" i="149"/>
  <c r="L110" i="149"/>
  <c r="C20" i="149"/>
  <c r="C140" i="149"/>
  <c r="B65" i="149"/>
  <c r="B35" i="149"/>
  <c r="H95" i="149"/>
  <c r="C50" i="149"/>
  <c r="L5" i="150"/>
  <c r="M95" i="150"/>
  <c r="C65" i="150"/>
  <c r="B125" i="150"/>
  <c r="G80" i="150"/>
  <c r="L35" i="150"/>
  <c r="M20" i="150"/>
  <c r="G125" i="150"/>
  <c r="B110" i="150"/>
  <c r="L50" i="150"/>
  <c r="G5" i="150"/>
  <c r="H80" i="150"/>
  <c r="C35" i="150"/>
  <c r="C80" i="150"/>
  <c r="G65" i="150"/>
  <c r="M35" i="150"/>
  <c r="H5" i="150"/>
  <c r="L125" i="150"/>
  <c r="B95" i="150"/>
  <c r="G20" i="150"/>
  <c r="M110" i="150"/>
  <c r="M5" i="150"/>
  <c r="B140" i="150"/>
  <c r="G35" i="150"/>
  <c r="C95" i="150"/>
  <c r="G110" i="150"/>
  <c r="L65" i="150"/>
  <c r="M50" i="150"/>
  <c r="C110" i="151"/>
  <c r="L80" i="151"/>
  <c r="B50" i="151"/>
  <c r="B5" i="151"/>
  <c r="C125" i="151"/>
  <c r="M65" i="151"/>
  <c r="H20" i="151"/>
  <c r="L95" i="151"/>
  <c r="G50" i="151"/>
  <c r="H125" i="151"/>
  <c r="M80" i="151"/>
  <c r="H65" i="151"/>
  <c r="H35" i="151"/>
  <c r="B20" i="151"/>
  <c r="C5" i="151"/>
  <c r="G95" i="151"/>
  <c r="B80" i="151"/>
  <c r="L20" i="151"/>
  <c r="M125" i="151"/>
  <c r="H110" i="151"/>
  <c r="H50" i="151"/>
  <c r="B65" i="151"/>
  <c r="B35" i="151"/>
  <c r="C20" i="151"/>
  <c r="C140" i="151"/>
  <c r="H95" i="151"/>
  <c r="C50" i="151"/>
  <c r="L110" i="151"/>
  <c r="AE11" i="107"/>
  <c r="AE49" i="107"/>
  <c r="AH49" i="107" s="1"/>
  <c r="AE13" i="107"/>
  <c r="AE33" i="107"/>
  <c r="AL32" i="105"/>
  <c r="AO39" i="105" s="1"/>
  <c r="AR43" i="105" s="1"/>
  <c r="A28" i="121"/>
  <c r="C28" i="121" s="1"/>
  <c r="P13" i="121"/>
  <c r="R13" i="121" s="1"/>
  <c r="P12" i="121"/>
  <c r="R12" i="121" s="1"/>
  <c r="P4" i="123"/>
  <c r="R4" i="123" s="1"/>
  <c r="D51" i="106"/>
  <c r="E51" i="106" s="1"/>
  <c r="F91" i="134"/>
  <c r="C32" i="136"/>
  <c r="AA66" i="138"/>
  <c r="D27" i="138"/>
  <c r="C26" i="136"/>
  <c r="C8" i="137"/>
  <c r="AM15" i="138"/>
  <c r="D61" i="138"/>
  <c r="F115" i="134"/>
  <c r="C52" i="137"/>
  <c r="AM48" i="138"/>
  <c r="D69" i="138"/>
  <c r="C46" i="136"/>
  <c r="F34" i="134"/>
  <c r="C66" i="136"/>
  <c r="C14" i="135"/>
  <c r="F66" i="134"/>
  <c r="E67" i="134"/>
  <c r="E29" i="134"/>
  <c r="E33" i="134"/>
  <c r="E30" i="134"/>
  <c r="E96" i="134"/>
  <c r="E115" i="134"/>
  <c r="E73" i="134"/>
  <c r="E114" i="134"/>
  <c r="E8" i="134"/>
  <c r="C17" i="106"/>
  <c r="AY17" i="138"/>
  <c r="D63" i="138"/>
  <c r="AJ59" i="138"/>
  <c r="C16" i="135"/>
  <c r="F105" i="134"/>
  <c r="F29" i="134"/>
  <c r="F35" i="134"/>
  <c r="C8" i="135"/>
  <c r="F27" i="134"/>
  <c r="C54" i="135"/>
  <c r="F49" i="134"/>
  <c r="F51" i="134"/>
  <c r="C10" i="136"/>
  <c r="F55" i="134"/>
  <c r="F12" i="134"/>
  <c r="D9" i="133"/>
  <c r="R37" i="138"/>
  <c r="D45" i="138"/>
  <c r="E108" i="134"/>
  <c r="E106" i="134"/>
  <c r="E75" i="134"/>
  <c r="E91" i="134"/>
  <c r="E52" i="134"/>
  <c r="E72" i="134"/>
  <c r="E35" i="134"/>
  <c r="E37" i="134"/>
  <c r="E27" i="134"/>
  <c r="E54" i="134"/>
  <c r="E51" i="134"/>
  <c r="E55" i="134"/>
  <c r="E12" i="134"/>
  <c r="E38" i="134"/>
  <c r="E87" i="134"/>
  <c r="D11" i="133"/>
  <c r="J16" i="133"/>
  <c r="J12" i="133"/>
  <c r="J20" i="133"/>
  <c r="J24" i="133"/>
  <c r="C8" i="136"/>
  <c r="F31" i="134"/>
  <c r="C28" i="136"/>
  <c r="F32" i="134"/>
  <c r="C30" i="137"/>
  <c r="F75" i="134"/>
  <c r="C52" i="136"/>
  <c r="F53" i="134"/>
  <c r="AJ71" i="138"/>
  <c r="F113" i="134"/>
  <c r="AM31" i="138"/>
  <c r="F109" i="134"/>
  <c r="C70" i="137"/>
  <c r="F58" i="134"/>
  <c r="C16" i="136"/>
  <c r="F90" i="134"/>
  <c r="C32" i="137"/>
  <c r="F56" i="134"/>
  <c r="C54" i="137"/>
  <c r="F96" i="134"/>
  <c r="C72" i="136"/>
  <c r="F73" i="134"/>
  <c r="C14" i="137"/>
  <c r="F74" i="134"/>
  <c r="AA49" i="138"/>
  <c r="F114" i="134"/>
  <c r="D29" i="138"/>
  <c r="R59" i="138"/>
  <c r="E89" i="134"/>
  <c r="C74" i="137"/>
  <c r="F77" i="134"/>
  <c r="C56" i="137"/>
  <c r="F76" i="134"/>
  <c r="AJ67" i="138"/>
  <c r="F110" i="134"/>
  <c r="C76" i="136"/>
  <c r="F93" i="134"/>
  <c r="AM36" i="138"/>
  <c r="F112" i="134"/>
  <c r="AM44" i="138"/>
  <c r="F111" i="134"/>
  <c r="C48" i="136"/>
  <c r="F33" i="134"/>
  <c r="D13" i="138"/>
  <c r="AA54" i="138"/>
  <c r="C30" i="136"/>
  <c r="F52" i="134"/>
  <c r="C50" i="136"/>
  <c r="F72" i="134"/>
  <c r="C56" i="136"/>
  <c r="F92" i="134"/>
  <c r="C48" i="137"/>
  <c r="F37" i="134"/>
  <c r="C28" i="137"/>
  <c r="F36" i="134"/>
  <c r="C34" i="136"/>
  <c r="F71" i="134"/>
  <c r="C70" i="136"/>
  <c r="F54" i="134"/>
  <c r="C66" i="137"/>
  <c r="F38" i="134"/>
  <c r="G54" i="139"/>
  <c r="X52" i="138"/>
  <c r="G67" i="139"/>
  <c r="G50" i="139"/>
  <c r="AA35" i="138"/>
  <c r="C58" i="139"/>
  <c r="E67" i="139"/>
  <c r="U53" i="138"/>
  <c r="E54" i="139"/>
  <c r="E68" i="139"/>
  <c r="AD33" i="138"/>
  <c r="O104" i="109"/>
  <c r="E5" i="139"/>
  <c r="E20" i="139"/>
  <c r="G5" i="139"/>
  <c r="C13" i="138"/>
  <c r="X34" i="138"/>
  <c r="E50" i="139"/>
  <c r="F12" i="138"/>
  <c r="E8" i="106"/>
  <c r="L101" i="52"/>
  <c r="C74" i="135"/>
  <c r="F69" i="134"/>
  <c r="D15" i="138"/>
  <c r="C76" i="135"/>
  <c r="F108" i="134"/>
  <c r="D37" i="138"/>
  <c r="C16" i="137"/>
  <c r="D53" i="138"/>
  <c r="C14" i="136"/>
  <c r="C72" i="135"/>
  <c r="F89" i="134"/>
  <c r="C68" i="135"/>
  <c r="F30" i="134"/>
  <c r="C52" i="135"/>
  <c r="F88" i="134"/>
  <c r="D39" i="138"/>
  <c r="C34" i="137"/>
  <c r="C70" i="135"/>
  <c r="F50" i="134"/>
  <c r="D31" i="138"/>
  <c r="C56" i="135"/>
  <c r="F107" i="134"/>
  <c r="D55" i="138"/>
  <c r="C36" i="136"/>
  <c r="C10" i="135"/>
  <c r="F47" i="134"/>
  <c r="D21" i="138"/>
  <c r="C74" i="136"/>
  <c r="D23" i="138"/>
  <c r="C54" i="136"/>
  <c r="D47" i="138"/>
  <c r="C36" i="135"/>
  <c r="F106" i="134"/>
  <c r="C34" i="135"/>
  <c r="F67" i="134"/>
  <c r="C30" i="135"/>
  <c r="F48" i="134"/>
  <c r="D38" i="109"/>
  <c r="C12" i="137"/>
  <c r="D63" i="105"/>
  <c r="C12" i="136"/>
  <c r="C50" i="135"/>
  <c r="F68" i="134"/>
  <c r="C32" i="135"/>
  <c r="F87" i="134"/>
  <c r="E9" i="134"/>
  <c r="E28" i="134"/>
  <c r="P4" i="122"/>
  <c r="Q4" i="122" s="1"/>
  <c r="K25" i="122"/>
  <c r="P28" i="121"/>
  <c r="R28" i="121" s="1"/>
  <c r="Z25" i="121"/>
  <c r="P29" i="121"/>
  <c r="Q29" i="121" s="1"/>
  <c r="AE37" i="107"/>
  <c r="T69" i="109"/>
  <c r="T79" i="109"/>
  <c r="T75" i="109"/>
  <c r="T102" i="109"/>
  <c r="T86" i="109"/>
  <c r="T14" i="109"/>
  <c r="T105" i="109"/>
  <c r="T15" i="109"/>
  <c r="E16" i="134"/>
  <c r="E14" i="134"/>
  <c r="E18" i="134"/>
  <c r="E10" i="134"/>
  <c r="C6" i="135"/>
  <c r="F8" i="134"/>
  <c r="L100" i="52"/>
  <c r="L102" i="52"/>
  <c r="L58" i="52"/>
  <c r="D19" i="105"/>
  <c r="C66" i="135"/>
  <c r="F19" i="134"/>
  <c r="F13" i="134"/>
  <c r="F15" i="134"/>
  <c r="F17" i="134"/>
  <c r="F11" i="134"/>
  <c r="E19" i="134"/>
  <c r="E13" i="134"/>
  <c r="E15" i="134"/>
  <c r="E17" i="134"/>
  <c r="E11" i="134"/>
  <c r="C46" i="135"/>
  <c r="F18" i="134"/>
  <c r="F16" i="134"/>
  <c r="F14" i="134"/>
  <c r="F10" i="134"/>
  <c r="C26" i="135"/>
  <c r="F9" i="134"/>
  <c r="L74" i="52"/>
  <c r="L105" i="52"/>
  <c r="L65" i="52"/>
  <c r="L95" i="52"/>
  <c r="L92" i="52"/>
  <c r="L54" i="52"/>
  <c r="L59" i="52"/>
  <c r="L24" i="52"/>
  <c r="L35" i="52"/>
  <c r="O58" i="109" s="1"/>
  <c r="O62" i="109"/>
  <c r="L63" i="52"/>
  <c r="D35" i="105"/>
  <c r="O93" i="109"/>
  <c r="L14" i="52"/>
  <c r="E33" i="109"/>
  <c r="O54" i="109"/>
  <c r="O90" i="109"/>
  <c r="E44" i="109"/>
  <c r="O29" i="109"/>
  <c r="D25" i="105"/>
  <c r="D45" i="105"/>
  <c r="D13" i="105"/>
  <c r="D55" i="105"/>
  <c r="D43" i="105"/>
  <c r="B83" i="106"/>
  <c r="C83" i="106" s="1"/>
  <c r="D83" i="106"/>
  <c r="E83" i="106" s="1"/>
  <c r="D53" i="105"/>
  <c r="C6" i="136"/>
  <c r="C6" i="137"/>
  <c r="D61" i="105"/>
  <c r="T93" i="109"/>
  <c r="T76" i="109"/>
  <c r="T16" i="109"/>
  <c r="T61" i="109"/>
  <c r="T11" i="109"/>
  <c r="T62" i="109"/>
  <c r="T25" i="109"/>
  <c r="T17" i="109"/>
  <c r="T19" i="109"/>
  <c r="T24" i="109"/>
  <c r="T67" i="109"/>
  <c r="T77" i="109"/>
  <c r="T52" i="109"/>
  <c r="T99" i="109"/>
  <c r="T100" i="109"/>
  <c r="T81" i="109"/>
  <c r="T78" i="109"/>
  <c r="T30" i="109"/>
  <c r="T33" i="109"/>
  <c r="T54" i="109"/>
  <c r="T90" i="109"/>
  <c r="T98" i="109"/>
  <c r="T44" i="109"/>
  <c r="T57" i="109"/>
  <c r="T47" i="109"/>
  <c r="T101" i="109"/>
  <c r="T26" i="109"/>
  <c r="T29" i="109"/>
  <c r="T18" i="109"/>
  <c r="T70" i="109"/>
  <c r="T58" i="109"/>
  <c r="T88" i="109"/>
  <c r="T43" i="109"/>
  <c r="T97" i="109"/>
  <c r="T49" i="109"/>
  <c r="T104" i="109"/>
  <c r="T72" i="109"/>
  <c r="T103" i="109"/>
  <c r="T34" i="109"/>
  <c r="T74" i="109"/>
  <c r="T95" i="109"/>
  <c r="T65" i="109"/>
  <c r="T53" i="109"/>
  <c r="T59" i="109"/>
  <c r="T22" i="109"/>
  <c r="T35" i="109"/>
  <c r="T45" i="109"/>
  <c r="T51" i="109"/>
  <c r="T89" i="109"/>
  <c r="T27" i="109"/>
  <c r="T73" i="109"/>
  <c r="T63" i="109"/>
  <c r="T21" i="109"/>
  <c r="T83" i="109"/>
  <c r="T96" i="109"/>
  <c r="T46" i="109"/>
  <c r="T64" i="109"/>
  <c r="T36" i="109"/>
  <c r="T71" i="109"/>
  <c r="T94" i="109"/>
  <c r="T60" i="109"/>
  <c r="T41" i="109"/>
  <c r="T56" i="109"/>
  <c r="T48" i="109"/>
  <c r="T50" i="109"/>
  <c r="T31" i="109"/>
  <c r="T82" i="109"/>
  <c r="T20" i="109"/>
  <c r="T84" i="109"/>
  <c r="T39" i="109"/>
  <c r="T10" i="109"/>
  <c r="D7" i="105"/>
  <c r="D11" i="105"/>
  <c r="L36" i="52"/>
  <c r="O92" i="109" s="1"/>
  <c r="L23" i="52"/>
  <c r="L15" i="52"/>
  <c r="L53" i="52"/>
  <c r="F82" i="109" s="1"/>
  <c r="L42" i="52"/>
  <c r="O31" i="109" s="1"/>
  <c r="L37" i="52"/>
  <c r="O23" i="109" s="1"/>
  <c r="L26" i="52"/>
  <c r="O20" i="109" s="1"/>
  <c r="L11" i="52"/>
  <c r="L104" i="52"/>
  <c r="AJ72" i="138" s="1"/>
  <c r="L34" i="52"/>
  <c r="O43" i="109" s="1"/>
  <c r="L82" i="52"/>
  <c r="D39" i="105"/>
  <c r="D47" i="105"/>
  <c r="D15" i="105"/>
  <c r="L106" i="52"/>
  <c r="L99" i="52"/>
  <c r="L88" i="52"/>
  <c r="L60" i="52"/>
  <c r="C11" i="106" s="1"/>
  <c r="O66" i="109"/>
  <c r="B5" i="120"/>
  <c r="L44" i="52"/>
  <c r="O71" i="109" s="1"/>
  <c r="L45" i="52"/>
  <c r="L22" i="52"/>
  <c r="G92" i="115" s="1"/>
  <c r="L19" i="52"/>
  <c r="L38" i="52"/>
  <c r="O88" i="109" s="1"/>
  <c r="L69" i="52"/>
  <c r="D49" i="105"/>
  <c r="D33" i="105"/>
  <c r="D37" i="105"/>
  <c r="L84" i="52"/>
  <c r="L62" i="52"/>
  <c r="C7" i="106" s="1"/>
  <c r="L83" i="52"/>
  <c r="L73" i="52"/>
  <c r="L51" i="52"/>
  <c r="L96" i="52"/>
  <c r="AM49" i="138" s="1"/>
  <c r="R29" i="120"/>
  <c r="Q12" i="120"/>
  <c r="C21" i="120"/>
  <c r="C4" i="120"/>
  <c r="L46" i="52"/>
  <c r="C12" i="106" s="1"/>
  <c r="L56" i="52"/>
  <c r="E101" i="109" s="1"/>
  <c r="E105" i="109"/>
  <c r="G105" i="109" s="1"/>
  <c r="L67" i="52"/>
  <c r="L48" i="52"/>
  <c r="O48" i="109" s="1"/>
  <c r="L43" i="52"/>
  <c r="C20" i="120"/>
  <c r="L21" i="52"/>
  <c r="Q29" i="123"/>
  <c r="L40" i="52"/>
  <c r="O85" i="109" s="1"/>
  <c r="B12" i="120"/>
  <c r="Q20" i="120"/>
  <c r="B28" i="120"/>
  <c r="C12" i="121"/>
  <c r="E82" i="109"/>
  <c r="A4" i="122"/>
  <c r="C4" i="122" s="1"/>
  <c r="L41" i="52"/>
  <c r="O75" i="109" s="1"/>
  <c r="L31" i="52"/>
  <c r="E15" i="109" s="1"/>
  <c r="L20" i="52"/>
  <c r="R5" i="122"/>
  <c r="O105" i="109"/>
  <c r="Q28" i="123"/>
  <c r="C13" i="121"/>
  <c r="E88" i="109"/>
  <c r="F66" i="109"/>
  <c r="L12" i="52"/>
  <c r="Q28" i="120"/>
  <c r="R13" i="120"/>
  <c r="Q5" i="121"/>
  <c r="B5" i="121"/>
  <c r="C21" i="121"/>
  <c r="R21" i="122"/>
  <c r="R20" i="122"/>
  <c r="F86" i="109"/>
  <c r="Q20" i="123"/>
  <c r="B29" i="123"/>
  <c r="E37" i="109"/>
  <c r="G37" i="109" s="1"/>
  <c r="L16" i="52"/>
  <c r="L29" i="52"/>
  <c r="O79" i="109" s="1"/>
  <c r="F85" i="109"/>
  <c r="F26" i="109"/>
  <c r="O49" i="109"/>
  <c r="O34" i="109"/>
  <c r="C13" i="120"/>
  <c r="R21" i="121"/>
  <c r="E58" i="109"/>
  <c r="E49" i="109"/>
  <c r="F57" i="109"/>
  <c r="F91" i="109"/>
  <c r="B12" i="122"/>
  <c r="C12" i="122"/>
  <c r="C28" i="123"/>
  <c r="B28" i="123"/>
  <c r="L52" i="52"/>
  <c r="E15" i="106" s="1"/>
  <c r="L9" i="52"/>
  <c r="L30" i="52"/>
  <c r="L66" i="52"/>
  <c r="E6" i="106" s="1"/>
  <c r="L61" i="52"/>
  <c r="L97" i="52"/>
  <c r="G73" i="139" s="1"/>
  <c r="L93" i="52"/>
  <c r="L75" i="52"/>
  <c r="L72" i="52"/>
  <c r="L70" i="52"/>
  <c r="L79" i="52"/>
  <c r="L78" i="52"/>
  <c r="L91" i="52"/>
  <c r="L90" i="52"/>
  <c r="L71" i="52"/>
  <c r="G34" i="139" s="1"/>
  <c r="O39" i="109"/>
  <c r="E39" i="109"/>
  <c r="F39" i="109"/>
  <c r="O40" i="109"/>
  <c r="F33" i="109"/>
  <c r="O33" i="109"/>
  <c r="F44" i="109"/>
  <c r="O44" i="109"/>
  <c r="L27" i="52"/>
  <c r="O9" i="109" s="1"/>
  <c r="L47" i="52"/>
  <c r="L33" i="52"/>
  <c r="F69" i="109" s="1"/>
  <c r="L17" i="52"/>
  <c r="G22" i="115" s="1"/>
  <c r="L18" i="52"/>
  <c r="L87" i="52"/>
  <c r="L25" i="52"/>
  <c r="E13" i="109" s="1"/>
  <c r="B29" i="120"/>
  <c r="E75" i="109"/>
  <c r="C21" i="122"/>
  <c r="O37" i="109"/>
  <c r="P20" i="121"/>
  <c r="Q20" i="121" s="1"/>
  <c r="A20" i="122"/>
  <c r="A29" i="121"/>
  <c r="C29" i="121" s="1"/>
  <c r="A21" i="123"/>
  <c r="B21" i="123" s="1"/>
  <c r="A20" i="123"/>
  <c r="P12" i="123"/>
  <c r="A12" i="123"/>
  <c r="P13" i="123"/>
  <c r="A13" i="123"/>
  <c r="L108" i="52"/>
  <c r="L80" i="52"/>
  <c r="T32" i="105"/>
  <c r="Z8" i="105"/>
  <c r="AR38" i="105"/>
  <c r="AS38" i="105" s="1"/>
  <c r="C4" i="106"/>
  <c r="C6" i="106"/>
  <c r="E17" i="106"/>
  <c r="E9" i="106"/>
  <c r="A5" i="123"/>
  <c r="Q1" i="122"/>
  <c r="B9" i="122"/>
  <c r="B17" i="122" s="1"/>
  <c r="B25" i="122" s="1"/>
  <c r="Q9" i="122"/>
  <c r="T12" i="109"/>
  <c r="T40" i="109"/>
  <c r="T87" i="109"/>
  <c r="T80" i="109"/>
  <c r="T92" i="109"/>
  <c r="T13" i="109"/>
  <c r="R5" i="120"/>
  <c r="B29" i="122"/>
  <c r="R28" i="122"/>
  <c r="F15" i="109"/>
  <c r="B5" i="122"/>
  <c r="C28" i="122"/>
  <c r="Q21" i="123"/>
  <c r="E92" i="109"/>
  <c r="F92" i="109"/>
  <c r="C20" i="121"/>
  <c r="B20" i="121"/>
  <c r="Q12" i="122"/>
  <c r="R12" i="122"/>
  <c r="C13" i="122"/>
  <c r="B13" i="122"/>
  <c r="R5" i="123"/>
  <c r="Q5" i="123"/>
  <c r="B4" i="123"/>
  <c r="C4" i="123"/>
  <c r="Q13" i="122"/>
  <c r="R13" i="122"/>
  <c r="E14" i="109"/>
  <c r="Q29" i="122"/>
  <c r="R29" i="122"/>
  <c r="O68" i="109"/>
  <c r="AE29" i="107"/>
  <c r="Q21" i="120"/>
  <c r="Q4" i="120"/>
  <c r="AM61" i="105" l="1"/>
  <c r="AO67" i="105"/>
  <c r="AP67" i="105" s="1"/>
  <c r="AM57" i="105"/>
  <c r="AO65" i="105"/>
  <c r="AP65" i="105" s="1"/>
  <c r="AH51" i="107"/>
  <c r="AH11" i="107"/>
  <c r="AH47" i="107"/>
  <c r="AH7" i="107"/>
  <c r="AH75" i="107"/>
  <c r="AH69" i="107"/>
  <c r="AH73" i="107"/>
  <c r="AH71" i="107"/>
  <c r="AH5" i="107"/>
  <c r="Q4" i="121"/>
  <c r="Q12" i="121"/>
  <c r="C4" i="121"/>
  <c r="AH15" i="107"/>
  <c r="AH13" i="107"/>
  <c r="AH9" i="107"/>
  <c r="AH53" i="107"/>
  <c r="AH67" i="107"/>
  <c r="AH57" i="107"/>
  <c r="AH39" i="107"/>
  <c r="AH45" i="107"/>
  <c r="AH55" i="107"/>
  <c r="AH65" i="107"/>
  <c r="AH77" i="107"/>
  <c r="AH21" i="107"/>
  <c r="AH79" i="107"/>
  <c r="AH81" i="107"/>
  <c r="AH59" i="107"/>
  <c r="Q13" i="121"/>
  <c r="AH61" i="107"/>
  <c r="B28" i="121"/>
  <c r="G33" i="109"/>
  <c r="Q4" i="123"/>
  <c r="AH17" i="107"/>
  <c r="AH33" i="107"/>
  <c r="AH31" i="107"/>
  <c r="AH37" i="107"/>
  <c r="AH35" i="107"/>
  <c r="AH41" i="107"/>
  <c r="G82" i="109"/>
  <c r="R4" i="122"/>
  <c r="Q28" i="121"/>
  <c r="R29" i="121"/>
  <c r="R60" i="138"/>
  <c r="E109" i="115"/>
  <c r="G60" i="115"/>
  <c r="G67" i="115"/>
  <c r="E25" i="115"/>
  <c r="G88" i="115"/>
  <c r="G95" i="115"/>
  <c r="E34" i="115"/>
  <c r="E7" i="115"/>
  <c r="G105" i="115"/>
  <c r="E49" i="115"/>
  <c r="G112" i="115"/>
  <c r="E22" i="115"/>
  <c r="E24" i="139"/>
  <c r="G13" i="139"/>
  <c r="F44" i="138"/>
  <c r="C26" i="139"/>
  <c r="C16" i="139"/>
  <c r="F56" i="138"/>
  <c r="C30" i="139"/>
  <c r="C33" i="139"/>
  <c r="G24" i="139"/>
  <c r="G30" i="139"/>
  <c r="C70" i="139"/>
  <c r="E51" i="139"/>
  <c r="X10" i="138"/>
  <c r="G44" i="139"/>
  <c r="G91" i="115"/>
  <c r="G98" i="115"/>
  <c r="E13" i="115"/>
  <c r="G6" i="115"/>
  <c r="AJ68" i="138"/>
  <c r="AG67" i="138"/>
  <c r="R38" i="138"/>
  <c r="E76" i="115"/>
  <c r="E40" i="115"/>
  <c r="G102" i="115"/>
  <c r="E43" i="115"/>
  <c r="E52" i="115"/>
  <c r="E19" i="106"/>
  <c r="AJ60" i="138"/>
  <c r="C45" i="138"/>
  <c r="E13" i="139"/>
  <c r="C55" i="138"/>
  <c r="G16" i="139"/>
  <c r="E34" i="139"/>
  <c r="L46" i="138"/>
  <c r="O54" i="138"/>
  <c r="I42" i="138"/>
  <c r="G33" i="139"/>
  <c r="E44" i="139"/>
  <c r="U59" i="138"/>
  <c r="AA11" i="138"/>
  <c r="E58" i="115"/>
  <c r="E67" i="115"/>
  <c r="E31" i="115"/>
  <c r="C73" i="139"/>
  <c r="G84" i="115"/>
  <c r="E118" i="115"/>
  <c r="G74" i="115"/>
  <c r="G81" i="115"/>
  <c r="E16" i="115"/>
  <c r="G119" i="115"/>
  <c r="E11" i="106"/>
  <c r="G63" i="139"/>
  <c r="AM16" i="138"/>
  <c r="AM37" i="138"/>
  <c r="G64" i="139"/>
  <c r="AM24" i="138"/>
  <c r="G62" i="139"/>
  <c r="E63" i="139"/>
  <c r="AM32" i="138"/>
  <c r="G66" i="139"/>
  <c r="G68" i="139"/>
  <c r="AA50" i="138"/>
  <c r="C68" i="139"/>
  <c r="X48" i="138"/>
  <c r="G69" i="139"/>
  <c r="AG55" i="138"/>
  <c r="AJ56" i="138"/>
  <c r="C69" i="139"/>
  <c r="G65" i="139"/>
  <c r="AM45" i="138"/>
  <c r="G70" i="139"/>
  <c r="C72" i="139"/>
  <c r="AA67" i="138"/>
  <c r="X60" i="138"/>
  <c r="G72" i="139"/>
  <c r="AA62" i="138"/>
  <c r="E84" i="139"/>
  <c r="G41" i="139"/>
  <c r="X32" i="138"/>
  <c r="G84" i="139"/>
  <c r="G83" i="139"/>
  <c r="AY28" i="138"/>
  <c r="C49" i="139"/>
  <c r="AP16" i="138"/>
  <c r="AS31" i="138"/>
  <c r="C77" i="139"/>
  <c r="E83" i="139"/>
  <c r="AV30" i="138"/>
  <c r="L62" i="138"/>
  <c r="G61" i="139"/>
  <c r="G31" i="139"/>
  <c r="G26" i="139"/>
  <c r="AM8" i="138"/>
  <c r="E61" i="139"/>
  <c r="I58" i="138"/>
  <c r="C31" i="139"/>
  <c r="E33" i="139"/>
  <c r="C63" i="139"/>
  <c r="AJ5" i="138"/>
  <c r="G59" i="139"/>
  <c r="AJ11" i="138"/>
  <c r="G56" i="139"/>
  <c r="AD13" i="138"/>
  <c r="AJ36" i="138"/>
  <c r="AG15" i="138"/>
  <c r="E59" i="139"/>
  <c r="C61" i="139"/>
  <c r="E56" i="139"/>
  <c r="C64" i="139"/>
  <c r="G51" i="139"/>
  <c r="G55" i="139"/>
  <c r="G43" i="139"/>
  <c r="AG7" i="138"/>
  <c r="AA7" i="138"/>
  <c r="C55" i="139"/>
  <c r="C65" i="139"/>
  <c r="C59" i="139"/>
  <c r="AD9" i="138"/>
  <c r="AJ44" i="138"/>
  <c r="C51" i="139"/>
  <c r="C80" i="139"/>
  <c r="E78" i="139"/>
  <c r="X14" i="138"/>
  <c r="G78" i="139"/>
  <c r="G75" i="139"/>
  <c r="AS9" i="138"/>
  <c r="AV7" i="138"/>
  <c r="E45" i="139"/>
  <c r="AY18" i="138"/>
  <c r="C75" i="139"/>
  <c r="AP8" i="138"/>
  <c r="AA23" i="138"/>
  <c r="G47" i="139"/>
  <c r="X22" i="138"/>
  <c r="AG69" i="138"/>
  <c r="E73" i="139"/>
  <c r="U63" i="138"/>
  <c r="C71" i="139"/>
  <c r="E47" i="139"/>
  <c r="C53" i="139"/>
  <c r="G53" i="139"/>
  <c r="AA27" i="138"/>
  <c r="AG23" i="138"/>
  <c r="G57" i="139"/>
  <c r="G48" i="139"/>
  <c r="AJ46" i="138"/>
  <c r="E53" i="139"/>
  <c r="E65" i="139"/>
  <c r="C57" i="139"/>
  <c r="C60" i="139"/>
  <c r="AD25" i="138"/>
  <c r="G80" i="139"/>
  <c r="G77" i="139"/>
  <c r="G42" i="139"/>
  <c r="AV15" i="138"/>
  <c r="G79" i="139"/>
  <c r="AS17" i="138"/>
  <c r="AY11" i="138"/>
  <c r="E80" i="139"/>
  <c r="E79" i="139"/>
  <c r="X36" i="138"/>
  <c r="AP18" i="138"/>
  <c r="C50" i="139"/>
  <c r="E77" i="139"/>
  <c r="G45" i="139"/>
  <c r="G37" i="139"/>
  <c r="X16" i="138"/>
  <c r="AA15" i="138"/>
  <c r="U61" i="138"/>
  <c r="E70" i="139"/>
  <c r="C52" i="139"/>
  <c r="C45" i="139"/>
  <c r="C54" i="139"/>
  <c r="G49" i="139"/>
  <c r="X64" i="138"/>
  <c r="AA31" i="138"/>
  <c r="G71" i="139"/>
  <c r="E72" i="139"/>
  <c r="U65" i="138"/>
  <c r="E71" i="139"/>
  <c r="L30" i="138"/>
  <c r="G32" i="139"/>
  <c r="G29" i="139"/>
  <c r="O22" i="138"/>
  <c r="E32" i="139"/>
  <c r="C34" i="139"/>
  <c r="AA19" i="138"/>
  <c r="X18" i="138"/>
  <c r="C56" i="139"/>
  <c r="G52" i="139"/>
  <c r="G46" i="139"/>
  <c r="U49" i="138"/>
  <c r="E46" i="139"/>
  <c r="E52" i="139"/>
  <c r="E66" i="139"/>
  <c r="AD17" i="138"/>
  <c r="G23" i="139"/>
  <c r="I34" i="138"/>
  <c r="AD5" i="138"/>
  <c r="U47" i="138"/>
  <c r="E55" i="139"/>
  <c r="E29" i="139"/>
  <c r="C66" i="139"/>
  <c r="I50" i="138"/>
  <c r="C62" i="139"/>
  <c r="G60" i="139"/>
  <c r="G25" i="139"/>
  <c r="AG31" i="138"/>
  <c r="AD29" i="138"/>
  <c r="AJ27" i="138"/>
  <c r="G58" i="139"/>
  <c r="E30" i="139"/>
  <c r="E60" i="139"/>
  <c r="E58" i="139"/>
  <c r="AD21" i="138"/>
  <c r="U51" i="138"/>
  <c r="C67" i="139"/>
  <c r="AG57" i="138"/>
  <c r="E57" i="139"/>
  <c r="E69" i="139"/>
  <c r="F25" i="109"/>
  <c r="E12" i="109"/>
  <c r="E105" i="115"/>
  <c r="G69" i="115"/>
  <c r="E114" i="115"/>
  <c r="E78" i="115"/>
  <c r="G48" i="115"/>
  <c r="G20" i="115"/>
  <c r="G41" i="115"/>
  <c r="E123" i="115"/>
  <c r="G55" i="115"/>
  <c r="G62" i="115"/>
  <c r="E12" i="115"/>
  <c r="E87" i="115"/>
  <c r="E96" i="115"/>
  <c r="G34" i="115"/>
  <c r="G27" i="115"/>
  <c r="E16" i="106"/>
  <c r="F28" i="138"/>
  <c r="I26" i="138"/>
  <c r="G22" i="139"/>
  <c r="E9" i="139"/>
  <c r="E22" i="139"/>
  <c r="G9" i="139"/>
  <c r="C29" i="138"/>
  <c r="C29" i="139"/>
  <c r="F89" i="109"/>
  <c r="O51" i="109"/>
  <c r="E35" i="109"/>
  <c r="O59" i="109"/>
  <c r="F40" i="138"/>
  <c r="G12" i="139"/>
  <c r="C12" i="139"/>
  <c r="C24" i="139"/>
  <c r="C39" i="138"/>
  <c r="O95" i="109"/>
  <c r="G103" i="115"/>
  <c r="G110" i="115"/>
  <c r="E51" i="115"/>
  <c r="E24" i="115"/>
  <c r="G75" i="115"/>
  <c r="E15" i="115"/>
  <c r="E42" i="115"/>
  <c r="G68" i="115"/>
  <c r="E60" i="115"/>
  <c r="G82" i="115"/>
  <c r="G117" i="115"/>
  <c r="E6" i="115"/>
  <c r="E33" i="115"/>
  <c r="G96" i="115"/>
  <c r="G89" i="115"/>
  <c r="F10" i="109"/>
  <c r="G109" i="115"/>
  <c r="G45" i="115"/>
  <c r="G61" i="115"/>
  <c r="G13" i="115"/>
  <c r="E85" i="115"/>
  <c r="G77" i="115"/>
  <c r="G93" i="115"/>
  <c r="G29" i="115"/>
  <c r="E53" i="115"/>
  <c r="E102" i="109"/>
  <c r="E108" i="115"/>
  <c r="E72" i="115"/>
  <c r="E45" i="115"/>
  <c r="E99" i="115"/>
  <c r="E63" i="115"/>
  <c r="G31" i="115"/>
  <c r="G24" i="115"/>
  <c r="E90" i="115"/>
  <c r="G116" i="115"/>
  <c r="G38" i="115"/>
  <c r="G10" i="115"/>
  <c r="G123" i="115"/>
  <c r="E54" i="115"/>
  <c r="E81" i="115"/>
  <c r="G17" i="115"/>
  <c r="F68" i="109"/>
  <c r="G118" i="115"/>
  <c r="G90" i="115"/>
  <c r="E59" i="115"/>
  <c r="G97" i="115"/>
  <c r="E68" i="115"/>
  <c r="E41" i="115"/>
  <c r="E23" i="115"/>
  <c r="G5" i="115"/>
  <c r="G104" i="115"/>
  <c r="G111" i="115"/>
  <c r="E50" i="115"/>
  <c r="E14" i="115"/>
  <c r="G76" i="115"/>
  <c r="G83" i="115"/>
  <c r="E32" i="115"/>
  <c r="O65" i="109"/>
  <c r="O103" i="109"/>
  <c r="G10" i="139"/>
  <c r="C10" i="139"/>
  <c r="F32" i="138"/>
  <c r="C31" i="138"/>
  <c r="C23" i="139"/>
  <c r="O14" i="109"/>
  <c r="E102" i="115"/>
  <c r="G86" i="115"/>
  <c r="G58" i="115"/>
  <c r="E111" i="115"/>
  <c r="G65" i="115"/>
  <c r="E36" i="115"/>
  <c r="E120" i="115"/>
  <c r="G72" i="115"/>
  <c r="G79" i="115"/>
  <c r="E9" i="115"/>
  <c r="E18" i="115"/>
  <c r="E93" i="115"/>
  <c r="G44" i="115"/>
  <c r="G51" i="115"/>
  <c r="E27" i="115"/>
  <c r="E86" i="109"/>
  <c r="G86" i="109" s="1"/>
  <c r="E106" i="115"/>
  <c r="E70" i="115"/>
  <c r="G54" i="115"/>
  <c r="E97" i="115"/>
  <c r="G47" i="115"/>
  <c r="G19" i="115"/>
  <c r="G26" i="115"/>
  <c r="E124" i="115"/>
  <c r="E61" i="115"/>
  <c r="E79" i="115"/>
  <c r="G40" i="115"/>
  <c r="E88" i="115"/>
  <c r="E115" i="115"/>
  <c r="G33" i="115"/>
  <c r="G12" i="115"/>
  <c r="F52" i="138"/>
  <c r="E15" i="139"/>
  <c r="C53" i="138"/>
  <c r="G15" i="139"/>
  <c r="E25" i="139"/>
  <c r="F93" i="109"/>
  <c r="G18" i="139"/>
  <c r="C18" i="139"/>
  <c r="C63" i="138"/>
  <c r="F64" i="138"/>
  <c r="G27" i="139"/>
  <c r="E31" i="139"/>
  <c r="C27" i="139"/>
  <c r="I66" i="138"/>
  <c r="G121" i="115"/>
  <c r="G100" i="115"/>
  <c r="E101" i="115"/>
  <c r="E37" i="115"/>
  <c r="E5" i="115"/>
  <c r="F16" i="138"/>
  <c r="G6" i="139"/>
  <c r="C6" i="139"/>
  <c r="C15" i="138"/>
  <c r="E49" i="139"/>
  <c r="X30" i="138"/>
  <c r="C21" i="139"/>
  <c r="F16" i="109"/>
  <c r="C17" i="139"/>
  <c r="C59" i="138"/>
  <c r="U33" i="138"/>
  <c r="E41" i="139"/>
  <c r="O80" i="109"/>
  <c r="G107" i="115"/>
  <c r="E74" i="115"/>
  <c r="G114" i="115"/>
  <c r="E65" i="115"/>
  <c r="E38" i="115"/>
  <c r="E92" i="115"/>
  <c r="E83" i="115"/>
  <c r="G8" i="115"/>
  <c r="G15" i="115"/>
  <c r="E29" i="115"/>
  <c r="E56" i="115"/>
  <c r="E47" i="115"/>
  <c r="E12" i="106"/>
  <c r="O27" i="109"/>
  <c r="E17" i="139"/>
  <c r="E26" i="139"/>
  <c r="G17" i="139"/>
  <c r="C61" i="138"/>
  <c r="F60" i="138"/>
  <c r="O45" i="109"/>
  <c r="E22" i="109"/>
  <c r="E21" i="139"/>
  <c r="E7" i="139"/>
  <c r="F20" i="138"/>
  <c r="G21" i="139"/>
  <c r="G7" i="139"/>
  <c r="C21" i="138"/>
  <c r="E28" i="139"/>
  <c r="I18" i="138"/>
  <c r="E53" i="109"/>
  <c r="F84" i="109"/>
  <c r="E107" i="115"/>
  <c r="E71" i="115"/>
  <c r="E116" i="115"/>
  <c r="E80" i="115"/>
  <c r="G46" i="115"/>
  <c r="G18" i="115"/>
  <c r="G25" i="115"/>
  <c r="G124" i="115"/>
  <c r="G53" i="115"/>
  <c r="E62" i="115"/>
  <c r="G39" i="115"/>
  <c r="E89" i="115"/>
  <c r="E98" i="115"/>
  <c r="G32" i="115"/>
  <c r="G11" i="115"/>
  <c r="E40" i="109"/>
  <c r="E122" i="115"/>
  <c r="E86" i="115"/>
  <c r="G70" i="115"/>
  <c r="E77" i="115"/>
  <c r="G42" i="115"/>
  <c r="E95" i="115"/>
  <c r="G49" i="115"/>
  <c r="E104" i="115"/>
  <c r="G56" i="115"/>
  <c r="E113" i="115"/>
  <c r="G63" i="115"/>
  <c r="G35" i="115"/>
  <c r="E11" i="115"/>
  <c r="E20" i="115"/>
  <c r="O26" i="109"/>
  <c r="G19" i="139"/>
  <c r="C69" i="138"/>
  <c r="F68" i="138"/>
  <c r="E19" i="139"/>
  <c r="X6" i="138"/>
  <c r="E43" i="139"/>
  <c r="E27" i="139"/>
  <c r="E91" i="109"/>
  <c r="G106" i="115"/>
  <c r="E57" i="115"/>
  <c r="E84" i="115"/>
  <c r="E48" i="115"/>
  <c r="G14" i="115"/>
  <c r="G21" i="115"/>
  <c r="E75" i="115"/>
  <c r="E66" i="115"/>
  <c r="E30" i="115"/>
  <c r="G113" i="115"/>
  <c r="E39" i="115"/>
  <c r="F34" i="109"/>
  <c r="O72" i="109"/>
  <c r="G14" i="139"/>
  <c r="C14" i="139"/>
  <c r="F48" i="138"/>
  <c r="C47" i="138"/>
  <c r="C25" i="139"/>
  <c r="F49" i="109"/>
  <c r="G49" i="109" s="1"/>
  <c r="F36" i="138"/>
  <c r="E11" i="139"/>
  <c r="C37" i="138"/>
  <c r="G11" i="139"/>
  <c r="E23" i="139"/>
  <c r="O28" i="109"/>
  <c r="E121" i="115"/>
  <c r="G85" i="115"/>
  <c r="G57" i="115"/>
  <c r="E112" i="115"/>
  <c r="G78" i="115"/>
  <c r="G50" i="115"/>
  <c r="E28" i="115"/>
  <c r="E10" i="115"/>
  <c r="G71" i="115"/>
  <c r="E94" i="115"/>
  <c r="G36" i="115"/>
  <c r="E103" i="115"/>
  <c r="G43" i="115"/>
  <c r="G64" i="115"/>
  <c r="E19" i="115"/>
  <c r="G101" i="115"/>
  <c r="G73" i="115"/>
  <c r="E44" i="115"/>
  <c r="G94" i="115"/>
  <c r="G66" i="115"/>
  <c r="E35" i="115"/>
  <c r="E17" i="115"/>
  <c r="G87" i="115"/>
  <c r="E110" i="115"/>
  <c r="G52" i="115"/>
  <c r="E8" i="115"/>
  <c r="E119" i="115"/>
  <c r="G59" i="115"/>
  <c r="G80" i="115"/>
  <c r="E26" i="115"/>
  <c r="E5" i="106"/>
  <c r="E66" i="109"/>
  <c r="G66" i="109" s="1"/>
  <c r="G122" i="115"/>
  <c r="E91" i="115"/>
  <c r="E55" i="115"/>
  <c r="E100" i="115"/>
  <c r="E64" i="115"/>
  <c r="G30" i="115"/>
  <c r="G37" i="115"/>
  <c r="G9" i="115"/>
  <c r="E73" i="115"/>
  <c r="E82" i="115"/>
  <c r="G16" i="115"/>
  <c r="G108" i="115"/>
  <c r="G115" i="115"/>
  <c r="E46" i="115"/>
  <c r="G23" i="115"/>
  <c r="F24" i="138"/>
  <c r="G8" i="139"/>
  <c r="C8" i="139"/>
  <c r="C22" i="139"/>
  <c r="C23" i="138"/>
  <c r="E48" i="139"/>
  <c r="X26" i="138"/>
  <c r="C65" i="138"/>
  <c r="E18" i="139"/>
  <c r="U35" i="138"/>
  <c r="C42" i="139"/>
  <c r="O76" i="109"/>
  <c r="C9" i="139"/>
  <c r="U17" i="138"/>
  <c r="C27" i="138"/>
  <c r="E37" i="139"/>
  <c r="G120" i="115"/>
  <c r="G99" i="115"/>
  <c r="G28" i="115"/>
  <c r="G7" i="115"/>
  <c r="E117" i="115"/>
  <c r="E69" i="115"/>
  <c r="E21" i="115"/>
  <c r="BC5" i="100"/>
  <c r="BC7" i="86"/>
  <c r="G15" i="109"/>
  <c r="G44" i="109"/>
  <c r="G91" i="109"/>
  <c r="AH29" i="107"/>
  <c r="U38" i="109"/>
  <c r="U42" i="109"/>
  <c r="U32" i="109"/>
  <c r="U65" i="109"/>
  <c r="U63" i="109"/>
  <c r="U55" i="109"/>
  <c r="U43" i="109"/>
  <c r="U97" i="109"/>
  <c r="U93" i="109"/>
  <c r="U49" i="109"/>
  <c r="U76" i="109"/>
  <c r="U104" i="109"/>
  <c r="U16" i="109"/>
  <c r="U72" i="109"/>
  <c r="U61" i="109"/>
  <c r="U103" i="109"/>
  <c r="U11" i="109"/>
  <c r="U34" i="109"/>
  <c r="U62" i="109"/>
  <c r="U74" i="109"/>
  <c r="U25" i="109"/>
  <c r="U95" i="109"/>
  <c r="U17" i="109"/>
  <c r="U19" i="109"/>
  <c r="U53" i="109"/>
  <c r="U24" i="109"/>
  <c r="U59" i="109"/>
  <c r="U67" i="109"/>
  <c r="U22" i="109"/>
  <c r="U77" i="109"/>
  <c r="U35" i="109"/>
  <c r="U52" i="109"/>
  <c r="U45" i="109"/>
  <c r="U51" i="109"/>
  <c r="U99" i="109"/>
  <c r="U100" i="109"/>
  <c r="U89" i="109"/>
  <c r="U81" i="109"/>
  <c r="U27" i="109"/>
  <c r="U78" i="109"/>
  <c r="U73" i="109"/>
  <c r="U30" i="109"/>
  <c r="U21" i="109"/>
  <c r="U33" i="109"/>
  <c r="U83" i="109"/>
  <c r="U54" i="109"/>
  <c r="U96" i="109"/>
  <c r="U90" i="109"/>
  <c r="U46" i="109"/>
  <c r="U64" i="109"/>
  <c r="U98" i="109"/>
  <c r="U36" i="109"/>
  <c r="U44" i="109"/>
  <c r="U71" i="109"/>
  <c r="U57" i="109"/>
  <c r="U94" i="109"/>
  <c r="U47" i="109"/>
  <c r="U60" i="109"/>
  <c r="U101" i="109"/>
  <c r="U41" i="109"/>
  <c r="U26" i="109"/>
  <c r="U56" i="109"/>
  <c r="U29" i="109"/>
  <c r="U48" i="109"/>
  <c r="U18" i="109"/>
  <c r="U50" i="109"/>
  <c r="U70" i="109"/>
  <c r="U31" i="109"/>
  <c r="U58" i="109"/>
  <c r="U82" i="109"/>
  <c r="U88" i="109"/>
  <c r="U20" i="109"/>
  <c r="U28" i="109"/>
  <c r="U40" i="109"/>
  <c r="U85" i="109"/>
  <c r="U87" i="109"/>
  <c r="U37" i="109"/>
  <c r="U66" i="109"/>
  <c r="U69" i="109"/>
  <c r="U80" i="109"/>
  <c r="U23" i="109"/>
  <c r="U13" i="109"/>
  <c r="U92" i="109"/>
  <c r="U68" i="109"/>
  <c r="U79" i="109"/>
  <c r="U91" i="109"/>
  <c r="U75" i="109"/>
  <c r="U15" i="109"/>
  <c r="U102" i="109"/>
  <c r="U84" i="109"/>
  <c r="U86" i="109"/>
  <c r="U12" i="109"/>
  <c r="U10" i="109"/>
  <c r="U9" i="109"/>
  <c r="U14" i="109"/>
  <c r="U39" i="109"/>
  <c r="U105" i="109"/>
  <c r="F40" i="109"/>
  <c r="F101" i="109"/>
  <c r="G101" i="109" s="1"/>
  <c r="E34" i="109"/>
  <c r="O101" i="109"/>
  <c r="F75" i="109"/>
  <c r="G75" i="109" s="1"/>
  <c r="F102" i="109"/>
  <c r="F14" i="109"/>
  <c r="G14" i="109" s="1"/>
  <c r="O102" i="109"/>
  <c r="O86" i="109"/>
  <c r="F58" i="109"/>
  <c r="G58" i="109" s="1"/>
  <c r="E68" i="109"/>
  <c r="O82" i="109"/>
  <c r="O91" i="109"/>
  <c r="O15" i="109"/>
  <c r="E26" i="109"/>
  <c r="G26" i="109" s="1"/>
  <c r="E85" i="109"/>
  <c r="G85" i="109" s="1"/>
  <c r="E93" i="109"/>
  <c r="AH27" i="107"/>
  <c r="F88" i="109"/>
  <c r="G88" i="109" s="1"/>
  <c r="O78" i="109"/>
  <c r="O100" i="109"/>
  <c r="O19" i="109"/>
  <c r="O52" i="109"/>
  <c r="O67" i="109"/>
  <c r="O17" i="109"/>
  <c r="O61" i="109"/>
  <c r="O89" i="109"/>
  <c r="F53" i="109"/>
  <c r="O53" i="109"/>
  <c r="O84" i="109"/>
  <c r="E14" i="106"/>
  <c r="E7" i="106"/>
  <c r="O50" i="109"/>
  <c r="E89" i="109"/>
  <c r="F13" i="109"/>
  <c r="G13" i="109" s="1"/>
  <c r="C19" i="106"/>
  <c r="O63" i="109"/>
  <c r="O12" i="109"/>
  <c r="C5" i="106"/>
  <c r="E69" i="109"/>
  <c r="G69" i="109" s="1"/>
  <c r="F41" i="109"/>
  <c r="E41" i="109"/>
  <c r="O22" i="109"/>
  <c r="O35" i="109"/>
  <c r="F51" i="109"/>
  <c r="E51" i="109"/>
  <c r="F35" i="109"/>
  <c r="E95" i="109"/>
  <c r="E84" i="109"/>
  <c r="F80" i="109"/>
  <c r="O16" i="109"/>
  <c r="E16" i="109"/>
  <c r="E80" i="109"/>
  <c r="C9" i="106"/>
  <c r="O98" i="109"/>
  <c r="C14" i="106"/>
  <c r="C15" i="106"/>
  <c r="O83" i="109"/>
  <c r="C10" i="106"/>
  <c r="E25" i="109"/>
  <c r="O25" i="109"/>
  <c r="O13" i="109"/>
  <c r="E4" i="106"/>
  <c r="O73" i="109"/>
  <c r="F12" i="109"/>
  <c r="O69" i="109"/>
  <c r="F95" i="109"/>
  <c r="F22" i="109"/>
  <c r="O10" i="109"/>
  <c r="E10" i="109"/>
  <c r="C16" i="106"/>
  <c r="C8" i="106"/>
  <c r="C13" i="106"/>
  <c r="C18" i="106"/>
  <c r="E18" i="106"/>
  <c r="E10" i="106"/>
  <c r="E13" i="106"/>
  <c r="O56" i="109"/>
  <c r="E65" i="109"/>
  <c r="F65" i="109"/>
  <c r="O41" i="109"/>
  <c r="O57" i="109"/>
  <c r="E57" i="109"/>
  <c r="G57" i="109" s="1"/>
  <c r="B4" i="122"/>
  <c r="B29" i="121"/>
  <c r="C21" i="123"/>
  <c r="R20" i="121"/>
  <c r="G39" i="109"/>
  <c r="C13" i="123"/>
  <c r="B13" i="123"/>
  <c r="C12" i="123"/>
  <c r="B12" i="123"/>
  <c r="B20" i="123"/>
  <c r="C20" i="123"/>
  <c r="C5" i="123"/>
  <c r="B5" i="123"/>
  <c r="Q13" i="123"/>
  <c r="R13" i="123"/>
  <c r="Q12" i="123"/>
  <c r="R12" i="123"/>
  <c r="B20" i="122"/>
  <c r="C20" i="122"/>
  <c r="G92" i="109"/>
  <c r="AH25" i="107"/>
  <c r="BC5" i="99"/>
  <c r="C142" i="134" l="1"/>
  <c r="C64" i="134"/>
  <c r="F64" i="134" s="1"/>
  <c r="C4" i="134"/>
  <c r="D4" i="134" s="1"/>
  <c r="C85" i="134"/>
  <c r="E85" i="134" s="1"/>
  <c r="C65" i="134"/>
  <c r="D65" i="134" s="1"/>
  <c r="C23" i="134"/>
  <c r="D23" i="134" s="1"/>
  <c r="C121" i="134"/>
  <c r="D121" i="134" s="1"/>
  <c r="C140" i="134"/>
  <c r="F140" i="134" s="1"/>
  <c r="C101" i="134"/>
  <c r="D101" i="134" s="1"/>
  <c r="C43" i="134"/>
  <c r="F43" i="134" s="1"/>
  <c r="C62" i="134"/>
  <c r="F62" i="134" s="1"/>
  <c r="C82" i="134"/>
  <c r="D82" i="134" s="1"/>
  <c r="C159" i="134"/>
  <c r="F159" i="134" s="1"/>
  <c r="C123" i="134"/>
  <c r="E123" i="134" s="1"/>
  <c r="C162" i="134"/>
  <c r="E162" i="134" s="1"/>
  <c r="C46" i="134"/>
  <c r="E46" i="134" s="1"/>
  <c r="C7" i="134"/>
  <c r="C124" i="134"/>
  <c r="F124" i="134" s="1"/>
  <c r="C104" i="134"/>
  <c r="C143" i="134"/>
  <c r="D143" i="134" s="1"/>
  <c r="C84" i="134"/>
  <c r="E84" i="134" s="1"/>
  <c r="C103" i="134"/>
  <c r="D103" i="134" s="1"/>
  <c r="C6" i="134"/>
  <c r="C45" i="134"/>
  <c r="F45" i="134" s="1"/>
  <c r="C26" i="134"/>
  <c r="F26" i="134" s="1"/>
  <c r="C161" i="134"/>
  <c r="E161" i="134" s="1"/>
  <c r="C25" i="134"/>
  <c r="F25" i="134" s="1"/>
  <c r="G53" i="109"/>
  <c r="G93" i="109"/>
  <c r="G10" i="109"/>
  <c r="G16" i="109"/>
  <c r="G40" i="109"/>
  <c r="G22" i="109"/>
  <c r="G25" i="109"/>
  <c r="G35" i="109"/>
  <c r="G89" i="109"/>
  <c r="G68" i="109"/>
  <c r="G34" i="109"/>
  <c r="G12" i="109"/>
  <c r="G102" i="109"/>
  <c r="F162" i="134"/>
  <c r="C160" i="134"/>
  <c r="C24" i="134"/>
  <c r="G84" i="109"/>
  <c r="G95" i="109"/>
  <c r="G41" i="109"/>
  <c r="F24" i="109"/>
  <c r="E24" i="109"/>
  <c r="O24" i="109"/>
  <c r="O99" i="109"/>
  <c r="F99" i="109"/>
  <c r="E99" i="109"/>
  <c r="F30" i="109"/>
  <c r="O30" i="109"/>
  <c r="E30" i="109"/>
  <c r="F74" i="109"/>
  <c r="O74" i="109"/>
  <c r="E74" i="109"/>
  <c r="O77" i="109"/>
  <c r="E77" i="109"/>
  <c r="F77" i="109"/>
  <c r="E81" i="109"/>
  <c r="F81" i="109"/>
  <c r="O81" i="109"/>
  <c r="E11" i="109"/>
  <c r="O11" i="109"/>
  <c r="F11" i="109"/>
  <c r="G65" i="109"/>
  <c r="F60" i="109"/>
  <c r="O60" i="109"/>
  <c r="E60" i="109"/>
  <c r="F46" i="109"/>
  <c r="O46" i="109"/>
  <c r="E46" i="109"/>
  <c r="G80" i="109"/>
  <c r="G51" i="109"/>
  <c r="O87" i="109"/>
  <c r="F87" i="109"/>
  <c r="E87" i="109"/>
  <c r="F94" i="109"/>
  <c r="O94" i="109"/>
  <c r="E94" i="109"/>
  <c r="F21" i="109"/>
  <c r="O21" i="109"/>
  <c r="E21" i="109"/>
  <c r="F96" i="109"/>
  <c r="O96" i="109"/>
  <c r="E96" i="109"/>
  <c r="F64" i="109"/>
  <c r="E64" i="109"/>
  <c r="O64" i="109"/>
  <c r="F47" i="109"/>
  <c r="O47" i="109"/>
  <c r="E47" i="109"/>
  <c r="O18" i="109"/>
  <c r="E18" i="109"/>
  <c r="F18" i="109"/>
  <c r="E36" i="109"/>
  <c r="F36" i="109"/>
  <c r="O36" i="109"/>
  <c r="D64" i="134"/>
  <c r="E64" i="134"/>
  <c r="D142" i="134"/>
  <c r="F142" i="134"/>
  <c r="E142" i="134"/>
  <c r="D6" i="134"/>
  <c r="F6" i="134"/>
  <c r="E6" i="134"/>
  <c r="C141" i="134"/>
  <c r="C122" i="134"/>
  <c r="C102" i="134"/>
  <c r="C83" i="134"/>
  <c r="C63" i="134"/>
  <c r="C44" i="134"/>
  <c r="C5" i="134"/>
  <c r="D84" i="134"/>
  <c r="F123" i="134"/>
  <c r="D123" i="134" l="1"/>
  <c r="E65" i="134"/>
  <c r="F85" i="134"/>
  <c r="E82" i="134"/>
  <c r="D85" i="134"/>
  <c r="F82" i="134"/>
  <c r="D140" i="134"/>
  <c r="E140" i="134"/>
  <c r="E103" i="134"/>
  <c r="D25" i="134"/>
  <c r="E121" i="134"/>
  <c r="F84" i="134"/>
  <c r="D45" i="134"/>
  <c r="F103" i="134"/>
  <c r="D62" i="134"/>
  <c r="E62" i="134"/>
  <c r="E4" i="134"/>
  <c r="F121" i="134"/>
  <c r="F4" i="134"/>
  <c r="D43" i="134"/>
  <c r="D162" i="134"/>
  <c r="D26" i="134"/>
  <c r="E25" i="134"/>
  <c r="E23" i="134"/>
  <c r="E43" i="134"/>
  <c r="F23" i="134"/>
  <c r="F65" i="134"/>
  <c r="D161" i="134"/>
  <c r="E159" i="134"/>
  <c r="F161" i="134"/>
  <c r="E143" i="134"/>
  <c r="D46" i="134"/>
  <c r="E101" i="134"/>
  <c r="D159" i="134"/>
  <c r="F101" i="134"/>
  <c r="F46" i="134"/>
  <c r="E124" i="134"/>
  <c r="D124" i="134"/>
  <c r="F143" i="134"/>
  <c r="D7" i="134"/>
  <c r="E7" i="134"/>
  <c r="F7" i="134"/>
  <c r="E104" i="134"/>
  <c r="F104" i="134"/>
  <c r="D104" i="134"/>
  <c r="E45" i="134"/>
  <c r="E26" i="134"/>
  <c r="G94" i="109"/>
  <c r="G74" i="109"/>
  <c r="G21" i="109"/>
  <c r="G96" i="109"/>
  <c r="G11" i="109"/>
  <c r="G30" i="109"/>
  <c r="F160" i="134"/>
  <c r="E160" i="134"/>
  <c r="D160" i="134"/>
  <c r="G47" i="109"/>
  <c r="G46" i="109"/>
  <c r="G60" i="109"/>
  <c r="G77" i="109"/>
  <c r="G99" i="109"/>
  <c r="G24" i="109"/>
  <c r="G81" i="109"/>
  <c r="G87" i="109"/>
  <c r="G18" i="109"/>
  <c r="G64" i="109"/>
  <c r="G36" i="109"/>
  <c r="F5" i="134"/>
  <c r="E5" i="134"/>
  <c r="D5" i="134"/>
  <c r="F44" i="134"/>
  <c r="E44" i="134"/>
  <c r="D44" i="134"/>
  <c r="F83" i="134"/>
  <c r="E83" i="134"/>
  <c r="D83" i="134"/>
  <c r="F122" i="134"/>
  <c r="E122" i="134"/>
  <c r="D122" i="134"/>
  <c r="F24" i="134"/>
  <c r="E24" i="134"/>
  <c r="D24" i="134"/>
  <c r="F63" i="134"/>
  <c r="E63" i="134"/>
  <c r="D63" i="134"/>
  <c r="F102" i="134"/>
  <c r="E102" i="134"/>
  <c r="D102" i="134"/>
  <c r="F141" i="134"/>
  <c r="E141" i="134"/>
  <c r="D141" i="134"/>
  <c r="AF61" i="141"/>
  <c r="Z61" i="141"/>
  <c r="W61" i="141"/>
  <c r="T61" i="141"/>
  <c r="Q61" i="141"/>
  <c r="N61" i="141"/>
  <c r="K61" i="141"/>
  <c r="H61" i="141"/>
  <c r="E61" i="141"/>
  <c r="AH59" i="141" l="1"/>
  <c r="AH51" i="141"/>
  <c r="AH55" i="141"/>
</calcChain>
</file>

<file path=xl/sharedStrings.xml><?xml version="1.0" encoding="utf-8"?>
<sst xmlns="http://schemas.openxmlformats.org/spreadsheetml/2006/main" count="40921" uniqueCount="12318">
  <si>
    <t>Главный судья</t>
  </si>
  <si>
    <t>Главный секретарь</t>
  </si>
  <si>
    <t>-11</t>
  </si>
  <si>
    <t>№</t>
  </si>
  <si>
    <t>Фамилия, Имя</t>
  </si>
  <si>
    <t>Дата рождения</t>
  </si>
  <si>
    <t>Рейтинг</t>
  </si>
  <si>
    <t>14</t>
  </si>
  <si>
    <t>17</t>
  </si>
  <si>
    <t>24</t>
  </si>
  <si>
    <t>1</t>
  </si>
  <si>
    <t>36</t>
  </si>
  <si>
    <t>15</t>
  </si>
  <si>
    <t>29</t>
  </si>
  <si>
    <t>18</t>
  </si>
  <si>
    <t>4</t>
  </si>
  <si>
    <t>35</t>
  </si>
  <si>
    <t>12</t>
  </si>
  <si>
    <t>25</t>
  </si>
  <si>
    <t>20</t>
  </si>
  <si>
    <t>34</t>
  </si>
  <si>
    <t>37</t>
  </si>
  <si>
    <t>8</t>
  </si>
  <si>
    <t>13</t>
  </si>
  <si>
    <t>33</t>
  </si>
  <si>
    <t>11</t>
  </si>
  <si>
    <t>28</t>
  </si>
  <si>
    <t>22</t>
  </si>
  <si>
    <t>7</t>
  </si>
  <si>
    <t>16</t>
  </si>
  <si>
    <t>10</t>
  </si>
  <si>
    <t>31</t>
  </si>
  <si>
    <t>30</t>
  </si>
  <si>
    <t>26</t>
  </si>
  <si>
    <t>32</t>
  </si>
  <si>
    <t>3</t>
  </si>
  <si>
    <t>21</t>
  </si>
  <si>
    <t>5</t>
  </si>
  <si>
    <t>9</t>
  </si>
  <si>
    <t>27</t>
  </si>
  <si>
    <t>23</t>
  </si>
  <si>
    <t>2</t>
  </si>
  <si>
    <t>6</t>
  </si>
  <si>
    <t>19</t>
  </si>
  <si>
    <t>Город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</si>
  <si>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</si>
  <si>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</si>
  <si>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</si>
  <si>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</si>
  <si>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</si>
  <si>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</si>
  <si>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</si>
  <si>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</si>
  <si>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</si>
  <si>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</si>
  <si>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</si>
  <si>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-27</t>
  </si>
  <si>
    <t>Тренер</t>
  </si>
  <si>
    <t>-26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</si>
  <si>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</si>
  <si>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</si>
  <si>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</si>
  <si>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</si>
  <si>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</si>
  <si>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</si>
  <si>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</si>
  <si>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</si>
  <si>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</si>
  <si>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63</t>
  </si>
  <si>
    <t>64</t>
  </si>
  <si>
    <t>-31</t>
  </si>
  <si>
    <t>Ивонин Денис</t>
  </si>
  <si>
    <t>Пермь</t>
  </si>
  <si>
    <t>Чебоксары</t>
  </si>
  <si>
    <t>Казань</t>
  </si>
  <si>
    <t>Саратов</t>
  </si>
  <si>
    <t>Уфа</t>
  </si>
  <si>
    <t>66</t>
  </si>
  <si>
    <t>67</t>
  </si>
  <si>
    <t>68</t>
  </si>
  <si>
    <t>Ульяновск</t>
  </si>
  <si>
    <t>70</t>
  </si>
  <si>
    <t>71</t>
  </si>
  <si>
    <t>Самара</t>
  </si>
  <si>
    <t>Пенза</t>
  </si>
  <si>
    <t>Гришин Андрей</t>
  </si>
  <si>
    <t>72</t>
  </si>
  <si>
    <t>73</t>
  </si>
  <si>
    <t>74</t>
  </si>
  <si>
    <t>Лист 1.</t>
  </si>
  <si>
    <t>Лист 2.</t>
  </si>
  <si>
    <t>Лист 3.</t>
  </si>
  <si>
    <t>-25</t>
  </si>
  <si>
    <t>-28</t>
  </si>
  <si>
    <t>83</t>
  </si>
  <si>
    <t>84</t>
  </si>
  <si>
    <t>85</t>
  </si>
  <si>
    <t>86</t>
  </si>
  <si>
    <t>-66</t>
  </si>
  <si>
    <t>Н.Новгород</t>
  </si>
  <si>
    <t>Место</t>
  </si>
  <si>
    <t>Фамилия</t>
  </si>
  <si>
    <t>Стрежевой   Томск.о.</t>
  </si>
  <si>
    <t>Краснодар</t>
  </si>
  <si>
    <t>Тольятти</t>
  </si>
  <si>
    <t>Москва</t>
  </si>
  <si>
    <t>Калуга</t>
  </si>
  <si>
    <t>Липецк</t>
  </si>
  <si>
    <t>Скопин  Ряз.о.</t>
  </si>
  <si>
    <t>Ярославль</t>
  </si>
  <si>
    <t>Рыбинск</t>
  </si>
  <si>
    <t>Челябинск</t>
  </si>
  <si>
    <t>Владивосток</t>
  </si>
  <si>
    <t>Екатеринбург</t>
  </si>
  <si>
    <t>Махачкала</t>
  </si>
  <si>
    <t>Курган</t>
  </si>
  <si>
    <t>Аксанов Никита</t>
  </si>
  <si>
    <t>Иркутск</t>
  </si>
  <si>
    <t>Воронеж</t>
  </si>
  <si>
    <t>Благовещенск</t>
  </si>
  <si>
    <t>С.-Петербург</t>
  </si>
  <si>
    <t>Хабаровск</t>
  </si>
  <si>
    <t>Новосибирск</t>
  </si>
  <si>
    <t>Алешкин Антон</t>
  </si>
  <si>
    <t>Котовск  Тамб.о.</t>
  </si>
  <si>
    <t>Алчимбаев Руслан</t>
  </si>
  <si>
    <t>Жуковский</t>
  </si>
  <si>
    <t>Чита</t>
  </si>
  <si>
    <t>Петрозаводск</t>
  </si>
  <si>
    <t>Тихорецк  Кр.кр.</t>
  </si>
  <si>
    <t>Оренбург</t>
  </si>
  <si>
    <t>Антуфьев Максим</t>
  </si>
  <si>
    <t>Иваново</t>
  </si>
  <si>
    <t>Коломна</t>
  </si>
  <si>
    <t>Аскеров Артем</t>
  </si>
  <si>
    <t>Астахов Семен</t>
  </si>
  <si>
    <t>Астрахань</t>
  </si>
  <si>
    <t>Нарткала  КБР</t>
  </si>
  <si>
    <t>Волжский</t>
  </si>
  <si>
    <t>Тула</t>
  </si>
  <si>
    <t>Брянск</t>
  </si>
  <si>
    <t>Зеленогорск  Кр.кр.</t>
  </si>
  <si>
    <t>Владимир</t>
  </si>
  <si>
    <t>Байрамов Олег</t>
  </si>
  <si>
    <t>Вологда</t>
  </si>
  <si>
    <t>Тамбов</t>
  </si>
  <si>
    <t>Бакман Александр</t>
  </si>
  <si>
    <t>Калининград</t>
  </si>
  <si>
    <t>Кавказкая  Кр.кр.</t>
  </si>
  <si>
    <t>Барановский Дмитрий</t>
  </si>
  <si>
    <t>Барботин Вадим</t>
  </si>
  <si>
    <t>Барилкин Иван</t>
  </si>
  <si>
    <t>Баркан Александр</t>
  </si>
  <si>
    <t>Барсуков Кирилл</t>
  </si>
  <si>
    <t>Лодейное Поле  Лен.о.</t>
  </si>
  <si>
    <t>Южноуральск  Чел.о.</t>
  </si>
  <si>
    <t>Батыров Ислам</t>
  </si>
  <si>
    <t>Баушев Максим</t>
  </si>
  <si>
    <t>Башкатов Никита</t>
  </si>
  <si>
    <t>Баштовой Леонид</t>
  </si>
  <si>
    <t>Ханты-Мансийск</t>
  </si>
  <si>
    <t>Бейненсон Глеб</t>
  </si>
  <si>
    <t>Белов Артем</t>
  </si>
  <si>
    <t>Тюмень</t>
  </si>
  <si>
    <t>Ижевск</t>
  </si>
  <si>
    <t>Нальчик</t>
  </si>
  <si>
    <t>Архангельск</t>
  </si>
  <si>
    <t>Бесчастный Юрий</t>
  </si>
  <si>
    <t>Мураши  Кировск.о.</t>
  </si>
  <si>
    <t>Бикеев Даниил</t>
  </si>
  <si>
    <t>Магнитогорск</t>
  </si>
  <si>
    <t>Смоленск</t>
  </si>
  <si>
    <t>Богданов Евгений</t>
  </si>
  <si>
    <t>Курск</t>
  </si>
  <si>
    <t>Брехов Дмитрий</t>
  </si>
  <si>
    <t>Омск</t>
  </si>
  <si>
    <t>Дубна</t>
  </si>
  <si>
    <t>Васильев Фёдор</t>
  </si>
  <si>
    <t>Вдовин Егор</t>
  </si>
  <si>
    <t>Тобольск</t>
  </si>
  <si>
    <t>Кумены  Кировск.о.</t>
  </si>
  <si>
    <t>Виноградов Михаил</t>
  </si>
  <si>
    <t>Виноградов Сергей</t>
  </si>
  <si>
    <t>Абинск  Кр.кр.</t>
  </si>
  <si>
    <t>Воробьев Никита</t>
  </si>
  <si>
    <t>Воронов Максим</t>
  </si>
  <si>
    <t>Подпорожье  Лен.о.</t>
  </si>
  <si>
    <t>Вотинцев Никита</t>
  </si>
  <si>
    <t>Кострома</t>
  </si>
  <si>
    <t>Гальченко Артем</t>
  </si>
  <si>
    <t>Гапиенко Илья</t>
  </si>
  <si>
    <t>Гасанов Арсен</t>
  </si>
  <si>
    <t>Гашников Виталий</t>
  </si>
  <si>
    <t>Герасимов Денис</t>
  </si>
  <si>
    <t>Германов Игорь</t>
  </si>
  <si>
    <t>Гладков Денис</t>
  </si>
  <si>
    <t>Глебов Даниил</t>
  </si>
  <si>
    <t>Глебов Руслан</t>
  </si>
  <si>
    <t>Головлев Николай</t>
  </si>
  <si>
    <t>Гонтарь Михаил</t>
  </si>
  <si>
    <t>Большой Камень</t>
  </si>
  <si>
    <t>Горохов Михаил</t>
  </si>
  <si>
    <t>Новый-Торьял  Марий-Эл</t>
  </si>
  <si>
    <t>Грузинов Вячеслав</t>
  </si>
  <si>
    <t>Губарев Евгений</t>
  </si>
  <si>
    <t>Гусаков Владимир</t>
  </si>
  <si>
    <t>Давлетов Артур</t>
  </si>
  <si>
    <t>Двойников Артем</t>
  </si>
  <si>
    <t>Кемерово</t>
  </si>
  <si>
    <t>Демин Денис</t>
  </si>
  <si>
    <t>Дениз Даниил</t>
  </si>
  <si>
    <t>Денисов Василий</t>
  </si>
  <si>
    <t>Дмитриев Артемий</t>
  </si>
  <si>
    <t>Орехово-Зуево</t>
  </si>
  <si>
    <t>Долгушкин Алексей</t>
  </si>
  <si>
    <t>Дохов Залим</t>
  </si>
  <si>
    <t>Евдокимов Андрей</t>
  </si>
  <si>
    <t>Евсеев Ярослав</t>
  </si>
  <si>
    <t>Егоршев Иван</t>
  </si>
  <si>
    <t>Ерепкин Виталий</t>
  </si>
  <si>
    <t>Белоусово  Кал.о.</t>
  </si>
  <si>
    <t>Ерзов Григорий</t>
  </si>
  <si>
    <t>Саров  Ниж.о.</t>
  </si>
  <si>
    <t>Ермаков Михаил</t>
  </si>
  <si>
    <t>Ермошенко Артем</t>
  </si>
  <si>
    <t>Еропкинов Виталий</t>
  </si>
  <si>
    <t>Ершов Вячеслав</t>
  </si>
  <si>
    <t>Йошкар-Ола</t>
  </si>
  <si>
    <t>Жуков Святослав</t>
  </si>
  <si>
    <t>Журомский Артем</t>
  </si>
  <si>
    <t>Зайцев Владислав</t>
  </si>
  <si>
    <t>Богородск  Ниж.о.</t>
  </si>
  <si>
    <t>Захаров Владимир</t>
  </si>
  <si>
    <t>Зеленевский Вадим</t>
  </si>
  <si>
    <t>Зеткин Евгений</t>
  </si>
  <si>
    <t>Зиганшин Роберт</t>
  </si>
  <si>
    <t>Злобин Евгений</t>
  </si>
  <si>
    <t>Ибрагимов Артур</t>
  </si>
  <si>
    <t>Иванов Александр</t>
  </si>
  <si>
    <t>Иванов Алексей</t>
  </si>
  <si>
    <t>Иванов Дмитрий</t>
  </si>
  <si>
    <t>Сарманово  Тат</t>
  </si>
  <si>
    <t>Исаков Илья</t>
  </si>
  <si>
    <t>Копейск  Чел.о.</t>
  </si>
  <si>
    <t>Искендеров Аскер</t>
  </si>
  <si>
    <t>Калитин Вячеслав</t>
  </si>
  <si>
    <t>Черногорск  Хак.</t>
  </si>
  <si>
    <t>Качанов Максим</t>
  </si>
  <si>
    <t>Кашкин Егор</t>
  </si>
  <si>
    <t>Князев Андрей</t>
  </si>
  <si>
    <t>Кобзин Василий</t>
  </si>
  <si>
    <t>Геленджик</t>
  </si>
  <si>
    <t>Кокорев Иван</t>
  </si>
  <si>
    <t>Коляков Кирилл</t>
  </si>
  <si>
    <t>Кондратенко Александр</t>
  </si>
  <si>
    <t>Кортосов Михаил</t>
  </si>
  <si>
    <t>Косенков Артем</t>
  </si>
  <si>
    <t>Южно-Сахалинск</t>
  </si>
  <si>
    <t>Котов Антон</t>
  </si>
  <si>
    <t>Кочетков Никита</t>
  </si>
  <si>
    <t>Кравченко Дмитрий</t>
  </si>
  <si>
    <t>Крамаренко Герман</t>
  </si>
  <si>
    <t>Крестьянинов Роман</t>
  </si>
  <si>
    <t>Круглов Дмитрий</t>
  </si>
  <si>
    <t>Круть Исаак</t>
  </si>
  <si>
    <t>Кузьмин Георгий</t>
  </si>
  <si>
    <t>Кукса Роман</t>
  </si>
  <si>
    <t>Кулаков Данила</t>
  </si>
  <si>
    <t>Кучин Станислав</t>
  </si>
  <si>
    <t>Лазарев  Петр</t>
  </si>
  <si>
    <t>Лахвич Тимур</t>
  </si>
  <si>
    <t>Лебедев Денис</t>
  </si>
  <si>
    <t>Липаткин Алексей</t>
  </si>
  <si>
    <t>Липатников Игорь</t>
  </si>
  <si>
    <t>Лисицын Дмитрий</t>
  </si>
  <si>
    <t>Логванов Роман</t>
  </si>
  <si>
    <t>Ломакин Игорь</t>
  </si>
  <si>
    <t>Лялин Никита</t>
  </si>
  <si>
    <t>Майнаков Никита</t>
  </si>
  <si>
    <t>Максимов Максим</t>
  </si>
  <si>
    <t>Малюгин Александр</t>
  </si>
  <si>
    <t>Маслов Даниил</t>
  </si>
  <si>
    <t>Осинники   Кем.обл.</t>
  </si>
  <si>
    <t>Матченко Александр</t>
  </si>
  <si>
    <t>Медников Илья</t>
  </si>
  <si>
    <t>Мелконян Артур</t>
  </si>
  <si>
    <t>Мельников Владислав</t>
  </si>
  <si>
    <t>Минаков Павел</t>
  </si>
  <si>
    <t>Мирюгин Андрей</t>
  </si>
  <si>
    <t>Морозов Михаил</t>
  </si>
  <si>
    <t>Новочебоксарск</t>
  </si>
  <si>
    <t>Мыльников Игорь</t>
  </si>
  <si>
    <t>Наумов Иван</t>
  </si>
  <si>
    <t>Наумов Николай</t>
  </si>
  <si>
    <t>Некрасов Роман</t>
  </si>
  <si>
    <t>Никитин Григорий</t>
  </si>
  <si>
    <t>Новиков Данил</t>
  </si>
  <si>
    <t>Овчинников Егор</t>
  </si>
  <si>
    <t>Орехов Евгений</t>
  </si>
  <si>
    <t>Осадчий Дмитрий</t>
  </si>
  <si>
    <t>Осетрин Александр</t>
  </si>
  <si>
    <t>Осколков Дмитрий</t>
  </si>
  <si>
    <t>Останний Владислав</t>
  </si>
  <si>
    <t>Пак Василий</t>
  </si>
  <si>
    <t>Панарин Георгий</t>
  </si>
  <si>
    <t>Панферьев Максим</t>
  </si>
  <si>
    <t>Паршиков Тихон</t>
  </si>
  <si>
    <t>Пашков Степан</t>
  </si>
  <si>
    <t>Подборский Даниил</t>
  </si>
  <si>
    <t>Полозов Егор</t>
  </si>
  <si>
    <t>Полтарыхин Матвей</t>
  </si>
  <si>
    <t>Пугачев Никита</t>
  </si>
  <si>
    <t>Райзберг Илья</t>
  </si>
  <si>
    <t>Ракуленко Антон</t>
  </si>
  <si>
    <t>Романов Павел</t>
  </si>
  <si>
    <t>Рябухин Дмитрий</t>
  </si>
  <si>
    <t>Сабиров Айнур</t>
  </si>
  <si>
    <t>Самусько Сергей</t>
  </si>
  <si>
    <t>Сахаров Александр</t>
  </si>
  <si>
    <t>Сачков Степан</t>
  </si>
  <si>
    <t>Семенов Илья</t>
  </si>
  <si>
    <t>Боровичи  Новг.о.</t>
  </si>
  <si>
    <t>Семеркин Илья</t>
  </si>
  <si>
    <t>Сергеев Андрей</t>
  </si>
  <si>
    <t>Серебряков Дмитрий</t>
  </si>
  <si>
    <t>Серов Роман</t>
  </si>
  <si>
    <t>Серпухов Юрий</t>
  </si>
  <si>
    <t>Сидоров Александр</t>
  </si>
  <si>
    <t>Сидоров Клим</t>
  </si>
  <si>
    <t>Симкин Роман</t>
  </si>
  <si>
    <t>Синицын Даниил</t>
  </si>
  <si>
    <t>Соколов Андрей</t>
  </si>
  <si>
    <t>Соколов Дмитрий</t>
  </si>
  <si>
    <t>Соколов Никита</t>
  </si>
  <si>
    <t>Сокольцов Руслан</t>
  </si>
  <si>
    <t>Сорогин Роман</t>
  </si>
  <si>
    <t>Соянок Владислав</t>
  </si>
  <si>
    <t>Старцев Алексей</t>
  </si>
  <si>
    <t>Стешенко Степан</t>
  </si>
  <si>
    <t>Суворов Александр</t>
  </si>
  <si>
    <t>Сучков Александр</t>
  </si>
  <si>
    <t>Тарасов Дмитрий</t>
  </si>
  <si>
    <t>Телушкин Владимир</t>
  </si>
  <si>
    <t>Темботов Аскер</t>
  </si>
  <si>
    <t>Терехов Тимофей</t>
  </si>
  <si>
    <t>Тимофеев Андрей</t>
  </si>
  <si>
    <t>Титов Иван</t>
  </si>
  <si>
    <t>Тихонов Артем</t>
  </si>
  <si>
    <t>Топоев Алексей</t>
  </si>
  <si>
    <t>Трифонов Владислав</t>
  </si>
  <si>
    <t>Труфанов Максим</t>
  </si>
  <si>
    <t>Туков Арсен</t>
  </si>
  <si>
    <t>Урусбиев Султан</t>
  </si>
  <si>
    <t>Ухалов Геннадий</t>
  </si>
  <si>
    <t>Федин Тимур</t>
  </si>
  <si>
    <t>Федоркин Василий</t>
  </si>
  <si>
    <t>Филатов Иван</t>
  </si>
  <si>
    <t>Филиппов Александр</t>
  </si>
  <si>
    <t>Хасанов Марат</t>
  </si>
  <si>
    <t>Цупрунов Кирилл</t>
  </si>
  <si>
    <t>Чеглаков Александр</t>
  </si>
  <si>
    <t>Черепанов Павел</t>
  </si>
  <si>
    <t>Черников Семен</t>
  </si>
  <si>
    <t>Чиканков Сергей</t>
  </si>
  <si>
    <t>Чумак Владимир</t>
  </si>
  <si>
    <t>Боровский  Тюм.о.</t>
  </si>
  <si>
    <t>Чучалин Евгений</t>
  </si>
  <si>
    <t>Шамайский Степан</t>
  </si>
  <si>
    <t>Шапкин Виктор</t>
  </si>
  <si>
    <t>Шемелин Егор</t>
  </si>
  <si>
    <t>Шило Олег</t>
  </si>
  <si>
    <t>Шталев Павел</t>
  </si>
  <si>
    <t>Шубников Дмитрий</t>
  </si>
  <si>
    <t>Шувалов Василий</t>
  </si>
  <si>
    <t>Шувалов Егор</t>
  </si>
  <si>
    <t>Юдин Дмитрий</t>
  </si>
  <si>
    <t>Новошахтинск  Рост.о.</t>
  </si>
  <si>
    <t>Степное  Сар.о.</t>
  </si>
  <si>
    <t>Артемов Алексей</t>
  </si>
  <si>
    <t>Веселый  Рост.о.</t>
  </si>
  <si>
    <t>Березан Дмитрий</t>
  </si>
  <si>
    <t>Бибиков Андрей</t>
  </si>
  <si>
    <t>Бондаренко Владислав</t>
  </si>
  <si>
    <t>Бурдин Александр</t>
  </si>
  <si>
    <t>Ганин Виталий</t>
  </si>
  <si>
    <t>Гнездилов Антон</t>
  </si>
  <si>
    <t>Гречишкин Сергей</t>
  </si>
  <si>
    <t>Демин Захар</t>
  </si>
  <si>
    <t>Егоров Олег</t>
  </si>
  <si>
    <t>Елтратов Денис</t>
  </si>
  <si>
    <t>Задрин Дмитрий</t>
  </si>
  <si>
    <t>Иванов Михаил</t>
  </si>
  <si>
    <t>Исаков Андрей</t>
  </si>
  <si>
    <t>Кашин Дмитрий</t>
  </si>
  <si>
    <t>Кемежук Денис</t>
  </si>
  <si>
    <t>Кожин Илья</t>
  </si>
  <si>
    <t>Кузнецов Алексей</t>
  </si>
  <si>
    <t>Кулыгин  Александр</t>
  </si>
  <si>
    <t>Кырмызы Александр</t>
  </si>
  <si>
    <t>Левайац Дмитрий</t>
  </si>
  <si>
    <t>Левин Александр</t>
  </si>
  <si>
    <t>Любавин Владимир</t>
  </si>
  <si>
    <t>Муравлев Ярослав</t>
  </si>
  <si>
    <t>Мясников Илья</t>
  </si>
  <si>
    <t>Резниченко Александр</t>
  </si>
  <si>
    <t>Рогов Олег</t>
  </si>
  <si>
    <t>Родин Родион</t>
  </si>
  <si>
    <t>Савенков Никита</t>
  </si>
  <si>
    <t>Сафошин Дмитрий</t>
  </si>
  <si>
    <t>Смирнов Илья</t>
  </si>
  <si>
    <t>Смирнов Михаил</t>
  </si>
  <si>
    <t>Сутормин Тимур</t>
  </si>
  <si>
    <t>Терещенко Максим</t>
  </si>
  <si>
    <t>Титов Даниил</t>
  </si>
  <si>
    <t>Тюрин Георгий</t>
  </si>
  <si>
    <t>Царук Владимир</t>
  </si>
  <si>
    <t>Цой Станислав</t>
  </si>
  <si>
    <t>Чирков Никита</t>
  </si>
  <si>
    <t>Швемлер Яков</t>
  </si>
  <si>
    <t>Шеремет Егор</t>
  </si>
  <si>
    <t>Шлипаков Алексей</t>
  </si>
  <si>
    <t>Авдошин Андрей</t>
  </si>
  <si>
    <t>Автомонов Никита</t>
  </si>
  <si>
    <t>Аисов Леонид</t>
  </si>
  <si>
    <t>Аллахвердиев Владимир</t>
  </si>
  <si>
    <t>Ананьев Егор</t>
  </si>
  <si>
    <t>Андреев Никита</t>
  </si>
  <si>
    <t>Бийск  Алт.кр.</t>
  </si>
  <si>
    <t>Артеменко Никита</t>
  </si>
  <si>
    <t>Артемьев Илья</t>
  </si>
  <si>
    <t>Архипов Евгений</t>
  </si>
  <si>
    <t>Архипов Иван</t>
  </si>
  <si>
    <t>Бабушкин Александр</t>
  </si>
  <si>
    <t>Багиян Александр</t>
  </si>
  <si>
    <t>Баженов Никита</t>
  </si>
  <si>
    <t>Бакум Дмитрий</t>
  </si>
  <si>
    <t>Бандин Владислав</t>
  </si>
  <si>
    <t>Беров Азамат</t>
  </si>
  <si>
    <t>Переславль-Залесский</t>
  </si>
  <si>
    <t>Бочкарев Никита</t>
  </si>
  <si>
    <t>Брюхно Виталий</t>
  </si>
  <si>
    <t>Бурдин Виталий</t>
  </si>
  <si>
    <t>Бурмистров Антон</t>
  </si>
  <si>
    <t>Бурмистров Артем</t>
  </si>
  <si>
    <t>Вантеев Даниил</t>
  </si>
  <si>
    <t>Ванькин Сергей</t>
  </si>
  <si>
    <t>Каменногорск  Лен.о.</t>
  </si>
  <si>
    <t>Васильев Дмитрий</t>
  </si>
  <si>
    <t>Васильев Игорь</t>
  </si>
  <si>
    <t>Васин Илья</t>
  </si>
  <si>
    <t>Волков Денис</t>
  </si>
  <si>
    <t>Волков Руслан</t>
  </si>
  <si>
    <t>Воронин Дмитрий</t>
  </si>
  <si>
    <t>Воронин Иван</t>
  </si>
  <si>
    <t>Вязников Иван</t>
  </si>
  <si>
    <t>Гаврик Артем</t>
  </si>
  <si>
    <t>Гасанов Илья</t>
  </si>
  <si>
    <t>Гасымов Гэйбат</t>
  </si>
  <si>
    <t>Глазков Артем</t>
  </si>
  <si>
    <t>Глухов  Николай</t>
  </si>
  <si>
    <t>Гопкало Павел</t>
  </si>
  <si>
    <t>Горев Михаил</t>
  </si>
  <si>
    <t>Грачев Николай</t>
  </si>
  <si>
    <t>Грудина Сергей</t>
  </si>
  <si>
    <t>Губашиев Адмир</t>
  </si>
  <si>
    <t>Дигодьев Александр</t>
  </si>
  <si>
    <t>Добкевич Илья</t>
  </si>
  <si>
    <t>Домолазов Тимофей</t>
  </si>
  <si>
    <t>Дрегия Сергей</t>
  </si>
  <si>
    <t>Сергач</t>
  </si>
  <si>
    <t>Евсюков Леонид</t>
  </si>
  <si>
    <t>Егоров Артем</t>
  </si>
  <si>
    <t>Егоров Дмитрий</t>
  </si>
  <si>
    <t>Ершов Даниил</t>
  </si>
  <si>
    <t>Жаворонков Александр</t>
  </si>
  <si>
    <t>Жалковский Александр</t>
  </si>
  <si>
    <t>Жирнов Юрий</t>
  </si>
  <si>
    <t>Зайцев Иван</t>
  </si>
  <si>
    <t>Заличев Влад</t>
  </si>
  <si>
    <t>Захарычев Кирилл</t>
  </si>
  <si>
    <t>Зернов Михаил</t>
  </si>
  <si>
    <t>Зиганшин Нияз</t>
  </si>
  <si>
    <t>Иванов Роман</t>
  </si>
  <si>
    <t>Ильин Денис</t>
  </si>
  <si>
    <t>Ильин Дмитрий</t>
  </si>
  <si>
    <t>Инджикян Максим</t>
  </si>
  <si>
    <t>Исаев Василий</t>
  </si>
  <si>
    <t>Истомин Михаил</t>
  </si>
  <si>
    <t>Кагазежев Асхад</t>
  </si>
  <si>
    <t>Казаков Александр</t>
  </si>
  <si>
    <t>Казенас Герман</t>
  </si>
  <si>
    <t>Казимов Фекрет</t>
  </si>
  <si>
    <t>Карзанов Данила</t>
  </si>
  <si>
    <t>Катаев Виталий</t>
  </si>
  <si>
    <t>Кержковский Алексей</t>
  </si>
  <si>
    <t>Киларев Максим</t>
  </si>
  <si>
    <t>Китаев Вадим</t>
  </si>
  <si>
    <t>Князев Егор</t>
  </si>
  <si>
    <t>Кодухов Алексей</t>
  </si>
  <si>
    <t>Козлов Александр</t>
  </si>
  <si>
    <t>Козлов Евгений</t>
  </si>
  <si>
    <t>Козырев Алексей</t>
  </si>
  <si>
    <t>Коковихин Кирилл</t>
  </si>
  <si>
    <t>Колесниченко Вадим</t>
  </si>
  <si>
    <t>Колесниченко Владимир</t>
  </si>
  <si>
    <t>Колесниченко Сергей</t>
  </si>
  <si>
    <t>Колпашников Денис</t>
  </si>
  <si>
    <t>Коменда Владислав</t>
  </si>
  <si>
    <t>Коптиков Роман</t>
  </si>
  <si>
    <t>Костоусов Лев</t>
  </si>
  <si>
    <t>Кочелаев Алексей</t>
  </si>
  <si>
    <t>Кремнев Владимир</t>
  </si>
  <si>
    <t>Кремнев Илья</t>
  </si>
  <si>
    <t>Крылов  Максим</t>
  </si>
  <si>
    <t>Кужекин Федор</t>
  </si>
  <si>
    <t>Кузнецов Глеб</t>
  </si>
  <si>
    <t>Кузьминский Семен</t>
  </si>
  <si>
    <t>Курбонбеков Амид</t>
  </si>
  <si>
    <t>Леонов Владислав</t>
  </si>
  <si>
    <t>Липкин Дмитрий</t>
  </si>
  <si>
    <t>Логинов Юрий</t>
  </si>
  <si>
    <t>Лоос Александр</t>
  </si>
  <si>
    <t>Макаров Максим</t>
  </si>
  <si>
    <t>Маков Сергей</t>
  </si>
  <si>
    <t>Малец Семен</t>
  </si>
  <si>
    <t>Маликов Айдар</t>
  </si>
  <si>
    <t>Мальцев Даниил</t>
  </si>
  <si>
    <t>Мартыненко Роман</t>
  </si>
  <si>
    <t>Маслов Антон</t>
  </si>
  <si>
    <t>Матвеев Константин</t>
  </si>
  <si>
    <t>Машин Вадим</t>
  </si>
  <si>
    <t>Мельниченко Дмитрий</t>
  </si>
  <si>
    <t>Мешков Никита</t>
  </si>
  <si>
    <t>Милкин Максим</t>
  </si>
  <si>
    <t>Мирющенко Денис</t>
  </si>
  <si>
    <t>Михайлов Глеб</t>
  </si>
  <si>
    <t>Михайлов Илья</t>
  </si>
  <si>
    <t>Морин Игорь</t>
  </si>
  <si>
    <t>Морозов Евгений</t>
  </si>
  <si>
    <t>Московцев Никита</t>
  </si>
  <si>
    <t>Муров Максим</t>
  </si>
  <si>
    <t>Мялкин Дмитрий</t>
  </si>
  <si>
    <t>Назарько Иван</t>
  </si>
  <si>
    <t>Неклюдов Андрей</t>
  </si>
  <si>
    <t>Неупокоев Виктор</t>
  </si>
  <si>
    <t>Никитин Артемий</t>
  </si>
  <si>
    <t>Николаев Андрей</t>
  </si>
  <si>
    <t>Новак Алексей</t>
  </si>
  <si>
    <t>Нурматов Даниил</t>
  </si>
  <si>
    <t>Нуруллин Аскар</t>
  </si>
  <si>
    <t>Орешин Степан</t>
  </si>
  <si>
    <t>Осипов Дмитрий</t>
  </si>
  <si>
    <t>Осмоловский Всеволод</t>
  </si>
  <si>
    <t>Пак Мирон</t>
  </si>
  <si>
    <t>Пантелеев Дмитрий</t>
  </si>
  <si>
    <t>Пахомов Владимир</t>
  </si>
  <si>
    <t>Перов Никита</t>
  </si>
  <si>
    <t>Пестравкин Артем</t>
  </si>
  <si>
    <t>Петров Павел</t>
  </si>
  <si>
    <t>Нягань   ХМАО</t>
  </si>
  <si>
    <t>Петрушков Илья</t>
  </si>
  <si>
    <t>Пикалов Владислав</t>
  </si>
  <si>
    <t>Плохотников Павел</t>
  </si>
  <si>
    <t>Плюснин Кирилл</t>
  </si>
  <si>
    <t>Побегайло Платон</t>
  </si>
  <si>
    <t>Подшивалов Леонид</t>
  </si>
  <si>
    <t>Понуровский Семен</t>
  </si>
  <si>
    <t>Попов Андрей</t>
  </si>
  <si>
    <t>Попов Дмитрий</t>
  </si>
  <si>
    <t>Потапов Артем</t>
  </si>
  <si>
    <t>Прокофьев Павел</t>
  </si>
  <si>
    <t>Прокофьев Сергей</t>
  </si>
  <si>
    <t>Пронин Сергей</t>
  </si>
  <si>
    <t>Проничев Алексей</t>
  </si>
  <si>
    <t>Пучков Игнат</t>
  </si>
  <si>
    <t>Рассадин Иван</t>
  </si>
  <si>
    <t>Рахаев Ислам</t>
  </si>
  <si>
    <t>Рожин Антон</t>
  </si>
  <si>
    <t>Ряттель Егор</t>
  </si>
  <si>
    <t>Савинов Дмитрий</t>
  </si>
  <si>
    <t>Самсонов Михаил</t>
  </si>
  <si>
    <t>Санько Максим</t>
  </si>
  <si>
    <t>Сафиуллин Рамиль</t>
  </si>
  <si>
    <t>Сванишвили Георгий</t>
  </si>
  <si>
    <t>Сельков Даниил</t>
  </si>
  <si>
    <t>Семенистый Юрий</t>
  </si>
  <si>
    <t>Сивоволенко Владислав</t>
  </si>
  <si>
    <t>Сидоркин Григорий</t>
  </si>
  <si>
    <t>Симонов Никита</t>
  </si>
  <si>
    <t>Слепнев Константин</t>
  </si>
  <si>
    <t>Слободинский Денис</t>
  </si>
  <si>
    <t>Солодкий Михаил</t>
  </si>
  <si>
    <t>Супоня Алексей</t>
  </si>
  <si>
    <t>Суржинский Павел</t>
  </si>
  <si>
    <t>Темботов Астемир</t>
  </si>
  <si>
    <t>Терентьев Григорий</t>
  </si>
  <si>
    <t>Тилле Герман</t>
  </si>
  <si>
    <t>Ткалич Павел</t>
  </si>
  <si>
    <t>Ульянко Виктор</t>
  </si>
  <si>
    <t>Фаттахов Дмитрий</t>
  </si>
  <si>
    <t>Фаттахов Руслан</t>
  </si>
  <si>
    <t>Фомин Станислав</t>
  </si>
  <si>
    <t>Хабовец Алексей</t>
  </si>
  <si>
    <t>Халмакшинов Евгений</t>
  </si>
  <si>
    <t>Худяк Владимир</t>
  </si>
  <si>
    <t>Хужоков Айдамир</t>
  </si>
  <si>
    <t>Царьков Олег</t>
  </si>
  <si>
    <t>Циркуль Эдуард</t>
  </si>
  <si>
    <t>Цыран Михаил</t>
  </si>
  <si>
    <t>Чаузов Кирилл</t>
  </si>
  <si>
    <t>Чванов Александр</t>
  </si>
  <si>
    <t>Черепанов Дмитрий</t>
  </si>
  <si>
    <t>Черновалов Виктор</t>
  </si>
  <si>
    <t>Черчик Вадим</t>
  </si>
  <si>
    <t>Усолье-Сибирское</t>
  </si>
  <si>
    <t>Чистыгашев Андрей</t>
  </si>
  <si>
    <t>Чистяков Игорь</t>
  </si>
  <si>
    <t>Чупров Борис</t>
  </si>
  <si>
    <t>Чучунов Павел</t>
  </si>
  <si>
    <t>Шаблов Михаил</t>
  </si>
  <si>
    <t>Шалаев Александр</t>
  </si>
  <si>
    <t>Шалаев Антон</t>
  </si>
  <si>
    <t>Шамин Александр</t>
  </si>
  <si>
    <t>Шениберг Илья</t>
  </si>
  <si>
    <t>Шустров Дмитрий</t>
  </si>
  <si>
    <t>Щигорцов Дмитрий</t>
  </si>
  <si>
    <t>Элерт Денис</t>
  </si>
  <si>
    <t>Юрин Артем</t>
  </si>
  <si>
    <t>Яковлев Никита</t>
  </si>
  <si>
    <t>Ярочкин Михаил</t>
  </si>
  <si>
    <t>33 место</t>
  </si>
  <si>
    <t>34 место</t>
  </si>
  <si>
    <t>35 место</t>
  </si>
  <si>
    <t>37 место</t>
  </si>
  <si>
    <t>38 место</t>
  </si>
  <si>
    <t>39 место</t>
  </si>
  <si>
    <t>40 место</t>
  </si>
  <si>
    <t>41 место</t>
  </si>
  <si>
    <t>42 место</t>
  </si>
  <si>
    <t>43 место</t>
  </si>
  <si>
    <t>44 место</t>
  </si>
  <si>
    <t>45 место</t>
  </si>
  <si>
    <t>46 место</t>
  </si>
  <si>
    <t>47 место</t>
  </si>
  <si>
    <t>48 место</t>
  </si>
  <si>
    <t>49 место</t>
  </si>
  <si>
    <t>50 место</t>
  </si>
  <si>
    <t>51 место</t>
  </si>
  <si>
    <t>52 место</t>
  </si>
  <si>
    <t>53 место</t>
  </si>
  <si>
    <t>54 место</t>
  </si>
  <si>
    <t>55 место</t>
  </si>
  <si>
    <t>56 место</t>
  </si>
  <si>
    <t>57 место</t>
  </si>
  <si>
    <t>58 место</t>
  </si>
  <si>
    <t>59 место</t>
  </si>
  <si>
    <t>60 место</t>
  </si>
  <si>
    <t>61 место</t>
  </si>
  <si>
    <t>62 место</t>
  </si>
  <si>
    <t>63 место</t>
  </si>
  <si>
    <t>64 место</t>
  </si>
  <si>
    <t>Сабы  Тат.</t>
  </si>
  <si>
    <t>Антюфеев Дмитрий</t>
  </si>
  <si>
    <t>Аристов Алексей</t>
  </si>
  <si>
    <t>Афимченко Иван</t>
  </si>
  <si>
    <t>Башаров Айрат</t>
  </si>
  <si>
    <t>Белагин Сергей</t>
  </si>
  <si>
    <t>Боков Антон</t>
  </si>
  <si>
    <t>Борисов Кирилл</t>
  </si>
  <si>
    <t>Борькин Илья</t>
  </si>
  <si>
    <t>Брекин Денис</t>
  </si>
  <si>
    <t>Булатов Денис</t>
  </si>
  <si>
    <t>Бурейко Даниил</t>
  </si>
  <si>
    <t>Быстров Леонид</t>
  </si>
  <si>
    <t>Вагапов Андрей</t>
  </si>
  <si>
    <t>Васильев Сергей</t>
  </si>
  <si>
    <t>Васюков Константин</t>
  </si>
  <si>
    <t>Владыкин Алексей</t>
  </si>
  <si>
    <t>Волк Давид</t>
  </si>
  <si>
    <t>Волошин Максим</t>
  </si>
  <si>
    <t>Воробьев Андрей</t>
  </si>
  <si>
    <t>Воронов Дмитрий</t>
  </si>
  <si>
    <t>ГАБЛИЯ Леон</t>
  </si>
  <si>
    <t>Герасимов Всеволод</t>
  </si>
  <si>
    <t>Гиллен Александр</t>
  </si>
  <si>
    <t>Гимадеев Раиф</t>
  </si>
  <si>
    <t>Глухов Кирилл</t>
  </si>
  <si>
    <t>Горюнов Егор</t>
  </si>
  <si>
    <t>Гребнев Максим</t>
  </si>
  <si>
    <t>Дерников Ефим</t>
  </si>
  <si>
    <t>Донской Игорь</t>
  </si>
  <si>
    <t>Дубков Илья</t>
  </si>
  <si>
    <t>Дульдаев Эмиль</t>
  </si>
  <si>
    <t>Егоров Евгений</t>
  </si>
  <si>
    <t>Зайцев Даниил</t>
  </si>
  <si>
    <t>Закиев Рустам</t>
  </si>
  <si>
    <t>Захаров Даниил</t>
  </si>
  <si>
    <t>Зибарев Егор</t>
  </si>
  <si>
    <t>Зотов Алексей</t>
  </si>
  <si>
    <t>Иванов Руслан</t>
  </si>
  <si>
    <t>Ломоносов  Лен.о.</t>
  </si>
  <si>
    <t>Каган Михаил</t>
  </si>
  <si>
    <t>Кинев Антон</t>
  </si>
  <si>
    <t>Кириченко Арсений</t>
  </si>
  <si>
    <t>Усть-Каменогорск</t>
  </si>
  <si>
    <t>Коньков Семен</t>
  </si>
  <si>
    <t>Корнилов Кирилл</t>
  </si>
  <si>
    <t>Корсунцев Валентин</t>
  </si>
  <si>
    <t>Кочетков Дмитрий</t>
  </si>
  <si>
    <t>Красивичев Антон</t>
  </si>
  <si>
    <t>Кудряшов Максим</t>
  </si>
  <si>
    <t>Кузнецов Андрей</t>
  </si>
  <si>
    <t>Лебедев Павел</t>
  </si>
  <si>
    <t>Левицкий Леонид</t>
  </si>
  <si>
    <t>Лысач Станислав</t>
  </si>
  <si>
    <t>Матвеев Ролан</t>
  </si>
  <si>
    <t>Буинск  Тат</t>
  </si>
  <si>
    <t>Махнач Федор</t>
  </si>
  <si>
    <t>Машичев Андрей</t>
  </si>
  <si>
    <t>Моськин Валерий</t>
  </si>
  <si>
    <t>Мурадов Руслан</t>
  </si>
  <si>
    <t>Неледов Илья</t>
  </si>
  <si>
    <t>Носов Петр</t>
  </si>
  <si>
    <t>Павлов Артем</t>
  </si>
  <si>
    <t>Петрушин Антон</t>
  </si>
  <si>
    <t>Пигулевский Даниил</t>
  </si>
  <si>
    <t>Пойда Арсений</t>
  </si>
  <si>
    <t>Поткин Александр</t>
  </si>
  <si>
    <t>Поярков Олег</t>
  </si>
  <si>
    <t>Прокоп Александр</t>
  </si>
  <si>
    <t>Прошкин Никита</t>
  </si>
  <si>
    <t>Пустобояров Артем</t>
  </si>
  <si>
    <t>Репьев Андрей</t>
  </si>
  <si>
    <t>Рубцов Алексей</t>
  </si>
  <si>
    <t>Рябухин Сергей</t>
  </si>
  <si>
    <t>Савенков Георгий</t>
  </si>
  <si>
    <t>Салахиев Дамир</t>
  </si>
  <si>
    <t>Самойлов Роман</t>
  </si>
  <si>
    <t>Сахабиев Асхат</t>
  </si>
  <si>
    <t>Севостьянов Максим</t>
  </si>
  <si>
    <t>Сердюков Сергей</t>
  </si>
  <si>
    <t>Серебрянский Евгений</t>
  </si>
  <si>
    <t>Синичкин Егор</t>
  </si>
  <si>
    <t>Сотников Кирилл</t>
  </si>
  <si>
    <t>Соцков Степан</t>
  </si>
  <si>
    <t>Стадников Андрей</t>
  </si>
  <si>
    <t>Стафеев Павел</t>
  </si>
  <si>
    <t>Терехов Кирилл</t>
  </si>
  <si>
    <t>Урсакий Дмитрий</t>
  </si>
  <si>
    <t>Филонов Егор</t>
  </si>
  <si>
    <t>Хасбулатов Халид</t>
  </si>
  <si>
    <t>Хосяинов Роман</t>
  </si>
  <si>
    <t>Хромов Юрий</t>
  </si>
  <si>
    <t>Черемискин Кирилл</t>
  </si>
  <si>
    <t>Шакиров Камиль</t>
  </si>
  <si>
    <t>Ширшов Александр</t>
  </si>
  <si>
    <t>Ширяев Андрей</t>
  </si>
  <si>
    <t>Шкрабалюк Константин</t>
  </si>
  <si>
    <t>58</t>
  </si>
  <si>
    <t>59</t>
  </si>
  <si>
    <t>60</t>
  </si>
  <si>
    <t>61</t>
  </si>
  <si>
    <t>62</t>
  </si>
  <si>
    <t>65</t>
  </si>
  <si>
    <t>69</t>
  </si>
  <si>
    <t>ЮНОШИ</t>
  </si>
  <si>
    <t>1 МЕСТО В ГРУППЕ</t>
  </si>
  <si>
    <t>Группа №1</t>
  </si>
  <si>
    <t>Группа №2</t>
  </si>
  <si>
    <t>Группа №3</t>
  </si>
  <si>
    <t>Группа №4</t>
  </si>
  <si>
    <t>Группа №5</t>
  </si>
  <si>
    <t>Группа №6</t>
  </si>
  <si>
    <t>Группа №7</t>
  </si>
  <si>
    <t>Группа №8</t>
  </si>
  <si>
    <t>Группа №9</t>
  </si>
  <si>
    <t>Группа №10</t>
  </si>
  <si>
    <t>Группа №11</t>
  </si>
  <si>
    <t>Группа №12</t>
  </si>
  <si>
    <t>Группа №13</t>
  </si>
  <si>
    <t>Группа №14</t>
  </si>
  <si>
    <t>Группа №15</t>
  </si>
  <si>
    <t>Группа №16</t>
  </si>
  <si>
    <t>2 МЕСТО В ГРУППЕ</t>
  </si>
  <si>
    <t>3 МЕСТО В ГРУППЕ</t>
  </si>
  <si>
    <t>4 МЕСТО В ГРУППЕ</t>
  </si>
  <si>
    <t>5 МЕСТО В ГРУППЕ</t>
  </si>
  <si>
    <t>6 МЕСТО В ГРУППЕ</t>
  </si>
  <si>
    <t>Участники</t>
  </si>
  <si>
    <t>Очки</t>
  </si>
  <si>
    <t>Соот</t>
  </si>
  <si>
    <t>Гл. судья:</t>
  </si>
  <si>
    <t>Гл. секретарь:</t>
  </si>
  <si>
    <t>№ встречи</t>
  </si>
  <si>
    <t>Участник</t>
  </si>
  <si>
    <t>Победитель</t>
  </si>
  <si>
    <t>Счет в партиии</t>
  </si>
  <si>
    <t>Ададуров Илья</t>
  </si>
  <si>
    <t>Анпин Владимир</t>
  </si>
  <si>
    <t>Априк Андрей</t>
  </si>
  <si>
    <t>Бердников Степан</t>
  </si>
  <si>
    <t>Березнев Даниил</t>
  </si>
  <si>
    <t>Бобров Дмитрий</t>
  </si>
  <si>
    <t>Бредников Михаил</t>
  </si>
  <si>
    <t>Бритов Андрей</t>
  </si>
  <si>
    <t>Быстров Александр</t>
  </si>
  <si>
    <t>Васильев Алексей</t>
  </si>
  <si>
    <t>Волков Александр</t>
  </si>
  <si>
    <t>Волков Андрей</t>
  </si>
  <si>
    <t>Гапоненко Даниил</t>
  </si>
  <si>
    <t>Герасименко Максим</t>
  </si>
  <si>
    <t>Гладков Андрей</t>
  </si>
  <si>
    <t>Гнетов Владимир</t>
  </si>
  <si>
    <t>Гуриков Константин</t>
  </si>
  <si>
    <t>Гусев Кирилл</t>
  </si>
  <si>
    <t>Евстратов Артем</t>
  </si>
  <si>
    <t>Загуляев Кирилл</t>
  </si>
  <si>
    <t>Зайцев Алексей</t>
  </si>
  <si>
    <t>Заровнятных Илья</t>
  </si>
  <si>
    <t>Зверев Александр</t>
  </si>
  <si>
    <t>Исаков Александр</t>
  </si>
  <si>
    <t>Карамзин Дмитрий</t>
  </si>
  <si>
    <t>Карпов Никита</t>
  </si>
  <si>
    <t>Касаткин Дмитрий</t>
  </si>
  <si>
    <t>Кельтман Кирилл</t>
  </si>
  <si>
    <t>Кирсанов Сергей</t>
  </si>
  <si>
    <t>Колпак Александр</t>
  </si>
  <si>
    <t>Кольчук И</t>
  </si>
  <si>
    <t>Конев Иван</t>
  </si>
  <si>
    <t>Конышкин Иван</t>
  </si>
  <si>
    <t>Корнеев Никита</t>
  </si>
  <si>
    <t>Котельников Иван</t>
  </si>
  <si>
    <t>Кравец Кирилл</t>
  </si>
  <si>
    <t>Крюков Артем</t>
  </si>
  <si>
    <t>Кудрявцев Сергей</t>
  </si>
  <si>
    <t>Кузнецов Артем</t>
  </si>
  <si>
    <t>Кузнецов Максим</t>
  </si>
  <si>
    <t>Кузьмин Владимир</t>
  </si>
  <si>
    <t>Куминов Илья</t>
  </si>
  <si>
    <t>Лашта Михаил</t>
  </si>
  <si>
    <t>Мангушев Айрат</t>
  </si>
  <si>
    <t>Моштаков Роман</t>
  </si>
  <si>
    <t>Наговицин Марк</t>
  </si>
  <si>
    <t>Назаров Артем</t>
  </si>
  <si>
    <t>Нигин Алексей</t>
  </si>
  <si>
    <t>Николюк Иван</t>
  </si>
  <si>
    <t>Новиков Дмитрий</t>
  </si>
  <si>
    <t>Новоселов Александр</t>
  </si>
  <si>
    <t>Орлов Иван</t>
  </si>
  <si>
    <t>Оськин Игорь</t>
  </si>
  <si>
    <t>Павленко Иван</t>
  </si>
  <si>
    <t>Перевалов Матвей</t>
  </si>
  <si>
    <t>Петухов Даниил</t>
  </si>
  <si>
    <t>Посохов Никита</t>
  </si>
  <si>
    <t>Приходько Павел</t>
  </si>
  <si>
    <t>Рагимов Решат</t>
  </si>
  <si>
    <t>Родин Вячеслав</t>
  </si>
  <si>
    <t>Сабанов Андрей</t>
  </si>
  <si>
    <t>Савенков Дмитрий</t>
  </si>
  <si>
    <t>Салихов Антон</t>
  </si>
  <si>
    <t>Селиверстов Михаил</t>
  </si>
  <si>
    <t>Семенов Игорь</t>
  </si>
  <si>
    <t>Сидоренко Тарас</t>
  </si>
  <si>
    <t>Ухта  Р.Коми</t>
  </si>
  <si>
    <t>Соколов Илья</t>
  </si>
  <si>
    <t>Стремилов Андрей</t>
  </si>
  <si>
    <t>Суздалов Глеб</t>
  </si>
  <si>
    <t>Сыркашев Савва</t>
  </si>
  <si>
    <t>Тарасенко Валентин</t>
  </si>
  <si>
    <t>Тарханов Андрей</t>
  </si>
  <si>
    <t>Тимофеев Никита</t>
  </si>
  <si>
    <t>Торин Андрей</t>
  </si>
  <si>
    <t>Ульченко Илья</t>
  </si>
  <si>
    <t>Усманов Тимур</t>
  </si>
  <si>
    <t>Хрулев Андрей</t>
  </si>
  <si>
    <t>Цветков Андрей</t>
  </si>
  <si>
    <t>Черепанов Даниил</t>
  </si>
  <si>
    <t>Чернобаев Роман</t>
  </si>
  <si>
    <t>Черпаков Кирилл</t>
  </si>
  <si>
    <t>Шамин Олег</t>
  </si>
  <si>
    <t>Шканакин Никита</t>
  </si>
  <si>
    <t>Юдин Никита</t>
  </si>
  <si>
    <t>Яковлев Сергей</t>
  </si>
  <si>
    <t>Ячменников Иван</t>
  </si>
  <si>
    <t>Бег 30м</t>
  </si>
  <si>
    <t>Прыжок с места</t>
  </si>
  <si>
    <t>Прыжки через скакалку</t>
  </si>
  <si>
    <t>место</t>
  </si>
  <si>
    <t>Отжимание</t>
  </si>
  <si>
    <t>Пресс</t>
  </si>
  <si>
    <t>Перемещение в квадрате</t>
  </si>
  <si>
    <t>Итоговое место</t>
  </si>
  <si>
    <t>75</t>
  </si>
  <si>
    <t>76</t>
  </si>
  <si>
    <t>77</t>
  </si>
  <si>
    <t>78</t>
  </si>
  <si>
    <t>79</t>
  </si>
  <si>
    <t>80</t>
  </si>
  <si>
    <t>81</t>
  </si>
  <si>
    <t>82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</si>
  <si>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</si>
  <si>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</si>
  <si>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</si>
  <si>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</si>
  <si>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</si>
  <si>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</si>
  <si>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</si>
  <si>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</si>
  <si>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</si>
  <si>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</si>
  <si>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</si>
  <si>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</si>
  <si>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</si>
  <si>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</si>
  <si>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Белова С.Н.</t>
  </si>
  <si>
    <t>Разряд</t>
  </si>
  <si>
    <t>-1</t>
  </si>
  <si>
    <t>-29</t>
  </si>
  <si>
    <t>-2</t>
  </si>
  <si>
    <t>-3</t>
  </si>
  <si>
    <t>-30</t>
  </si>
  <si>
    <t>36 место</t>
  </si>
  <si>
    <t>-4</t>
  </si>
  <si>
    <t>-5</t>
  </si>
  <si>
    <t>-32</t>
  </si>
  <si>
    <t>-6</t>
  </si>
  <si>
    <t>-7</t>
  </si>
  <si>
    <t>-8</t>
  </si>
  <si>
    <t>-9</t>
  </si>
  <si>
    <t>-10</t>
  </si>
  <si>
    <t>-35</t>
  </si>
  <si>
    <t>-12</t>
  </si>
  <si>
    <t>-33</t>
  </si>
  <si>
    <t>-13</t>
  </si>
  <si>
    <t>-63</t>
  </si>
  <si>
    <t>-34</t>
  </si>
  <si>
    <t>-14</t>
  </si>
  <si>
    <t>-15</t>
  </si>
  <si>
    <t>-61</t>
  </si>
  <si>
    <t>-36</t>
  </si>
  <si>
    <t>-16</t>
  </si>
  <si>
    <t>-17</t>
  </si>
  <si>
    <t>-62</t>
  </si>
  <si>
    <t>-18</t>
  </si>
  <si>
    <t>-57</t>
  </si>
  <si>
    <t>-64</t>
  </si>
  <si>
    <t>-19</t>
  </si>
  <si>
    <t>-58</t>
  </si>
  <si>
    <t>-20</t>
  </si>
  <si>
    <t>-59</t>
  </si>
  <si>
    <t>-21</t>
  </si>
  <si>
    <t>-60</t>
  </si>
  <si>
    <t>-67</t>
  </si>
  <si>
    <t>-65</t>
  </si>
  <si>
    <t>-22</t>
  </si>
  <si>
    <t>-23</t>
  </si>
  <si>
    <t>-43</t>
  </si>
  <si>
    <t>-68</t>
  </si>
  <si>
    <t>-24</t>
  </si>
  <si>
    <t>-50</t>
  </si>
  <si>
    <t>-51</t>
  </si>
  <si>
    <t>-41</t>
  </si>
  <si>
    <t>-52</t>
  </si>
  <si>
    <t>-42</t>
  </si>
  <si>
    <t>-53</t>
  </si>
  <si>
    <t>-54</t>
  </si>
  <si>
    <t>-44</t>
  </si>
  <si>
    <t>-55</t>
  </si>
  <si>
    <t>-37</t>
  </si>
  <si>
    <t>-75</t>
  </si>
  <si>
    <t>-56</t>
  </si>
  <si>
    <t>-73</t>
  </si>
  <si>
    <t>-38</t>
  </si>
  <si>
    <t>-74</t>
  </si>
  <si>
    <t>-39</t>
  </si>
  <si>
    <t>-69</t>
  </si>
  <si>
    <t>-76</t>
  </si>
  <si>
    <t>-40</t>
  </si>
  <si>
    <t>-47</t>
  </si>
  <si>
    <t>-70</t>
  </si>
  <si>
    <t>-71</t>
  </si>
  <si>
    <t>-45</t>
  </si>
  <si>
    <t>-72</t>
  </si>
  <si>
    <t>-79</t>
  </si>
  <si>
    <t>-46</t>
  </si>
  <si>
    <t>-77</t>
  </si>
  <si>
    <t>-48</t>
  </si>
  <si>
    <t>-78</t>
  </si>
  <si>
    <t>-80</t>
  </si>
  <si>
    <t>СТАДИЯ</t>
  </si>
  <si>
    <t>1 группа</t>
  </si>
  <si>
    <t>2 группа</t>
  </si>
  <si>
    <t>3 группа</t>
  </si>
  <si>
    <t>4 группа</t>
  </si>
  <si>
    <t>(1-16)</t>
  </si>
  <si>
    <t>5 группа</t>
  </si>
  <si>
    <t>6 группа</t>
  </si>
  <si>
    <t>7 группа</t>
  </si>
  <si>
    <t>8 группа</t>
  </si>
  <si>
    <t>Сумма мест</t>
  </si>
  <si>
    <t>Тур</t>
  </si>
  <si>
    <t>Счет в партиях</t>
  </si>
  <si>
    <t>1-16</t>
  </si>
  <si>
    <t>2-15</t>
  </si>
  <si>
    <t>3-14</t>
  </si>
  <si>
    <t>4-13</t>
  </si>
  <si>
    <t>5-12</t>
  </si>
  <si>
    <t>6-11</t>
  </si>
  <si>
    <t>7-10</t>
  </si>
  <si>
    <t>8-9</t>
  </si>
  <si>
    <t>15-1</t>
  </si>
  <si>
    <t>16-14</t>
  </si>
  <si>
    <t>2-13</t>
  </si>
  <si>
    <t>3-12</t>
  </si>
  <si>
    <t>4-11</t>
  </si>
  <si>
    <t>5-10</t>
  </si>
  <si>
    <t>6-9</t>
  </si>
  <si>
    <t>7-8</t>
  </si>
  <si>
    <t>1-14</t>
  </si>
  <si>
    <t>15-13</t>
  </si>
  <si>
    <t>16-12</t>
  </si>
  <si>
    <t>2-11</t>
  </si>
  <si>
    <t>3-10</t>
  </si>
  <si>
    <t>4-9</t>
  </si>
  <si>
    <t>5-8</t>
  </si>
  <si>
    <t>6-7</t>
  </si>
  <si>
    <t>13-1</t>
  </si>
  <si>
    <t>14-12</t>
  </si>
  <si>
    <t>15-11</t>
  </si>
  <si>
    <t>16-10</t>
  </si>
  <si>
    <t>2-9</t>
  </si>
  <si>
    <t>3-8</t>
  </si>
  <si>
    <t>4-7</t>
  </si>
  <si>
    <t>5-6</t>
  </si>
  <si>
    <t>1-12</t>
  </si>
  <si>
    <t>13-11</t>
  </si>
  <si>
    <t>14-10</t>
  </si>
  <si>
    <t>15-9</t>
  </si>
  <si>
    <t>16-8</t>
  </si>
  <si>
    <t>2-7</t>
  </si>
  <si>
    <t>3-6</t>
  </si>
  <si>
    <t>4-5</t>
  </si>
  <si>
    <t>11-1</t>
  </si>
  <si>
    <t>12-10</t>
  </si>
  <si>
    <t>13-9</t>
  </si>
  <si>
    <t>14-8</t>
  </si>
  <si>
    <t>15-7</t>
  </si>
  <si>
    <t>16-6</t>
  </si>
  <si>
    <t>2-5</t>
  </si>
  <si>
    <t>3-4</t>
  </si>
  <si>
    <t>1-10</t>
  </si>
  <si>
    <t>11-9</t>
  </si>
  <si>
    <t>12-8</t>
  </si>
  <si>
    <t>13-7</t>
  </si>
  <si>
    <t>14-6</t>
  </si>
  <si>
    <t>15-5</t>
  </si>
  <si>
    <t>16-4</t>
  </si>
  <si>
    <t>2-3</t>
  </si>
  <si>
    <t>9-1</t>
  </si>
  <si>
    <t>10-8</t>
  </si>
  <si>
    <t>11-7</t>
  </si>
  <si>
    <t>12-6</t>
  </si>
  <si>
    <t>13-5</t>
  </si>
  <si>
    <t>14-4</t>
  </si>
  <si>
    <t>15-3</t>
  </si>
  <si>
    <t>16-2</t>
  </si>
  <si>
    <t>1-8</t>
  </si>
  <si>
    <t>9-7</t>
  </si>
  <si>
    <t>10-6</t>
  </si>
  <si>
    <t>11-5</t>
  </si>
  <si>
    <t>12-4</t>
  </si>
  <si>
    <t>13-3</t>
  </si>
  <si>
    <t>14-2</t>
  </si>
  <si>
    <t>15-16</t>
  </si>
  <si>
    <t>7-1</t>
  </si>
  <si>
    <t>8-6</t>
  </si>
  <si>
    <t>9-5</t>
  </si>
  <si>
    <t>10-4</t>
  </si>
  <si>
    <t>11-3</t>
  </si>
  <si>
    <t>12-2</t>
  </si>
  <si>
    <t>13-16</t>
  </si>
  <si>
    <t>14-15</t>
  </si>
  <si>
    <t>1-6</t>
  </si>
  <si>
    <t>7-5</t>
  </si>
  <si>
    <t>8-4</t>
  </si>
  <si>
    <t>9-3</t>
  </si>
  <si>
    <t>10-2</t>
  </si>
  <si>
    <t>11-16</t>
  </si>
  <si>
    <t>12-15</t>
  </si>
  <si>
    <t>13-14</t>
  </si>
  <si>
    <t>5-1</t>
  </si>
  <si>
    <t>6-4</t>
  </si>
  <si>
    <t>7-3</t>
  </si>
  <si>
    <t>8-2</t>
  </si>
  <si>
    <t>9-16</t>
  </si>
  <si>
    <t>10-15</t>
  </si>
  <si>
    <t>11-14</t>
  </si>
  <si>
    <t>12-13</t>
  </si>
  <si>
    <t>1-4</t>
  </si>
  <si>
    <t>5-3</t>
  </si>
  <si>
    <t>6-2</t>
  </si>
  <si>
    <t>7-16</t>
  </si>
  <si>
    <t>8-15</t>
  </si>
  <si>
    <t>9-14</t>
  </si>
  <si>
    <t>10-13</t>
  </si>
  <si>
    <t>11-12</t>
  </si>
  <si>
    <t>3-1</t>
  </si>
  <si>
    <t>4-2</t>
  </si>
  <si>
    <t>5-16</t>
  </si>
  <si>
    <t>6-15</t>
  </si>
  <si>
    <t>7-14</t>
  </si>
  <si>
    <t>8-13</t>
  </si>
  <si>
    <t>9-12</t>
  </si>
  <si>
    <t>10-11</t>
  </si>
  <si>
    <t>1-2</t>
  </si>
  <si>
    <t>3-16</t>
  </si>
  <si>
    <t>4-15</t>
  </si>
  <si>
    <t>5-14</t>
  </si>
  <si>
    <t>6-13</t>
  </si>
  <si>
    <t>7-12</t>
  </si>
  <si>
    <t>8-11</t>
  </si>
  <si>
    <t>9-10</t>
  </si>
  <si>
    <t>Стол №</t>
  </si>
  <si>
    <t>№ тура</t>
  </si>
  <si>
    <t>Ф.И.О. участников</t>
  </si>
  <si>
    <t>Общий счет партий</t>
  </si>
  <si>
    <t>Победил</t>
  </si>
  <si>
    <t>со счетом</t>
  </si>
  <si>
    <t>Судья:</t>
  </si>
  <si>
    <t>Главный судья:</t>
  </si>
  <si>
    <t>Главный секретарь:</t>
  </si>
  <si>
    <t>Порядок встреч игр 1 финала</t>
  </si>
  <si>
    <t>№ встр</t>
  </si>
  <si>
    <t>№ ВСТРЕЧИ</t>
  </si>
  <si>
    <t>Общий счет</t>
  </si>
  <si>
    <t>ЛИЧНЫЕ СОРЕВНОВАНИЯ. СПИСОК УЧАСТНИКОВ.</t>
  </si>
  <si>
    <t>1 ФИНАЛ.</t>
  </si>
  <si>
    <t>2 ФИНАЛ.</t>
  </si>
  <si>
    <t>3 ФИНАЛ.</t>
  </si>
  <si>
    <t>4 ФИНАЛ.</t>
  </si>
  <si>
    <t>Порядок встреч игр 2 финала</t>
  </si>
  <si>
    <t>7 МЕСТО В ГРУППЕ</t>
  </si>
  <si>
    <t>8 МЕСТО В ГРУППЕ</t>
  </si>
  <si>
    <t>9 МЕСТО В ГРУППЕ</t>
  </si>
  <si>
    <t xml:space="preserve"> </t>
  </si>
  <si>
    <t>СДАЧА НОМАТИВОВ ПО ОФП и СФП.</t>
  </si>
  <si>
    <t>1 ФИНАЛ</t>
  </si>
  <si>
    <t>2 ФИНАЛ</t>
  </si>
  <si>
    <t>3 ФИНАЛ</t>
  </si>
  <si>
    <t>4 ФИНАЛ</t>
  </si>
  <si>
    <t>Абатуров Иван</t>
  </si>
  <si>
    <t>Аббасов Павел</t>
  </si>
  <si>
    <t>Аббасов Петр</t>
  </si>
  <si>
    <t>Аббасов Руслан</t>
  </si>
  <si>
    <t>Абрамов Артем</t>
  </si>
  <si>
    <t>Абрамов Владимир</t>
  </si>
  <si>
    <t>Новокузнецк</t>
  </si>
  <si>
    <t>Абрамов Владислав</t>
  </si>
  <si>
    <t>Барнаул</t>
  </si>
  <si>
    <t>Абунивайсов Марат</t>
  </si>
  <si>
    <t>Энгельс</t>
  </si>
  <si>
    <t>Абусев Артур</t>
  </si>
  <si>
    <t>Сорочинск</t>
  </si>
  <si>
    <t>Авакумов Иван</t>
  </si>
  <si>
    <t>Авакян Павел</t>
  </si>
  <si>
    <t>Аванесов Карен</t>
  </si>
  <si>
    <t>Аверьянов Егор</t>
  </si>
  <si>
    <t>Агаджанян Виталий</t>
  </si>
  <si>
    <t>Н.Тагил</t>
  </si>
  <si>
    <t>Нижневартовск</t>
  </si>
  <si>
    <t>Лабинск  Краснод.кр.</t>
  </si>
  <si>
    <t>Верхняя Пышма</t>
  </si>
  <si>
    <t>Азаров Максим</t>
  </si>
  <si>
    <t>Аз-Зари Глеб</t>
  </si>
  <si>
    <t>Аз-Зари Егор</t>
  </si>
  <si>
    <t>Айвазян Андроник</t>
  </si>
  <si>
    <t>Батайск  Рост.обл.</t>
  </si>
  <si>
    <t>Айсин Тимур</t>
  </si>
  <si>
    <t>Акименко Дэн</t>
  </si>
  <si>
    <t>Таганрог</t>
  </si>
  <si>
    <t>Акимов Максим</t>
  </si>
  <si>
    <t>Акиньшин Денис</t>
  </si>
  <si>
    <t>Каневская  Красн. кр.</t>
  </si>
  <si>
    <t>Акопян Микаэль</t>
  </si>
  <si>
    <t>Зверево  Рост.обл.</t>
  </si>
  <si>
    <t>Аксельрод Денис</t>
  </si>
  <si>
    <t>Аксенов Виктор</t>
  </si>
  <si>
    <t>Аксенов Николай</t>
  </si>
  <si>
    <t>Аксиненко Егор</t>
  </si>
  <si>
    <t>Александров Александр</t>
  </si>
  <si>
    <t>Альметьевск</t>
  </si>
  <si>
    <t>Александров Владимир</t>
  </si>
  <si>
    <t>Алексеевск  Тат.</t>
  </si>
  <si>
    <t>Александров Михаил</t>
  </si>
  <si>
    <t>Александров Эрнест</t>
  </si>
  <si>
    <t>Алексеев Андрей</t>
  </si>
  <si>
    <t>Алексеенков Игорь</t>
  </si>
  <si>
    <t>Темкино  Смол.о.</t>
  </si>
  <si>
    <t>Ростов Великий</t>
  </si>
  <si>
    <t>Алешин Никита</t>
  </si>
  <si>
    <t>Дзержинск</t>
  </si>
  <si>
    <t>Алиев Олег</t>
  </si>
  <si>
    <t>Алиментьев Егор</t>
  </si>
  <si>
    <t>Алмерзаев Расул</t>
  </si>
  <si>
    <t>Междуреченский  ХМАО</t>
  </si>
  <si>
    <t>Ананьев Владислав</t>
  </si>
  <si>
    <t>Андреев Артем</t>
  </si>
  <si>
    <t>Андреянов Александр</t>
  </si>
  <si>
    <t>Андриянов Роман</t>
  </si>
  <si>
    <t>Андронов Вячеслав</t>
  </si>
  <si>
    <t>Аникеев Станислав</t>
  </si>
  <si>
    <t>Красноярск</t>
  </si>
  <si>
    <t>Анисимов Семен</t>
  </si>
  <si>
    <t>Анищенко Сергей</t>
  </si>
  <si>
    <t>Абакан</t>
  </si>
  <si>
    <t>Анохин Дмитрий</t>
  </si>
  <si>
    <t>Анохин Илья</t>
  </si>
  <si>
    <t>Анохин Никита</t>
  </si>
  <si>
    <t>Антипов Артем</t>
  </si>
  <si>
    <t>Антонов Максим</t>
  </si>
  <si>
    <t>Ануфриев Владимир</t>
  </si>
  <si>
    <t>Сочи</t>
  </si>
  <si>
    <t>Набережные Челны</t>
  </si>
  <si>
    <t>Арстанбек Доли</t>
  </si>
  <si>
    <t>Артемов Евгений</t>
  </si>
  <si>
    <t>Артем  Прим.кр.</t>
  </si>
  <si>
    <t>Аседов Гаджибаба</t>
  </si>
  <si>
    <t>Асрединов Илья</t>
  </si>
  <si>
    <t>Афанасьев Никита</t>
  </si>
  <si>
    <t>Шипуново  Алт. кр.</t>
  </si>
  <si>
    <t>Ахмадуллин Азат</t>
  </si>
  <si>
    <t>Ахмеджанов Руслан</t>
  </si>
  <si>
    <t>Сосновый Бор</t>
  </si>
  <si>
    <t>Ахметсафин Дамир</t>
  </si>
  <si>
    <t>Аюров Дондок</t>
  </si>
  <si>
    <t>Агинск  АБАО</t>
  </si>
  <si>
    <t>Славянск-на-Кубани</t>
  </si>
  <si>
    <t>Бабков Илья</t>
  </si>
  <si>
    <t>Шелехов  Ирк.о.</t>
  </si>
  <si>
    <t>Бабушкин Константин</t>
  </si>
  <si>
    <t>Бадмаев Александр</t>
  </si>
  <si>
    <t>Кяхта  Бурятия</t>
  </si>
  <si>
    <t>Бадмаев Баир</t>
  </si>
  <si>
    <t>Элиста</t>
  </si>
  <si>
    <t>Баженов Иван</t>
  </si>
  <si>
    <t>Базунов Егор</t>
  </si>
  <si>
    <t>Королев</t>
  </si>
  <si>
    <t>Байбуз Роман</t>
  </si>
  <si>
    <t>Тимашевск  Кр.кр.</t>
  </si>
  <si>
    <t>Байкалов Аскер</t>
  </si>
  <si>
    <t>Байсагуров Руслан</t>
  </si>
  <si>
    <t>Ставрополь</t>
  </si>
  <si>
    <t>Балабанов Вячеслав</t>
  </si>
  <si>
    <t>Баланчук Николай</t>
  </si>
  <si>
    <t>Балинов Максим</t>
  </si>
  <si>
    <t>Семенов  Ниж.обл.</t>
  </si>
  <si>
    <t>Можга</t>
  </si>
  <si>
    <t>Балов Сайдин</t>
  </si>
  <si>
    <t>Черкесск  РКЧ</t>
  </si>
  <si>
    <t>Балыбердин Александр</t>
  </si>
  <si>
    <t>Балыкин Дмитрий</t>
  </si>
  <si>
    <t>Комсомольск-на-Амуре</t>
  </si>
  <si>
    <t>Бандурин Михаил</t>
  </si>
  <si>
    <t>Банько Семен</t>
  </si>
  <si>
    <t>Муравленко  ЯНАО</t>
  </si>
  <si>
    <t>Баранов Александр</t>
  </si>
  <si>
    <t>Баранов Андрей</t>
  </si>
  <si>
    <t>Новопокровская  Краснодар.кр.</t>
  </si>
  <si>
    <t>Баранов Вениамин</t>
  </si>
  <si>
    <t>Гатчина  Лен.о.</t>
  </si>
  <si>
    <t>Барашов Егор</t>
  </si>
  <si>
    <t>Биробиджан</t>
  </si>
  <si>
    <t>Барсуков Иван</t>
  </si>
  <si>
    <t>Баталов Анатолий</t>
  </si>
  <si>
    <t>Батыров Алексей</t>
  </si>
  <si>
    <t>Находка</t>
  </si>
  <si>
    <t>Бахтин Владислав</t>
  </si>
  <si>
    <t>Воткинск</t>
  </si>
  <si>
    <t>Бахтияров Александр</t>
  </si>
  <si>
    <t>Адлер</t>
  </si>
  <si>
    <t>Безрукавый Лев</t>
  </si>
  <si>
    <t>Безруков Денис</t>
  </si>
  <si>
    <t>Сухум</t>
  </si>
  <si>
    <t>Бекулов Мухамед</t>
  </si>
  <si>
    <t>Нартан  КБР</t>
  </si>
  <si>
    <t>Белореченск  Кр.кр.</t>
  </si>
  <si>
    <t>Семибратово</t>
  </si>
  <si>
    <t>Белинский Игорь</t>
  </si>
  <si>
    <t>Белов Сергей</t>
  </si>
  <si>
    <t>Белугин Георгий</t>
  </si>
  <si>
    <t>Анапа</t>
  </si>
  <si>
    <t>Беляев Дмитрий</t>
  </si>
  <si>
    <t>Павловская  Кр.кр.</t>
  </si>
  <si>
    <t>Беляков Денис</t>
  </si>
  <si>
    <t>Бенчаров Тихон</t>
  </si>
  <si>
    <t>Хужир  Ирк. обл.</t>
  </si>
  <si>
    <t>Березуцкий Семен</t>
  </si>
  <si>
    <t>Апшеронск  Краснод.кр.</t>
  </si>
  <si>
    <t>Бескровный Евгений</t>
  </si>
  <si>
    <t>Беспалов Кирилл</t>
  </si>
  <si>
    <t>Беспоясов Евгений</t>
  </si>
  <si>
    <t>Бикбаев А</t>
  </si>
  <si>
    <t>Бирюков Артем</t>
  </si>
  <si>
    <t>Бирюков Егор</t>
  </si>
  <si>
    <t>Бирюков Илья</t>
  </si>
  <si>
    <t>Блинкин Кирилл</t>
  </si>
  <si>
    <t>Блюхер Герман</t>
  </si>
  <si>
    <t>Выкса  Ниж.о.</t>
  </si>
  <si>
    <t>Богодухов Илья</t>
  </si>
  <si>
    <t>Богомягков Арсений</t>
  </si>
  <si>
    <t>Богорад Максим</t>
  </si>
  <si>
    <t>Уссурийск</t>
  </si>
  <si>
    <t>Бойцов Антон</t>
  </si>
  <si>
    <t>Боков Максим</t>
  </si>
  <si>
    <t>Болиев Астемир</t>
  </si>
  <si>
    <t>Кореновск  Красн.кр.</t>
  </si>
  <si>
    <t>Большаков Никита</t>
  </si>
  <si>
    <t>Бондарев Денис</t>
  </si>
  <si>
    <t>Бондарев Кирилл</t>
  </si>
  <si>
    <t>Бондурин Михаил</t>
  </si>
  <si>
    <t>Зеленоград  М.о.</t>
  </si>
  <si>
    <t>Борзаев Дмитрий</t>
  </si>
  <si>
    <t>Борисов Дмитрий</t>
  </si>
  <si>
    <t>Боровихин Игорь</t>
  </si>
  <si>
    <t>Боровушкин Владислав</t>
  </si>
  <si>
    <t>Борок Михаил</t>
  </si>
  <si>
    <t>Бочкарев Иван</t>
  </si>
  <si>
    <t>Кстово</t>
  </si>
  <si>
    <t>Бояров Мижит</t>
  </si>
  <si>
    <t>Брагин Данил</t>
  </si>
  <si>
    <t>Любим</t>
  </si>
  <si>
    <t>Брек Герман</t>
  </si>
  <si>
    <t>Новый Уренгой  ЯНАО</t>
  </si>
  <si>
    <t>Бубнов Юрий</t>
  </si>
  <si>
    <t>Будченко Дмитрий</t>
  </si>
  <si>
    <t>Будяк Павел</t>
  </si>
  <si>
    <t>Булдаков Евгений</t>
  </si>
  <si>
    <t>Булыгин Илья</t>
  </si>
  <si>
    <t>Бунин Михаил</t>
  </si>
  <si>
    <t>Буравцов Михаил</t>
  </si>
  <si>
    <t>Губкин  Белгор.обл.</t>
  </si>
  <si>
    <t>Сарапул</t>
  </si>
  <si>
    <t>Буриков Артем</t>
  </si>
  <si>
    <t>Сургут</t>
  </si>
  <si>
    <t>Бурназян Артур</t>
  </si>
  <si>
    <t>Бутаков Данил</t>
  </si>
  <si>
    <t>Бутенко Арсений</t>
  </si>
  <si>
    <t>Буфетов Роман</t>
  </si>
  <si>
    <t>Волосово  Лен.о.</t>
  </si>
  <si>
    <t>Бухаров Олег</t>
  </si>
  <si>
    <t>Бушуев Александр</t>
  </si>
  <si>
    <t>Быков Александр</t>
  </si>
  <si>
    <t>Вагенр Данил</t>
  </si>
  <si>
    <t>Вайнер Александр</t>
  </si>
  <si>
    <t>Вайнштейн Николай</t>
  </si>
  <si>
    <t>Вакуленко Илья</t>
  </si>
  <si>
    <t>Всеволжск  Ленингр.обл.</t>
  </si>
  <si>
    <t>Валик Илья</t>
  </si>
  <si>
    <t>Тайшет  Ирк.о.</t>
  </si>
  <si>
    <t>Варавко Данил</t>
  </si>
  <si>
    <t>Васильев Александр</t>
  </si>
  <si>
    <t>Васильев Артем</t>
  </si>
  <si>
    <t>Дальнегорск</t>
  </si>
  <si>
    <t>Луга  Лен.о.</t>
  </si>
  <si>
    <t>Выборг</t>
  </si>
  <si>
    <t>Васюков Владимир</t>
  </si>
  <si>
    <t>Ватагин Денис</t>
  </si>
  <si>
    <t>Ваулин Константин</t>
  </si>
  <si>
    <t>Верас Никита</t>
  </si>
  <si>
    <t>Ветров Максим</t>
  </si>
  <si>
    <t>Видов Никита</t>
  </si>
  <si>
    <t>Викулов Максим</t>
  </si>
  <si>
    <t>Тверь</t>
  </si>
  <si>
    <t>Висалгереев Хабиб</t>
  </si>
  <si>
    <t>Кизилюрт  Дагест.</t>
  </si>
  <si>
    <t>Вишняков Михаил</t>
  </si>
  <si>
    <t>Власков Марк</t>
  </si>
  <si>
    <t>Власов Максим</t>
  </si>
  <si>
    <t>Власов Павел</t>
  </si>
  <si>
    <t>Мичуринск  Тамб.обл.</t>
  </si>
  <si>
    <t>Власов Роман</t>
  </si>
  <si>
    <t>Войтеховский Никита</t>
  </si>
  <si>
    <t>Волин Лев</t>
  </si>
  <si>
    <t>Волков Алексей</t>
  </si>
  <si>
    <t>Шлиссельбург  Лен.о.</t>
  </si>
  <si>
    <t>Волков Иван</t>
  </si>
  <si>
    <t>Кировск  Лен.обл.</t>
  </si>
  <si>
    <t>Волков Сергей</t>
  </si>
  <si>
    <t>Волощук Артем</t>
  </si>
  <si>
    <t>Волощук Владислав</t>
  </si>
  <si>
    <t>Воробьинов Данил</t>
  </si>
  <si>
    <t>Воронов Илья</t>
  </si>
  <si>
    <t>Воронцов Никита</t>
  </si>
  <si>
    <t>Воропаев Илья</t>
  </si>
  <si>
    <t>Вотинцев Дмитрий</t>
  </si>
  <si>
    <t>Врублевский Антон</t>
  </si>
  <si>
    <t>Вухка Максим</t>
  </si>
  <si>
    <t>Выборнов Владимир</t>
  </si>
  <si>
    <t>Выборнов Даниил</t>
  </si>
  <si>
    <t>Вьюнов Владислав</t>
  </si>
  <si>
    <t>Гаврилов Иван</t>
  </si>
  <si>
    <t>Гаврилов Павел</t>
  </si>
  <si>
    <t>Гагаринов Дмитрий</t>
  </si>
  <si>
    <t>Гадзецкий Дмитрий</t>
  </si>
  <si>
    <t>Гайсин Ислам</t>
  </si>
  <si>
    <t>Галеев Руслан</t>
  </si>
  <si>
    <t>Галежа Артем</t>
  </si>
  <si>
    <t>Галиев Вадим</t>
  </si>
  <si>
    <t>Сатка  Чел.о.</t>
  </si>
  <si>
    <t>Галиев Данияр</t>
  </si>
  <si>
    <t>Галиев Руслан</t>
  </si>
  <si>
    <t>Федотово  Волог. обл.</t>
  </si>
  <si>
    <t>Галикаев Руслан</t>
  </si>
  <si>
    <t>Галинов Семен</t>
  </si>
  <si>
    <t>Галинский Дмитрий</t>
  </si>
  <si>
    <t>Галицкий Павел</t>
  </si>
  <si>
    <t>Галицкий Петр</t>
  </si>
  <si>
    <t>Галкин Владимир</t>
  </si>
  <si>
    <t>Галкин Дмитрий</t>
  </si>
  <si>
    <t>Сергиев Посад  М.о.</t>
  </si>
  <si>
    <t>Ганич Дмитрий</t>
  </si>
  <si>
    <t>Гаппаров Артур</t>
  </si>
  <si>
    <t>Гаранин Денис</t>
  </si>
  <si>
    <t>Сертолово  Лен.обл.</t>
  </si>
  <si>
    <t>Гашин Денис</t>
  </si>
  <si>
    <t>Мосренген</t>
  </si>
  <si>
    <t>ГЕНИН Валентин</t>
  </si>
  <si>
    <t>Минск  Бел.</t>
  </si>
  <si>
    <t>Герасев Михаил</t>
  </si>
  <si>
    <t>Благовещенск  Баш.</t>
  </si>
  <si>
    <t>Герасимов Никита</t>
  </si>
  <si>
    <t>Гераськин Владимир</t>
  </si>
  <si>
    <t>Гериев Эльмуразан</t>
  </si>
  <si>
    <t>Герштейн Андрей</t>
  </si>
  <si>
    <t>Гетман Ян</t>
  </si>
  <si>
    <t>Серпухов</t>
  </si>
  <si>
    <t>Вязьма  См.обл.</t>
  </si>
  <si>
    <t>Гилязов Адель</t>
  </si>
  <si>
    <t>Гиниатуллин Артур</t>
  </si>
  <si>
    <t>Гиренко Александр</t>
  </si>
  <si>
    <t>Гладилин Максим</t>
  </si>
  <si>
    <t>Глухих Семен</t>
  </si>
  <si>
    <t>Глушок Вадим</t>
  </si>
  <si>
    <t>Гнездюк Александр</t>
  </si>
  <si>
    <t>Говоров Артем</t>
  </si>
  <si>
    <t>Говорухин Антон</t>
  </si>
  <si>
    <t>Годенов Егор</t>
  </si>
  <si>
    <t>Темрюк  Краснод.кр.</t>
  </si>
  <si>
    <t>Голиков Даниил</t>
  </si>
  <si>
    <t>Голиницкий Николай</t>
  </si>
  <si>
    <t>Голуб Иван</t>
  </si>
  <si>
    <t>Голубев Евгений</t>
  </si>
  <si>
    <t>Гондусов Денис</t>
  </si>
  <si>
    <t>Гончаров Федор</t>
  </si>
  <si>
    <t>Горбачев Илья</t>
  </si>
  <si>
    <t>Горбик Глеб</t>
  </si>
  <si>
    <t>Заводской  Прим. кр.</t>
  </si>
  <si>
    <t>Красноусольск  Баш.</t>
  </si>
  <si>
    <t>Гордеев Максим</t>
  </si>
  <si>
    <t>Гордеев Михаил</t>
  </si>
  <si>
    <t>Подольск</t>
  </si>
  <si>
    <t>Гордеев Юрий</t>
  </si>
  <si>
    <t>Горев Кирилл</t>
  </si>
  <si>
    <t>Горин Андрей</t>
  </si>
  <si>
    <t>Горлов Николай</t>
  </si>
  <si>
    <t>Горлов Роберт</t>
  </si>
  <si>
    <t>Горский Никита</t>
  </si>
  <si>
    <t>Тетюши  Тат.</t>
  </si>
  <si>
    <t>Грачев Данил</t>
  </si>
  <si>
    <t>Григорьев Артем</t>
  </si>
  <si>
    <t>Григорьев Глеб</t>
  </si>
  <si>
    <t>Григорьев Денис</t>
  </si>
  <si>
    <t>Григорьев Дмитрий</t>
  </si>
  <si>
    <t>Григорьев Николай</t>
  </si>
  <si>
    <t>Григорьев Роман</t>
  </si>
  <si>
    <t>Котлас</t>
  </si>
  <si>
    <t>Гринев Иван</t>
  </si>
  <si>
    <t>Гриненко Даниил</t>
  </si>
  <si>
    <t>Гритчин Кирилл</t>
  </si>
  <si>
    <t>Грицюк Павел</t>
  </si>
  <si>
    <t>Гришин Валерий</t>
  </si>
  <si>
    <t>Гришин Василий</t>
  </si>
  <si>
    <t>Гришин Максим</t>
  </si>
  <si>
    <t>Саранск</t>
  </si>
  <si>
    <t>Грозовский Петр</t>
  </si>
  <si>
    <t>Громович Андрей</t>
  </si>
  <si>
    <t>Грудинин Андрей</t>
  </si>
  <si>
    <t>Олха  Ирк. обл.</t>
  </si>
  <si>
    <t>Грязнов Никита</t>
  </si>
  <si>
    <t>Губе Егор</t>
  </si>
  <si>
    <t>Гудименко Александр</t>
  </si>
  <si>
    <t>Мытищи</t>
  </si>
  <si>
    <t>Гузоев Асланбек</t>
  </si>
  <si>
    <t>Ростов-на-Дону</t>
  </si>
  <si>
    <t>Гулий Кирилл</t>
  </si>
  <si>
    <t>Гура Михаил</t>
  </si>
  <si>
    <t>Гурфов Артур</t>
  </si>
  <si>
    <t>Гурьев Артем</t>
  </si>
  <si>
    <t>Гурьянов Андрей</t>
  </si>
  <si>
    <t>Гусев Алексей</t>
  </si>
  <si>
    <t>Гусейнов Раиф</t>
  </si>
  <si>
    <t>Гутников Максим</t>
  </si>
  <si>
    <t>Гущин Алексей</t>
  </si>
  <si>
    <t>Гымалтдинов Ринат</t>
  </si>
  <si>
    <t>Давиденко Егор</t>
  </si>
  <si>
    <t>Давыдов Дмитрий</t>
  </si>
  <si>
    <t>Дагиров Миджит</t>
  </si>
  <si>
    <t>Улан-Удэ</t>
  </si>
  <si>
    <t>Данилейко Вячеслав</t>
  </si>
  <si>
    <t>Даньшин Илья</t>
  </si>
  <si>
    <t>Даов Тамерлан</t>
  </si>
  <si>
    <t>ДАУГЕРДАС Эдвин</t>
  </si>
  <si>
    <t>Вильнюс</t>
  </si>
  <si>
    <t>Дворядкин Даниил</t>
  </si>
  <si>
    <t>Дворядкин Игорь</t>
  </si>
  <si>
    <t>Дегтярев Дмитрий</t>
  </si>
  <si>
    <t>Дегтярев Ярослав</t>
  </si>
  <si>
    <t>Дедков Олег</t>
  </si>
  <si>
    <t>Дежиц Кирилл</t>
  </si>
  <si>
    <t>Дейтер Павел</t>
  </si>
  <si>
    <t>Декабрьский Игорь</t>
  </si>
  <si>
    <t>Деменев Дмитрий</t>
  </si>
  <si>
    <t>Александровск  Перм.кр.</t>
  </si>
  <si>
    <t>Демидов Тимофей</t>
  </si>
  <si>
    <t>Нерюнгри</t>
  </si>
  <si>
    <t>Денисов Степан</t>
  </si>
  <si>
    <t>Мокшан</t>
  </si>
  <si>
    <t>Детин Александр</t>
  </si>
  <si>
    <t>Джабаев Кирилл</t>
  </si>
  <si>
    <t>Дзуганов Анатолий</t>
  </si>
  <si>
    <t>Дзыба Юрий</t>
  </si>
  <si>
    <t>Дианов Богдан</t>
  </si>
  <si>
    <t>Диденко Артем</t>
  </si>
  <si>
    <t>Дикарев Никита</t>
  </si>
  <si>
    <t>Динисенко Тимофей</t>
  </si>
  <si>
    <t>Динмухаметов Ильгиз</t>
  </si>
  <si>
    <t>Динмухаметов Ильнур</t>
  </si>
  <si>
    <t>Дитятев Даниил</t>
  </si>
  <si>
    <t>Дмитриев Юрий</t>
  </si>
  <si>
    <t>Дмитров Никита</t>
  </si>
  <si>
    <t>Добротворский Алексей</t>
  </si>
  <si>
    <t>Добротворский Антон</t>
  </si>
  <si>
    <t>ДОВНАРОВИЧ Павел</t>
  </si>
  <si>
    <t>Долбилин Степан</t>
  </si>
  <si>
    <t>Зуевка  Киров.обл.</t>
  </si>
  <si>
    <t>Долгин Денис</t>
  </si>
  <si>
    <t>Долматов Кирилл</t>
  </si>
  <si>
    <t>Доровской Алексей</t>
  </si>
  <si>
    <t>Доровской Сергей</t>
  </si>
  <si>
    <t>Дорожкин Даниил</t>
  </si>
  <si>
    <t>Дорожкин Иван</t>
  </si>
  <si>
    <t>Дорофеев Михаил</t>
  </si>
  <si>
    <t>Дремин Михаил</t>
  </si>
  <si>
    <t>Дробышев Владимир</t>
  </si>
  <si>
    <t>Дроздов Владислав</t>
  </si>
  <si>
    <t>Дроздов Даниил</t>
  </si>
  <si>
    <t>Друх Радомир</t>
  </si>
  <si>
    <t>Дубина Владимир</t>
  </si>
  <si>
    <t>Дубков Никита</t>
  </si>
  <si>
    <t>Дубровский Александр</t>
  </si>
  <si>
    <t>Дынин Александр</t>
  </si>
  <si>
    <t>Евдокимов Егор</t>
  </si>
  <si>
    <t>Евдокимов Павел</t>
  </si>
  <si>
    <t>Евланов Илья</t>
  </si>
  <si>
    <t>Евстафьев Михаил</t>
  </si>
  <si>
    <t>Егенбаев Мурад</t>
  </si>
  <si>
    <t>Егиазарян Герман</t>
  </si>
  <si>
    <t>Егоров Павел</t>
  </si>
  <si>
    <t>Егоров Семен</t>
  </si>
  <si>
    <t>Егошин Дмитрий</t>
  </si>
  <si>
    <t>Егрищин Матвей</t>
  </si>
  <si>
    <t>Еленич Витомир</t>
  </si>
  <si>
    <t>Елизарьев Георгий</t>
  </si>
  <si>
    <t>Ельчуев Элвин</t>
  </si>
  <si>
    <t>Ендылетов Давид</t>
  </si>
  <si>
    <t>Еремеев Дмитрий</t>
  </si>
  <si>
    <t>Еремин Валентин</t>
  </si>
  <si>
    <t>Ермаков Дмитрий</t>
  </si>
  <si>
    <t>Домодедово  М.о.</t>
  </si>
  <si>
    <t>Ермилов Роман</t>
  </si>
  <si>
    <t>Ермолаев Матвей</t>
  </si>
  <si>
    <t>Ершов Вадим</t>
  </si>
  <si>
    <t>Ефименко Егор</t>
  </si>
  <si>
    <t>Ефимов Ефим</t>
  </si>
  <si>
    <t>Ангарск  Ирк.о.</t>
  </si>
  <si>
    <t>Ефимов Никита</t>
  </si>
  <si>
    <t>Ефремов Алексей</t>
  </si>
  <si>
    <t>Братск</t>
  </si>
  <si>
    <t>Жаргалов Никита</t>
  </si>
  <si>
    <t>Жаринов Алексей</t>
  </si>
  <si>
    <t>Бердск  Новос.обл.</t>
  </si>
  <si>
    <t>Жаров Максим</t>
  </si>
  <si>
    <t>Жданов Максим</t>
  </si>
  <si>
    <t>Жекамухов Астемир</t>
  </si>
  <si>
    <t>Железняков Никита</t>
  </si>
  <si>
    <t>Нефтеюганск</t>
  </si>
  <si>
    <t>Желтиков Антон</t>
  </si>
  <si>
    <t>Жемпала Степан</t>
  </si>
  <si>
    <t>Женин Даниил</t>
  </si>
  <si>
    <t>Чусовой  Перм.кр.</t>
  </si>
  <si>
    <t>Жилкевич Николай</t>
  </si>
  <si>
    <t>Житников Максим</t>
  </si>
  <si>
    <t>Журавлев Александр</t>
  </si>
  <si>
    <t>Журавлев Кирилл</t>
  </si>
  <si>
    <t>Заболотников Вадим</t>
  </si>
  <si>
    <t>Забровский Владислав</t>
  </si>
  <si>
    <t>Забродин Никита</t>
  </si>
  <si>
    <t>Загородний Святослав</t>
  </si>
  <si>
    <t>Старый Оскол</t>
  </si>
  <si>
    <t>Новороссийск</t>
  </si>
  <si>
    <t>Загрош Денис</t>
  </si>
  <si>
    <t>Заднепровский Марлен</t>
  </si>
  <si>
    <t>Балаково</t>
  </si>
  <si>
    <t>Зайцев Вадим</t>
  </si>
  <si>
    <t>Залесин Даниил</t>
  </si>
  <si>
    <t>Занин Дмитрий</t>
  </si>
  <si>
    <t>Заровнятых Иван</t>
  </si>
  <si>
    <t>Зафигурский Петр</t>
  </si>
  <si>
    <t>Захариков Иван</t>
  </si>
  <si>
    <t>Захариков Петр</t>
  </si>
  <si>
    <t>Захаров Егор</t>
  </si>
  <si>
    <t>Звездин Данил</t>
  </si>
  <si>
    <t>Здобин Артур</t>
  </si>
  <si>
    <t>Зенин Егор</t>
  </si>
  <si>
    <t>Зенкин Дмитрий</t>
  </si>
  <si>
    <t>Зимирев Олег</t>
  </si>
  <si>
    <t>Золотарев Владислав</t>
  </si>
  <si>
    <t>Золотухин Александр</t>
  </si>
  <si>
    <t>Калач  Волг.обл.</t>
  </si>
  <si>
    <t>Зубко Виталий</t>
  </si>
  <si>
    <t>Зубков Никита</t>
  </si>
  <si>
    <t>Зубов Иван</t>
  </si>
  <si>
    <t>Зубов Никита</t>
  </si>
  <si>
    <t>Зуев Дмитрий</t>
  </si>
  <si>
    <t>Зыкин Владимир</t>
  </si>
  <si>
    <t>Иваненко Вячеслав</t>
  </si>
  <si>
    <t>Иванкин Константин</t>
  </si>
  <si>
    <t>Иванов Андрей</t>
  </si>
  <si>
    <t>Сладковский р-он  Тюм. обл.</t>
  </si>
  <si>
    <t>Иванов Даниил</t>
  </si>
  <si>
    <t>Иванов Кирилл</t>
  </si>
  <si>
    <t>Роза-Коркинская  Чел.обл.</t>
  </si>
  <si>
    <t>Иванов Никита</t>
  </si>
  <si>
    <t>Иванов Николай</t>
  </si>
  <si>
    <t>Иванчин Кирилл</t>
  </si>
  <si>
    <t>Иванько Антон</t>
  </si>
  <si>
    <t>Ивлев Арсений</t>
  </si>
  <si>
    <t>Игнатов Константин</t>
  </si>
  <si>
    <t>Игнатов Сергей</t>
  </si>
  <si>
    <t>Игнатович Данил</t>
  </si>
  <si>
    <t>Илларионов Иван</t>
  </si>
  <si>
    <t>Ильин Андрей</t>
  </si>
  <si>
    <t>Ильин Владислав</t>
  </si>
  <si>
    <t>Ильиных Никита</t>
  </si>
  <si>
    <t>Илясов Роман</t>
  </si>
  <si>
    <t>Базарный Карабулак</t>
  </si>
  <si>
    <t>Исаев Владислав</t>
  </si>
  <si>
    <t>Исаев Тимофей</t>
  </si>
  <si>
    <t>Исайкин Игорь</t>
  </si>
  <si>
    <t>Балабаново  Калуж.о.</t>
  </si>
  <si>
    <t>Исанов Герман</t>
  </si>
  <si>
    <t>Искандеров Азат</t>
  </si>
  <si>
    <t>Искандеров Ислам</t>
  </si>
  <si>
    <t>Итунин Дмитрий</t>
  </si>
  <si>
    <t>Ищенко Сергей</t>
  </si>
  <si>
    <t>Кабуркин Максим</t>
  </si>
  <si>
    <t>Кадушкин Виталий</t>
  </si>
  <si>
    <t>Казаков Владислав</t>
  </si>
  <si>
    <t>Казаков Леонид</t>
  </si>
  <si>
    <t>Казенас Евгений</t>
  </si>
  <si>
    <t>Казикин Тимофей</t>
  </si>
  <si>
    <t>Кайков Александр</t>
  </si>
  <si>
    <t>Калачев Тимофей</t>
  </si>
  <si>
    <t>Днепропетровск  Укр.</t>
  </si>
  <si>
    <t>Календжан Даниил</t>
  </si>
  <si>
    <t>Туапсе</t>
  </si>
  <si>
    <t>Калимуллин Камиль</t>
  </si>
  <si>
    <t>Калинчиков Егор</t>
  </si>
  <si>
    <t>Камсков Евгений</t>
  </si>
  <si>
    <t>Камсков Сергей</t>
  </si>
  <si>
    <t>Камышников Павел</t>
  </si>
  <si>
    <t>Канашин Тимофей</t>
  </si>
  <si>
    <t>Кандыбин Виктор</t>
  </si>
  <si>
    <t>Канкулов С</t>
  </si>
  <si>
    <t>Канторович Владислав</t>
  </si>
  <si>
    <t>Капкаев Алексей</t>
  </si>
  <si>
    <t>Карамышев Дмитрий</t>
  </si>
  <si>
    <t>Карамышев Михаил</t>
  </si>
  <si>
    <t>Карпинский Филипп</t>
  </si>
  <si>
    <t>Картошкин Андрей</t>
  </si>
  <si>
    <t>КАРЧАВА Ренат</t>
  </si>
  <si>
    <t>КАРЧИНСКИЙ Илья</t>
  </si>
  <si>
    <t>Касутин Василий</t>
  </si>
  <si>
    <t>Украина</t>
  </si>
  <si>
    <t>Катков Илья</t>
  </si>
  <si>
    <t>Каурцев Денис</t>
  </si>
  <si>
    <t>Цимлянск  Рост.обл.</t>
  </si>
  <si>
    <t>Кацегоров Андрей</t>
  </si>
  <si>
    <t>Кацман Лев</t>
  </si>
  <si>
    <t>Кашин Максим</t>
  </si>
  <si>
    <t>Кохма  Иван.обл.</t>
  </si>
  <si>
    <t>Каюмов Булат</t>
  </si>
  <si>
    <t>Кукмор  Тат</t>
  </si>
  <si>
    <t>Кекконен Вадим</t>
  </si>
  <si>
    <t>Ким Даниил</t>
  </si>
  <si>
    <t>В. Новгород</t>
  </si>
  <si>
    <t>Ким Максим</t>
  </si>
  <si>
    <t>Киреев Дмитрий</t>
  </si>
  <si>
    <t>Кириллов Михаил</t>
  </si>
  <si>
    <t>Кириллов Олег</t>
  </si>
  <si>
    <t>Кириченков Антон</t>
  </si>
  <si>
    <t>Кирякин Даниил</t>
  </si>
  <si>
    <t>Киселев Виктор</t>
  </si>
  <si>
    <t>Киселев Кирилл</t>
  </si>
  <si>
    <t>Кистенев Никита</t>
  </si>
  <si>
    <t>Клементьев Роман</t>
  </si>
  <si>
    <t>Кленин Андрей</t>
  </si>
  <si>
    <t>Клименко Николай</t>
  </si>
  <si>
    <t>Климин Даниил</t>
  </si>
  <si>
    <t>Клыков Артем</t>
  </si>
  <si>
    <t>Клюкин Артем</t>
  </si>
  <si>
    <t>Князьков Петр</t>
  </si>
  <si>
    <t>Ковалев Алексей</t>
  </si>
  <si>
    <t>Палласовский р-он  Волгогр.обл.</t>
  </si>
  <si>
    <t>Ковалевский ?</t>
  </si>
  <si>
    <t>Коваль Дмитрий</t>
  </si>
  <si>
    <t>Ковальков Илья</t>
  </si>
  <si>
    <t>Ковальчук Антон</t>
  </si>
  <si>
    <t>Ковшов Илья</t>
  </si>
  <si>
    <t>Кожевников Андрей</t>
  </si>
  <si>
    <t>Козин Евгений</t>
  </si>
  <si>
    <t>Козлов Дмитрий</t>
  </si>
  <si>
    <t>Козырев Никита</t>
  </si>
  <si>
    <t>Козырь Даниил</t>
  </si>
  <si>
    <t>Козырь Денис</t>
  </si>
  <si>
    <t>Козьминых Александр</t>
  </si>
  <si>
    <t>Кокозов Дмитрий</t>
  </si>
  <si>
    <t>Кокорев Данила</t>
  </si>
  <si>
    <t>Кокорин Артем</t>
  </si>
  <si>
    <t>Колганов Виктор</t>
  </si>
  <si>
    <t>Колегов Вячеслав</t>
  </si>
  <si>
    <t>Новоселово  Красноярск.кр.</t>
  </si>
  <si>
    <t>Колесников Виктор</t>
  </si>
  <si>
    <t>Колмаков Роман</t>
  </si>
  <si>
    <t>Колодяжный Александр</t>
  </si>
  <si>
    <t>Колотушкин Даниил</t>
  </si>
  <si>
    <t>Комаровский Алексей</t>
  </si>
  <si>
    <t>Комков Дмитрий</t>
  </si>
  <si>
    <t>Кондратенков Артем</t>
  </si>
  <si>
    <t>Кондрахин Антон</t>
  </si>
  <si>
    <t>Кондрашов Леонид</t>
  </si>
  <si>
    <t>Конов Ислам</t>
  </si>
  <si>
    <t>Коновалов Вячеслав</t>
  </si>
  <si>
    <t>Коновалов Максим</t>
  </si>
  <si>
    <t>Шахты  Рост.о.</t>
  </si>
  <si>
    <t>Коновалов Роман</t>
  </si>
  <si>
    <t>КОНОВАЛОВ Сергей</t>
  </si>
  <si>
    <t>Кононов Александр</t>
  </si>
  <si>
    <t>Кононов Алексей</t>
  </si>
  <si>
    <t>Копысов Артем</t>
  </si>
  <si>
    <t>Корнеев Аркадий</t>
  </si>
  <si>
    <t>Корниенко Виталий</t>
  </si>
  <si>
    <t>Коробейников Данил</t>
  </si>
  <si>
    <t>Корокозов Владислав</t>
  </si>
  <si>
    <t>Королев Антон</t>
  </si>
  <si>
    <t>Королев Владимир</t>
  </si>
  <si>
    <t>Коротков Данил</t>
  </si>
  <si>
    <t>Коротыгин Иван</t>
  </si>
  <si>
    <t>Коротяев Иван</t>
  </si>
  <si>
    <t>КОРЧИНСКИЙ Илья</t>
  </si>
  <si>
    <t>Косарев Денис</t>
  </si>
  <si>
    <t>Космач Илья</t>
  </si>
  <si>
    <t>Косов Артемий</t>
  </si>
  <si>
    <t>Косткин Денис</t>
  </si>
  <si>
    <t>Костриков Ярослав</t>
  </si>
  <si>
    <t>Котенев Максим</t>
  </si>
  <si>
    <t>Котиков Василий</t>
  </si>
  <si>
    <t>Котлов Никита</t>
  </si>
  <si>
    <t>Котов Владислав</t>
  </si>
  <si>
    <t>Кочешков Никита</t>
  </si>
  <si>
    <t>Кошелев Евгений</t>
  </si>
  <si>
    <t>Кошкин Егор</t>
  </si>
  <si>
    <t>Кравец Даниил</t>
  </si>
  <si>
    <t>Кравцов Кирилл</t>
  </si>
  <si>
    <t>Кравчак Максим</t>
  </si>
  <si>
    <t>Кравчук Владислав</t>
  </si>
  <si>
    <t>Кравчук Илья</t>
  </si>
  <si>
    <t>Крайнев Александр</t>
  </si>
  <si>
    <t>Краморенко Алексей</t>
  </si>
  <si>
    <t>Крапивин Григорий</t>
  </si>
  <si>
    <t>Красковский Александр</t>
  </si>
  <si>
    <t>Краснов Мирослав</t>
  </si>
  <si>
    <t>Красноперов Андрей</t>
  </si>
  <si>
    <t>Краснощеков Арсен</t>
  </si>
  <si>
    <t>Крецул Артем</t>
  </si>
  <si>
    <t>КРОШЕНКО Денис</t>
  </si>
  <si>
    <t>Крошилин Иван</t>
  </si>
  <si>
    <t>Крутев Кирилл</t>
  </si>
  <si>
    <t>Крутов Илья</t>
  </si>
  <si>
    <t>Крылов Илья</t>
  </si>
  <si>
    <t>Крыхтин Арсений</t>
  </si>
  <si>
    <t>Кубарев Павел</t>
  </si>
  <si>
    <t>Кудинов Анатолий</t>
  </si>
  <si>
    <t>Выселки  Краснд.кр.</t>
  </si>
  <si>
    <t>Кудрявцев Александр</t>
  </si>
  <si>
    <t>Кудрявцев Георгий</t>
  </si>
  <si>
    <t>Кудрявцев Данила</t>
  </si>
  <si>
    <t>Кудрявцев Кирилл</t>
  </si>
  <si>
    <t>Кузманоски Кристиан</t>
  </si>
  <si>
    <t>Кузнецов Аркадий</t>
  </si>
  <si>
    <t>Кузнецов Георгий</t>
  </si>
  <si>
    <t>Кузнецов Данил</t>
  </si>
  <si>
    <t>Кузнецов Егор</t>
  </si>
  <si>
    <t>Кузнецов Никита</t>
  </si>
  <si>
    <t>Кузьмин Александр</t>
  </si>
  <si>
    <t>Куимов Михаил</t>
  </si>
  <si>
    <t>Кукушкин Дмитрий</t>
  </si>
  <si>
    <t>Кулагин Александр</t>
  </si>
  <si>
    <t>Кулида Даниил</t>
  </si>
  <si>
    <t>Кулинченко Дмитрий</t>
  </si>
  <si>
    <t>Нижний Ломов  Пен.обл.</t>
  </si>
  <si>
    <t>Кульков Алексей</t>
  </si>
  <si>
    <t>Кулясов Сергей</t>
  </si>
  <si>
    <t>Кумахов Софият</t>
  </si>
  <si>
    <t>Купин Николай</t>
  </si>
  <si>
    <t>Купов Залим</t>
  </si>
  <si>
    <t>Куприенко Владислав</t>
  </si>
  <si>
    <t>Купцов Марк</t>
  </si>
  <si>
    <t>Купчихин Артур</t>
  </si>
  <si>
    <t>Курбанов Александр</t>
  </si>
  <si>
    <t>Курбанов Артур</t>
  </si>
  <si>
    <t>Курбатов Игорь</t>
  </si>
  <si>
    <t>Курзанов Никита</t>
  </si>
  <si>
    <t>Куркин Дмитрий</t>
  </si>
  <si>
    <t>Курочкин Егор</t>
  </si>
  <si>
    <t>Курстанбеков Арлян</t>
  </si>
  <si>
    <t>Куртанбеков Арлиян</t>
  </si>
  <si>
    <t>Курчанов Дмитрий</t>
  </si>
  <si>
    <t>Кутафин Владимир</t>
  </si>
  <si>
    <t>Кутергин Леонид</t>
  </si>
  <si>
    <t>Кутилов Александр</t>
  </si>
  <si>
    <t>Куткин Даниил</t>
  </si>
  <si>
    <t>Кутнич Александр</t>
  </si>
  <si>
    <t>Куштейко Алексей</t>
  </si>
  <si>
    <t>Дмитров</t>
  </si>
  <si>
    <t>Лавров Олег</t>
  </si>
  <si>
    <t>Лагутин Владимир</t>
  </si>
  <si>
    <t>Лазарев Василий</t>
  </si>
  <si>
    <t>Лазаренко Андрей</t>
  </si>
  <si>
    <t>Лазаренко Федор</t>
  </si>
  <si>
    <t>Лапин Игорь</t>
  </si>
  <si>
    <t>Лапшинов Александр</t>
  </si>
  <si>
    <t>Ластов Иван</t>
  </si>
  <si>
    <t>Лашин Макарий</t>
  </si>
  <si>
    <t>Лебедев Александр</t>
  </si>
  <si>
    <t>Лебедев Владислав</t>
  </si>
  <si>
    <t>Хороль  Прим.кр.</t>
  </si>
  <si>
    <t>Левашов Георгий</t>
  </si>
  <si>
    <t>Левин Данил</t>
  </si>
  <si>
    <t>Лекомцев Алексей</t>
  </si>
  <si>
    <t>Долинск</t>
  </si>
  <si>
    <t>Леонтьев Илья</t>
  </si>
  <si>
    <t>Леханов Максим</t>
  </si>
  <si>
    <t>Лещенко Дмитрий</t>
  </si>
  <si>
    <t>Ли Константин</t>
  </si>
  <si>
    <t>Ли Максим</t>
  </si>
  <si>
    <t>Лимаренко Даниил</t>
  </si>
  <si>
    <t>Новосысоевка  Прим.кр.</t>
  </si>
  <si>
    <t>ЛИМОНОВ Антон</t>
  </si>
  <si>
    <t>Винница  Укр</t>
  </si>
  <si>
    <t>Линев Павел</t>
  </si>
  <si>
    <t>Лисицкий Андрей</t>
  </si>
  <si>
    <t>Лисицын Андрей</t>
  </si>
  <si>
    <t>Листратов Кирилл</t>
  </si>
  <si>
    <t>Лихторович Кирилл</t>
  </si>
  <si>
    <t>Личманов Дмитрий</t>
  </si>
  <si>
    <t>Лобан Никита</t>
  </si>
  <si>
    <t>Ловкис Никита</t>
  </si>
  <si>
    <t>Логачев Андрей</t>
  </si>
  <si>
    <t>Логинов Аркадий</t>
  </si>
  <si>
    <t>Ломасов Илья</t>
  </si>
  <si>
    <t>ЛОТТО Максим</t>
  </si>
  <si>
    <t>Хельсинки</t>
  </si>
  <si>
    <t>Лузин Александр</t>
  </si>
  <si>
    <t>Луференко Константин</t>
  </si>
  <si>
    <t>Лысак Сергей</t>
  </si>
  <si>
    <t>Лысенко Алан</t>
  </si>
  <si>
    <t>Лысунь Александр</t>
  </si>
  <si>
    <t>Льдинин Михаил</t>
  </si>
  <si>
    <t>Савинский  Арх.о.</t>
  </si>
  <si>
    <t>Магакян Игорь</t>
  </si>
  <si>
    <t>Магиленко Егор</t>
  </si>
  <si>
    <t>Майоров Кирилл</t>
  </si>
  <si>
    <t>Макаренков Владимир</t>
  </si>
  <si>
    <t>Макаров Антон</t>
  </si>
  <si>
    <t>Макаров Владислав</t>
  </si>
  <si>
    <t>Макаров Данил</t>
  </si>
  <si>
    <t>Верхняя Салда  Св.о.</t>
  </si>
  <si>
    <t>Макаров Михаил</t>
  </si>
  <si>
    <t>Макаров Никита</t>
  </si>
  <si>
    <t>Максименко Дмитрий</t>
  </si>
  <si>
    <t>Максимов Даниил</t>
  </si>
  <si>
    <t>Максимов Илья</t>
  </si>
  <si>
    <t>Малахов Андрей</t>
  </si>
  <si>
    <t>МАЛАХОВ Богдан</t>
  </si>
  <si>
    <t>Малахов Павел</t>
  </si>
  <si>
    <t>Рязань</t>
  </si>
  <si>
    <t>Малиев Даниил</t>
  </si>
  <si>
    <t>Малина Алексей</t>
  </si>
  <si>
    <t>Малов Илья</t>
  </si>
  <si>
    <t>Малов Сергей</t>
  </si>
  <si>
    <t>Малыгин Владимир</t>
  </si>
  <si>
    <t>Малый Виктор</t>
  </si>
  <si>
    <t>Малыш Артем</t>
  </si>
  <si>
    <t>Малышкин Семен</t>
  </si>
  <si>
    <t>Мальков Даниил</t>
  </si>
  <si>
    <t>Мальцев Данила</t>
  </si>
  <si>
    <t>Мальцев Дмитрий</t>
  </si>
  <si>
    <t>Мамбетов Беслан</t>
  </si>
  <si>
    <t>Мамчур Назар</t>
  </si>
  <si>
    <t>Маракулин Михаил</t>
  </si>
  <si>
    <t>Марвах Марк</t>
  </si>
  <si>
    <t>Марзоев Азамат</t>
  </si>
  <si>
    <t>Мариев Артем</t>
  </si>
  <si>
    <t>Маркин Марк</t>
  </si>
  <si>
    <t>Мартыненко Кирилл</t>
  </si>
  <si>
    <t>Мартынов Александр</t>
  </si>
  <si>
    <t>Мартынов Владислав</t>
  </si>
  <si>
    <t>Матушкин Денис</t>
  </si>
  <si>
    <t>Прикумское  Ставр. кр.</t>
  </si>
  <si>
    <t>Матюхин Дмитрий</t>
  </si>
  <si>
    <t>Махин Артемий</t>
  </si>
  <si>
    <t>Мащенко Богдан</t>
  </si>
  <si>
    <t>Медведев Илья</t>
  </si>
  <si>
    <t>Медведицков Георгий</t>
  </si>
  <si>
    <t>МЕДОНИС Аугустос</t>
  </si>
  <si>
    <t>Медяков Дмитрий</t>
  </si>
  <si>
    <t>Мезенин Олег</t>
  </si>
  <si>
    <t>Мелентьев Александр</t>
  </si>
  <si>
    <t>Ильинский</t>
  </si>
  <si>
    <t>Мельник Николай</t>
  </si>
  <si>
    <t>Мерлейн Валентин</t>
  </si>
  <si>
    <t>Мещеряков Данил</t>
  </si>
  <si>
    <t>Мильков Андрей</t>
  </si>
  <si>
    <t>Минашкин Андрей</t>
  </si>
  <si>
    <t>Миненков Михаил</t>
  </si>
  <si>
    <t>Миняев Сергей</t>
  </si>
  <si>
    <t>Миронов Даниил</t>
  </si>
  <si>
    <t>Миронов Егор</t>
  </si>
  <si>
    <t>Мирошниченко Артем</t>
  </si>
  <si>
    <t>Митрик Евгений</t>
  </si>
  <si>
    <t>Михайличенко Даниил</t>
  </si>
  <si>
    <t>Майский  РКБ</t>
  </si>
  <si>
    <t>Михайлов Михаил</t>
  </si>
  <si>
    <t>Михайлов Юрий</t>
  </si>
  <si>
    <t>Михальский Александр</t>
  </si>
  <si>
    <t>Михальченко Егор</t>
  </si>
  <si>
    <t>Михеев Максим</t>
  </si>
  <si>
    <t>Мишаков Максим</t>
  </si>
  <si>
    <t>Мишин Максим</t>
  </si>
  <si>
    <t>Невьянск  Св. обл.</t>
  </si>
  <si>
    <t>Череповец</t>
  </si>
  <si>
    <t>Молчанов Максим</t>
  </si>
  <si>
    <t>Молчанов Никита</t>
  </si>
  <si>
    <t>Морозов Даниил</t>
  </si>
  <si>
    <t>Морозов Кирилл</t>
  </si>
  <si>
    <t>Морозов Тарас</t>
  </si>
  <si>
    <t>Москалев Андрей</t>
  </si>
  <si>
    <t>Сиверский</t>
  </si>
  <si>
    <t>Москвин Никита</t>
  </si>
  <si>
    <t>Москвитин Никита</t>
  </si>
  <si>
    <t>Мотовилин Илья</t>
  </si>
  <si>
    <t>Мошкин Геогий</t>
  </si>
  <si>
    <t>Мошков Михаил</t>
  </si>
  <si>
    <t>Мошков Никита</t>
  </si>
  <si>
    <t>Муков Азамат</t>
  </si>
  <si>
    <t>Мумджян Артем</t>
  </si>
  <si>
    <t>Мурин Дмитрий</t>
  </si>
  <si>
    <t>Муртазин Рузаль</t>
  </si>
  <si>
    <t>Мухаметшин Ильнур</t>
  </si>
  <si>
    <t>Мухин Кирилл</t>
  </si>
  <si>
    <t>Мязин Сергей</t>
  </si>
  <si>
    <t>Набатчиков Виталий</t>
  </si>
  <si>
    <t>Набиев Рамис</t>
  </si>
  <si>
    <t>Набиулин Евгений</t>
  </si>
  <si>
    <t>Нажмудинов Ислам</t>
  </si>
  <si>
    <t>Назаренко Владимир</t>
  </si>
  <si>
    <t>Назаров Иван</t>
  </si>
  <si>
    <t>Назаров Константин</t>
  </si>
  <si>
    <t>Назаров Тимофей</t>
  </si>
  <si>
    <t>Найда Артур</t>
  </si>
  <si>
    <t>Найдич Артем</t>
  </si>
  <si>
    <t>Найдич Игорь</t>
  </si>
  <si>
    <t>Наймушин Данил</t>
  </si>
  <si>
    <t>Нарыжный Владислав</t>
  </si>
  <si>
    <t>Наседкин Георгий</t>
  </si>
  <si>
    <t>Наумов Антон</t>
  </si>
  <si>
    <t>Наумов Даниил</t>
  </si>
  <si>
    <t>Нахимовский Роман</t>
  </si>
  <si>
    <t>Некрасов Савелий</t>
  </si>
  <si>
    <t>Немеш Даниил</t>
  </si>
  <si>
    <t>Немудрый Максим</t>
  </si>
  <si>
    <t>Неприн Евгений</t>
  </si>
  <si>
    <t>Нетфулов Ильяс</t>
  </si>
  <si>
    <t>Нефедов Артем</t>
  </si>
  <si>
    <t>Нечай Виктор</t>
  </si>
  <si>
    <t>Никитин Данил</t>
  </si>
  <si>
    <t>Никитин Илья</t>
  </si>
  <si>
    <t>Никифоров Даниил</t>
  </si>
  <si>
    <t>Никишаев Матвей</t>
  </si>
  <si>
    <t>Новиков Михаил</t>
  </si>
  <si>
    <t>Новоселов Дмитрий</t>
  </si>
  <si>
    <t>Норманских Андрей</t>
  </si>
  <si>
    <t>Носов Роман</t>
  </si>
  <si>
    <t>Овсяников Александр</t>
  </si>
  <si>
    <t>Овчинников Игнатий</t>
  </si>
  <si>
    <t>Овчинников Матвей</t>
  </si>
  <si>
    <t>Огородников Павел</t>
  </si>
  <si>
    <t>Озимок Никита</t>
  </si>
  <si>
    <t>Озроков Аслан</t>
  </si>
  <si>
    <t>Омельченко Иван</t>
  </si>
  <si>
    <t>Маркс  Сар.о.</t>
  </si>
  <si>
    <t>Омельченко Никита</t>
  </si>
  <si>
    <t>Опанасенко Артем</t>
  </si>
  <si>
    <t>Осокин Владислав</t>
  </si>
  <si>
    <t>Павлов Андрей</t>
  </si>
  <si>
    <t>Павлов Никита</t>
  </si>
  <si>
    <t>Павлов Семен</t>
  </si>
  <si>
    <t>Павлоцкий Борис</t>
  </si>
  <si>
    <t>Павлычев Александр</t>
  </si>
  <si>
    <t>Павлышин Олег</t>
  </si>
  <si>
    <t>Падорин Даниил</t>
  </si>
  <si>
    <t>Падорин Иван</t>
  </si>
  <si>
    <t>Паков Тамерлан</t>
  </si>
  <si>
    <t>Палицын Артем</t>
  </si>
  <si>
    <t>Панасенко Владислав</t>
  </si>
  <si>
    <t>Панфилов Федор</t>
  </si>
  <si>
    <t>Панченко Иван</t>
  </si>
  <si>
    <t>Панько Семен</t>
  </si>
  <si>
    <t>Паньшин Виктор</t>
  </si>
  <si>
    <t>Паствайкин Данил</t>
  </si>
  <si>
    <t>Пашаев Магомед</t>
  </si>
  <si>
    <t>Пелин Марк</t>
  </si>
  <si>
    <t>Первов Тимур</t>
  </si>
  <si>
    <t>Перевалов Ярослав</t>
  </si>
  <si>
    <t>Перевертов Андрей</t>
  </si>
  <si>
    <t>Перегончий Михаил</t>
  </si>
  <si>
    <t>Перепелюков Эдуард</t>
  </si>
  <si>
    <t>Перешипкин Даниил</t>
  </si>
  <si>
    <t>Першин Никита</t>
  </si>
  <si>
    <t>Петров Михаил</t>
  </si>
  <si>
    <t>Петрук Дмитрий</t>
  </si>
  <si>
    <t>Петрусевич Никита</t>
  </si>
  <si>
    <t>Петряев Павел</t>
  </si>
  <si>
    <t>Шатура</t>
  </si>
  <si>
    <t>Петухов Илья</t>
  </si>
  <si>
    <t>Печенко Николай</t>
  </si>
  <si>
    <t>Пештерян Владимир</t>
  </si>
  <si>
    <t>Пименов Алексей</t>
  </si>
  <si>
    <t>Питиримов Егор</t>
  </si>
  <si>
    <t>Пичугин Геннадий</t>
  </si>
  <si>
    <t>Платонов Владислав</t>
  </si>
  <si>
    <t>Платонов Егор</t>
  </si>
  <si>
    <t>Плис Александр</t>
  </si>
  <si>
    <t>Плохотник Александр</t>
  </si>
  <si>
    <t>Погорелый Илья</t>
  </si>
  <si>
    <t>Подгора Артем</t>
  </si>
  <si>
    <t>Поддубный Антон</t>
  </si>
  <si>
    <t>Подединов Артем</t>
  </si>
  <si>
    <t>Подлазов Владислав</t>
  </si>
  <si>
    <t>Подопрыгин Сергей</t>
  </si>
  <si>
    <t>Подречнев Дмитрий</t>
  </si>
  <si>
    <t>Пожидаев Марк</t>
  </si>
  <si>
    <t>Поздин Андрей</t>
  </si>
  <si>
    <t>Покальчук Владислав</t>
  </si>
  <si>
    <t>Покатило Петр</t>
  </si>
  <si>
    <t>Покатов Степан</t>
  </si>
  <si>
    <t>Покровский Иван</t>
  </si>
  <si>
    <t>Полевков Артем</t>
  </si>
  <si>
    <t>Поликанов Данил</t>
  </si>
  <si>
    <t>Полуянов Елисей</t>
  </si>
  <si>
    <t>Полянский Артем</t>
  </si>
  <si>
    <t>Помаскин Никита</t>
  </si>
  <si>
    <t>Помыканов Дмитрий</t>
  </si>
  <si>
    <t>Пономаренко Александр</t>
  </si>
  <si>
    <t>Матвеев Курган  Рост.о.</t>
  </si>
  <si>
    <t>Попов Алексей</t>
  </si>
  <si>
    <t>Попов Антон</t>
  </si>
  <si>
    <t>Попов Даниил</t>
  </si>
  <si>
    <t>Попов Иван</t>
  </si>
  <si>
    <t>Попов Сергей</t>
  </si>
  <si>
    <t>Поповиченко Даниэль</t>
  </si>
  <si>
    <t>Поповский Александр</t>
  </si>
  <si>
    <t>Поповский Денис</t>
  </si>
  <si>
    <t>Портнягин Макар</t>
  </si>
  <si>
    <t>Пости Егор</t>
  </si>
  <si>
    <t>Потапкин Андрей</t>
  </si>
  <si>
    <t>Потапов Евгений</t>
  </si>
  <si>
    <t>Прасол Евгений</t>
  </si>
  <si>
    <t>Притыка Влад</t>
  </si>
  <si>
    <t>Приходкин Кирилл</t>
  </si>
  <si>
    <t>Продан Алексей</t>
  </si>
  <si>
    <t>Прощалыкин Антон</t>
  </si>
  <si>
    <t>Пугачев Андрей</t>
  </si>
  <si>
    <t>Пунин Михаил</t>
  </si>
  <si>
    <t>Пунтусов Дмитрий</t>
  </si>
  <si>
    <t>ПУХТА Дмитрий</t>
  </si>
  <si>
    <t>Пушкарь Вячеслав</t>
  </si>
  <si>
    <t>Пшеноков Инал</t>
  </si>
  <si>
    <t>Пышков Данил</t>
  </si>
  <si>
    <t>Радченко Денис</t>
  </si>
  <si>
    <t>Черниговка  Прим.</t>
  </si>
  <si>
    <t>Радченко Тимофей</t>
  </si>
  <si>
    <t>Раевский Матвей</t>
  </si>
  <si>
    <t>Рассохин Алексей</t>
  </si>
  <si>
    <t>Редозубов Артем</t>
  </si>
  <si>
    <t>Реженок Сергей</t>
  </si>
  <si>
    <t>Резник Степан</t>
  </si>
  <si>
    <t>Мостовской  Кр.кр.</t>
  </si>
  <si>
    <t>РЕЗНИЧЕНКО Остап</t>
  </si>
  <si>
    <t>Ремиханов Амам</t>
  </si>
  <si>
    <t>Репин Артем</t>
  </si>
  <si>
    <t>Рибенков Павел</t>
  </si>
  <si>
    <t>Робак Валерий</t>
  </si>
  <si>
    <t>Рогожин Дмитрий</t>
  </si>
  <si>
    <t>Рогозников Александр</t>
  </si>
  <si>
    <t>Родан Алексей</t>
  </si>
  <si>
    <t>Родионов Егор</t>
  </si>
  <si>
    <t>Родионов Руслан</t>
  </si>
  <si>
    <t>Родькин Эдуард</t>
  </si>
  <si>
    <t>Рождественский Никита</t>
  </si>
  <si>
    <t>Рожков Данила</t>
  </si>
  <si>
    <t>Рожков Михаил</t>
  </si>
  <si>
    <t>Романов Алексей</t>
  </si>
  <si>
    <t>Романов Антон</t>
  </si>
  <si>
    <t>Романов Николай</t>
  </si>
  <si>
    <t>Романский Владимир</t>
  </si>
  <si>
    <t>Роот Матвей</t>
  </si>
  <si>
    <t>РУКЛЕЦОВ Владислав</t>
  </si>
  <si>
    <t>Рунушкин Симон</t>
  </si>
  <si>
    <t>Русаков Дмитрий</t>
  </si>
  <si>
    <t>Ручка Алексей</t>
  </si>
  <si>
    <t>РЫБАКОВ Артем</t>
  </si>
  <si>
    <t>Таллин  Эстония</t>
  </si>
  <si>
    <t>Рыжов Андрей</t>
  </si>
  <si>
    <t>Рычков Михаил</t>
  </si>
  <si>
    <t>Рябинин Иван</t>
  </si>
  <si>
    <t>Ряжинов Роман</t>
  </si>
  <si>
    <t>Сабиров Алмаз</t>
  </si>
  <si>
    <t>Савельев Алексей</t>
  </si>
  <si>
    <t>Савельев Илья</t>
  </si>
  <si>
    <t>Савельев Никита</t>
  </si>
  <si>
    <t>Савин Денис</t>
  </si>
  <si>
    <t>Савин Леонид</t>
  </si>
  <si>
    <t>Савинцев Иван</t>
  </si>
  <si>
    <t>Савичев Дмитрий</t>
  </si>
  <si>
    <t>Саидов Денис</t>
  </si>
  <si>
    <t>Сайдашев Тимур</t>
  </si>
  <si>
    <t>Сайфутдинов Адель</t>
  </si>
  <si>
    <t>Сакристан Владислав</t>
  </si>
  <si>
    <t>Самойлов Илья</t>
  </si>
  <si>
    <t>Самолюк Янис</t>
  </si>
  <si>
    <t>Самохин Даниил</t>
  </si>
  <si>
    <t>Самошкин Владислав</t>
  </si>
  <si>
    <t>Самсонов Станислав</t>
  </si>
  <si>
    <t>Сангаджиев Владимир</t>
  </si>
  <si>
    <t>Санин Илья</t>
  </si>
  <si>
    <t>Санталов Дмитрий</t>
  </si>
  <si>
    <t>Сараев Владислав</t>
  </si>
  <si>
    <t>Сардачук Максим</t>
  </si>
  <si>
    <t>Сахабиев Владислав</t>
  </si>
  <si>
    <t>Сахаров Максим</t>
  </si>
  <si>
    <t>Свиридов Андрей</t>
  </si>
  <si>
    <t>Свяжин Илья</t>
  </si>
  <si>
    <t>Севастьянов Александр</t>
  </si>
  <si>
    <t>Севериков Дмитрий</t>
  </si>
  <si>
    <t>Седин Никита</t>
  </si>
  <si>
    <t>Седлов Семен</t>
  </si>
  <si>
    <t>Селезнев Вячеслав</t>
  </si>
  <si>
    <t>Селиванов Андрей</t>
  </si>
  <si>
    <t>Семенов Дмитрий</t>
  </si>
  <si>
    <t>Семенов Егор</t>
  </si>
  <si>
    <t>СЕМЕНЮК Михаил</t>
  </si>
  <si>
    <t>Сергеев Владислав</t>
  </si>
  <si>
    <t>Серебрянников Дмитрий</t>
  </si>
  <si>
    <t>Сержанов Михаил</t>
  </si>
  <si>
    <t>Сидоренко Владимир</t>
  </si>
  <si>
    <t>Сидоров Георгий</t>
  </si>
  <si>
    <t>Сидоров Саава</t>
  </si>
  <si>
    <t>Сижажев Аслан</t>
  </si>
  <si>
    <t>Сизиков Сергей</t>
  </si>
  <si>
    <t>Силин Павел</t>
  </si>
  <si>
    <t>Симакин Максим</t>
  </si>
  <si>
    <t>Симоненко Марк</t>
  </si>
  <si>
    <t>Симонов Денис</t>
  </si>
  <si>
    <t>Синицын Максим</t>
  </si>
  <si>
    <t>Синявский Максим</t>
  </si>
  <si>
    <t>Сирман Вячеслав</t>
  </si>
  <si>
    <t>Сичненко Алексей</t>
  </si>
  <si>
    <t>Скворцов Алексей</t>
  </si>
  <si>
    <t>Скворцов Семен</t>
  </si>
  <si>
    <t>Скирта Данил</t>
  </si>
  <si>
    <t>Скрипкин Василий</t>
  </si>
  <si>
    <t>Сластихин Николай</t>
  </si>
  <si>
    <t>Сметанкин Александр</t>
  </si>
  <si>
    <t>Смирнов Александр</t>
  </si>
  <si>
    <t>Смирнов Анатолий</t>
  </si>
  <si>
    <t>Смирнов Владимир</t>
  </si>
  <si>
    <t>Смирнов Никита</t>
  </si>
  <si>
    <t>Смоленцев Денис</t>
  </si>
  <si>
    <t>Смольняков Никита</t>
  </si>
  <si>
    <t>Соболев Ростислав</t>
  </si>
  <si>
    <t>Соколов Александр</t>
  </si>
  <si>
    <t>Соколов Антон</t>
  </si>
  <si>
    <t>Соколов Василий</t>
  </si>
  <si>
    <t>Соколов Даниил</t>
  </si>
  <si>
    <t>Соколов Михаил</t>
  </si>
  <si>
    <t>Соколов Тимофей</t>
  </si>
  <si>
    <t>Солдатенко Игорь</t>
  </si>
  <si>
    <t>Соловей Илья</t>
  </si>
  <si>
    <t>Соловов Григорий</t>
  </si>
  <si>
    <t>Соловьев Егор</t>
  </si>
  <si>
    <t>Соловьев Максим</t>
  </si>
  <si>
    <t>Солянкин Александр</t>
  </si>
  <si>
    <t>Сонин Даниил</t>
  </si>
  <si>
    <t>Сорокин Станислав</t>
  </si>
  <si>
    <t>Соустин Тимофей</t>
  </si>
  <si>
    <t>Сохроков Анзор</t>
  </si>
  <si>
    <t>Спивак Егор</t>
  </si>
  <si>
    <t>Спирин Артем</t>
  </si>
  <si>
    <t>Спис Дмитрий</t>
  </si>
  <si>
    <t>Стальмахович Виктор</t>
  </si>
  <si>
    <t>СТАНКЯВИЧУС Медардас</t>
  </si>
  <si>
    <t>Каунас  Литва</t>
  </si>
  <si>
    <t>Стариков Егор</t>
  </si>
  <si>
    <t>Стариков Максим</t>
  </si>
  <si>
    <t>Стародумов Владислав</t>
  </si>
  <si>
    <t>Серов  Свердл.обл.</t>
  </si>
  <si>
    <t>Старостин Максим</t>
  </si>
  <si>
    <t>Стафеев Юрий</t>
  </si>
  <si>
    <t>Степаненков Григорий</t>
  </si>
  <si>
    <t>Степанов Никита</t>
  </si>
  <si>
    <t>Стринкевич Никита</t>
  </si>
  <si>
    <t>Строкин Дмитрий</t>
  </si>
  <si>
    <t>Струлев Владимир</t>
  </si>
  <si>
    <t>Стряпков Кирилл</t>
  </si>
  <si>
    <t>Суворов Артем</t>
  </si>
  <si>
    <t>Судаков Владимир</t>
  </si>
  <si>
    <t>Судаков Владислав</t>
  </si>
  <si>
    <t>Судаков Тимофей</t>
  </si>
  <si>
    <t>Судариков Артем</t>
  </si>
  <si>
    <t>Сулейманов Максим</t>
  </si>
  <si>
    <t>Сулимов Борис</t>
  </si>
  <si>
    <t>Султанов Айрат</t>
  </si>
  <si>
    <t>Султанов Артур</t>
  </si>
  <si>
    <t>СУЛТОНОВ Ислом</t>
  </si>
  <si>
    <t>Узбекистан</t>
  </si>
  <si>
    <t>Сумароков Тимофей</t>
  </si>
  <si>
    <t>Заречный  Св.обл.</t>
  </si>
  <si>
    <t>Суркин Максим</t>
  </si>
  <si>
    <t>Сухов Николай</t>
  </si>
  <si>
    <t>Сырбу Владислав</t>
  </si>
  <si>
    <t>Сысоев Артем</t>
  </si>
  <si>
    <t>Оленегорск</t>
  </si>
  <si>
    <t>Тамахин Тимофей</t>
  </si>
  <si>
    <t>Танцура Николай</t>
  </si>
  <si>
    <t>Тарасов Валерий</t>
  </si>
  <si>
    <t>Тарасов Данил</t>
  </si>
  <si>
    <t>Тарасов Денис</t>
  </si>
  <si>
    <t>Тарасов Евгений</t>
  </si>
  <si>
    <t>Тарасовский Артемий</t>
  </si>
  <si>
    <t>Таратынов Олег</t>
  </si>
  <si>
    <t>Тарутин Павел</t>
  </si>
  <si>
    <t>Твердохлебов Дмитрий</t>
  </si>
  <si>
    <t>Теляков Марат</t>
  </si>
  <si>
    <t>Теплов Артем</t>
  </si>
  <si>
    <t>Терехов Александр</t>
  </si>
  <si>
    <t>Терехов Даниил</t>
  </si>
  <si>
    <t>Терещенко Георгий</t>
  </si>
  <si>
    <t>Терещенко Данила</t>
  </si>
  <si>
    <t>Терлецкий Матвей</t>
  </si>
  <si>
    <t>Терников Артем</t>
  </si>
  <si>
    <t>Терновский Александр</t>
  </si>
  <si>
    <t>Терновский Григорий</t>
  </si>
  <si>
    <t>Тимергалеев Рафаэль</t>
  </si>
  <si>
    <t>Тимошук Игорь</t>
  </si>
  <si>
    <t>Тимчишин Дмитрий</t>
  </si>
  <si>
    <t>Тиньков Александр</t>
  </si>
  <si>
    <t>Титков Егор</t>
  </si>
  <si>
    <t>Тиханов Максим</t>
  </si>
  <si>
    <t>Тихненко Дмитрий</t>
  </si>
  <si>
    <t>Армавир</t>
  </si>
  <si>
    <t>Тихненко Павел</t>
  </si>
  <si>
    <t>Ткачев Илья</t>
  </si>
  <si>
    <t>Тлапшоков Артур</t>
  </si>
  <si>
    <t>Токарев Илья</t>
  </si>
  <si>
    <t>Токарев Максим</t>
  </si>
  <si>
    <t>Токарь Дмитрий</t>
  </si>
  <si>
    <t>Толкачев Даниил</t>
  </si>
  <si>
    <t>Толстяков Роман</t>
  </si>
  <si>
    <t>Тощев Глеб</t>
  </si>
  <si>
    <t>Травкин Максим</t>
  </si>
  <si>
    <t>Трионас Игорь</t>
  </si>
  <si>
    <t>Трифонов Александр</t>
  </si>
  <si>
    <t>Трифонов Константин</t>
  </si>
  <si>
    <t>Трошин Владислав</t>
  </si>
  <si>
    <t>Трошков Дмитрий</t>
  </si>
  <si>
    <t>Трушкин Сергей</t>
  </si>
  <si>
    <t>Тулаев Владимир</t>
  </si>
  <si>
    <t>Тульчанский Данил</t>
  </si>
  <si>
    <t>Туркин Артем</t>
  </si>
  <si>
    <t>Туровцев Никита</t>
  </si>
  <si>
    <t>Тырцев Арсений</t>
  </si>
  <si>
    <t>Тюкин Дмитрий</t>
  </si>
  <si>
    <t>Тюрин Вадим</t>
  </si>
  <si>
    <t>Тятяев Владислав</t>
  </si>
  <si>
    <t>Улбутов Сергей</t>
  </si>
  <si>
    <t>Улезько Александр</t>
  </si>
  <si>
    <t>Ульяненков Александр</t>
  </si>
  <si>
    <t>Уметов Ислам</t>
  </si>
  <si>
    <t>Урбазаев Сергей</t>
  </si>
  <si>
    <t>Усов Андрей</t>
  </si>
  <si>
    <t>Ухин Игорь</t>
  </si>
  <si>
    <t>Ухлин Михаил</t>
  </si>
  <si>
    <t>Ушаков Данил</t>
  </si>
  <si>
    <t>Ушаков Михаил</t>
  </si>
  <si>
    <t>Фанасков Никита</t>
  </si>
  <si>
    <t>Федоров Всеволод</t>
  </si>
  <si>
    <t>Федоров Дмитрий</t>
  </si>
  <si>
    <t>Федоров Егор</t>
  </si>
  <si>
    <t>Феоктистов Суран</t>
  </si>
  <si>
    <t>Ферахян Никита</t>
  </si>
  <si>
    <t>Филатов Михаил</t>
  </si>
  <si>
    <t>Филиппов Андрей</t>
  </si>
  <si>
    <t>Фисун Тимофей</t>
  </si>
  <si>
    <t>Фокин Владимир</t>
  </si>
  <si>
    <t>Фоменко Даниил</t>
  </si>
  <si>
    <t>Фоменко Доброслав</t>
  </si>
  <si>
    <t>Фоменко Иван</t>
  </si>
  <si>
    <t>Фомин Алексей</t>
  </si>
  <si>
    <t>Фрамуза Данил</t>
  </si>
  <si>
    <t>Фролов Илья</t>
  </si>
  <si>
    <t>Хажнагоев Ислам</t>
  </si>
  <si>
    <t>ХАЙКИН Давид</t>
  </si>
  <si>
    <t>Халиуллин Никита</t>
  </si>
  <si>
    <t>Гусиноозерск  респ.Бурятия</t>
  </si>
  <si>
    <t>Харзинов Кантемир</t>
  </si>
  <si>
    <t>Харионовский Глеб</t>
  </si>
  <si>
    <t>Хасаншин Булат</t>
  </si>
  <si>
    <t>Хатыпов Максим</t>
  </si>
  <si>
    <t>Хачатрян Давид</t>
  </si>
  <si>
    <t>Хлебников Константин</t>
  </si>
  <si>
    <t>Хоровец Алексей</t>
  </si>
  <si>
    <t>Худобин Александр</t>
  </si>
  <si>
    <t>Хурамшин Амир</t>
  </si>
  <si>
    <t>Цариценцев Иван</t>
  </si>
  <si>
    <t>Кувандык  Оренб.обл.</t>
  </si>
  <si>
    <t>Цветков Вячеслав</t>
  </si>
  <si>
    <t>Цветков Николай</t>
  </si>
  <si>
    <t>Цебоев Давид</t>
  </si>
  <si>
    <t>Ципоркин Марк</t>
  </si>
  <si>
    <t>Циравин Владимир</t>
  </si>
  <si>
    <t>Цыплаков Максим</t>
  </si>
  <si>
    <t>Цыплятников Николай</t>
  </si>
  <si>
    <t>Цыравин Владимир</t>
  </si>
  <si>
    <t>Цэнгэл Баир</t>
  </si>
  <si>
    <t>Цэнгэл Батор</t>
  </si>
  <si>
    <t>Чалов Виктор</t>
  </si>
  <si>
    <t>Чаптыков Егор</t>
  </si>
  <si>
    <t>Чаткин Кирилл</t>
  </si>
  <si>
    <t>Чебоха Владимир</t>
  </si>
  <si>
    <t>Чебыкин Андрей</t>
  </si>
  <si>
    <t>Чегемов Аслан</t>
  </si>
  <si>
    <t>Челпанов Богдан</t>
  </si>
  <si>
    <t>Чепкасов Кирилл</t>
  </si>
  <si>
    <t>Черепанов Георгий</t>
  </si>
  <si>
    <t>Черников Даниил</t>
  </si>
  <si>
    <t>Чернов Александр</t>
  </si>
  <si>
    <t>Чернов Алексей</t>
  </si>
  <si>
    <t>Барабинск  Новос.обл.</t>
  </si>
  <si>
    <t>Чернов Руслан</t>
  </si>
  <si>
    <t>Черногорец Владислав</t>
  </si>
  <si>
    <t>Черногорец Максим</t>
  </si>
  <si>
    <t>Чернопятов Виктор</t>
  </si>
  <si>
    <t>Черноусов Евгений</t>
  </si>
  <si>
    <t>Черных Дмитрий</t>
  </si>
  <si>
    <t>Чеченов Андимир</t>
  </si>
  <si>
    <t>Чигаев Кирилл</t>
  </si>
  <si>
    <t>Чижов Александр</t>
  </si>
  <si>
    <t>Чилик Роман</t>
  </si>
  <si>
    <t>Чирков Дмитрий</t>
  </si>
  <si>
    <t>Чувызгалов Дмитрий</t>
  </si>
  <si>
    <t>Чудогашев Георгий</t>
  </si>
  <si>
    <t>Чужов Кирилл</t>
  </si>
  <si>
    <t>Чуканов Илья</t>
  </si>
  <si>
    <t>Чулков Даниил</t>
  </si>
  <si>
    <t>Чупахин Илья</t>
  </si>
  <si>
    <t>Чупаченко Борис</t>
  </si>
  <si>
    <t>Чупров Илья</t>
  </si>
  <si>
    <t>Шабанов Иван</t>
  </si>
  <si>
    <t>Шабанов Михаил</t>
  </si>
  <si>
    <t>Шаболин Лев</t>
  </si>
  <si>
    <t>Шагалин Олег</t>
  </si>
  <si>
    <t>Шагин Егор</t>
  </si>
  <si>
    <t>Шакарян Ярослав</t>
  </si>
  <si>
    <t>Шакуро Алексей</t>
  </si>
  <si>
    <t>Шамаев Андрей</t>
  </si>
  <si>
    <t>Шаманов Юрий</t>
  </si>
  <si>
    <t>Шамбазов Наиль</t>
  </si>
  <si>
    <t>Шаравин Артем</t>
  </si>
  <si>
    <t>Шарафутдинов Никита</t>
  </si>
  <si>
    <t>Шарипов Давид</t>
  </si>
  <si>
    <t>Шаршиков Артем</t>
  </si>
  <si>
    <t>Шастин Иван</t>
  </si>
  <si>
    <t>Шатилов Александр</t>
  </si>
  <si>
    <t>Шахбазян Алексей</t>
  </si>
  <si>
    <t>Шашко Максим</t>
  </si>
  <si>
    <t>Шевелев Вадим</t>
  </si>
  <si>
    <t>Шевченко Дмитрий</t>
  </si>
  <si>
    <t>Шевченко Евгений</t>
  </si>
  <si>
    <t>Шестаков Данил</t>
  </si>
  <si>
    <t>Шиляев Валерий</t>
  </si>
  <si>
    <t>Широкий Глеб</t>
  </si>
  <si>
    <t>Широков Алексей</t>
  </si>
  <si>
    <t>Широков Арсений</t>
  </si>
  <si>
    <t>Широнин Денис</t>
  </si>
  <si>
    <t>Ширшов Константин</t>
  </si>
  <si>
    <t>Ширяев Григорий</t>
  </si>
  <si>
    <t>Шитин Семен</t>
  </si>
  <si>
    <t>Шитов Кирилл</t>
  </si>
  <si>
    <t>Шихаев Шихай</t>
  </si>
  <si>
    <t>Шишов Павел</t>
  </si>
  <si>
    <t>Шкахов Тамерлан</t>
  </si>
  <si>
    <t>Шкуренков Евгений</t>
  </si>
  <si>
    <t>Шлыков Григорий</t>
  </si>
  <si>
    <t>Шмарук Сергей</t>
  </si>
  <si>
    <t>Шпаков Константин</t>
  </si>
  <si>
    <t>Штыков Никита</t>
  </si>
  <si>
    <t>ШУБЕНОК Егор</t>
  </si>
  <si>
    <t>Шукюров Антон</t>
  </si>
  <si>
    <t>Шулаев Александр</t>
  </si>
  <si>
    <t>Шумилин Ярослав</t>
  </si>
  <si>
    <t>Шунин Михаил</t>
  </si>
  <si>
    <t>Шустов Кирилл</t>
  </si>
  <si>
    <t>Шутов Максим</t>
  </si>
  <si>
    <t>Шушарин Олег</t>
  </si>
  <si>
    <t>Щеголев Илья</t>
  </si>
  <si>
    <t>Щекалев Ефим</t>
  </si>
  <si>
    <t>Эдикаев Марат</t>
  </si>
  <si>
    <t>Эзбербегов Али</t>
  </si>
  <si>
    <t>Эзбербегов Анзор</t>
  </si>
  <si>
    <t>Эктов Григорий</t>
  </si>
  <si>
    <t>Эрдни-Горяев Мазан</t>
  </si>
  <si>
    <t>Эрдыниев Владимир</t>
  </si>
  <si>
    <t>Беркакит  Саха</t>
  </si>
  <si>
    <t>Эртман Александр</t>
  </si>
  <si>
    <t>Эсмедляев Егор</t>
  </si>
  <si>
    <t>Юденков Андрей</t>
  </si>
  <si>
    <t>Юрков Владимир</t>
  </si>
  <si>
    <t>Юрков Кирилл</t>
  </si>
  <si>
    <t>Юрковский Александр</t>
  </si>
  <si>
    <t>Юрченко Максим</t>
  </si>
  <si>
    <t>Юшенков Андрей</t>
  </si>
  <si>
    <t>Ющенко Владимир</t>
  </si>
  <si>
    <t>Архангельская  Красн.кр.</t>
  </si>
  <si>
    <t>Яковин Александр</t>
  </si>
  <si>
    <t>Яковкин Дмитрий</t>
  </si>
  <si>
    <t>Якубов Алексей</t>
  </si>
  <si>
    <t>Якушев Александр</t>
  </si>
  <si>
    <t>Якушов Константин</t>
  </si>
  <si>
    <t>Янкин Геннадий</t>
  </si>
  <si>
    <t>Янов Залим</t>
  </si>
  <si>
    <t>Янушевский Денис</t>
  </si>
  <si>
    <t>Янченко Алексей</t>
  </si>
  <si>
    <t>Яруллин Нафкат</t>
  </si>
  <si>
    <t>Ясинский Даниил</t>
  </si>
  <si>
    <t>Яшин Максим</t>
  </si>
  <si>
    <t>Суперфинал</t>
  </si>
  <si>
    <t>1 Место</t>
  </si>
  <si>
    <t>2 Место</t>
  </si>
  <si>
    <t>3 Место</t>
  </si>
  <si>
    <t>4 Место</t>
  </si>
  <si>
    <t>(1-8)</t>
  </si>
  <si>
    <t>финал</t>
  </si>
  <si>
    <t>полуфинал</t>
  </si>
  <si>
    <t>(1-4)</t>
  </si>
  <si>
    <t>за 35 место</t>
  </si>
  <si>
    <t>за 37 место</t>
  </si>
  <si>
    <t>за 39 место</t>
  </si>
  <si>
    <t>за 41 место</t>
  </si>
  <si>
    <t>за 43 место</t>
  </si>
  <si>
    <t>за 45 место</t>
  </si>
  <si>
    <t>за 47 место</t>
  </si>
  <si>
    <t>за 49 место</t>
  </si>
  <si>
    <t>за 51 место</t>
  </si>
  <si>
    <t>за 53 место</t>
  </si>
  <si>
    <t>за 55 место</t>
  </si>
  <si>
    <t>за 57 место</t>
  </si>
  <si>
    <t>за 59 место</t>
  </si>
  <si>
    <t>за 61 место</t>
  </si>
  <si>
    <t>за 63 место</t>
  </si>
  <si>
    <t>Счет на сетке</t>
  </si>
  <si>
    <t>Стадия</t>
  </si>
  <si>
    <t>За 3 место</t>
  </si>
  <si>
    <t>За 5 место</t>
  </si>
  <si>
    <t>За 7 место</t>
  </si>
  <si>
    <t>За 9 место</t>
  </si>
  <si>
    <t>За 13 место</t>
  </si>
  <si>
    <t>За 11 место</t>
  </si>
  <si>
    <t>За 15 место</t>
  </si>
  <si>
    <t>За 17 место</t>
  </si>
  <si>
    <t>За 19 место</t>
  </si>
  <si>
    <t>За 21 место</t>
  </si>
  <si>
    <t>За 23 место</t>
  </si>
  <si>
    <t>За 25 место</t>
  </si>
  <si>
    <t>За 27 место</t>
  </si>
  <si>
    <t>За 31 место</t>
  </si>
  <si>
    <t>За 29 место</t>
  </si>
  <si>
    <t>Березуцкий Никита</t>
  </si>
  <si>
    <t>Булгаков Александр</t>
  </si>
  <si>
    <t>Иванов Тимофей</t>
  </si>
  <si>
    <t>Котов Андрей</t>
  </si>
  <si>
    <t>Кравец Анатолий</t>
  </si>
  <si>
    <t>Кукарин Никита</t>
  </si>
  <si>
    <t>Кушхов Астемир</t>
  </si>
  <si>
    <t>Пятигорск</t>
  </si>
  <si>
    <t>Минджиров Лиджи</t>
  </si>
  <si>
    <t>Михайлов Денис</t>
  </si>
  <si>
    <t>Муков Руслан</t>
  </si>
  <si>
    <t>Нажмутдинов Ислам</t>
  </si>
  <si>
    <t>Попов Данила</t>
  </si>
  <si>
    <t>Родионов Всеволод</t>
  </si>
  <si>
    <t>Терехов Никита</t>
  </si>
  <si>
    <t>Шумаков Виталий</t>
  </si>
  <si>
    <t>Аверин Владимир</t>
  </si>
  <si>
    <t>Ананьев Владимир</t>
  </si>
  <si>
    <t>Баранов Алексей</t>
  </si>
  <si>
    <t>Бухтияров Всеволод</t>
  </si>
  <si>
    <t>Вагин Захар</t>
  </si>
  <si>
    <t>Васильев Андрей</t>
  </si>
  <si>
    <t>Герасимов Александр</t>
  </si>
  <si>
    <t>Гильмутдинов Эмиль</t>
  </si>
  <si>
    <t>Томск</t>
  </si>
  <si>
    <t>Голубченко Максим</t>
  </si>
  <si>
    <t>Горбунов Алексей</t>
  </si>
  <si>
    <t>Гудулин Данила</t>
  </si>
  <si>
    <t>Дужников Степан</t>
  </si>
  <si>
    <t>Еклаков Максим</t>
  </si>
  <si>
    <t>Захаров Андрей</t>
  </si>
  <si>
    <t>Линево  Новосиб.о.</t>
  </si>
  <si>
    <t>Актаныш  Тат.</t>
  </si>
  <si>
    <t>КАРЧАВА Наур</t>
  </si>
  <si>
    <t>Катанов Михаил</t>
  </si>
  <si>
    <t>Каширцев Станислав</t>
  </si>
  <si>
    <t>Кишкин Антон</t>
  </si>
  <si>
    <t>Ковалевский Максим</t>
  </si>
  <si>
    <t>Комлев Илья</t>
  </si>
  <si>
    <t>Коновалов Александр</t>
  </si>
  <si>
    <t>Кавказская  Кр.кр.</t>
  </si>
  <si>
    <t>Коротченко Артемий</t>
  </si>
  <si>
    <t>Корытов Алексей</t>
  </si>
  <si>
    <t>Белгород</t>
  </si>
  <si>
    <t>Лазарев Александр</t>
  </si>
  <si>
    <t>Лисаев Кирилл</t>
  </si>
  <si>
    <t>Медведев Дмитрий</t>
  </si>
  <si>
    <t>Мелия Илья</t>
  </si>
  <si>
    <t>Михайлов Данил</t>
  </si>
  <si>
    <t>Назаров Даниил</t>
  </si>
  <si>
    <t>Нехаенко Павел</t>
  </si>
  <si>
    <t>Павлов Павел</t>
  </si>
  <si>
    <t>Панафутин Матвей</t>
  </si>
  <si>
    <t>Попов Никита</t>
  </si>
  <si>
    <t>Попцов Никита</t>
  </si>
  <si>
    <t>Пышков Даниил</t>
  </si>
  <si>
    <t>Рыжов Сергей</t>
  </si>
  <si>
    <t>Семенов Максим</t>
  </si>
  <si>
    <t>Сидоренко Игорь</t>
  </si>
  <si>
    <t>Смирнов Максим</t>
  </si>
  <si>
    <t>Строганов Александр</t>
  </si>
  <si>
    <t>Строкин Кирилл</t>
  </si>
  <si>
    <t>Султанов Марат</t>
  </si>
  <si>
    <t>Холкин Илья</t>
  </si>
  <si>
    <t>Хрипач Дмитрий</t>
  </si>
  <si>
    <t>Чернокнижников Александр</t>
  </si>
  <si>
    <t>Чистяков Дмитрий</t>
  </si>
  <si>
    <t>Шестаков Антон</t>
  </si>
  <si>
    <t>Шибаев Артем</t>
  </si>
  <si>
    <t>Шмагин Михаил</t>
  </si>
  <si>
    <t>9 группа</t>
  </si>
  <si>
    <t>10 группа</t>
  </si>
  <si>
    <t>11 группа</t>
  </si>
  <si>
    <t>12 группа</t>
  </si>
  <si>
    <t>13 группа</t>
  </si>
  <si>
    <t>14 группа</t>
  </si>
  <si>
    <t>15 группа</t>
  </si>
  <si>
    <t>16 группа</t>
  </si>
  <si>
    <t>5 финал (</t>
  </si>
  <si>
    <t>по 112 место)</t>
  </si>
  <si>
    <t>3-0</t>
  </si>
  <si>
    <t>3 финал (</t>
  </si>
  <si>
    <t>по 32 место)</t>
  </si>
  <si>
    <t>1 финал (</t>
  </si>
  <si>
    <t>по  16 место)</t>
  </si>
  <si>
    <t>Сводный проткол. мальчики. 1-ФИНАЛ</t>
  </si>
  <si>
    <t>Абалымов Максим</t>
  </si>
  <si>
    <t>20.08.2008</t>
  </si>
  <si>
    <t>Пестрецы  ТАТ</t>
  </si>
  <si>
    <t>Абашкин Роман</t>
  </si>
  <si>
    <t>20.11.1996</t>
  </si>
  <si>
    <t>Абдуллин Фанис</t>
  </si>
  <si>
    <t>25.05.1953</t>
  </si>
  <si>
    <t>Абдурахманов Артур</t>
  </si>
  <si>
    <t>19.12.1973</t>
  </si>
  <si>
    <t>Россошь  Ворон.обл.</t>
  </si>
  <si>
    <t>Абдурахманов Руслан</t>
  </si>
  <si>
    <t>14.10.2002</t>
  </si>
  <si>
    <t>Абельмасов Игорь</t>
  </si>
  <si>
    <t>09.04.1987</t>
  </si>
  <si>
    <t>Абзалов Рустем</t>
  </si>
  <si>
    <t>12.03.2005</t>
  </si>
  <si>
    <t>Аблаков Янис</t>
  </si>
  <si>
    <t>26.07.2007</t>
  </si>
  <si>
    <t>Абраамян Гор</t>
  </si>
  <si>
    <t>27.06.2005</t>
  </si>
  <si>
    <t>Орск</t>
  </si>
  <si>
    <t>Абрамов Дмитрий</t>
  </si>
  <si>
    <t>18.02.2006</t>
  </si>
  <si>
    <t>Абрамов Кирилл</t>
  </si>
  <si>
    <t>16.06.1997</t>
  </si>
  <si>
    <t>Абрамовских Артем</t>
  </si>
  <si>
    <t>20.11.2004</t>
  </si>
  <si>
    <t>Абумов Дамир</t>
  </si>
  <si>
    <t>30.08.2004</t>
  </si>
  <si>
    <t>26.05.1999</t>
  </si>
  <si>
    <t>29.04.1999</t>
  </si>
  <si>
    <t>04.08.2003</t>
  </si>
  <si>
    <t>Аввакумов Максим</t>
  </si>
  <si>
    <t>31.07.2000</t>
  </si>
  <si>
    <t>Аввакумов Тимофей</t>
  </si>
  <si>
    <t>02.06.2005</t>
  </si>
  <si>
    <t>Авдеев Александр</t>
  </si>
  <si>
    <t>02.04.2005</t>
  </si>
  <si>
    <t>Авдеев Владимир</t>
  </si>
  <si>
    <t>05.01.2004</t>
  </si>
  <si>
    <t>Авдеев Данил</t>
  </si>
  <si>
    <t>01.10.2005</t>
  </si>
  <si>
    <t>Авдеев Евгений</t>
  </si>
  <si>
    <t>17.03.2005</t>
  </si>
  <si>
    <t>Авдеев Иван</t>
  </si>
  <si>
    <t>04.12.2005</t>
  </si>
  <si>
    <t>Аведян Александр</t>
  </si>
  <si>
    <t>01.02.2000</t>
  </si>
  <si>
    <t>Аверенков Дмитрий</t>
  </si>
  <si>
    <t>01.03.2006</t>
  </si>
  <si>
    <t>Людиново  Кал.обл.</t>
  </si>
  <si>
    <t>Аверин Александр</t>
  </si>
  <si>
    <t>27.03.1997</t>
  </si>
  <si>
    <t>26.07.2002</t>
  </si>
  <si>
    <t>Аверин Денис</t>
  </si>
  <si>
    <t>04.01.2005</t>
  </si>
  <si>
    <t>Электросталь</t>
  </si>
  <si>
    <t>Аверин Тимофей</t>
  </si>
  <si>
    <t>02.07.2003</t>
  </si>
  <si>
    <t>Аветисян Сасун</t>
  </si>
  <si>
    <t>28.05.1983</t>
  </si>
  <si>
    <t>Авик Андрей</t>
  </si>
  <si>
    <t>07.03.2006</t>
  </si>
  <si>
    <t>Минусинск  Красн.кр.</t>
  </si>
  <si>
    <t>Авраменко Иван</t>
  </si>
  <si>
    <t>20.03.2004</t>
  </si>
  <si>
    <t>Авраменко Павел</t>
  </si>
  <si>
    <t>25.01.2004</t>
  </si>
  <si>
    <t>Надым  ЯНАО</t>
  </si>
  <si>
    <t>Авров Иван</t>
  </si>
  <si>
    <t>11.09.2005</t>
  </si>
  <si>
    <t>Автамонов Владислав</t>
  </si>
  <si>
    <t>02.08.2007</t>
  </si>
  <si>
    <t>Агапитов Михаил</t>
  </si>
  <si>
    <t>10.04.2001</t>
  </si>
  <si>
    <t>Агапитов Никита</t>
  </si>
  <si>
    <t>05.05.2004</t>
  </si>
  <si>
    <t>Агапов Данила</t>
  </si>
  <si>
    <t>29.09.2004</t>
  </si>
  <si>
    <t>Агафонов Иван</t>
  </si>
  <si>
    <t>25.11.2005</t>
  </si>
  <si>
    <t>Агеев Никита</t>
  </si>
  <si>
    <t>17.04.2001</t>
  </si>
  <si>
    <t>Аглетдинов Дамир</t>
  </si>
  <si>
    <t>12.07.2006</t>
  </si>
  <si>
    <t>Аглямов Родион</t>
  </si>
  <si>
    <t>03.06.2004</t>
  </si>
  <si>
    <t>Аджиасанов Умер</t>
  </si>
  <si>
    <t>31.01.1968</t>
  </si>
  <si>
    <t>Белогорск  Крым</t>
  </si>
  <si>
    <t>Адигезалов Руслан</t>
  </si>
  <si>
    <t>07.07.2009</t>
  </si>
  <si>
    <t>Адигезалов Теймур</t>
  </si>
  <si>
    <t>06.11.1985</t>
  </si>
  <si>
    <t>Адушинов Максим</t>
  </si>
  <si>
    <t>31.08.1996</t>
  </si>
  <si>
    <t>Аешин Михаил</t>
  </si>
  <si>
    <t>26.10.1988</t>
  </si>
  <si>
    <t>Азамов Никита</t>
  </si>
  <si>
    <t>25.03.2004</t>
  </si>
  <si>
    <t>Азанов Егор</t>
  </si>
  <si>
    <t>27.07.2006</t>
  </si>
  <si>
    <t>Азанов Максим</t>
  </si>
  <si>
    <t>16.04.1998</t>
  </si>
  <si>
    <t>Азаров Григорий</t>
  </si>
  <si>
    <t>20.03.2008</t>
  </si>
  <si>
    <t>Айдаков Лев</t>
  </si>
  <si>
    <t>18.10.1991</t>
  </si>
  <si>
    <t>Усинск  Коми</t>
  </si>
  <si>
    <t>Айзинов Андрей</t>
  </si>
  <si>
    <t>17.03.2003</t>
  </si>
  <si>
    <t>Айзинов Михаил</t>
  </si>
  <si>
    <t>Акбаев Данил</t>
  </si>
  <si>
    <t>21.10.2002</t>
  </si>
  <si>
    <t>Акентьев Алексей</t>
  </si>
  <si>
    <t>05.03.2003</t>
  </si>
  <si>
    <t>Одинцово</t>
  </si>
  <si>
    <t>Акимов Денис</t>
  </si>
  <si>
    <t>28.03.2006</t>
  </si>
  <si>
    <t>Азов</t>
  </si>
  <si>
    <t>Акимов Кирилл</t>
  </si>
  <si>
    <t>28.11.2001</t>
  </si>
  <si>
    <t>09.03.2001</t>
  </si>
  <si>
    <t>04.03.2003</t>
  </si>
  <si>
    <t>Акиньщиков Станислав</t>
  </si>
  <si>
    <t>Акиньщиков Ярослав</t>
  </si>
  <si>
    <t>Акмуллаев Али</t>
  </si>
  <si>
    <t>01.01.2003</t>
  </si>
  <si>
    <t>Саки  Крым</t>
  </si>
  <si>
    <t>Акопян Армен</t>
  </si>
  <si>
    <t>19.05.2000</t>
  </si>
  <si>
    <t>Севастополь</t>
  </si>
  <si>
    <t>Акопян Давид</t>
  </si>
  <si>
    <t>14.02.2003</t>
  </si>
  <si>
    <t>Акопян Карен</t>
  </si>
  <si>
    <t>15.10.2007</t>
  </si>
  <si>
    <t>09.06.2003</t>
  </si>
  <si>
    <t>06.01.1999</t>
  </si>
  <si>
    <t>Аксенов Герман</t>
  </si>
  <si>
    <t>07.09.2007</t>
  </si>
  <si>
    <t>Бузулук  Орен.обл.</t>
  </si>
  <si>
    <t>28.04.2000</t>
  </si>
  <si>
    <t>Аладин Тимофей</t>
  </si>
  <si>
    <t>16.01.2006</t>
  </si>
  <si>
    <t>Алаев Иван</t>
  </si>
  <si>
    <t>17.04.1988</t>
  </si>
  <si>
    <t>Алаев Константин</t>
  </si>
  <si>
    <t>21.01.2007</t>
  </si>
  <si>
    <t>Алалыев Тимур</t>
  </si>
  <si>
    <t>01.01.2005</t>
  </si>
  <si>
    <t>16.12.2005</t>
  </si>
  <si>
    <t>Александров Никита</t>
  </si>
  <si>
    <t>17.07.2004</t>
  </si>
  <si>
    <t>Алексанов Вадим</t>
  </si>
  <si>
    <t>27.07.2000</t>
  </si>
  <si>
    <t>Алексеев Георгий</t>
  </si>
  <si>
    <t>21.08.2007</t>
  </si>
  <si>
    <t>Алексеев Игорь</t>
  </si>
  <si>
    <t>Алексеев Илья</t>
  </si>
  <si>
    <t>11.06.2003</t>
  </si>
  <si>
    <t>Алексеев Михаил</t>
  </si>
  <si>
    <t>16.12.1999</t>
  </si>
  <si>
    <t>Асино  Том.обл.</t>
  </si>
  <si>
    <t>Алексеев Николай</t>
  </si>
  <si>
    <t>01.08.2002</t>
  </si>
  <si>
    <t>Алексеев Павел</t>
  </si>
  <si>
    <t>11.03.2005</t>
  </si>
  <si>
    <t>Алексеев Ростислав</t>
  </si>
  <si>
    <t>06.12.2002</t>
  </si>
  <si>
    <t>Алексеев Юрий</t>
  </si>
  <si>
    <t>31.10.2003</t>
  </si>
  <si>
    <t>Алексеевский Михаил</t>
  </si>
  <si>
    <t>03.07.2006</t>
  </si>
  <si>
    <t>Алехин Иван</t>
  </si>
  <si>
    <t>04.05.2006</t>
  </si>
  <si>
    <t>Алешин Виктор</t>
  </si>
  <si>
    <t>12.05.2004</t>
  </si>
  <si>
    <t>05.02.2000</t>
  </si>
  <si>
    <t>Алешкин Артем</t>
  </si>
  <si>
    <t>14.05.2006</t>
  </si>
  <si>
    <t>Алиев Давлатали</t>
  </si>
  <si>
    <t>08.07.2002</t>
  </si>
  <si>
    <t>14.07.1999</t>
  </si>
  <si>
    <t>Алипов Данил</t>
  </si>
  <si>
    <t>22.01.2003</t>
  </si>
  <si>
    <t>Алмазов Дмитрий</t>
  </si>
  <si>
    <t>19.11.1987</t>
  </si>
  <si>
    <t>Алпатов Владимир</t>
  </si>
  <si>
    <t>09.02.2003</t>
  </si>
  <si>
    <t>Колывань  Новос.обл.</t>
  </si>
  <si>
    <t>Алтухов Владислав</t>
  </si>
  <si>
    <t>04.12.2006</t>
  </si>
  <si>
    <t>Алубаев Александр</t>
  </si>
  <si>
    <t>02.04.2006</t>
  </si>
  <si>
    <t>Алцыбеев Александр</t>
  </si>
  <si>
    <t>21.05.1991</t>
  </si>
  <si>
    <t>24.04.1999</t>
  </si>
  <si>
    <t>Алькин Кирилл</t>
  </si>
  <si>
    <t>05.05.2002</t>
  </si>
  <si>
    <t>Амелин Леонид</t>
  </si>
  <si>
    <t>28.07.2007</t>
  </si>
  <si>
    <t>07.01.2008</t>
  </si>
  <si>
    <t>Амираджанов Ильяс</t>
  </si>
  <si>
    <t>02.09.2005</t>
  </si>
  <si>
    <t>Амиров Шамиль</t>
  </si>
  <si>
    <t>26.09.2002</t>
  </si>
  <si>
    <t>Ампилов Алексей</t>
  </si>
  <si>
    <t>19.11.2003</t>
  </si>
  <si>
    <t>Амурский Василий</t>
  </si>
  <si>
    <t>15.07.2003</t>
  </si>
  <si>
    <t>30.07.2005</t>
  </si>
  <si>
    <t>Ананьев Иван</t>
  </si>
  <si>
    <t>08.10.2004</t>
  </si>
  <si>
    <t>Ананьин Макар</t>
  </si>
  <si>
    <t>29.11.1978</t>
  </si>
  <si>
    <t>Андоськин Антон</t>
  </si>
  <si>
    <t>27.07.2005</t>
  </si>
  <si>
    <t>Андреев Александр</t>
  </si>
  <si>
    <t>06.10.1979</t>
  </si>
  <si>
    <t>Андреев Антон</t>
  </si>
  <si>
    <t>11.06.2005</t>
  </si>
  <si>
    <t>25.02.2007</t>
  </si>
  <si>
    <t>Андреев Богдан</t>
  </si>
  <si>
    <t>12.06.2005</t>
  </si>
  <si>
    <t>Андреев Всеволод</t>
  </si>
  <si>
    <t>08.08.2006</t>
  </si>
  <si>
    <t>Андреев Данила</t>
  </si>
  <si>
    <t>20.04.1999</t>
  </si>
  <si>
    <t>Андреев Дмитрий</t>
  </si>
  <si>
    <t>23.04.1981</t>
  </si>
  <si>
    <t>03.09.2005</t>
  </si>
  <si>
    <t>16.05.2006</t>
  </si>
  <si>
    <t>Андреев Игорь</t>
  </si>
  <si>
    <t>01.03.2007</t>
  </si>
  <si>
    <t>Андреев Максим</t>
  </si>
  <si>
    <t>03.11.2009</t>
  </si>
  <si>
    <t>Андреев Михаил</t>
  </si>
  <si>
    <t>30.04.2007</t>
  </si>
  <si>
    <t>Андреев Револь</t>
  </si>
  <si>
    <t>05.09.1994</t>
  </si>
  <si>
    <t>Андреев Семен</t>
  </si>
  <si>
    <t>18.04.2004</t>
  </si>
  <si>
    <t>Покровка  Пр.кр.</t>
  </si>
  <si>
    <t>Андрианов Артем</t>
  </si>
  <si>
    <t>29.08.2003</t>
  </si>
  <si>
    <t>Андрианов Сергей</t>
  </si>
  <si>
    <t>26.03.1976</t>
  </si>
  <si>
    <t>Андриянов Андрей</t>
  </si>
  <si>
    <t>01.09.2004</t>
  </si>
  <si>
    <t>Андронов Федор</t>
  </si>
  <si>
    <t>08.06.2005</t>
  </si>
  <si>
    <t>Андропов Илья</t>
  </si>
  <si>
    <t>10.10.2004</t>
  </si>
  <si>
    <t>Андрющенко Александр</t>
  </si>
  <si>
    <t>15.02.2005</t>
  </si>
  <si>
    <t>Аникин Марк</t>
  </si>
  <si>
    <t>17.04.2005</t>
  </si>
  <si>
    <t>Анисимов Антон</t>
  </si>
  <si>
    <t>04.09.1996</t>
  </si>
  <si>
    <t>29.08.1988</t>
  </si>
  <si>
    <t>Анисимов Лев</t>
  </si>
  <si>
    <t>13.12.2005</t>
  </si>
  <si>
    <t>07.05.2000</t>
  </si>
  <si>
    <t>08.08.2001</t>
  </si>
  <si>
    <t>17.05.2003</t>
  </si>
  <si>
    <t>Анпенов Егор</t>
  </si>
  <si>
    <t>24.03.2004</t>
  </si>
  <si>
    <t>Антипов Герман</t>
  </si>
  <si>
    <t>06.12.1965</t>
  </si>
  <si>
    <t>Антифеев Олег</t>
  </si>
  <si>
    <t>23.11.1969</t>
  </si>
  <si>
    <t>Антоненко Василий</t>
  </si>
  <si>
    <t>01.01.1951</t>
  </si>
  <si>
    <t>Феодосия  Крым</t>
  </si>
  <si>
    <t>Антоненко Владимир</t>
  </si>
  <si>
    <t>08.08.1966</t>
  </si>
  <si>
    <t>Ялта</t>
  </si>
  <si>
    <t>Антонов Александр</t>
  </si>
  <si>
    <t>25.12.1997</t>
  </si>
  <si>
    <t>Антонов Артем</t>
  </si>
  <si>
    <t>10.11.2001</t>
  </si>
  <si>
    <t>Антонюк Владимир</t>
  </si>
  <si>
    <t>20.06.2006</t>
  </si>
  <si>
    <t>Антропов Александр</t>
  </si>
  <si>
    <t>15.06.2005</t>
  </si>
  <si>
    <t>11.06.2000</t>
  </si>
  <si>
    <t>Антюфеев Даниил</t>
  </si>
  <si>
    <t>22.02.2006</t>
  </si>
  <si>
    <t>Ануфриев Вадим</t>
  </si>
  <si>
    <t>09.01.2002</t>
  </si>
  <si>
    <t>18.09.2000</t>
  </si>
  <si>
    <t>Ануфриев Максим</t>
  </si>
  <si>
    <t>06.08.2005</t>
  </si>
  <si>
    <t>Апагуни Эдуард</t>
  </si>
  <si>
    <t>08.08.1988</t>
  </si>
  <si>
    <t>Апкин Владислав</t>
  </si>
  <si>
    <t>28.11.2002</t>
  </si>
  <si>
    <t>Аполосов Максим</t>
  </si>
  <si>
    <t>12.07.2004</t>
  </si>
  <si>
    <t>Апшев Тимур</t>
  </si>
  <si>
    <t>17.10.2005</t>
  </si>
  <si>
    <t>Аракчеев Игорь</t>
  </si>
  <si>
    <t>17.02.2007</t>
  </si>
  <si>
    <t>Арбатов Илья</t>
  </si>
  <si>
    <t>29.03.2006</t>
  </si>
  <si>
    <t>Арбузов Александр</t>
  </si>
  <si>
    <t>19.07.1993</t>
  </si>
  <si>
    <t>Арефьев Александр</t>
  </si>
  <si>
    <t>23.01.2002</t>
  </si>
  <si>
    <t>Усть-Лабинск  Краснод.кр.</t>
  </si>
  <si>
    <t>Арефьев Артем</t>
  </si>
  <si>
    <t>06.07.1998</t>
  </si>
  <si>
    <t>Северодвинск  Арх.обл.</t>
  </si>
  <si>
    <t>Арзамасцев Степан</t>
  </si>
  <si>
    <t>03.12.1998</t>
  </si>
  <si>
    <t>Арзамсскин Игорь</t>
  </si>
  <si>
    <t>02.08.2005</t>
  </si>
  <si>
    <t>Аристов Александр</t>
  </si>
  <si>
    <t>16.03.2006</t>
  </si>
  <si>
    <t>06.07.2000</t>
  </si>
  <si>
    <t>Арифметчиков Дмитрий</t>
  </si>
  <si>
    <t>30.11.2005</t>
  </si>
  <si>
    <t>Арсенян Мовсес</t>
  </si>
  <si>
    <t>01.01.2002</t>
  </si>
  <si>
    <t>Джанкой  Крым</t>
  </si>
  <si>
    <t>Арсланов Даниил</t>
  </si>
  <si>
    <t>28.06.2006</t>
  </si>
  <si>
    <t>Арсланов Руслан</t>
  </si>
  <si>
    <t>09.07.2004</t>
  </si>
  <si>
    <t>Артамонов Денис</t>
  </si>
  <si>
    <t>17.05.2006</t>
  </si>
  <si>
    <t>Артамонов Егор</t>
  </si>
  <si>
    <t>26.02.2004</t>
  </si>
  <si>
    <t>13.04.1999</t>
  </si>
  <si>
    <t>Артемкин Алексей</t>
  </si>
  <si>
    <t>10.09.1998</t>
  </si>
  <si>
    <t>Артемов Дмитрий</t>
  </si>
  <si>
    <t>05.05.1989</t>
  </si>
  <si>
    <t>Артемов Игорь</t>
  </si>
  <si>
    <t>12.03.2007</t>
  </si>
  <si>
    <t>Артемьев Вячеслав</t>
  </si>
  <si>
    <t>26.08.2005</t>
  </si>
  <si>
    <t>Артемьев Максим</t>
  </si>
  <si>
    <t>29.11.2006</t>
  </si>
  <si>
    <t>Артке Николай</t>
  </si>
  <si>
    <t>04.10.1944</t>
  </si>
  <si>
    <t>Артюхов Владислав</t>
  </si>
  <si>
    <t>11.05.2006</t>
  </si>
  <si>
    <t>Артюшкин Илья</t>
  </si>
  <si>
    <t>13.04.2006</t>
  </si>
  <si>
    <t>Артюшкин Максим</t>
  </si>
  <si>
    <t>27.05.2001</t>
  </si>
  <si>
    <t>Архипов Антон</t>
  </si>
  <si>
    <t>Архипов Егор</t>
  </si>
  <si>
    <t>04.06.2002</t>
  </si>
  <si>
    <t>Архипов Кирилл</t>
  </si>
  <si>
    <t>27.07.2003</t>
  </si>
  <si>
    <t>АРЫКОВ Арыстан</t>
  </si>
  <si>
    <t>11.07.2006</t>
  </si>
  <si>
    <t>Уральск  Казах.</t>
  </si>
  <si>
    <t>Асатрян Рубен</t>
  </si>
  <si>
    <t>05.05.2006</t>
  </si>
  <si>
    <t>Аскараков Карим</t>
  </si>
  <si>
    <t>12.08.2002</t>
  </si>
  <si>
    <t>Аскаров Рустам</t>
  </si>
  <si>
    <t>12.11.2007</t>
  </si>
  <si>
    <t>Мамадыш  Тат.</t>
  </si>
  <si>
    <t>Асланов Владимир</t>
  </si>
  <si>
    <t>03.02.2001</t>
  </si>
  <si>
    <t>Асланян Арутян</t>
  </si>
  <si>
    <t>21.05.2003</t>
  </si>
  <si>
    <t>Астанаев Дмитрий</t>
  </si>
  <si>
    <t>16.05.1997</t>
  </si>
  <si>
    <t>Астанин Александр</t>
  </si>
  <si>
    <t>15.11.2003</t>
  </si>
  <si>
    <t>Искитим  Новос.о.</t>
  </si>
  <si>
    <t>Астапов Леонид</t>
  </si>
  <si>
    <t>28.10.2006</t>
  </si>
  <si>
    <t>Астафьев Алексей</t>
  </si>
  <si>
    <t>16.01.1990</t>
  </si>
  <si>
    <t>Анна  Вор.о.</t>
  </si>
  <si>
    <t>Астафьев Даниил</t>
  </si>
  <si>
    <t>Астафьев Егор</t>
  </si>
  <si>
    <t>18.07.1998</t>
  </si>
  <si>
    <t>Асташов Михаил</t>
  </si>
  <si>
    <t>07.01.2004</t>
  </si>
  <si>
    <t>Афанасьев Владимир</t>
  </si>
  <si>
    <t>23.01.2003</t>
  </si>
  <si>
    <t>Афанасьев Иван</t>
  </si>
  <si>
    <t>22.08.1997</t>
  </si>
  <si>
    <t>Афанасьев Павел</t>
  </si>
  <si>
    <t>10.12.1996</t>
  </si>
  <si>
    <t>Афанасьев Тимофей</t>
  </si>
  <si>
    <t>09.03.2005</t>
  </si>
  <si>
    <t>Афиногенов Олег</t>
  </si>
  <si>
    <t>03.09.1965</t>
  </si>
  <si>
    <t>Ахметзянов Ислам</t>
  </si>
  <si>
    <t>11.09.2006</t>
  </si>
  <si>
    <t>Ахметов Рустам</t>
  </si>
  <si>
    <t>06.10.2007</t>
  </si>
  <si>
    <t>06.03.2002</t>
  </si>
  <si>
    <t>Ахметшин Инсаф</t>
  </si>
  <si>
    <t>27.06.2003</t>
  </si>
  <si>
    <t>Ахновский Даниил</t>
  </si>
  <si>
    <t>22.07.2005</t>
  </si>
  <si>
    <t>Ахновский Игорь</t>
  </si>
  <si>
    <t>02.06.1980</t>
  </si>
  <si>
    <t>Ацканов Артур</t>
  </si>
  <si>
    <t>05.06.1983</t>
  </si>
  <si>
    <t>01.05.2000</t>
  </si>
  <si>
    <t>Бабаев Амир</t>
  </si>
  <si>
    <t>14.05.1999</t>
  </si>
  <si>
    <t>Бабжанцев Дмитрий</t>
  </si>
  <si>
    <t>18.07.2003</t>
  </si>
  <si>
    <t>Бабич Владислав</t>
  </si>
  <si>
    <t>04.04.2007</t>
  </si>
  <si>
    <t>Бабошин Александр</t>
  </si>
  <si>
    <t>13.03.2003</t>
  </si>
  <si>
    <t>Бабушкин Владислав</t>
  </si>
  <si>
    <t>23.02.1974</t>
  </si>
  <si>
    <t>Багавиев Амир</t>
  </si>
  <si>
    <t>16.02.2007</t>
  </si>
  <si>
    <t>Рыбная Слобода  Тат.</t>
  </si>
  <si>
    <t>Багин Максим</t>
  </si>
  <si>
    <t>17.07.2005</t>
  </si>
  <si>
    <t>Багинов Александр</t>
  </si>
  <si>
    <t>24.11.1966</t>
  </si>
  <si>
    <t>Багиров Рашид</t>
  </si>
  <si>
    <t>09.09.1999</t>
  </si>
  <si>
    <t>10.06.1999</t>
  </si>
  <si>
    <t>Багиян Степан</t>
  </si>
  <si>
    <t>02.10.1975</t>
  </si>
  <si>
    <t>Баглык Владимир</t>
  </si>
  <si>
    <t>17.12.1997</t>
  </si>
  <si>
    <t>Бадаев Александр</t>
  </si>
  <si>
    <t>29.07.1990</t>
  </si>
  <si>
    <t>Бадмаев Тимур</t>
  </si>
  <si>
    <t>22.11.2007</t>
  </si>
  <si>
    <t>Бадышев Иван</t>
  </si>
  <si>
    <t>02.01.2005</t>
  </si>
  <si>
    <t>Бадяев Владислав</t>
  </si>
  <si>
    <t>08.05.2006</t>
  </si>
  <si>
    <t>Баенхаев Павел</t>
  </si>
  <si>
    <t>01.01.2007</t>
  </si>
  <si>
    <t>18.03.2001</t>
  </si>
  <si>
    <t>Бажинов Ярослав</t>
  </si>
  <si>
    <t>03.08.1969</t>
  </si>
  <si>
    <t>Базаров Дмитрий</t>
  </si>
  <si>
    <t>27.07.1969</t>
  </si>
  <si>
    <t>Базаров Дэнзэн</t>
  </si>
  <si>
    <t>06.02.2001</t>
  </si>
  <si>
    <t>Кижинга  Бурятия</t>
  </si>
  <si>
    <t>Базаров Солбон</t>
  </si>
  <si>
    <t>15.09.2000</t>
  </si>
  <si>
    <t>Агинск</t>
  </si>
  <si>
    <t>Байбатиров Арман</t>
  </si>
  <si>
    <t>17.12.1988</t>
  </si>
  <si>
    <t>04.04.2001</t>
  </si>
  <si>
    <t>Байбулдин Андрей</t>
  </si>
  <si>
    <t>02.11.1986</t>
  </si>
  <si>
    <t>Байназаров Азамат</t>
  </si>
  <si>
    <t>30.11.2002</t>
  </si>
  <si>
    <t>Сибай  Баш.</t>
  </si>
  <si>
    <t>Байрамов Ростислав</t>
  </si>
  <si>
    <t>13.10.1989</t>
  </si>
  <si>
    <t>Байсагуров Султан</t>
  </si>
  <si>
    <t>02.11.1999</t>
  </si>
  <si>
    <t>Баканов Максим</t>
  </si>
  <si>
    <t>Бакулин Геннадий</t>
  </si>
  <si>
    <t>01.02.1998</t>
  </si>
  <si>
    <t>Бакулин Глеб</t>
  </si>
  <si>
    <t>06.12.2003</t>
  </si>
  <si>
    <t>Бакулов Эльдар</t>
  </si>
  <si>
    <t>28.01.2005</t>
  </si>
  <si>
    <t>Цаган Нур  Калм.</t>
  </si>
  <si>
    <t>Бакшинский Илья</t>
  </si>
  <si>
    <t>12.12.2003</t>
  </si>
  <si>
    <t>Балабаев Эльдар</t>
  </si>
  <si>
    <t>08.08.2000</t>
  </si>
  <si>
    <t>Балаев Никита</t>
  </si>
  <si>
    <t>14.03.2008</t>
  </si>
  <si>
    <t>Балакин Егор</t>
  </si>
  <si>
    <t>16.02.2005</t>
  </si>
  <si>
    <t>Балаклейцев Богдан</t>
  </si>
  <si>
    <t>Балаклиец Валерий</t>
  </si>
  <si>
    <t>27.04.1956</t>
  </si>
  <si>
    <t>Керчь</t>
  </si>
  <si>
    <t>Балаков Александр</t>
  </si>
  <si>
    <t>02.09.2003</t>
  </si>
  <si>
    <t>Баландин Александр</t>
  </si>
  <si>
    <t>Баландин Георгий</t>
  </si>
  <si>
    <t>22.09.2005</t>
  </si>
  <si>
    <t>Баландин Станислав</t>
  </si>
  <si>
    <t>19.08.1972</t>
  </si>
  <si>
    <t>Симферополь</t>
  </si>
  <si>
    <t>Балашов Назар</t>
  </si>
  <si>
    <t>27.07.1995</t>
  </si>
  <si>
    <t>Балданов Баир</t>
  </si>
  <si>
    <t>25.02.1999</t>
  </si>
  <si>
    <t>Балданов Валерий</t>
  </si>
  <si>
    <t>04.06.1999</t>
  </si>
  <si>
    <t>Балов Дмитрий</t>
  </si>
  <si>
    <t>05.05.1974</t>
  </si>
  <si>
    <t>05.11.2003</t>
  </si>
  <si>
    <t>Балыков Максим</t>
  </si>
  <si>
    <t>15.03.2006</t>
  </si>
  <si>
    <t>Балымов Роберт</t>
  </si>
  <si>
    <t>18.01.2006</t>
  </si>
  <si>
    <t>Бальский Александр</t>
  </si>
  <si>
    <t>Балясников Никита</t>
  </si>
  <si>
    <t>Дрезна  Мос.обл.</t>
  </si>
  <si>
    <t>26.02.2002</t>
  </si>
  <si>
    <t>Банников Артем</t>
  </si>
  <si>
    <t>06.11.2006</t>
  </si>
  <si>
    <t>Банников Владислав</t>
  </si>
  <si>
    <t>23.02.2005</t>
  </si>
  <si>
    <t>Банников Игорь</t>
  </si>
  <si>
    <t>21.02.2002</t>
  </si>
  <si>
    <t>Банников Юрий</t>
  </si>
  <si>
    <t>08.03.1959</t>
  </si>
  <si>
    <t>Баов Аслан</t>
  </si>
  <si>
    <t>03.01.2004</t>
  </si>
  <si>
    <t>Барабаш Дмитрий</t>
  </si>
  <si>
    <t>10.03.2006</t>
  </si>
  <si>
    <t>Долгодеревенское  Чел.обл.</t>
  </si>
  <si>
    <t>Барабаш Сергей</t>
  </si>
  <si>
    <t>Барабашев Данила</t>
  </si>
  <si>
    <t>11.08.2007</t>
  </si>
  <si>
    <t>Баранник Савва</t>
  </si>
  <si>
    <t>15.09.2006</t>
  </si>
  <si>
    <t>15.07.2001</t>
  </si>
  <si>
    <t>Баранов Валерий</t>
  </si>
  <si>
    <t>29.01.2005</t>
  </si>
  <si>
    <t>Успенский  Краснод.кр.</t>
  </si>
  <si>
    <t>Баранов Вячеслав</t>
  </si>
  <si>
    <t>23.09.2004</t>
  </si>
  <si>
    <t>Майкоп  Адыгея</t>
  </si>
  <si>
    <t>Баранов Илья</t>
  </si>
  <si>
    <t>24.07.2006</t>
  </si>
  <si>
    <t>Баранов Роман</t>
  </si>
  <si>
    <t>23.06.1987</t>
  </si>
  <si>
    <t>Баранов Руслан</t>
  </si>
  <si>
    <t>25.07.2005</t>
  </si>
  <si>
    <t>Барановский Валентин</t>
  </si>
  <si>
    <t>04.02.1998</t>
  </si>
  <si>
    <t>Баранчиков Данила</t>
  </si>
  <si>
    <t>Бардин Егор</t>
  </si>
  <si>
    <t>16.06.2000</t>
  </si>
  <si>
    <t>18.02.1999</t>
  </si>
  <si>
    <t>Баринов Николай</t>
  </si>
  <si>
    <t>17.05.2002</t>
  </si>
  <si>
    <t>Барлет Сергей</t>
  </si>
  <si>
    <t>05.06.1977</t>
  </si>
  <si>
    <t>22.05.2003</t>
  </si>
  <si>
    <t>Басал Али</t>
  </si>
  <si>
    <t>12.02.2007</t>
  </si>
  <si>
    <t>06.05.2002</t>
  </si>
  <si>
    <t>Баталов Евгений</t>
  </si>
  <si>
    <t>02.02.2007</t>
  </si>
  <si>
    <t>Баталов Кирилл</t>
  </si>
  <si>
    <t>08.04.2003</t>
  </si>
  <si>
    <t>Батандаев Тагир</t>
  </si>
  <si>
    <t>13.08.2004</t>
  </si>
  <si>
    <t>Батодоржиев Илья</t>
  </si>
  <si>
    <t>08.04.2004</t>
  </si>
  <si>
    <t>Баторов Дугар</t>
  </si>
  <si>
    <t>07.06.2004</t>
  </si>
  <si>
    <t>Судунтуй  Заб.кр.</t>
  </si>
  <si>
    <t>Батуев Данил</t>
  </si>
  <si>
    <t>20.01.2005</t>
  </si>
  <si>
    <t>Батуев Тумэн</t>
  </si>
  <si>
    <t>30.01.1998</t>
  </si>
  <si>
    <t>Закаменск  Бур.</t>
  </si>
  <si>
    <t>13.03.2002</t>
  </si>
  <si>
    <t>14.04.1999</t>
  </si>
  <si>
    <t>Бахматов Григорий</t>
  </si>
  <si>
    <t>20.05.2003</t>
  </si>
  <si>
    <t>Бахов Аскер</t>
  </si>
  <si>
    <t>23.02.1998</t>
  </si>
  <si>
    <t>01.06.2003</t>
  </si>
  <si>
    <t>Бахтурин Сергей</t>
  </si>
  <si>
    <t>01.06.2005</t>
  </si>
  <si>
    <t>Бахчеев Никита</t>
  </si>
  <si>
    <t>04.08.2005</t>
  </si>
  <si>
    <t>Бацазов Владислав</t>
  </si>
  <si>
    <t>19.02.2002</t>
  </si>
  <si>
    <t>Бачурин Артем</t>
  </si>
  <si>
    <t>29.04.2007</t>
  </si>
  <si>
    <t>Башаров Ильдар</t>
  </si>
  <si>
    <t>24.10.2002</t>
  </si>
  <si>
    <t>Баширов Камиль</t>
  </si>
  <si>
    <t>21.11.2007</t>
  </si>
  <si>
    <t>21.09.1999</t>
  </si>
  <si>
    <t>Башкиров Георгий</t>
  </si>
  <si>
    <t>Бебенин Леонид</t>
  </si>
  <si>
    <t>31.03.1999</t>
  </si>
  <si>
    <t>Киров</t>
  </si>
  <si>
    <t>Бедовский Виталий</t>
  </si>
  <si>
    <t>07.07.2006</t>
  </si>
  <si>
    <t>Безверхий Дмитрий</t>
  </si>
  <si>
    <t>28.08.2003</t>
  </si>
  <si>
    <t>Безенков Константин</t>
  </si>
  <si>
    <t>06.07.1978</t>
  </si>
  <si>
    <t>Безменов Егор</t>
  </si>
  <si>
    <t>06.04.2006</t>
  </si>
  <si>
    <t>Безменов Никита</t>
  </si>
  <si>
    <t>01.02.2005</t>
  </si>
  <si>
    <t>Безпалов Антон</t>
  </si>
  <si>
    <t>11.06.2001</t>
  </si>
  <si>
    <t>19.01.1999</t>
  </si>
  <si>
    <t>Бекмансуров Никита</t>
  </si>
  <si>
    <t>30.12.2002</t>
  </si>
  <si>
    <t>Бекоев Эдвард</t>
  </si>
  <si>
    <t>30.12.1965</t>
  </si>
  <si>
    <t>Владикавказ</t>
  </si>
  <si>
    <t>Белевич Александр</t>
  </si>
  <si>
    <t>21.01.2005</t>
  </si>
  <si>
    <t>Белик Константин</t>
  </si>
  <si>
    <t>20.04.2005</t>
  </si>
  <si>
    <t>Беликов Александр</t>
  </si>
  <si>
    <t>10.08.1998</t>
  </si>
  <si>
    <t>Беликов Евгений</t>
  </si>
  <si>
    <t>07.05.2004</t>
  </si>
  <si>
    <t>Беликов Кирилл</t>
  </si>
  <si>
    <t>19.08.1998</t>
  </si>
  <si>
    <t>Беликов Максим</t>
  </si>
  <si>
    <t>08.05.2007</t>
  </si>
  <si>
    <t>Беликов Семен</t>
  </si>
  <si>
    <t>14.09.2006</t>
  </si>
  <si>
    <t>15.04.2003</t>
  </si>
  <si>
    <t>Белкин Михаил</t>
  </si>
  <si>
    <t>Белов Арсений</t>
  </si>
  <si>
    <t>17.04.2008</t>
  </si>
  <si>
    <t>19.01.2000</t>
  </si>
  <si>
    <t>Белов Владимир</t>
  </si>
  <si>
    <t>15.04.2007</t>
  </si>
  <si>
    <t>Белов Данил</t>
  </si>
  <si>
    <t>13.05.2002</t>
  </si>
  <si>
    <t>Белов Илья</t>
  </si>
  <si>
    <t>Белов Макар</t>
  </si>
  <si>
    <t>03.04.2007</t>
  </si>
  <si>
    <t>Белов Михаил</t>
  </si>
  <si>
    <t>12.01.1998</t>
  </si>
  <si>
    <t>Белозеров Антон</t>
  </si>
  <si>
    <t>06.02.2005</t>
  </si>
  <si>
    <t>Белоконов Богдан</t>
  </si>
  <si>
    <t>13.05.2005</t>
  </si>
  <si>
    <t>Белоножко Антон</t>
  </si>
  <si>
    <t>Белоносов Кирилл</t>
  </si>
  <si>
    <t>01.06.2001</t>
  </si>
  <si>
    <t>Белоусов Александр</t>
  </si>
  <si>
    <t>12.09.1999</t>
  </si>
  <si>
    <t>23.06.2006</t>
  </si>
  <si>
    <t>Беляев Максим</t>
  </si>
  <si>
    <t>17.01.2005</t>
  </si>
  <si>
    <t>Беляев Семен</t>
  </si>
  <si>
    <t>25.01.2003</t>
  </si>
  <si>
    <t>Беляев Юрий</t>
  </si>
  <si>
    <t>25.05.2006</t>
  </si>
  <si>
    <t>Беляков Иван</t>
  </si>
  <si>
    <t>Беляков Игорь</t>
  </si>
  <si>
    <t>07.01.1975</t>
  </si>
  <si>
    <t>Беляков Максим</t>
  </si>
  <si>
    <t>19.08.2007</t>
  </si>
  <si>
    <t>Бербеницкий Михаил</t>
  </si>
  <si>
    <t>06.02.2002</t>
  </si>
  <si>
    <t>Бердов Вячеслав</t>
  </si>
  <si>
    <t>21.03.1991</t>
  </si>
  <si>
    <t>Бережнов Егор</t>
  </si>
  <si>
    <t>27.03.2005</t>
  </si>
  <si>
    <t>Бережной Артем</t>
  </si>
  <si>
    <t>09.08.1998</t>
  </si>
  <si>
    <t>Бережной Ярослав</t>
  </si>
  <si>
    <t>01.09.2003</t>
  </si>
  <si>
    <t>Березин Илья</t>
  </si>
  <si>
    <t>30.10.1998</t>
  </si>
  <si>
    <t>Березин Тимофей</t>
  </si>
  <si>
    <t>18.07.2005</t>
  </si>
  <si>
    <t>Березин Юрий</t>
  </si>
  <si>
    <t>27.04.1970</t>
  </si>
  <si>
    <t>Березнев Олег</t>
  </si>
  <si>
    <t>06.07.1966</t>
  </si>
  <si>
    <t>Береснев Денис</t>
  </si>
  <si>
    <t>20.11.2005</t>
  </si>
  <si>
    <t>Бересневич Даниил</t>
  </si>
  <si>
    <t>28.09.2000</t>
  </si>
  <si>
    <t>Беспутин Глеб</t>
  </si>
  <si>
    <t>29.04.2005</t>
  </si>
  <si>
    <t>23.05.2000</t>
  </si>
  <si>
    <t>Бесшапошников Андрей</t>
  </si>
  <si>
    <t>01.09.1998</t>
  </si>
  <si>
    <t>Биккулов Эмиль</t>
  </si>
  <si>
    <t>Бикулов Артем</t>
  </si>
  <si>
    <t>Новоорск  Оренб.обл.</t>
  </si>
  <si>
    <t>Билалов Эрнест</t>
  </si>
  <si>
    <t>04.02.2005</t>
  </si>
  <si>
    <t>Бильдягин Иван</t>
  </si>
  <si>
    <t>25.04.2006</t>
  </si>
  <si>
    <t>Бисеров Росланбек</t>
  </si>
  <si>
    <t>03.04.2003</t>
  </si>
  <si>
    <t>Бисултанов Тимур</t>
  </si>
  <si>
    <t>15.10.2006</t>
  </si>
  <si>
    <t>Битюков Тимофей</t>
  </si>
  <si>
    <t>23.03.2004</t>
  </si>
  <si>
    <t>Бичиев Аслан</t>
  </si>
  <si>
    <t>Биш Григорий</t>
  </si>
  <si>
    <t>Блем Александр</t>
  </si>
  <si>
    <t>11.03.2006</t>
  </si>
  <si>
    <t>Блиновских Даниил</t>
  </si>
  <si>
    <t>04.04.2004</t>
  </si>
  <si>
    <t>Блохин Егор</t>
  </si>
  <si>
    <t>12.04.2004</t>
  </si>
  <si>
    <t>Блохин Максим</t>
  </si>
  <si>
    <t>23.08.2005</t>
  </si>
  <si>
    <t>Блюменталь Максим</t>
  </si>
  <si>
    <t>14.03.2006</t>
  </si>
  <si>
    <t>Боборыко Максим</t>
  </si>
  <si>
    <t>10.12.1993</t>
  </si>
  <si>
    <t>Боботин Иван</t>
  </si>
  <si>
    <t>27.10.1994</t>
  </si>
  <si>
    <t>05.03.1971</t>
  </si>
  <si>
    <t>Бобров Егор</t>
  </si>
  <si>
    <t>18.09.2005</t>
  </si>
  <si>
    <t>19.01.2005</t>
  </si>
  <si>
    <t>Бобровников Владимир</t>
  </si>
  <si>
    <t>07.08.1995</t>
  </si>
  <si>
    <t>Донецк  Укр.</t>
  </si>
  <si>
    <t>Бова Игорь</t>
  </si>
  <si>
    <t>09.04.2000</t>
  </si>
  <si>
    <t>Богачев Алексей</t>
  </si>
  <si>
    <t>23.04.1986</t>
  </si>
  <si>
    <t>Богачев Владимир</t>
  </si>
  <si>
    <t>11.06.1991</t>
  </si>
  <si>
    <t>Богачев Дмитрий</t>
  </si>
  <si>
    <t>Богдан Сергей</t>
  </si>
  <si>
    <t>01.01.1968</t>
  </si>
  <si>
    <t>Богданков Илья</t>
  </si>
  <si>
    <t>19.01.2006</t>
  </si>
  <si>
    <t>Богданов Руслан</t>
  </si>
  <si>
    <t>Боголюбов Илья</t>
  </si>
  <si>
    <t>05.10.2000</t>
  </si>
  <si>
    <t>Богомолов Алексей</t>
  </si>
  <si>
    <t>11.12.2006</t>
  </si>
  <si>
    <t>Бодров Владислав</t>
  </si>
  <si>
    <t>03.07.2007</t>
  </si>
  <si>
    <t>Божедомов Михаил</t>
  </si>
  <si>
    <t>30.04.2009</t>
  </si>
  <si>
    <t>Боженков Евгений</t>
  </si>
  <si>
    <t>30.05.2005</t>
  </si>
  <si>
    <t>Божко Денис</t>
  </si>
  <si>
    <t>08.11.2005</t>
  </si>
  <si>
    <t>Божко Олег</t>
  </si>
  <si>
    <t>02.09.1975</t>
  </si>
  <si>
    <t>Бозин Павел</t>
  </si>
  <si>
    <t>01.02.2004</t>
  </si>
  <si>
    <t>Бойко Максим</t>
  </si>
  <si>
    <t>13.12.1998</t>
  </si>
  <si>
    <t>Бойков Егор</t>
  </si>
  <si>
    <t>24.02.2005</t>
  </si>
  <si>
    <t>Боктаев Илья</t>
  </si>
  <si>
    <t>06.01.2005</t>
  </si>
  <si>
    <t>Болгарин Артем</t>
  </si>
  <si>
    <t>17.02.2001</t>
  </si>
  <si>
    <t>Болдырев Илья</t>
  </si>
  <si>
    <t>03.06.2002</t>
  </si>
  <si>
    <t>Болиев Батраз</t>
  </si>
  <si>
    <t>20.05.1998</t>
  </si>
  <si>
    <t>Болотный Александр</t>
  </si>
  <si>
    <t>05.01.2005</t>
  </si>
  <si>
    <t>Болоцков Денис</t>
  </si>
  <si>
    <t>18.02.1982</t>
  </si>
  <si>
    <t>Большаков Сергей</t>
  </si>
  <si>
    <t>06.02.2006</t>
  </si>
  <si>
    <t>Ивангород  Лен.о.</t>
  </si>
  <si>
    <t>18.06.2002</t>
  </si>
  <si>
    <t>Бондаренко Борис</t>
  </si>
  <si>
    <t>16.08.2001</t>
  </si>
  <si>
    <t>Бондаренко Владимир</t>
  </si>
  <si>
    <t>31.08.1976</t>
  </si>
  <si>
    <t>Крыловская  Красн.кр.</t>
  </si>
  <si>
    <t>29.03.2001</t>
  </si>
  <si>
    <t>Бондаренко Кирилл</t>
  </si>
  <si>
    <t>11.02.2009</t>
  </si>
  <si>
    <t>Борзенков Владислав</t>
  </si>
  <si>
    <t>05.06.2005</t>
  </si>
  <si>
    <t>Борисевич Ян</t>
  </si>
  <si>
    <t>Борисов Вадим</t>
  </si>
  <si>
    <t>18.08.2006</t>
  </si>
  <si>
    <t>Борисов Георгий</t>
  </si>
  <si>
    <t>15.11.2000</t>
  </si>
  <si>
    <t>Борисов Михаил</t>
  </si>
  <si>
    <t>29.07.1999</t>
  </si>
  <si>
    <t>Якутск</t>
  </si>
  <si>
    <t>Борисов Никита</t>
  </si>
  <si>
    <t>Шелоболиха  Алт.край</t>
  </si>
  <si>
    <t>Борисов Павел</t>
  </si>
  <si>
    <t>Боровик Александр</t>
  </si>
  <si>
    <t>06.08.1990</t>
  </si>
  <si>
    <t>Боровков Владислав</t>
  </si>
  <si>
    <t>13.02.2005</t>
  </si>
  <si>
    <t>Бородин Анатолий</t>
  </si>
  <si>
    <t>19.12.2005</t>
  </si>
  <si>
    <t>Бородин Виталий</t>
  </si>
  <si>
    <t>22.04.1973</t>
  </si>
  <si>
    <t>Бородин Илья</t>
  </si>
  <si>
    <t>27.04.2001</t>
  </si>
  <si>
    <t>Бородинов Артем</t>
  </si>
  <si>
    <t>03.06.2006</t>
  </si>
  <si>
    <t>Борондонов Доржи</t>
  </si>
  <si>
    <t>Боронин Александр</t>
  </si>
  <si>
    <t>19.03.2003</t>
  </si>
  <si>
    <t>Бортников Роман</t>
  </si>
  <si>
    <t>08.03.1971</t>
  </si>
  <si>
    <t>Борщенко Юрий</t>
  </si>
  <si>
    <t>30.05.2007</t>
  </si>
  <si>
    <t>Ботороев Дашинима</t>
  </si>
  <si>
    <t>20.07.2006</t>
  </si>
  <si>
    <t>Агинское  Бур.</t>
  </si>
  <si>
    <t>Бочков Алексей</t>
  </si>
  <si>
    <t>03.05.2006</t>
  </si>
  <si>
    <t>Бочков Денис</t>
  </si>
  <si>
    <t>11.10.1988</t>
  </si>
  <si>
    <t>Бояркин Евгений</t>
  </si>
  <si>
    <t>26.07.1977</t>
  </si>
  <si>
    <t>Бояршинов Александр</t>
  </si>
  <si>
    <t>Лысьва  Перм.кр.</t>
  </si>
  <si>
    <t>Брагин Дмитрий</t>
  </si>
  <si>
    <t>17.08.2004</t>
  </si>
  <si>
    <t>Братков Дмитрий</t>
  </si>
  <si>
    <t>27.12.2007</t>
  </si>
  <si>
    <t>Братченко Сергей</t>
  </si>
  <si>
    <t>28.08.1977</t>
  </si>
  <si>
    <t>Бреднев Николай</t>
  </si>
  <si>
    <t>02.02.1998</t>
  </si>
  <si>
    <t>17.11.2004</t>
  </si>
  <si>
    <t>Бреславцев Иван</t>
  </si>
  <si>
    <t>26.06.2006</t>
  </si>
  <si>
    <t>Бригунцов Николай</t>
  </si>
  <si>
    <t>03.04.1988</t>
  </si>
  <si>
    <t>Бриль Владимир</t>
  </si>
  <si>
    <t>21.08.1975</t>
  </si>
  <si>
    <t>Бриль Ярослав</t>
  </si>
  <si>
    <t>15.04.2009</t>
  </si>
  <si>
    <t>Британов Игорь</t>
  </si>
  <si>
    <t>09.02.1978</t>
  </si>
  <si>
    <t>Бритвин Алексей</t>
  </si>
  <si>
    <t>06.10.1980</t>
  </si>
  <si>
    <t>Бродниковский Андрей</t>
  </si>
  <si>
    <t>10.11.2002</t>
  </si>
  <si>
    <t>Бродягин Даниил</t>
  </si>
  <si>
    <t>19.10.2000</t>
  </si>
  <si>
    <t>Бродянский Виталий</t>
  </si>
  <si>
    <t>24.06.1961</t>
  </si>
  <si>
    <t>Брожевич Максим</t>
  </si>
  <si>
    <t>26.10.2008</t>
  </si>
  <si>
    <t>Бронников Арсений</t>
  </si>
  <si>
    <t>26.04.2005</t>
  </si>
  <si>
    <t>Брусков Сергей</t>
  </si>
  <si>
    <t>03.08.2006</t>
  </si>
  <si>
    <t>Бруснигин Матвей</t>
  </si>
  <si>
    <t>11.11.2004</t>
  </si>
  <si>
    <t>Брусникин Егор</t>
  </si>
  <si>
    <t>24.09.2006</t>
  </si>
  <si>
    <t>Брызгалов Артем</t>
  </si>
  <si>
    <t>24.02.2004</t>
  </si>
  <si>
    <t>Брынцев Андрей</t>
  </si>
  <si>
    <t>09.06.2006</t>
  </si>
  <si>
    <t>Брюханов Артем</t>
  </si>
  <si>
    <t>22.06.2004</t>
  </si>
  <si>
    <t>Бубнов Алексей</t>
  </si>
  <si>
    <t>15.12.1985</t>
  </si>
  <si>
    <t>Бугаев Гаврил</t>
  </si>
  <si>
    <t>06.12.2001</t>
  </si>
  <si>
    <t>Бугров Дмитрий</t>
  </si>
  <si>
    <t>11.11.2007</t>
  </si>
  <si>
    <t>Бузин Антон</t>
  </si>
  <si>
    <t>29.10.2006</t>
  </si>
  <si>
    <t>Букин Андрей</t>
  </si>
  <si>
    <t>19.01.1989</t>
  </si>
  <si>
    <t>Букреев Даниил</t>
  </si>
  <si>
    <t>14.02.2007</t>
  </si>
  <si>
    <t>Булавко Максим</t>
  </si>
  <si>
    <t>21.10.2003</t>
  </si>
  <si>
    <t>Всеволожск  Ленингр.обл.</t>
  </si>
  <si>
    <t>Булатецкий Владислав</t>
  </si>
  <si>
    <t>18.04.2005</t>
  </si>
  <si>
    <t>Булахов Сергей</t>
  </si>
  <si>
    <t>28.07.1993</t>
  </si>
  <si>
    <t>31.12.2003</t>
  </si>
  <si>
    <t>Буллиев Данил</t>
  </si>
  <si>
    <t>02.02.2001</t>
  </si>
  <si>
    <t>Булхак Арсений</t>
  </si>
  <si>
    <t>04.09.2008</t>
  </si>
  <si>
    <t>Бульбанюк Тимофей</t>
  </si>
  <si>
    <t>19.12.2006</t>
  </si>
  <si>
    <t>04.02.2001</t>
  </si>
  <si>
    <t>Бураков Максим</t>
  </si>
  <si>
    <t>18.06.2005</t>
  </si>
  <si>
    <t>Бурали Лев</t>
  </si>
  <si>
    <t>10.02.2009</t>
  </si>
  <si>
    <t>Бургасов Владимир</t>
  </si>
  <si>
    <t>01.11.2004</t>
  </si>
  <si>
    <t>18.07.2000</t>
  </si>
  <si>
    <t>Бурдин Алексей</t>
  </si>
  <si>
    <t>08.06.1996</t>
  </si>
  <si>
    <t>28.03.2000</t>
  </si>
  <si>
    <t>Бурдин Константин</t>
  </si>
  <si>
    <t>04.04.2006</t>
  </si>
  <si>
    <t>Бурковский Николай</t>
  </si>
  <si>
    <t>18.05.2006</t>
  </si>
  <si>
    <t>Буров Вячеслав</t>
  </si>
  <si>
    <t>27.03.1985</t>
  </si>
  <si>
    <t>Буртасов Андрей</t>
  </si>
  <si>
    <t>01.07.1984</t>
  </si>
  <si>
    <t>Юрга   Кем.обл.</t>
  </si>
  <si>
    <t>Буряков Алексей</t>
  </si>
  <si>
    <t>21.06.2006</t>
  </si>
  <si>
    <t>Бут Михаил</t>
  </si>
  <si>
    <t>06.04.2001</t>
  </si>
  <si>
    <t>Бутаков Андрей</t>
  </si>
  <si>
    <t>10.07.1992</t>
  </si>
  <si>
    <t>Новоалтайск</t>
  </si>
  <si>
    <t>Бутвина Никита</t>
  </si>
  <si>
    <t>19.11.1996</t>
  </si>
  <si>
    <t>11.02.2002</t>
  </si>
  <si>
    <t>Бутенко Владимир</t>
  </si>
  <si>
    <t>30.08.1945</t>
  </si>
  <si>
    <t>Бутко Вадим</t>
  </si>
  <si>
    <t>11.02.2007</t>
  </si>
  <si>
    <t>Кущевская  Красн.кр.</t>
  </si>
  <si>
    <t>Бутылев Михаил</t>
  </si>
  <si>
    <t>07.12.1978</t>
  </si>
  <si>
    <t>Бухаев Алдар</t>
  </si>
  <si>
    <t>07.05.2006</t>
  </si>
  <si>
    <t>Бухуров Беслан</t>
  </si>
  <si>
    <t>Буцкий Даниил</t>
  </si>
  <si>
    <t>13.09.2005</t>
  </si>
  <si>
    <t>Бушков Владислав</t>
  </si>
  <si>
    <t>Бушмелев Даниил</t>
  </si>
  <si>
    <t>Бушуев Иван</t>
  </si>
  <si>
    <t>27.08.2004</t>
  </si>
  <si>
    <t>Быков Дмитрий</t>
  </si>
  <si>
    <t>14.04.2005</t>
  </si>
  <si>
    <t>Быков Михаил</t>
  </si>
  <si>
    <t>23.10.1989</t>
  </si>
  <si>
    <t>Быстров Дмитрий</t>
  </si>
  <si>
    <t>19.05.2007</t>
  </si>
  <si>
    <t>Бычков Никита</t>
  </si>
  <si>
    <t>22.04.2005</t>
  </si>
  <si>
    <t>Бюрчиев Эльвег</t>
  </si>
  <si>
    <t>19.07.2004</t>
  </si>
  <si>
    <t>14.09.2001</t>
  </si>
  <si>
    <t>05.03.2004</t>
  </si>
  <si>
    <t>Важенский Кирилл</t>
  </si>
  <si>
    <t>13.02.2006</t>
  </si>
  <si>
    <t>Вайсберг Эдвард</t>
  </si>
  <si>
    <t>07.08.2006</t>
  </si>
  <si>
    <t>Вайцеховский Максим</t>
  </si>
  <si>
    <t>Вакий Матвей</t>
  </si>
  <si>
    <t>02.03.2005</t>
  </si>
  <si>
    <t>Вакуленко Владимир</t>
  </si>
  <si>
    <t>07.11.1971</t>
  </si>
  <si>
    <t>27.07.2001</t>
  </si>
  <si>
    <t>Вакулин Денис</t>
  </si>
  <si>
    <t>28.02.1992</t>
  </si>
  <si>
    <t>Валиев Равиль</t>
  </si>
  <si>
    <t>19.11.2002</t>
  </si>
  <si>
    <t>Валиев Эмиль</t>
  </si>
  <si>
    <t>27.01.2006</t>
  </si>
  <si>
    <t>Валимухаметов Гадель</t>
  </si>
  <si>
    <t>01.07.2005</t>
  </si>
  <si>
    <t>Валиуллин Мурат</t>
  </si>
  <si>
    <t>22.09.2008</t>
  </si>
  <si>
    <t>Валов Александр</t>
  </si>
  <si>
    <t>10.05.2007</t>
  </si>
  <si>
    <t>Валов Станислав</t>
  </si>
  <si>
    <t>08.01.2000</t>
  </si>
  <si>
    <t>Валуев Герман</t>
  </si>
  <si>
    <t>21.02.2005</t>
  </si>
  <si>
    <t>Вандакуров Игорь</t>
  </si>
  <si>
    <t>26.11.2001</t>
  </si>
  <si>
    <t>Варганов Даниил</t>
  </si>
  <si>
    <t>12.12.2006</t>
  </si>
  <si>
    <t>Варламов Камиль</t>
  </si>
  <si>
    <t>10.02.2006</t>
  </si>
  <si>
    <t>Варнавский Артем</t>
  </si>
  <si>
    <t>19.05.2006</t>
  </si>
  <si>
    <t>Варналий Иван</t>
  </si>
  <si>
    <t>29.11.2005</t>
  </si>
  <si>
    <t>Варов Андрей</t>
  </si>
  <si>
    <t>12.07.2005</t>
  </si>
  <si>
    <t>Вартанов Аркадий</t>
  </si>
  <si>
    <t>11.06.1981</t>
  </si>
  <si>
    <t>Северск  Томск.о.</t>
  </si>
  <si>
    <t>Вартанов Роман</t>
  </si>
  <si>
    <t>31.01.1984</t>
  </si>
  <si>
    <t>Варушкин Данил</t>
  </si>
  <si>
    <t>17.02.2005</t>
  </si>
  <si>
    <t>Варфоломеев Захар</t>
  </si>
  <si>
    <t>04.04.2010</t>
  </si>
  <si>
    <t>Варфоломеев Сергей</t>
  </si>
  <si>
    <t>19.05.2002</t>
  </si>
  <si>
    <t>Варченко Станислав</t>
  </si>
  <si>
    <t>07.06.1992</t>
  </si>
  <si>
    <t>Васёв Арсений</t>
  </si>
  <si>
    <t>29.04.2004</t>
  </si>
  <si>
    <t>Чайковский  Перм.кр.</t>
  </si>
  <si>
    <t>Васиков Евгений</t>
  </si>
  <si>
    <t>30.03.2008</t>
  </si>
  <si>
    <t>Василенко Денис</t>
  </si>
  <si>
    <t>30.06.2005</t>
  </si>
  <si>
    <t>25.04.2005</t>
  </si>
  <si>
    <t>22.07.2007</t>
  </si>
  <si>
    <t>13.08.2002</t>
  </si>
  <si>
    <t>01.01.1967</t>
  </si>
  <si>
    <t>18.12.1998</t>
  </si>
  <si>
    <t>Васильев Виталий</t>
  </si>
  <si>
    <t>04.03.2005</t>
  </si>
  <si>
    <t>Васильев Влас</t>
  </si>
  <si>
    <t>09.02.2002</t>
  </si>
  <si>
    <t>Васильев Данила</t>
  </si>
  <si>
    <t>Васильев Иван</t>
  </si>
  <si>
    <t>27.10.2004</t>
  </si>
  <si>
    <t>Васильев Максим</t>
  </si>
  <si>
    <t>01.09.2002</t>
  </si>
  <si>
    <t>Васильев Мирон</t>
  </si>
  <si>
    <t>19.07.2000</t>
  </si>
  <si>
    <t>Васильев Степан</t>
  </si>
  <si>
    <t>Васин Максим</t>
  </si>
  <si>
    <t>18.03.1998</t>
  </si>
  <si>
    <t>Васинский Кирилл</t>
  </si>
  <si>
    <t>Нижнегорск  Крым</t>
  </si>
  <si>
    <t>Васьков Артем</t>
  </si>
  <si>
    <t>14.02.2006</t>
  </si>
  <si>
    <t>Васюков Анатолий</t>
  </si>
  <si>
    <t>21.06.2003</t>
  </si>
  <si>
    <t>30.09.2002</t>
  </si>
  <si>
    <t>Вахитов Тимур</t>
  </si>
  <si>
    <t>17.10.2006</t>
  </si>
  <si>
    <t>Ващенко Григорий</t>
  </si>
  <si>
    <t>Ващенков Алексей</t>
  </si>
  <si>
    <t>05.02.2005</t>
  </si>
  <si>
    <t>Ващилко Анатолий</t>
  </si>
  <si>
    <t>07.04.1951</t>
  </si>
  <si>
    <t>Красноперекопск  Крым</t>
  </si>
  <si>
    <t>Векшин Роман</t>
  </si>
  <si>
    <t>14.10.2005</t>
  </si>
  <si>
    <t>Велиев Махир</t>
  </si>
  <si>
    <t>28.02.2005</t>
  </si>
  <si>
    <t>Велтистов Михаил</t>
  </si>
  <si>
    <t>05.05.2005</t>
  </si>
  <si>
    <t>Венков Тимофей</t>
  </si>
  <si>
    <t>10.09.2005</t>
  </si>
  <si>
    <t>14.08.2001</t>
  </si>
  <si>
    <t>Верендеев Роман</t>
  </si>
  <si>
    <t>26.07.2005</t>
  </si>
  <si>
    <t>Веретнов Артем</t>
  </si>
  <si>
    <t>17.09.2005</t>
  </si>
  <si>
    <t>Верещагин Егор</t>
  </si>
  <si>
    <t>26.03.2006</t>
  </si>
  <si>
    <t>Верховодов Вадим</t>
  </si>
  <si>
    <t>27.10.1999</t>
  </si>
  <si>
    <t>Верхошанский Константин</t>
  </si>
  <si>
    <t>21.05.2005</t>
  </si>
  <si>
    <t>Вершинин Тимофей</t>
  </si>
  <si>
    <t>Веселов Дмитрий</t>
  </si>
  <si>
    <t>07.07.2003</t>
  </si>
  <si>
    <t>Веселов Михаил</t>
  </si>
  <si>
    <t>25.08.2003</t>
  </si>
  <si>
    <t>Пушкин  М.о.</t>
  </si>
  <si>
    <t>Ветров Артем</t>
  </si>
  <si>
    <t>14.07.2000</t>
  </si>
  <si>
    <t>12.08.2001</t>
  </si>
  <si>
    <t>Видов Егор</t>
  </si>
  <si>
    <t>06.03.2005</t>
  </si>
  <si>
    <t>24.11.2000</t>
  </si>
  <si>
    <t>Видякин Егор</t>
  </si>
  <si>
    <t>28.08.2006</t>
  </si>
  <si>
    <t>11.01.2002</t>
  </si>
  <si>
    <t>Вилежанин Алексей</t>
  </si>
  <si>
    <t>21.01.2004</t>
  </si>
  <si>
    <t>Вилков Владимир</t>
  </si>
  <si>
    <t>24.07.2001</t>
  </si>
  <si>
    <t>Старая Купавна</t>
  </si>
  <si>
    <t>Вилков Никита</t>
  </si>
  <si>
    <t>22.08.2006</t>
  </si>
  <si>
    <t>Виноградов Александр</t>
  </si>
  <si>
    <t>30.06.2006</t>
  </si>
  <si>
    <t>Виноградов Алексей</t>
  </si>
  <si>
    <t>08.04.1982</t>
  </si>
  <si>
    <t>Виноградов Иван</t>
  </si>
  <si>
    <t>24.01.2008</t>
  </si>
  <si>
    <t>29.01.2004</t>
  </si>
  <si>
    <t>16.06.2003</t>
  </si>
  <si>
    <t>Виноградов Роман</t>
  </si>
  <si>
    <t>08.01.2007</t>
  </si>
  <si>
    <t>Винокуров Александр</t>
  </si>
  <si>
    <t>22.12.1976</t>
  </si>
  <si>
    <t>Винокуров Дмитрий</t>
  </si>
  <si>
    <t>03.09.2004</t>
  </si>
  <si>
    <t>Хатассы  Якут.</t>
  </si>
  <si>
    <t>Вирченко Артем</t>
  </si>
  <si>
    <t>03.03.2002</t>
  </si>
  <si>
    <t>Висалгерев Магомед</t>
  </si>
  <si>
    <t>03.03.1997</t>
  </si>
  <si>
    <t>Ленинапул  Даг.</t>
  </si>
  <si>
    <t>Витвинов Степан</t>
  </si>
  <si>
    <t>Витвицкий Владислав</t>
  </si>
  <si>
    <t>26.03.1998</t>
  </si>
  <si>
    <t>Витохин Владислав</t>
  </si>
  <si>
    <t>08.10.2003</t>
  </si>
  <si>
    <t>Целина  Рост.о.</t>
  </si>
  <si>
    <t>Витун Антон</t>
  </si>
  <si>
    <t>04.04.1994</t>
  </si>
  <si>
    <t>Вихрев Олег</t>
  </si>
  <si>
    <t>03.11.1991</t>
  </si>
  <si>
    <t>Вишнивецкий Даниил</t>
  </si>
  <si>
    <t>19.07.2001</t>
  </si>
  <si>
    <t>Вишняков Николай</t>
  </si>
  <si>
    <t>04.02.2006</t>
  </si>
  <si>
    <t>31.01.2006</t>
  </si>
  <si>
    <t>Владимиров Илья</t>
  </si>
  <si>
    <t>01.09.2005</t>
  </si>
  <si>
    <t>Пойковский  ХМАО</t>
  </si>
  <si>
    <t>Владимиров Степан</t>
  </si>
  <si>
    <t>05.01.2009</t>
  </si>
  <si>
    <t>Власевский Глеб</t>
  </si>
  <si>
    <t>18.10.2005</t>
  </si>
  <si>
    <t>Власов Артем</t>
  </si>
  <si>
    <t>26.11.2006</t>
  </si>
  <si>
    <t>Власов Григорий</t>
  </si>
  <si>
    <t>15.08.1984</t>
  </si>
  <si>
    <t>Власов Даниил</t>
  </si>
  <si>
    <t>26.04.2003</t>
  </si>
  <si>
    <t>Власов Иван</t>
  </si>
  <si>
    <t>11.11.2005</t>
  </si>
  <si>
    <t>Вовченко Владислав</t>
  </si>
  <si>
    <t>01.01.2000</t>
  </si>
  <si>
    <t>Воеводин Евгений</t>
  </si>
  <si>
    <t>11.02.1994</t>
  </si>
  <si>
    <t>Возняк Михаил</t>
  </si>
  <si>
    <t>02.05.2004</t>
  </si>
  <si>
    <t>Войнов Вячеслав</t>
  </si>
  <si>
    <t>08.04.2007</t>
  </si>
  <si>
    <t>Волегов Сергей</t>
  </si>
  <si>
    <t>14.12.2004</t>
  </si>
  <si>
    <t>01.07.2000</t>
  </si>
  <si>
    <t>15.03.2001</t>
  </si>
  <si>
    <t>08.09.2002</t>
  </si>
  <si>
    <t>07.10.2001</t>
  </si>
  <si>
    <t>Волков Владислав</t>
  </si>
  <si>
    <t>16.07.2004</t>
  </si>
  <si>
    <t>Воловик Михаил</t>
  </si>
  <si>
    <t>14.12.2002</t>
  </si>
  <si>
    <t>Вологдянкин Александр</t>
  </si>
  <si>
    <t>12.04.2002</t>
  </si>
  <si>
    <t>Волошин Александр</t>
  </si>
  <si>
    <t>06.08.2004</t>
  </si>
  <si>
    <t>29.01.2003</t>
  </si>
  <si>
    <t>Волынкин Александр</t>
  </si>
  <si>
    <t>11.08.2004</t>
  </si>
  <si>
    <t>Вольф Антон</t>
  </si>
  <si>
    <t>14.10.2007</t>
  </si>
  <si>
    <t>Воробьев Алексей</t>
  </si>
  <si>
    <t>Воробьев Игорь</t>
  </si>
  <si>
    <t>26.05.2001</t>
  </si>
  <si>
    <t>Воробьев Кирилл</t>
  </si>
  <si>
    <t>13.11.1992</t>
  </si>
  <si>
    <t>Вороков Кантемир</t>
  </si>
  <si>
    <t>18.01.2005</t>
  </si>
  <si>
    <t>Вороков Тамерлан</t>
  </si>
  <si>
    <t>02.11.2006</t>
  </si>
  <si>
    <t>Воронин Илья</t>
  </si>
  <si>
    <t>20.12.2001</t>
  </si>
  <si>
    <t>Воронков Никита</t>
  </si>
  <si>
    <t>04.11.2006</t>
  </si>
  <si>
    <t>Воронов Александр</t>
  </si>
  <si>
    <t>30.01.1996</t>
  </si>
  <si>
    <t>Воронов Антон</t>
  </si>
  <si>
    <t>23.02.1989</t>
  </si>
  <si>
    <t>18.08.1999</t>
  </si>
  <si>
    <t>Воронов Иван</t>
  </si>
  <si>
    <t>Воронцов Александр</t>
  </si>
  <si>
    <t>26.06.1998</t>
  </si>
  <si>
    <t>Воронцов Владислав</t>
  </si>
  <si>
    <t>05.11.2004</t>
  </si>
  <si>
    <t>12.03.2002</t>
  </si>
  <si>
    <t>Воротилин Вадим</t>
  </si>
  <si>
    <t>01.01.2001</t>
  </si>
  <si>
    <t>Нижнегорский  Крым</t>
  </si>
  <si>
    <t>Воротилин Владимир</t>
  </si>
  <si>
    <t>Востров Даниил</t>
  </si>
  <si>
    <t>13.08.1991</t>
  </si>
  <si>
    <t>Воюев Иван</t>
  </si>
  <si>
    <t>Вторушин Иван</t>
  </si>
  <si>
    <t>09.11.2007</t>
  </si>
  <si>
    <t>Вульфсон Илья</t>
  </si>
  <si>
    <t>06.08.1991</t>
  </si>
  <si>
    <t>ВУХКА Максим</t>
  </si>
  <si>
    <t>19.03.2001</t>
  </si>
  <si>
    <t>19.05.2003</t>
  </si>
  <si>
    <t>Выгроненко Тимофей</t>
  </si>
  <si>
    <t>12.03.2003</t>
  </si>
  <si>
    <t>Выприцкий Иван</t>
  </si>
  <si>
    <t>06.07.2006</t>
  </si>
  <si>
    <t>Вялков Николай</t>
  </si>
  <si>
    <t>31.10.2001</t>
  </si>
  <si>
    <t>Вялов Ярослав</t>
  </si>
  <si>
    <t>24.05.2005</t>
  </si>
  <si>
    <t>Габдрахманов Дамир</t>
  </si>
  <si>
    <t>Саракташ  Ор.обл.</t>
  </si>
  <si>
    <t>Габдрахманов Ильяс</t>
  </si>
  <si>
    <t>15.03.2007</t>
  </si>
  <si>
    <t>Габдулгазизов Ильдан</t>
  </si>
  <si>
    <t>01.01.2006</t>
  </si>
  <si>
    <t>Габдуллин Марс</t>
  </si>
  <si>
    <t>06.03.1984</t>
  </si>
  <si>
    <t>Габитов Денис</t>
  </si>
  <si>
    <t>04.06.2005</t>
  </si>
  <si>
    <t>Габлия Леон</t>
  </si>
  <si>
    <t>10.11.2000</t>
  </si>
  <si>
    <t>Габов Александр</t>
  </si>
  <si>
    <t>Гаврилов Александр</t>
  </si>
  <si>
    <t>Гаврилов Денис</t>
  </si>
  <si>
    <t>03.03.1977</t>
  </si>
  <si>
    <t>Гаврилов Кирилл</t>
  </si>
  <si>
    <t>06.06.1997</t>
  </si>
  <si>
    <t>Гаврилов Никита</t>
  </si>
  <si>
    <t>19.06.2001</t>
  </si>
  <si>
    <t>Гаврилов Федор</t>
  </si>
  <si>
    <t>14.04.2004</t>
  </si>
  <si>
    <t>Гаврильченко Константин</t>
  </si>
  <si>
    <t>05.02.1975</t>
  </si>
  <si>
    <t>Гавришкин Сергей</t>
  </si>
  <si>
    <t>01.06.2004</t>
  </si>
  <si>
    <t>Гадаев Ярослав</t>
  </si>
  <si>
    <t>19.08.2005</t>
  </si>
  <si>
    <t>Гадиатуллин Булат</t>
  </si>
  <si>
    <t>Гадиев Вильдан</t>
  </si>
  <si>
    <t>26.09.1992</t>
  </si>
  <si>
    <t>Гаев Матвей</t>
  </si>
  <si>
    <t>19.03.2005</t>
  </si>
  <si>
    <t>Газарян Сергей</t>
  </si>
  <si>
    <t>15.01.2006</t>
  </si>
  <si>
    <t>Газизов Рустам</t>
  </si>
  <si>
    <t>06.05.2006</t>
  </si>
  <si>
    <t>Газимов Марсель</t>
  </si>
  <si>
    <t>Газукин Александр</t>
  </si>
  <si>
    <t>Гайдаров Расул</t>
  </si>
  <si>
    <t>23.09.2006</t>
  </si>
  <si>
    <t>Гайдук Александр</t>
  </si>
  <si>
    <t>03.03.1998</t>
  </si>
  <si>
    <t>Гайнуллин Ринат</t>
  </si>
  <si>
    <t>12.01.2006</t>
  </si>
  <si>
    <t>Гайсин Артем</t>
  </si>
  <si>
    <t>13.02.2007</t>
  </si>
  <si>
    <t>23.04.2002</t>
  </si>
  <si>
    <t>Гайфуллин Кемал</t>
  </si>
  <si>
    <t>10.12.1990</t>
  </si>
  <si>
    <t>Варгаши  Кург.обл.</t>
  </si>
  <si>
    <t>Галанов Павел</t>
  </si>
  <si>
    <t>30.07.1991</t>
  </si>
  <si>
    <t>Галеев Камиль</t>
  </si>
  <si>
    <t>12.06.2006</t>
  </si>
  <si>
    <t>Галеутинов Руслан</t>
  </si>
  <si>
    <t>10.11.1999</t>
  </si>
  <si>
    <t>Галиакберов Раиль</t>
  </si>
  <si>
    <t>19.04.1989</t>
  </si>
  <si>
    <t>Галиахметов Азамат</t>
  </si>
  <si>
    <t>20.03.2006</t>
  </si>
  <si>
    <t>Галиахметов Тимур</t>
  </si>
  <si>
    <t>05.09.2004</t>
  </si>
  <si>
    <t>Галиев Тимур</t>
  </si>
  <si>
    <t>Галимбиевский Андрей</t>
  </si>
  <si>
    <t>22.08.2002</t>
  </si>
  <si>
    <t>Галимов Владислав</t>
  </si>
  <si>
    <t>19.12.2004</t>
  </si>
  <si>
    <t>Галимов Рафаэль</t>
  </si>
  <si>
    <t>28.05.2004</t>
  </si>
  <si>
    <t>Галин Георгий</t>
  </si>
  <si>
    <t>25.04.2007</t>
  </si>
  <si>
    <t>Галиуллин Нафкат</t>
  </si>
  <si>
    <t>17.11.2007</t>
  </si>
  <si>
    <t>Галицын Кирилл</t>
  </si>
  <si>
    <t>14.11.2007</t>
  </si>
  <si>
    <t>Галичев Артем</t>
  </si>
  <si>
    <t>16.04.2004</t>
  </si>
  <si>
    <t>Галочкин Иван</t>
  </si>
  <si>
    <t>10.04.2007</t>
  </si>
  <si>
    <t>Галушкин Олег</t>
  </si>
  <si>
    <t>Галялиев Тигран</t>
  </si>
  <si>
    <t>10.10.2007</t>
  </si>
  <si>
    <t>Гаманюк Кирилл</t>
  </si>
  <si>
    <t>31.03.2004</t>
  </si>
  <si>
    <t>Гапаров Билал</t>
  </si>
  <si>
    <t>13.10.2005</t>
  </si>
  <si>
    <t>Гаранич Денис</t>
  </si>
  <si>
    <t>26.06.2003</t>
  </si>
  <si>
    <t>Чаплыгин  Лип.обл.</t>
  </si>
  <si>
    <t>Гареев Аскар</t>
  </si>
  <si>
    <t>Гареев Ильхам</t>
  </si>
  <si>
    <t>02.04.2004</t>
  </si>
  <si>
    <t>Гарипов Азамат</t>
  </si>
  <si>
    <t>13.01.2007</t>
  </si>
  <si>
    <t>Среднеуральск  Св.обл.</t>
  </si>
  <si>
    <t>Гарипов Джамиль</t>
  </si>
  <si>
    <t>13.08.2005</t>
  </si>
  <si>
    <t>Гарипов Марат</t>
  </si>
  <si>
    <t>21.06.1995</t>
  </si>
  <si>
    <t>Нижнекамск</t>
  </si>
  <si>
    <t>Гарифуллин Руслан</t>
  </si>
  <si>
    <t>24.07.1981</t>
  </si>
  <si>
    <t>Гарифулов Султан</t>
  </si>
  <si>
    <t>29.04.2002</t>
  </si>
  <si>
    <t>Гармаев Роман</t>
  </si>
  <si>
    <t>01.01.1998</t>
  </si>
  <si>
    <t>Гасан Илья</t>
  </si>
  <si>
    <t>25.04.2002</t>
  </si>
  <si>
    <t>Гасанов Магомед-Наби</t>
  </si>
  <si>
    <t>09.07.2003</t>
  </si>
  <si>
    <t>Гасоян Артем</t>
  </si>
  <si>
    <t>Гаспарян Михаил</t>
  </si>
  <si>
    <t>31.03.1998</t>
  </si>
  <si>
    <t>Гацкан Святослав</t>
  </si>
  <si>
    <t>13.07.1997</t>
  </si>
  <si>
    <t>22.03.2000</t>
  </si>
  <si>
    <t>Гвоздев Сергей</t>
  </si>
  <si>
    <t>16.01.2001</t>
  </si>
  <si>
    <t>Гвоздырев Станислав</t>
  </si>
  <si>
    <t>17.01.2006</t>
  </si>
  <si>
    <t>Гейкин Демид</t>
  </si>
  <si>
    <t>01.01.2004</t>
  </si>
  <si>
    <t>Советский  Крым</t>
  </si>
  <si>
    <t>Геллер Яков</t>
  </si>
  <si>
    <t>25.10.2001</t>
  </si>
  <si>
    <t>Генералов Илья</t>
  </si>
  <si>
    <t>17.06.2004</t>
  </si>
  <si>
    <t>Генералов Роман</t>
  </si>
  <si>
    <t>15.12.2005</t>
  </si>
  <si>
    <t>Геок Ростислав</t>
  </si>
  <si>
    <t>29.06.2000</t>
  </si>
  <si>
    <t>Георгиев Александр</t>
  </si>
  <si>
    <t>11.04.1989</t>
  </si>
  <si>
    <t>21.08.2002</t>
  </si>
  <si>
    <t>Герасимов Владислав</t>
  </si>
  <si>
    <t>03.03.2003</t>
  </si>
  <si>
    <t>Герасимов Михаил</t>
  </si>
  <si>
    <t>Неклиновка  Рост.обл.</t>
  </si>
  <si>
    <t>Герасимов Роман</t>
  </si>
  <si>
    <t>18.02.2004</t>
  </si>
  <si>
    <t>Солнечногорск  М.о.</t>
  </si>
  <si>
    <t>31.08.2004</t>
  </si>
  <si>
    <t>Герасимов Степан</t>
  </si>
  <si>
    <t>26.09.2003</t>
  </si>
  <si>
    <t>Гераськин Борис</t>
  </si>
  <si>
    <t>21.05.1947</t>
  </si>
  <si>
    <t>Геращенко Алексей</t>
  </si>
  <si>
    <t>03.05.1984</t>
  </si>
  <si>
    <t>Гергель Руслан</t>
  </si>
  <si>
    <t>14.08.2006</t>
  </si>
  <si>
    <t>Герейханов Айрат</t>
  </si>
  <si>
    <t>28.02.2004</t>
  </si>
  <si>
    <t>Герцев Данил</t>
  </si>
  <si>
    <t>28.07.2001</t>
  </si>
  <si>
    <t>Гильмутдинов Даниэль</t>
  </si>
  <si>
    <t>18.02.2003</t>
  </si>
  <si>
    <t>07.02.2002</t>
  </si>
  <si>
    <t>Гинкель Сергей</t>
  </si>
  <si>
    <t>24.11.1988</t>
  </si>
  <si>
    <t>Гиносян Геворг</t>
  </si>
  <si>
    <t>15.04.2002</t>
  </si>
  <si>
    <t>Гитер Сергей</t>
  </si>
  <si>
    <t>15.11.2005</t>
  </si>
  <si>
    <t>18.12.2003</t>
  </si>
  <si>
    <t>Гладков Николай</t>
  </si>
  <si>
    <t>13.11.2005</t>
  </si>
  <si>
    <t>Гладкой Давид</t>
  </si>
  <si>
    <t>08.09.2006</t>
  </si>
  <si>
    <t>Гладышев Михаил</t>
  </si>
  <si>
    <t>17.11.1983</t>
  </si>
  <si>
    <t>Глазков Алексей</t>
  </si>
  <si>
    <t>09.01.2005</t>
  </si>
  <si>
    <t>Гай</t>
  </si>
  <si>
    <t>Глазырин Эдуард</t>
  </si>
  <si>
    <t>21.12.2006</t>
  </si>
  <si>
    <t>Глик Даниил</t>
  </si>
  <si>
    <t>22.02.2003</t>
  </si>
  <si>
    <t>Глумов Евгений</t>
  </si>
  <si>
    <t>Глухий Павел</t>
  </si>
  <si>
    <t>04.03.2007</t>
  </si>
  <si>
    <t>Глухов Денис</t>
  </si>
  <si>
    <t>06.06.2002</t>
  </si>
  <si>
    <t>Глухов Михаил</t>
  </si>
  <si>
    <t>24.11.1998</t>
  </si>
  <si>
    <t>Людиново  Калуж.обл.</t>
  </si>
  <si>
    <t>Глушков Кирилл</t>
  </si>
  <si>
    <t>22.08.1999</t>
  </si>
  <si>
    <t>Лагань  Калм.</t>
  </si>
  <si>
    <t>Гоголь Виктор</t>
  </si>
  <si>
    <t>17.08.1986</t>
  </si>
  <si>
    <t>Годунов Ярослав</t>
  </si>
  <si>
    <t>Балашов</t>
  </si>
  <si>
    <t>Голаев Ильхам</t>
  </si>
  <si>
    <t>26.03.2004</t>
  </si>
  <si>
    <t>Голованов Максим</t>
  </si>
  <si>
    <t>Головацкий Глеб</t>
  </si>
  <si>
    <t>30.06.2002</t>
  </si>
  <si>
    <t>Головин Кирилл</t>
  </si>
  <si>
    <t>31.01.2001</t>
  </si>
  <si>
    <t>25.01.2006</t>
  </si>
  <si>
    <t>Гуково  Рост.обл.</t>
  </si>
  <si>
    <t>Головин Сергей</t>
  </si>
  <si>
    <t>13.07.2006</t>
  </si>
  <si>
    <t>24.04.1971</t>
  </si>
  <si>
    <t>Головинский Алексей</t>
  </si>
  <si>
    <t>13.03.1974</t>
  </si>
  <si>
    <t>Головко Виталий</t>
  </si>
  <si>
    <t>27.02.2003</t>
  </si>
  <si>
    <t>Головня Иван</t>
  </si>
  <si>
    <t>30.03.2002</t>
  </si>
  <si>
    <t>Гололобов Влад</t>
  </si>
  <si>
    <t>14.07.2005</t>
  </si>
  <si>
    <t>Голомолзин Дмитрий</t>
  </si>
  <si>
    <t>11.07.2008</t>
  </si>
  <si>
    <t>Голоулин Артем</t>
  </si>
  <si>
    <t>Голоухов Егор</t>
  </si>
  <si>
    <t>06.10.1997</t>
  </si>
  <si>
    <t>Голофаев Даниил</t>
  </si>
  <si>
    <t>21.04.2003</t>
  </si>
  <si>
    <t>Голубев Глеб</t>
  </si>
  <si>
    <t>Голубев Денис</t>
  </si>
  <si>
    <t>03.04.2005</t>
  </si>
  <si>
    <t>Голубков Артем</t>
  </si>
  <si>
    <t>27.10.2001</t>
  </si>
  <si>
    <t>Голубов Даниил</t>
  </si>
  <si>
    <t>15.05.2006</t>
  </si>
  <si>
    <t>Голыбин Никита</t>
  </si>
  <si>
    <t>23.07.2003</t>
  </si>
  <si>
    <t>Гольдин Максим</t>
  </si>
  <si>
    <t>14.07.2004</t>
  </si>
  <si>
    <t>Гольтин Никита</t>
  </si>
  <si>
    <t>Гоноков Амир</t>
  </si>
  <si>
    <t>23.06.2004</t>
  </si>
  <si>
    <t>Гончаров Арсений</t>
  </si>
  <si>
    <t>17.07.2006</t>
  </si>
  <si>
    <t>Гончаров Дмитрий</t>
  </si>
  <si>
    <t>01.08.1978</t>
  </si>
  <si>
    <t>Гончаров Егор</t>
  </si>
  <si>
    <t>05.04.2006</t>
  </si>
  <si>
    <t>Гончаров Игорь</t>
  </si>
  <si>
    <t>19.09.2005</t>
  </si>
  <si>
    <t>Гончаров Матвей</t>
  </si>
  <si>
    <t>18.10.2003</t>
  </si>
  <si>
    <t>Гончаров Тимофей</t>
  </si>
  <si>
    <t>18.12.2004</t>
  </si>
  <si>
    <t>Горбанец Даниил</t>
  </si>
  <si>
    <t>24.01.2003</t>
  </si>
  <si>
    <t>Горбань Иван</t>
  </si>
  <si>
    <t>31.03.2006</t>
  </si>
  <si>
    <t>Горбанюк Евгений</t>
  </si>
  <si>
    <t>14.01.2005</t>
  </si>
  <si>
    <t>Горбатенко Аркадий</t>
  </si>
  <si>
    <t>26.04.1996</t>
  </si>
  <si>
    <t>Горбунов Владислав</t>
  </si>
  <si>
    <t>20.12.2003</t>
  </si>
  <si>
    <t>Горбунов Вячеслав</t>
  </si>
  <si>
    <t>19.06.1995</t>
  </si>
  <si>
    <t>Горбунов Дмитрий</t>
  </si>
  <si>
    <t>07.09.2005</t>
  </si>
  <si>
    <t>Горбунов Марат</t>
  </si>
  <si>
    <t>22.09.2001</t>
  </si>
  <si>
    <t>Гордеев Вячеслав</t>
  </si>
  <si>
    <t>23.02.2007</t>
  </si>
  <si>
    <t>Гордеев Максимилиан</t>
  </si>
  <si>
    <t>Гордеев Никита</t>
  </si>
  <si>
    <t>18.07.2007</t>
  </si>
  <si>
    <t>Гордеев Савелий</t>
  </si>
  <si>
    <t>28.05.2001</t>
  </si>
  <si>
    <t>Апатиты  Мур.о.</t>
  </si>
  <si>
    <t>Гордеев Сергей</t>
  </si>
  <si>
    <t>19.10.1966</t>
  </si>
  <si>
    <t>Горев Егор</t>
  </si>
  <si>
    <t>27.02.2007</t>
  </si>
  <si>
    <t>22.08.2001</t>
  </si>
  <si>
    <t>Горелкин Анатолий</t>
  </si>
  <si>
    <t>01.02.1983</t>
  </si>
  <si>
    <t>Горелов Сергей</t>
  </si>
  <si>
    <t>07.01.2005</t>
  </si>
  <si>
    <t>Городницкий Владимир</t>
  </si>
  <si>
    <t>Горохов Даниил</t>
  </si>
  <si>
    <t>07.02.2005</t>
  </si>
  <si>
    <t>Горохов Захар</t>
  </si>
  <si>
    <t>04.03.1998</t>
  </si>
  <si>
    <t>Горохов Юрий</t>
  </si>
  <si>
    <t>12.04.1971</t>
  </si>
  <si>
    <t>Горочный Александр</t>
  </si>
  <si>
    <t>16.10.2004</t>
  </si>
  <si>
    <t>24.12.2002</t>
  </si>
  <si>
    <t>Горшков Александр</t>
  </si>
  <si>
    <t>07.12.2001</t>
  </si>
  <si>
    <t>Брюховецкая  Кр.кр.</t>
  </si>
  <si>
    <t>Горьков Данил</t>
  </si>
  <si>
    <t>15.09.2001</t>
  </si>
  <si>
    <t>Горюнов Евгений</t>
  </si>
  <si>
    <t>29.06.1995</t>
  </si>
  <si>
    <t>Горячев Глеб</t>
  </si>
  <si>
    <t>22.01.2007</t>
  </si>
  <si>
    <t>Гостев Сергей</t>
  </si>
  <si>
    <t>30.05.1998</t>
  </si>
  <si>
    <t>Готовцев Дмитрий</t>
  </si>
  <si>
    <t>30.10.2001</t>
  </si>
  <si>
    <t>Гоцык Максим</t>
  </si>
  <si>
    <t>11.07.1993</t>
  </si>
  <si>
    <t>Гочияев Асхат</t>
  </si>
  <si>
    <t>19.07.1956</t>
  </si>
  <si>
    <t>Первомайское  Карач-Черк.</t>
  </si>
  <si>
    <t>Грасмик Дмитрий</t>
  </si>
  <si>
    <t>01.02.2003</t>
  </si>
  <si>
    <t>Грачев Артем</t>
  </si>
  <si>
    <t>21.02.2007</t>
  </si>
  <si>
    <t>Грачев Иван</t>
  </si>
  <si>
    <t>07.02.2006</t>
  </si>
  <si>
    <t>15.02.2001</t>
  </si>
  <si>
    <t>Гребенюков Никита</t>
  </si>
  <si>
    <t>Гребнев Сергей</t>
  </si>
  <si>
    <t>05.10.1984</t>
  </si>
  <si>
    <t>Грибанов Сергей</t>
  </si>
  <si>
    <t>03.09.1989</t>
  </si>
  <si>
    <t>Григоренко Никита</t>
  </si>
  <si>
    <t>25.12.2005</t>
  </si>
  <si>
    <t>Григорьев Артур</t>
  </si>
  <si>
    <t>15.07.1986</t>
  </si>
  <si>
    <t>Григорьев Вячеслав</t>
  </si>
  <si>
    <t>23.08.2006</t>
  </si>
  <si>
    <t>Григорьев Егор</t>
  </si>
  <si>
    <t>15.05.2005</t>
  </si>
  <si>
    <t>Григорьев Никита</t>
  </si>
  <si>
    <t>08.12.2007</t>
  </si>
  <si>
    <t>10.10.2002</t>
  </si>
  <si>
    <t>10.06.2006</t>
  </si>
  <si>
    <t>Григорьян Евгений</t>
  </si>
  <si>
    <t>27.04.2007</t>
  </si>
  <si>
    <t>Григорян Андрей</t>
  </si>
  <si>
    <t>20.10.2009</t>
  </si>
  <si>
    <t>Гридин Артем</t>
  </si>
  <si>
    <t>14.06.2003</t>
  </si>
  <si>
    <t>Гриднев Лев</t>
  </si>
  <si>
    <t>15.07.2005</t>
  </si>
  <si>
    <t>Грилль Феофан</t>
  </si>
  <si>
    <t>01.04.2003</t>
  </si>
  <si>
    <t>Гриньков Артем</t>
  </si>
  <si>
    <t>23.07.2004</t>
  </si>
  <si>
    <t>Гриценко Александр</t>
  </si>
  <si>
    <t>15.10.1985</t>
  </si>
  <si>
    <t>Гриценко Марк</t>
  </si>
  <si>
    <t>10.02.2002</t>
  </si>
  <si>
    <t>Грицун Тимофей</t>
  </si>
  <si>
    <t>Гришенин Денис</t>
  </si>
  <si>
    <t>05.01.1992</t>
  </si>
  <si>
    <t>25.12.2001</t>
  </si>
  <si>
    <t>17.10.1999</t>
  </si>
  <si>
    <t>Гришкин Сергей</t>
  </si>
  <si>
    <t>15.02.1991</t>
  </si>
  <si>
    <t>Гришунин Михаил</t>
  </si>
  <si>
    <t>Гроза Артем</t>
  </si>
  <si>
    <t>Громов Иван</t>
  </si>
  <si>
    <t>23.02.2006</t>
  </si>
  <si>
    <t>Громов Никита</t>
  </si>
  <si>
    <t>Громовой Владислав</t>
  </si>
  <si>
    <t>28.05.2007</t>
  </si>
  <si>
    <t>Громыко Артем</t>
  </si>
  <si>
    <t>05.07.2006</t>
  </si>
  <si>
    <t>Грохотов Алексей</t>
  </si>
  <si>
    <t>05.06.2002</t>
  </si>
  <si>
    <t>Грошев Макар</t>
  </si>
  <si>
    <t>Груздов Даниэль</t>
  </si>
  <si>
    <t>12.02.2002</t>
  </si>
  <si>
    <t>Груздов Дарион</t>
  </si>
  <si>
    <t>10.06.2003</t>
  </si>
  <si>
    <t>Груздов Евгений</t>
  </si>
  <si>
    <t>04.07.1993</t>
  </si>
  <si>
    <t>Груздов Сергей</t>
  </si>
  <si>
    <t>24.05.1971</t>
  </si>
  <si>
    <t>23.03.1999</t>
  </si>
  <si>
    <t>Грязнов Алексей</t>
  </si>
  <si>
    <t>30.01.2004</t>
  </si>
  <si>
    <t>Грязнов Илья</t>
  </si>
  <si>
    <t>02.08.2001</t>
  </si>
  <si>
    <t>Грязнов Тимофей</t>
  </si>
  <si>
    <t>14.03.2007</t>
  </si>
  <si>
    <t>Губанов Никита</t>
  </si>
  <si>
    <t>15.05.2002</t>
  </si>
  <si>
    <t>Губанов Сергей</t>
  </si>
  <si>
    <t>01.01.1972</t>
  </si>
  <si>
    <t>Губенко Игорь</t>
  </si>
  <si>
    <t>01.01.1959</t>
  </si>
  <si>
    <t>Губин Егор</t>
  </si>
  <si>
    <t>31.07.2001</t>
  </si>
  <si>
    <t>ГУДИЛКИН Игорь</t>
  </si>
  <si>
    <t>19.09.1962</t>
  </si>
  <si>
    <t>УКРАИНА</t>
  </si>
  <si>
    <t>Гудин Николай</t>
  </si>
  <si>
    <t>12.11.2003</t>
  </si>
  <si>
    <t>04.11.2001</t>
  </si>
  <si>
    <t>Гужва Богдан</t>
  </si>
  <si>
    <t>11.04.2004</t>
  </si>
  <si>
    <t>Гузенко Глеб</t>
  </si>
  <si>
    <t>25.06.2004</t>
  </si>
  <si>
    <t>Гузиев Магомед</t>
  </si>
  <si>
    <t>Гулевский Андрей</t>
  </si>
  <si>
    <t>Гуляев Никита</t>
  </si>
  <si>
    <t>04.10.2004</t>
  </si>
  <si>
    <t>Ревда  Св.о.</t>
  </si>
  <si>
    <t>Гуляницкий Алексей</t>
  </si>
  <si>
    <t>17.05.2005</t>
  </si>
  <si>
    <t>Гуманов Григорий</t>
  </si>
  <si>
    <t>02.03.1990</t>
  </si>
  <si>
    <t>Гунбин Егор</t>
  </si>
  <si>
    <t>Гунствин Денис</t>
  </si>
  <si>
    <t>26.05.2007</t>
  </si>
  <si>
    <t>Гунствин Дмитрий</t>
  </si>
  <si>
    <t>Гуржапов Андрей</t>
  </si>
  <si>
    <t>01.12.2001</t>
  </si>
  <si>
    <t>Гурский Николай</t>
  </si>
  <si>
    <t>Гурушин Никита</t>
  </si>
  <si>
    <t>16.02.2004</t>
  </si>
  <si>
    <t>28.04.2001</t>
  </si>
  <si>
    <t>Гурьев Игорь</t>
  </si>
  <si>
    <t>Гурьянов Александр</t>
  </si>
  <si>
    <t>03.08.2000</t>
  </si>
  <si>
    <t>23.11.1999</t>
  </si>
  <si>
    <t>Гурьянов Кирилл</t>
  </si>
  <si>
    <t>12.06.2007</t>
  </si>
  <si>
    <t>Гурьянов Максим</t>
  </si>
  <si>
    <t>14.08.2007</t>
  </si>
  <si>
    <t>Гусалов Матвей</t>
  </si>
  <si>
    <t>04.12.2009</t>
  </si>
  <si>
    <t>Гусаров Иван</t>
  </si>
  <si>
    <t>18.11.2005</t>
  </si>
  <si>
    <t>Гусев Арсений</t>
  </si>
  <si>
    <t>Гусев Владислав</t>
  </si>
  <si>
    <t>04.03.1994</t>
  </si>
  <si>
    <t>Гусев Дмитрий</t>
  </si>
  <si>
    <t>08.10.2007</t>
  </si>
  <si>
    <t>Гусев Никита</t>
  </si>
  <si>
    <t>01.03.2001</t>
  </si>
  <si>
    <t>Гусев Эдуард</t>
  </si>
  <si>
    <t>06.11.1965</t>
  </si>
  <si>
    <t>Гусейнов Рауф</t>
  </si>
  <si>
    <t>Гутаковский Радомир</t>
  </si>
  <si>
    <t>07.02.2004</t>
  </si>
  <si>
    <t>Гутковский Илья</t>
  </si>
  <si>
    <t>27.04.2005</t>
  </si>
  <si>
    <t>Гущин Артур</t>
  </si>
  <si>
    <t>Гущин Роман</t>
  </si>
  <si>
    <t>18.05.1999</t>
  </si>
  <si>
    <t>Гюльбангян Давид</t>
  </si>
  <si>
    <t>10.09.2007</t>
  </si>
  <si>
    <t>Гюльбангян Тигран</t>
  </si>
  <si>
    <t>03.05.2004</t>
  </si>
  <si>
    <t>ДАВИТАЯ Лаша</t>
  </si>
  <si>
    <t>24.08.1998</t>
  </si>
  <si>
    <t>Давлетханов Максим</t>
  </si>
  <si>
    <t>Давлятшин Динар</t>
  </si>
  <si>
    <t>Давришев Сергей</t>
  </si>
  <si>
    <t>16.03.2007</t>
  </si>
  <si>
    <t>Давыдов Александр</t>
  </si>
  <si>
    <t>12.05.1977</t>
  </si>
  <si>
    <t>Давыдов Андрей</t>
  </si>
  <si>
    <t>07.12.2002</t>
  </si>
  <si>
    <t>Давыдов Денис</t>
  </si>
  <si>
    <t>01.01.1976</t>
  </si>
  <si>
    <t>22.07.2001</t>
  </si>
  <si>
    <t>Давыдов Максим</t>
  </si>
  <si>
    <t>19.07.1995</t>
  </si>
  <si>
    <t>Давыдов Олег</t>
  </si>
  <si>
    <t>05.11.2002</t>
  </si>
  <si>
    <t>Давыдов Станислав</t>
  </si>
  <si>
    <t>16.12.2002</t>
  </si>
  <si>
    <t>Дагинов Владимир</t>
  </si>
  <si>
    <t>20.12.2005</t>
  </si>
  <si>
    <t>Даймидзенко Дмитрий</t>
  </si>
  <si>
    <t>05.03.2005</t>
  </si>
  <si>
    <t>Дайнега Дмитрий</t>
  </si>
  <si>
    <t>12.04.2005</t>
  </si>
  <si>
    <t>Акбулак  Оренб.о.</t>
  </si>
  <si>
    <t>Далов Аниуар</t>
  </si>
  <si>
    <t>Дамдинов Арья</t>
  </si>
  <si>
    <t>14.01.2006</t>
  </si>
  <si>
    <t>Дамдинов Дамдин</t>
  </si>
  <si>
    <t>07.06.1988</t>
  </si>
  <si>
    <t>Даминов Данияр</t>
  </si>
  <si>
    <t>06.05.2007</t>
  </si>
  <si>
    <t>Данзанов Баир</t>
  </si>
  <si>
    <t>18.01.1996</t>
  </si>
  <si>
    <t>Даниленков Виктор</t>
  </si>
  <si>
    <t>28.10.1988</t>
  </si>
  <si>
    <t>Данилин Александр</t>
  </si>
  <si>
    <t>11.06.2004</t>
  </si>
  <si>
    <t>Данилов Игнат</t>
  </si>
  <si>
    <t>14.05.2008</t>
  </si>
  <si>
    <t>Данько Андрей</t>
  </si>
  <si>
    <t>15.04.2005</t>
  </si>
  <si>
    <t>Даньчин Артем</t>
  </si>
  <si>
    <t>13.12.2006</t>
  </si>
  <si>
    <t>Даньшин Артем</t>
  </si>
  <si>
    <t>Даренский Максим</t>
  </si>
  <si>
    <t>26.12.2005</t>
  </si>
  <si>
    <t>Даржаев Зорикто</t>
  </si>
  <si>
    <t>Даржаин Цырен</t>
  </si>
  <si>
    <t>17.07.1998</t>
  </si>
  <si>
    <t>Дасмаев Сергей</t>
  </si>
  <si>
    <t>09.02.2006</t>
  </si>
  <si>
    <t>Даулиев Газиз</t>
  </si>
  <si>
    <t>31.05.2006</t>
  </si>
  <si>
    <t>Дацкевич Федор</t>
  </si>
  <si>
    <t>Дашко Ярослав</t>
  </si>
  <si>
    <t>Двизов Антон</t>
  </si>
  <si>
    <t>09.11.2001</t>
  </si>
  <si>
    <t>Двоенко Владислав</t>
  </si>
  <si>
    <t>25.03.2002</t>
  </si>
  <si>
    <t>Дворецкий Родион</t>
  </si>
  <si>
    <t>05.02.2006</t>
  </si>
  <si>
    <t>Двуреченский Владимир</t>
  </si>
  <si>
    <t>17.09.1974</t>
  </si>
  <si>
    <t>Дедловский Алексей</t>
  </si>
  <si>
    <t>Дедов Василий</t>
  </si>
  <si>
    <t>09.09.1980</t>
  </si>
  <si>
    <t>Дедюля Кирилл</t>
  </si>
  <si>
    <t>28.10.2009</t>
  </si>
  <si>
    <t>Дежонов Игнат</t>
  </si>
  <si>
    <t>Дейкун Владимир</t>
  </si>
  <si>
    <t>Дейнега Дмитрий</t>
  </si>
  <si>
    <t>Деманов Денис</t>
  </si>
  <si>
    <t>30.01.1980</t>
  </si>
  <si>
    <t>Дементьев Владислав</t>
  </si>
  <si>
    <t>13.08.2006</t>
  </si>
  <si>
    <t>Дементьев Олег</t>
  </si>
  <si>
    <t>25.08.1967</t>
  </si>
  <si>
    <t>Дементьев Петр</t>
  </si>
  <si>
    <t>29.09.1960</t>
  </si>
  <si>
    <t>Демиденко Артем</t>
  </si>
  <si>
    <t>25.06.2001</t>
  </si>
  <si>
    <t>Демиденко Роман</t>
  </si>
  <si>
    <t>15.01.2005</t>
  </si>
  <si>
    <t>Демидов Иван</t>
  </si>
  <si>
    <t>Демидов Матвей</t>
  </si>
  <si>
    <t>20.08.2004</t>
  </si>
  <si>
    <t>Демидюк Андрей</t>
  </si>
  <si>
    <t>10.04.2004</t>
  </si>
  <si>
    <t>Демин Даниил</t>
  </si>
  <si>
    <t>11.02.2004</t>
  </si>
  <si>
    <t>Демин Дмитрий</t>
  </si>
  <si>
    <t>30.05.1996</t>
  </si>
  <si>
    <t>Крутоярский  Ряз.обл.</t>
  </si>
  <si>
    <t>07.02.2000</t>
  </si>
  <si>
    <t>Демченко Михаил</t>
  </si>
  <si>
    <t>28.12.2005</t>
  </si>
  <si>
    <t>Денисевич Александр</t>
  </si>
  <si>
    <t>29.07.1994</t>
  </si>
  <si>
    <t>Денисевич Олег</t>
  </si>
  <si>
    <t>14.09.1998</t>
  </si>
  <si>
    <t>Денисов Артем</t>
  </si>
  <si>
    <t>22.08.2003</t>
  </si>
  <si>
    <t>Денисов Леонид</t>
  </si>
  <si>
    <t>24.12.2007</t>
  </si>
  <si>
    <t>Денисов Федор</t>
  </si>
  <si>
    <t>Деньщиков Даниил</t>
  </si>
  <si>
    <t>05.09.2000</t>
  </si>
  <si>
    <t>Невинномысск  Ст.кр.</t>
  </si>
  <si>
    <t>Дерзков Дмитрий</t>
  </si>
  <si>
    <t>16.06.2001</t>
  </si>
  <si>
    <t>31.05.2002</t>
  </si>
  <si>
    <t>Детков Александр</t>
  </si>
  <si>
    <t>31.05.1999</t>
  </si>
  <si>
    <t>Джанбинов Анатолий</t>
  </si>
  <si>
    <t>05.03.2007</t>
  </si>
  <si>
    <t>Ц-Аман  Калм.</t>
  </si>
  <si>
    <t>Дженетов Артем</t>
  </si>
  <si>
    <t>27.07.2007</t>
  </si>
  <si>
    <t>Дзюба Егор</t>
  </si>
  <si>
    <t>21.05.2004</t>
  </si>
  <si>
    <t>Дианов Сергей</t>
  </si>
  <si>
    <t>08.06.2001</t>
  </si>
  <si>
    <t>04.03.2000</t>
  </si>
  <si>
    <t>Диденко Степан</t>
  </si>
  <si>
    <t>28.09.1974</t>
  </si>
  <si>
    <t>Димитриев Александр</t>
  </si>
  <si>
    <t>28.11.2004</t>
  </si>
  <si>
    <t>Димитров Владислав</t>
  </si>
  <si>
    <t>07.07.2000</t>
  </si>
  <si>
    <t>Магадан</t>
  </si>
  <si>
    <t>18.12.2002</t>
  </si>
  <si>
    <t>Дмитриев Антон</t>
  </si>
  <si>
    <t>15.04.1986</t>
  </si>
  <si>
    <t>Дмитриев Арсений</t>
  </si>
  <si>
    <t>Дмитриев Владимир</t>
  </si>
  <si>
    <t>21.03.2006</t>
  </si>
  <si>
    <t>Дмитриев Егор</t>
  </si>
  <si>
    <t>Дмитриев Кирилл</t>
  </si>
  <si>
    <t>Дмитриев Максим</t>
  </si>
  <si>
    <t>06.11.2004</t>
  </si>
  <si>
    <t>Дмитриев Семен</t>
  </si>
  <si>
    <t>06.04.2007</t>
  </si>
  <si>
    <t>30.05.2000</t>
  </si>
  <si>
    <t>Доблер Александр</t>
  </si>
  <si>
    <t>Добренький Артем</t>
  </si>
  <si>
    <t>24.05.1988</t>
  </si>
  <si>
    <t>Добрецов Кирилл</t>
  </si>
  <si>
    <t>04.05.2007</t>
  </si>
  <si>
    <t>Добрецов Павел</t>
  </si>
  <si>
    <t>Добрис Всеволод</t>
  </si>
  <si>
    <t>15.06.2006</t>
  </si>
  <si>
    <t>Добрис Даниил</t>
  </si>
  <si>
    <t>14.08.2004</t>
  </si>
  <si>
    <t>Добровольский Кирилл</t>
  </si>
  <si>
    <t>Добротворский Дмитрий</t>
  </si>
  <si>
    <t>05.04.1967</t>
  </si>
  <si>
    <t>Доброумов Глеб</t>
  </si>
  <si>
    <t>08.09.1999</t>
  </si>
  <si>
    <t>Добрынин Андрей</t>
  </si>
  <si>
    <t>Добрынский Дмитрий</t>
  </si>
  <si>
    <t>12.08.2004</t>
  </si>
  <si>
    <t>Довгаль Роман</t>
  </si>
  <si>
    <t>22.12.2006</t>
  </si>
  <si>
    <t>Докшукин Руслан</t>
  </si>
  <si>
    <t>03.03.2005</t>
  </si>
  <si>
    <t>Долбилов Даниил</t>
  </si>
  <si>
    <t>06.09.2005</t>
  </si>
  <si>
    <t>Долгов Алексей</t>
  </si>
  <si>
    <t>04.02.1990</t>
  </si>
  <si>
    <t>Долгополов Андрей</t>
  </si>
  <si>
    <t>01.07.2002</t>
  </si>
  <si>
    <t>Долгополов Никита</t>
  </si>
  <si>
    <t>06.05.1998</t>
  </si>
  <si>
    <t>Долинский Егор</t>
  </si>
  <si>
    <t>25.01.2005</t>
  </si>
  <si>
    <t>Долотцев Артур</t>
  </si>
  <si>
    <t>23.09.2003</t>
  </si>
  <si>
    <t>Доминов Имир</t>
  </si>
  <si>
    <t>Домнин Денис</t>
  </si>
  <si>
    <t>20.11.2006</t>
  </si>
  <si>
    <t>Доморощин Михаил</t>
  </si>
  <si>
    <t>22.10.2006</t>
  </si>
  <si>
    <t>Донич Александр</t>
  </si>
  <si>
    <t>30.09.1994</t>
  </si>
  <si>
    <t>Донских Дмитрий</t>
  </si>
  <si>
    <t>Дормачев Иван</t>
  </si>
  <si>
    <t>Дороганов Денис</t>
  </si>
  <si>
    <t>04.07.2004</t>
  </si>
  <si>
    <t>Доронин Алексей</t>
  </si>
  <si>
    <t>Доронин Виталий</t>
  </si>
  <si>
    <t>28.01.2006</t>
  </si>
  <si>
    <t>Доронин Евгений</t>
  </si>
  <si>
    <t>17.07.1984</t>
  </si>
  <si>
    <t>Дорофеев Алексей</t>
  </si>
  <si>
    <t>13.04.1985</t>
  </si>
  <si>
    <t>Луховицы</t>
  </si>
  <si>
    <t>Дорофеев Дмитрий</t>
  </si>
  <si>
    <t>08.03.2005</t>
  </si>
  <si>
    <t>Дорофеев Матвей</t>
  </si>
  <si>
    <t>17.09.1999</t>
  </si>
  <si>
    <t>Медвежьегорск</t>
  </si>
  <si>
    <t>Дорофеев Петр</t>
  </si>
  <si>
    <t>24.06.1987</t>
  </si>
  <si>
    <t>Дорохов Никита</t>
  </si>
  <si>
    <t>Парабель  Том.обл.</t>
  </si>
  <si>
    <t>Дорошев Александр</t>
  </si>
  <si>
    <t>Дорощук Максим</t>
  </si>
  <si>
    <t>09.07.2006</t>
  </si>
  <si>
    <t>Дорфман Александр</t>
  </si>
  <si>
    <t>26.06.2002</t>
  </si>
  <si>
    <t>Досов Александр</t>
  </si>
  <si>
    <t>28.10.2004</t>
  </si>
  <si>
    <t>Досов Алексей</t>
  </si>
  <si>
    <t>25.12.2003</t>
  </si>
  <si>
    <t>Драгунов Александр</t>
  </si>
  <si>
    <t>17.08.1959</t>
  </si>
  <si>
    <t>Драгунов Ян</t>
  </si>
  <si>
    <t>22.03.1984</t>
  </si>
  <si>
    <t>Дрейманис Кирилл</t>
  </si>
  <si>
    <t>02.12.2006</t>
  </si>
  <si>
    <t>Дремин Андрей</t>
  </si>
  <si>
    <t>16.03.2002</t>
  </si>
  <si>
    <t>Дреслер Алексей</t>
  </si>
  <si>
    <t>02.02.2005</t>
  </si>
  <si>
    <t>02.03.2001</t>
  </si>
  <si>
    <t>Дроздов Игорь</t>
  </si>
  <si>
    <t>21.09.1984</t>
  </si>
  <si>
    <t>Дроздов Николай</t>
  </si>
  <si>
    <t>31.03.2005</t>
  </si>
  <si>
    <t>Дроков Дмитрий</t>
  </si>
  <si>
    <t>23.03.2006</t>
  </si>
  <si>
    <t>Дружинин Максим</t>
  </si>
  <si>
    <t>Дрындин Евгений</t>
  </si>
  <si>
    <t>22.05.1987</t>
  </si>
  <si>
    <t>02.11.2002</t>
  </si>
  <si>
    <t>Дубина Максим</t>
  </si>
  <si>
    <t>21.04.2007</t>
  </si>
  <si>
    <t>Дубинин Захар</t>
  </si>
  <si>
    <t>14.06.2005</t>
  </si>
  <si>
    <t>Дубко Даниил</t>
  </si>
  <si>
    <t>10.06.2002</t>
  </si>
  <si>
    <t>Дубков Андрей</t>
  </si>
  <si>
    <t>24.04.1964</t>
  </si>
  <si>
    <t>Конаково  Тв.обл.</t>
  </si>
  <si>
    <t>30.01.2001</t>
  </si>
  <si>
    <t>Дубов Никита</t>
  </si>
  <si>
    <t>02.04.2003</t>
  </si>
  <si>
    <t>Дубов Петр</t>
  </si>
  <si>
    <t>06.11.2001</t>
  </si>
  <si>
    <t>Дубровин Никита</t>
  </si>
  <si>
    <t>Дубровский Иван</t>
  </si>
  <si>
    <t>11.07.2003</t>
  </si>
  <si>
    <t>Дугаров Кирилл</t>
  </si>
  <si>
    <t>05.09.2008</t>
  </si>
  <si>
    <t>Дудка Евгений</t>
  </si>
  <si>
    <t>27.02.2002</t>
  </si>
  <si>
    <t>Дудченко Олег</t>
  </si>
  <si>
    <t>03.09.2000</t>
  </si>
  <si>
    <t>Дунаев Алексей</t>
  </si>
  <si>
    <t>29.10.1989</t>
  </si>
  <si>
    <t>Дунаев Денис</t>
  </si>
  <si>
    <t>28.09.2004</t>
  </si>
  <si>
    <t>Дунаев Степан</t>
  </si>
  <si>
    <t>29.03.2009</t>
  </si>
  <si>
    <t>Дурнов Никита</t>
  </si>
  <si>
    <t>Дурхисанов Илья</t>
  </si>
  <si>
    <t>Дутов Максим</t>
  </si>
  <si>
    <t>11.02.2001</t>
  </si>
  <si>
    <t>Духов Егор</t>
  </si>
  <si>
    <t>Духов Николай</t>
  </si>
  <si>
    <t>Дыбов Дмитрий</t>
  </si>
  <si>
    <t>18.05.2005</t>
  </si>
  <si>
    <t>Дыгай Олег</t>
  </si>
  <si>
    <t>Дыкин Алексей</t>
  </si>
  <si>
    <t>Дынчев Алексей</t>
  </si>
  <si>
    <t>28.07.2006</t>
  </si>
  <si>
    <t>Дышеков Алим</t>
  </si>
  <si>
    <t>12.02.2005</t>
  </si>
  <si>
    <t>Дыщлевский Игорь</t>
  </si>
  <si>
    <t>11.06.2006</t>
  </si>
  <si>
    <t>Дьяков Никита</t>
  </si>
  <si>
    <t>26.02.2003</t>
  </si>
  <si>
    <t>Северская  Красн.кр.</t>
  </si>
  <si>
    <t>Дьяконов Тимофей</t>
  </si>
  <si>
    <t>Дьячков Вячеслав</t>
  </si>
  <si>
    <t>08.09.2003</t>
  </si>
  <si>
    <t>Дюбанов Алексей</t>
  </si>
  <si>
    <t>27.01.2004</t>
  </si>
  <si>
    <t>Дюков Алексей</t>
  </si>
  <si>
    <t>21.02.2006</t>
  </si>
  <si>
    <t>Дягелев Артем</t>
  </si>
  <si>
    <t>Дягелев Денис</t>
  </si>
  <si>
    <t>07.03.2008</t>
  </si>
  <si>
    <t>Дякун Владислав</t>
  </si>
  <si>
    <t>Евдокименко Илья</t>
  </si>
  <si>
    <t>Евко Дмитрий</t>
  </si>
  <si>
    <t>11.04.2006</t>
  </si>
  <si>
    <t>Евланов Одиссей</t>
  </si>
  <si>
    <t>28.06.2005</t>
  </si>
  <si>
    <t>Евсеев Дмитрий</t>
  </si>
  <si>
    <t>10.04.2006</t>
  </si>
  <si>
    <t>Евсеев Никита</t>
  </si>
  <si>
    <t>14.05.2002</t>
  </si>
  <si>
    <t>27.09.2000</t>
  </si>
  <si>
    <t>Евсик Сергей</t>
  </si>
  <si>
    <t>20.04.2004</t>
  </si>
  <si>
    <t>Светлоград  Ставр.кр.</t>
  </si>
  <si>
    <t>Евстифеев Алексей</t>
  </si>
  <si>
    <t>Железногорск  Крас. кр.</t>
  </si>
  <si>
    <t>Евстифейкин Антон</t>
  </si>
  <si>
    <t>12.12.1984</t>
  </si>
  <si>
    <t>Евтеев Иван</t>
  </si>
  <si>
    <t>21.12.2005</t>
  </si>
  <si>
    <t>Евтушенко Иван</t>
  </si>
  <si>
    <t>17.01.2003</t>
  </si>
  <si>
    <t>Еганов Данила</t>
  </si>
  <si>
    <t>01.03.2005</t>
  </si>
  <si>
    <t>Демихово  Мос.обл.</t>
  </si>
  <si>
    <t>Егерь Артемий</t>
  </si>
  <si>
    <t>03.08.2004</t>
  </si>
  <si>
    <t>Егиазарян Рафаэль</t>
  </si>
  <si>
    <t>25.02.2001</t>
  </si>
  <si>
    <t>Егоров Алексей</t>
  </si>
  <si>
    <t>25.03.2008</t>
  </si>
  <si>
    <t>07.07.2002</t>
  </si>
  <si>
    <t>Егоров Владимир</t>
  </si>
  <si>
    <t>13.05.1988</t>
  </si>
  <si>
    <t>01.09.2006</t>
  </si>
  <si>
    <t>26.07.1984</t>
  </si>
  <si>
    <t>Егоров Илья</t>
  </si>
  <si>
    <t>Егоров Максим</t>
  </si>
  <si>
    <t>14.05.2004</t>
  </si>
  <si>
    <t>Егоров Никита</t>
  </si>
  <si>
    <t>21.09.2005</t>
  </si>
  <si>
    <t>29.12.2006</t>
  </si>
  <si>
    <t>16.01.2002</t>
  </si>
  <si>
    <t>29.05.2001</t>
  </si>
  <si>
    <t>16.06.1999</t>
  </si>
  <si>
    <t>Ежков Никита</t>
  </si>
  <si>
    <t>24.12.2005</t>
  </si>
  <si>
    <t>Ежов Никита</t>
  </si>
  <si>
    <t>27.06.2004</t>
  </si>
  <si>
    <t>Езиев Марат</t>
  </si>
  <si>
    <t>19.04.2006</t>
  </si>
  <si>
    <t>Езута Никита</t>
  </si>
  <si>
    <t>07.06.2005</t>
  </si>
  <si>
    <t>Ейк Михаил</t>
  </si>
  <si>
    <t>12.01.2005</t>
  </si>
  <si>
    <t>11.03.2003</t>
  </si>
  <si>
    <t>Елисеев Илья</t>
  </si>
  <si>
    <t>22.11.2002</t>
  </si>
  <si>
    <t>Елисеев Максим</t>
  </si>
  <si>
    <t>11.07.1999</t>
  </si>
  <si>
    <t>Елисеев Сергей</t>
  </si>
  <si>
    <t>15.04.2006</t>
  </si>
  <si>
    <t>Елистратов Дмитрий</t>
  </si>
  <si>
    <t>Елоев Алихан</t>
  </si>
  <si>
    <t>14.05.1983</t>
  </si>
  <si>
    <t>Емашев Андрей</t>
  </si>
  <si>
    <t>02.10.2005</t>
  </si>
  <si>
    <t>Емельянов Андрей</t>
  </si>
  <si>
    <t>20.11.1988</t>
  </si>
  <si>
    <t>Емельянов Артем</t>
  </si>
  <si>
    <t>13.10.2006</t>
  </si>
  <si>
    <t>Емельянов Владислав</t>
  </si>
  <si>
    <t>17.02.2008</t>
  </si>
  <si>
    <t>Емельянов Дмитрий</t>
  </si>
  <si>
    <t>18.04.2006</t>
  </si>
  <si>
    <t>26.04.2006</t>
  </si>
  <si>
    <t>Емельянчик Матвей</t>
  </si>
  <si>
    <t>30.09.2007</t>
  </si>
  <si>
    <t>Ендеров Михаил</t>
  </si>
  <si>
    <t>Еникеев Тимур</t>
  </si>
  <si>
    <t>21.08.2003</t>
  </si>
  <si>
    <t>Епифанов Роман</t>
  </si>
  <si>
    <t>21.04.2000</t>
  </si>
  <si>
    <t>Еременко Василий</t>
  </si>
  <si>
    <t>12.03.2009</t>
  </si>
  <si>
    <t>Еременко Роман</t>
  </si>
  <si>
    <t>01.04.1983</t>
  </si>
  <si>
    <t>Еремин Анатолий</t>
  </si>
  <si>
    <t>26.09.2006</t>
  </si>
  <si>
    <t>Еремин Олег</t>
  </si>
  <si>
    <t>13.09.1965</t>
  </si>
  <si>
    <t>Еркин Александр</t>
  </si>
  <si>
    <t>24.08.2001</t>
  </si>
  <si>
    <t>Ермаков Алексей</t>
  </si>
  <si>
    <t>08.09.2001</t>
  </si>
  <si>
    <t>Красный Холм  Тв.обл.</t>
  </si>
  <si>
    <t>09.08.1992</t>
  </si>
  <si>
    <t>04.08.2001</t>
  </si>
  <si>
    <t>14.01.1999</t>
  </si>
  <si>
    <t>Ермаков Никита</t>
  </si>
  <si>
    <t>26.02.2005</t>
  </si>
  <si>
    <t>Холмск  Сахал.</t>
  </si>
  <si>
    <t>Ермолаев Роман</t>
  </si>
  <si>
    <t>19.08.1994</t>
  </si>
  <si>
    <t>Ермошенко Максим</t>
  </si>
  <si>
    <t>05.09.2005</t>
  </si>
  <si>
    <t>Ермошин Генрих</t>
  </si>
  <si>
    <t>26.03.2002</t>
  </si>
  <si>
    <t>Николаенко  Краснодар.край</t>
  </si>
  <si>
    <t>Ершов Артемий</t>
  </si>
  <si>
    <t>02.02.2006</t>
  </si>
  <si>
    <t>06.09.2001</t>
  </si>
  <si>
    <t>Ершов Илья</t>
  </si>
  <si>
    <t>05.02.2007</t>
  </si>
  <si>
    <t>ЕСЕНОВ Санат</t>
  </si>
  <si>
    <t>Актобе  Казахстан</t>
  </si>
  <si>
    <t>Есин Дмитрий</t>
  </si>
  <si>
    <t>29.09.2005</t>
  </si>
  <si>
    <t>Ефимов Александр</t>
  </si>
  <si>
    <t>26.08.1979</t>
  </si>
  <si>
    <t>Евпатория</t>
  </si>
  <si>
    <t>Ефимов Андрей</t>
  </si>
  <si>
    <t>22.10.2002</t>
  </si>
  <si>
    <t>Ефимов Дмитрий</t>
  </si>
  <si>
    <t>27.06.2006</t>
  </si>
  <si>
    <t>Ефимов Егор</t>
  </si>
  <si>
    <t>02.07.2006</t>
  </si>
  <si>
    <t>27.11.1999</t>
  </si>
  <si>
    <t>Ефимов Константин</t>
  </si>
  <si>
    <t>07.04.2005</t>
  </si>
  <si>
    <t>Ефимов Михаил</t>
  </si>
  <si>
    <t>11.11.1997</t>
  </si>
  <si>
    <t>14.06.2001</t>
  </si>
  <si>
    <t>Ефимов Павел</t>
  </si>
  <si>
    <t>Ефременко Юрий</t>
  </si>
  <si>
    <t>Ефремкин Матвей</t>
  </si>
  <si>
    <t>Ефремов Александр</t>
  </si>
  <si>
    <t>06.03.1992</t>
  </si>
  <si>
    <t>Ефремов Вадим</t>
  </si>
  <si>
    <t>24.01.2004</t>
  </si>
  <si>
    <t>Чуйя  Як.</t>
  </si>
  <si>
    <t>Ефремов Павел</t>
  </si>
  <si>
    <t>14.07.2006</t>
  </si>
  <si>
    <t>Ефройкин Максим</t>
  </si>
  <si>
    <t>15.11.1995</t>
  </si>
  <si>
    <t>Ехлаков Даниил</t>
  </si>
  <si>
    <t>Ешметов Михаил</t>
  </si>
  <si>
    <t>28.12.1986</t>
  </si>
  <si>
    <t>15.07.2000</t>
  </si>
  <si>
    <t>ЖАНГЕЛДИН Темирлан</t>
  </si>
  <si>
    <t>Жаргалов Цогто</t>
  </si>
  <si>
    <t>Жаренко Алексей</t>
  </si>
  <si>
    <t>07.12.1999</t>
  </si>
  <si>
    <t>03.02.2000</t>
  </si>
  <si>
    <t>Жарко Олег</t>
  </si>
  <si>
    <t>16.03.1992</t>
  </si>
  <si>
    <t>Жарков Михаил</t>
  </si>
  <si>
    <t>23.10.2001</t>
  </si>
  <si>
    <t>Жарков Николай</t>
  </si>
  <si>
    <t>Жашуев Астемир</t>
  </si>
  <si>
    <t>22.01.2006</t>
  </si>
  <si>
    <t>Жбанков Серафим</t>
  </si>
  <si>
    <t>13.11.2000</t>
  </si>
  <si>
    <t>Великие Луки  Пск.о.</t>
  </si>
  <si>
    <t>Железняков Иван</t>
  </si>
  <si>
    <t>27.10.2003</t>
  </si>
  <si>
    <t>Железов Илья</t>
  </si>
  <si>
    <t>23.07.2008</t>
  </si>
  <si>
    <t>Желобнев Дмитрий</t>
  </si>
  <si>
    <t>05.08.2003</t>
  </si>
  <si>
    <t>Желоков Эрик</t>
  </si>
  <si>
    <t>Желтухин Игорь</t>
  </si>
  <si>
    <t>Желтухин Сергей</t>
  </si>
  <si>
    <t>05.12.1999</t>
  </si>
  <si>
    <t>Желубенков Александр</t>
  </si>
  <si>
    <t>26.01.1993</t>
  </si>
  <si>
    <t>Серпуховской р-он</t>
  </si>
  <si>
    <t>Желубенков Алексей</t>
  </si>
  <si>
    <t>30.11.1986</t>
  </si>
  <si>
    <t>Жемчугов Иван</t>
  </si>
  <si>
    <t>Жеребцов Александр</t>
  </si>
  <si>
    <t>09.03.2006</t>
  </si>
  <si>
    <t>Жигмитов Болот</t>
  </si>
  <si>
    <t>Агинское  Заб.кр.</t>
  </si>
  <si>
    <t>Жидков Илья</t>
  </si>
  <si>
    <t>03.08.1991</t>
  </si>
  <si>
    <t>Жидков Лев</t>
  </si>
  <si>
    <t>Жижикин Дмитрий</t>
  </si>
  <si>
    <t>15.09.1990</t>
  </si>
  <si>
    <t>Жилин Максим</t>
  </si>
  <si>
    <t>10.03.2003</t>
  </si>
  <si>
    <t>Жилис Денис</t>
  </si>
  <si>
    <t>06.10.2006</t>
  </si>
  <si>
    <t>Жилов Кристиан</t>
  </si>
  <si>
    <t>27.09.2007</t>
  </si>
  <si>
    <t>Жирков Кирилл</t>
  </si>
  <si>
    <t>19.05.2001</t>
  </si>
  <si>
    <t>Жирков Максим</t>
  </si>
  <si>
    <t>Жиров Владислав</t>
  </si>
  <si>
    <t>15.03.2005</t>
  </si>
  <si>
    <t>Житенев Артем</t>
  </si>
  <si>
    <t>Жовнир Владислав</t>
  </si>
  <si>
    <t>05.10.2005</t>
  </si>
  <si>
    <t>Жовницкий Яков</t>
  </si>
  <si>
    <t>04.02.1997</t>
  </si>
  <si>
    <t>Жуков Александр</t>
  </si>
  <si>
    <t>25.04.2003</t>
  </si>
  <si>
    <t>Жуков Алексей</t>
  </si>
  <si>
    <t>25.10.1989</t>
  </si>
  <si>
    <t>Жуков Даниил</t>
  </si>
  <si>
    <t>01.07.2003</t>
  </si>
  <si>
    <t>Жуков Иван</t>
  </si>
  <si>
    <t>Жуков Ислам</t>
  </si>
  <si>
    <t>04.07.2006</t>
  </si>
  <si>
    <t>Жуков Никита</t>
  </si>
  <si>
    <t>Журавлев Дмитрий</t>
  </si>
  <si>
    <t>09.02.1964</t>
  </si>
  <si>
    <t>Партенит  Крым</t>
  </si>
  <si>
    <t>Журавлев Евгений</t>
  </si>
  <si>
    <t>03.11.2004</t>
  </si>
  <si>
    <t>Журавлев Михаил</t>
  </si>
  <si>
    <t>13.07.2005</t>
  </si>
  <si>
    <t>Журенко Денис</t>
  </si>
  <si>
    <t>08.06.2002</t>
  </si>
  <si>
    <t>Журин Петр</t>
  </si>
  <si>
    <t>25.05.2001</t>
  </si>
  <si>
    <t>Жучков Сергей</t>
  </si>
  <si>
    <t>15.07.2006</t>
  </si>
  <si>
    <t>Забелкин Дмитрий</t>
  </si>
  <si>
    <t>09.08.2002</t>
  </si>
  <si>
    <t>Клин  М.о.</t>
  </si>
  <si>
    <t>Заболотин Сергей</t>
  </si>
  <si>
    <t>20.05.1984</t>
  </si>
  <si>
    <t>Забора Егор</t>
  </si>
  <si>
    <t>09.06.2002</t>
  </si>
  <si>
    <t>Завецскас Герман</t>
  </si>
  <si>
    <t>13.12.1999</t>
  </si>
  <si>
    <t>Завьялов Антон</t>
  </si>
  <si>
    <t>24.07.2003</t>
  </si>
  <si>
    <t>Завьялов Егор</t>
  </si>
  <si>
    <t>26.05.2005</t>
  </si>
  <si>
    <t>Загарских Кирилл</t>
  </si>
  <si>
    <t>Загидуллин Вильдан</t>
  </si>
  <si>
    <t>16.01.2005</t>
  </si>
  <si>
    <t>Загидуллин Салават</t>
  </si>
  <si>
    <t>18.08.2004</t>
  </si>
  <si>
    <t>Загоскин Сергей</t>
  </si>
  <si>
    <t>20.02.2003</t>
  </si>
  <si>
    <t>Загуляев Егор</t>
  </si>
  <si>
    <t>02.03.2006</t>
  </si>
  <si>
    <t>Задубин Вадим</t>
  </si>
  <si>
    <t>07.03.2005</t>
  </si>
  <si>
    <t>Заика Савва</t>
  </si>
  <si>
    <t>Заика Юрий</t>
  </si>
  <si>
    <t>06.07.1999</t>
  </si>
  <si>
    <t>Заикин Алан</t>
  </si>
  <si>
    <t>19.10.1978</t>
  </si>
  <si>
    <t>Заикин Константин</t>
  </si>
  <si>
    <t>10.08.2005</t>
  </si>
  <si>
    <t>Зайнутдинов Инсаф</t>
  </si>
  <si>
    <t>26.05.2004</t>
  </si>
  <si>
    <t>05.03.1981</t>
  </si>
  <si>
    <t>Зайцев Артем</t>
  </si>
  <si>
    <t>26.04.2004</t>
  </si>
  <si>
    <t>Зайцев Игорь</t>
  </si>
  <si>
    <t>21.02.1996</t>
  </si>
  <si>
    <t>Зайцев Павел</t>
  </si>
  <si>
    <t>15.11.1983</t>
  </si>
  <si>
    <t>Зайцев Сергей</t>
  </si>
  <si>
    <t>20.10.2003</t>
  </si>
  <si>
    <t>Зайченков Даниил</t>
  </si>
  <si>
    <t>06.03.2001</t>
  </si>
  <si>
    <t>Закирко Егор</t>
  </si>
  <si>
    <t>Закиров Артем</t>
  </si>
  <si>
    <t>30.08.2005</t>
  </si>
  <si>
    <t>Закиров Камиль</t>
  </si>
  <si>
    <t>21.04.2008</t>
  </si>
  <si>
    <t>Закоурцев Андрей</t>
  </si>
  <si>
    <t>Закоурцев Денис</t>
  </si>
  <si>
    <t>Залевский Григорий</t>
  </si>
  <si>
    <t>03.11.2007</t>
  </si>
  <si>
    <t>Заломов Игорь</t>
  </si>
  <si>
    <t>09.04.2006</t>
  </si>
  <si>
    <t>Замбуров Темирлан</t>
  </si>
  <si>
    <t>15.12.2009</t>
  </si>
  <si>
    <t>Заморский Даниил</t>
  </si>
  <si>
    <t>10.09.1999</t>
  </si>
  <si>
    <t>Заостровцев Марк</t>
  </si>
  <si>
    <t>14.12.2005</t>
  </si>
  <si>
    <t>Зарин Петр</t>
  </si>
  <si>
    <t>Зарипов Николай</t>
  </si>
  <si>
    <t>10.12.2002</t>
  </si>
  <si>
    <t>Зарифзянов Адель</t>
  </si>
  <si>
    <t>29.01.2002</t>
  </si>
  <si>
    <t>Зарков Демид</t>
  </si>
  <si>
    <t>01.10.2007</t>
  </si>
  <si>
    <t>Заровнятных Иван</t>
  </si>
  <si>
    <t>14.05.2000</t>
  </si>
  <si>
    <t>Заскалкин Андрей</t>
  </si>
  <si>
    <t>22.06.1999</t>
  </si>
  <si>
    <t>24.02.1999</t>
  </si>
  <si>
    <t>22.08.2000</t>
  </si>
  <si>
    <t>Захаров Александр</t>
  </si>
  <si>
    <t>28.03.2005</t>
  </si>
  <si>
    <t>Захаров Виктор</t>
  </si>
  <si>
    <t>26.09.2007</t>
  </si>
  <si>
    <t>Захаров Влад</t>
  </si>
  <si>
    <t>05.05.1975</t>
  </si>
  <si>
    <t>Захаров Игорь</t>
  </si>
  <si>
    <t>Эмиссы  Якут.</t>
  </si>
  <si>
    <t>Захаров Константин</t>
  </si>
  <si>
    <t>09.06.2004</t>
  </si>
  <si>
    <t>Захаров Максим</t>
  </si>
  <si>
    <t>Захарук Ростислав</t>
  </si>
  <si>
    <t>06.10.1986</t>
  </si>
  <si>
    <t>Заярский Михаил</t>
  </si>
  <si>
    <t>21.08.2004</t>
  </si>
  <si>
    <t>Зверев Вадим</t>
  </si>
  <si>
    <t>10.02.2005</t>
  </si>
  <si>
    <t>Зверев Илья</t>
  </si>
  <si>
    <t>21.10.2004</t>
  </si>
  <si>
    <t>Звягин Максим</t>
  </si>
  <si>
    <t>09.08.2003</t>
  </si>
  <si>
    <t>Звягинцев Артем</t>
  </si>
  <si>
    <t>02.01.2003</t>
  </si>
  <si>
    <t>Зебзеев Захар</t>
  </si>
  <si>
    <t>Зеленин Андрей</t>
  </si>
  <si>
    <t>02.01.1965</t>
  </si>
  <si>
    <t>Озерск  Чел.о.</t>
  </si>
  <si>
    <t>Землянуха Павел</t>
  </si>
  <si>
    <t>23.06.2005</t>
  </si>
  <si>
    <t>Земсков Артем</t>
  </si>
  <si>
    <t>22.09.2004</t>
  </si>
  <si>
    <t>Зенкин Михаил</t>
  </si>
  <si>
    <t>06.07.1962</t>
  </si>
  <si>
    <t>Зефиров Кирилл</t>
  </si>
  <si>
    <t>19.09.2003</t>
  </si>
  <si>
    <t>17.06.2000</t>
  </si>
  <si>
    <t>10.09.2000</t>
  </si>
  <si>
    <t>Зимарин Артем</t>
  </si>
  <si>
    <t>30.04.1998</t>
  </si>
  <si>
    <t>Зимин Владимир</t>
  </si>
  <si>
    <t>07.03.2007</t>
  </si>
  <si>
    <t>Зимушин Илья</t>
  </si>
  <si>
    <t>22.06.2007</t>
  </si>
  <si>
    <t>Зиннуров Айнур</t>
  </si>
  <si>
    <t>24.09.1999</t>
  </si>
  <si>
    <t>Арск  Тат.</t>
  </si>
  <si>
    <t>Зиновкин Матвей</t>
  </si>
  <si>
    <t>21.11.2005</t>
  </si>
  <si>
    <t>Зиночкин Константин</t>
  </si>
  <si>
    <t>22.05.1997</t>
  </si>
  <si>
    <t>Зинцов Михаил</t>
  </si>
  <si>
    <t>03.12.1994</t>
  </si>
  <si>
    <t>Зинчук Егор</t>
  </si>
  <si>
    <t>29.06.2005</t>
  </si>
  <si>
    <t>Злобин Александр</t>
  </si>
  <si>
    <t>16.02.2002</t>
  </si>
  <si>
    <t>Злобин Дмитрий</t>
  </si>
  <si>
    <t>Злобин Савелий</t>
  </si>
  <si>
    <t>10.04.2002</t>
  </si>
  <si>
    <t>Кандалакша  Мурм.о.</t>
  </si>
  <si>
    <t>Зодбоев Содном</t>
  </si>
  <si>
    <t>24.07.2005</t>
  </si>
  <si>
    <t>Могойтуй  Заб.кр.</t>
  </si>
  <si>
    <t>Золотарь Антон</t>
  </si>
  <si>
    <t>19.06.2006</t>
  </si>
  <si>
    <t>Золотков Максим</t>
  </si>
  <si>
    <t>18.01.2002</t>
  </si>
  <si>
    <t>Золотов Сергей</t>
  </si>
  <si>
    <t>19.02.1996</t>
  </si>
  <si>
    <t>21.11.2000</t>
  </si>
  <si>
    <t>Зоненко Валерий</t>
  </si>
  <si>
    <t>14.03.1989</t>
  </si>
  <si>
    <t>Зорин Александр</t>
  </si>
  <si>
    <t>24.08.2007</t>
  </si>
  <si>
    <t>Зорин Алексей</t>
  </si>
  <si>
    <t>25.02.2005</t>
  </si>
  <si>
    <t>Зорин Владимир</t>
  </si>
  <si>
    <t>10.01.1973</t>
  </si>
  <si>
    <t>Зорин Максим</t>
  </si>
  <si>
    <t>12.03.2006</t>
  </si>
  <si>
    <t>Зоткин Алексей</t>
  </si>
  <si>
    <t>Зотников Валентин</t>
  </si>
  <si>
    <t>05.05.2003</t>
  </si>
  <si>
    <t>Зотов Александр</t>
  </si>
  <si>
    <t>Зотов Никита</t>
  </si>
  <si>
    <t>07.01.2002</t>
  </si>
  <si>
    <t>Зубарев Денис</t>
  </si>
  <si>
    <t>15.02.2007</t>
  </si>
  <si>
    <t>Зубарев Максим</t>
  </si>
  <si>
    <t>16.05.2005</t>
  </si>
  <si>
    <t>Зубарев Никита</t>
  </si>
  <si>
    <t>17.04.2003</t>
  </si>
  <si>
    <t>Зубехин Андрей</t>
  </si>
  <si>
    <t>07.10.2006</t>
  </si>
  <si>
    <t>Зубехин Олег</t>
  </si>
  <si>
    <t>23.03.2008</t>
  </si>
  <si>
    <t>02.09.2002</t>
  </si>
  <si>
    <t>Зубков Георгий</t>
  </si>
  <si>
    <t>Зубков Даниил</t>
  </si>
  <si>
    <t>19.12.2003</t>
  </si>
  <si>
    <t>Зубов Илья</t>
  </si>
  <si>
    <t>13.02.1998</t>
  </si>
  <si>
    <t>Зуботыкин Юрий</t>
  </si>
  <si>
    <t>19.10.1998</t>
  </si>
  <si>
    <t>Зубриков Глеб</t>
  </si>
  <si>
    <t>19.12.2001</t>
  </si>
  <si>
    <t>Зубрин Даниил</t>
  </si>
  <si>
    <t>04.07.2002</t>
  </si>
  <si>
    <t>Буй  Костр. обл.</t>
  </si>
  <si>
    <t>16.10.2006</t>
  </si>
  <si>
    <t>Зуев Юрий</t>
  </si>
  <si>
    <t>24.06.1962</t>
  </si>
  <si>
    <t>Зундо Артем</t>
  </si>
  <si>
    <t>14.11.2004</t>
  </si>
  <si>
    <t>Зырянов Георгий</t>
  </si>
  <si>
    <t>Зырянов Кирилл</t>
  </si>
  <si>
    <t>22.08.2007</t>
  </si>
  <si>
    <t>Зырянов Федор</t>
  </si>
  <si>
    <t>Зюзин Александр</t>
  </si>
  <si>
    <t>05.06.2003</t>
  </si>
  <si>
    <t>Зяббаров Расим</t>
  </si>
  <si>
    <t>14.12.1999</t>
  </si>
  <si>
    <t>Камское Устье  Тат.</t>
  </si>
  <si>
    <t>Ибрагимов Дмитрий</t>
  </si>
  <si>
    <t>Ибрагимов Ильяр</t>
  </si>
  <si>
    <t>Ибрагимов Мухамед</t>
  </si>
  <si>
    <t>Ибрагимов Тимур</t>
  </si>
  <si>
    <t>04.08.1999</t>
  </si>
  <si>
    <t>Иванин Егор</t>
  </si>
  <si>
    <t>28.08.2005</t>
  </si>
  <si>
    <t>Иваницкий Вадим</t>
  </si>
  <si>
    <t>28.07.2008</t>
  </si>
  <si>
    <t>Иваницкий Леонид</t>
  </si>
  <si>
    <t>06.01.2003</t>
  </si>
  <si>
    <t>28.02.1999</t>
  </si>
  <si>
    <t>Иванов Арсений</t>
  </si>
  <si>
    <t>01.12.2006</t>
  </si>
  <si>
    <t>Иванов Артем</t>
  </si>
  <si>
    <t>Иванов Виктор</t>
  </si>
  <si>
    <t>07.04.1943</t>
  </si>
  <si>
    <t>Иванов Владислав</t>
  </si>
  <si>
    <t>Иванов Вячеслав</t>
  </si>
  <si>
    <t>01.01.1981</t>
  </si>
  <si>
    <t>Иванов Глеб</t>
  </si>
  <si>
    <t>30.01.2002</t>
  </si>
  <si>
    <t>Иванов Денис</t>
  </si>
  <si>
    <t>01.11.2003</t>
  </si>
  <si>
    <t>Елец  Лип.обл.</t>
  </si>
  <si>
    <t>24.09.2007</t>
  </si>
  <si>
    <t>Иванов Егор</t>
  </si>
  <si>
    <t>24.03.2007</t>
  </si>
  <si>
    <t>Иванов Иван</t>
  </si>
  <si>
    <t>29.10.2005</t>
  </si>
  <si>
    <t>Иванов Илья</t>
  </si>
  <si>
    <t>02.09.2006</t>
  </si>
  <si>
    <t>27.05.2008</t>
  </si>
  <si>
    <t>Иванов Константин</t>
  </si>
  <si>
    <t>02.05.1999</t>
  </si>
  <si>
    <t>Иванов Леонид</t>
  </si>
  <si>
    <t>10.03.1973</t>
  </si>
  <si>
    <t>Иванов Максим</t>
  </si>
  <si>
    <t>16.06.2006</t>
  </si>
  <si>
    <t>09.05.1998</t>
  </si>
  <si>
    <t>12.12.2005</t>
  </si>
  <si>
    <t>Усть-Абакан  Хакас.</t>
  </si>
  <si>
    <t>25.02.2004</t>
  </si>
  <si>
    <t>28.07.1984</t>
  </si>
  <si>
    <t>31.07.2003</t>
  </si>
  <si>
    <t>21.09.2006</t>
  </si>
  <si>
    <t>10.09.2006</t>
  </si>
  <si>
    <t>23.06.2000</t>
  </si>
  <si>
    <t>Иванов Степан</t>
  </si>
  <si>
    <t>19.07.2006</t>
  </si>
  <si>
    <t>27.09.2005</t>
  </si>
  <si>
    <t>15.02.2002</t>
  </si>
  <si>
    <t>Ивахненко Дмитрий</t>
  </si>
  <si>
    <t>08.05.2004</t>
  </si>
  <si>
    <t>Ивженко Никита</t>
  </si>
  <si>
    <t>15.09.2002</t>
  </si>
  <si>
    <t>18.04.1999</t>
  </si>
  <si>
    <t>Ивонин Илья</t>
  </si>
  <si>
    <t>Игнатенко Никита</t>
  </si>
  <si>
    <t>Игнатов Егор</t>
  </si>
  <si>
    <t>11.08.2003</t>
  </si>
  <si>
    <t>Игнатьев Адель</t>
  </si>
  <si>
    <t>05.12.2005</t>
  </si>
  <si>
    <t>Игнатьев Данил</t>
  </si>
  <si>
    <t>21.03.2007</t>
  </si>
  <si>
    <t>Игнатьев Егор</t>
  </si>
  <si>
    <t>23.10.1998</t>
  </si>
  <si>
    <t>Игнатьев Яков</t>
  </si>
  <si>
    <t>16.06.2004</t>
  </si>
  <si>
    <t>Игонин Андрей</t>
  </si>
  <si>
    <t>12.02.1998</t>
  </si>
  <si>
    <t>Игошин Илья</t>
  </si>
  <si>
    <t>15.01.1986</t>
  </si>
  <si>
    <t>Игошкин Дмитрий</t>
  </si>
  <si>
    <t>20.05.1987</t>
  </si>
  <si>
    <t>Игутов Сергей</t>
  </si>
  <si>
    <t>05.04.2005</t>
  </si>
  <si>
    <t>Игушев Кирилл</t>
  </si>
  <si>
    <t>20.05.2004</t>
  </si>
  <si>
    <t>Идиатуллин Роберт</t>
  </si>
  <si>
    <t>17.06.2010</t>
  </si>
  <si>
    <t>Идин Всеволод</t>
  </si>
  <si>
    <t>16.08.2005</t>
  </si>
  <si>
    <t>Изумрудов Денис</t>
  </si>
  <si>
    <t>19.01.2004</t>
  </si>
  <si>
    <t>Изумрудов Максим</t>
  </si>
  <si>
    <t>19.03.2006</t>
  </si>
  <si>
    <t>27.07.2002</t>
  </si>
  <si>
    <t>Ильин Артем</t>
  </si>
  <si>
    <t>Ильин Валерий</t>
  </si>
  <si>
    <t>22.01.2004</t>
  </si>
  <si>
    <t>Ильин Иван</t>
  </si>
  <si>
    <t>Ильин Максим</t>
  </si>
  <si>
    <t>08.10.1971</t>
  </si>
  <si>
    <t>Ильин Матвей</t>
  </si>
  <si>
    <t>08.07.2004</t>
  </si>
  <si>
    <t>Ильин Николай</t>
  </si>
  <si>
    <t>Ильин Святослав</t>
  </si>
  <si>
    <t>28.10.2008</t>
  </si>
  <si>
    <t>Ильин Тимофей</t>
  </si>
  <si>
    <t>Ильиных Владислав</t>
  </si>
  <si>
    <t>16.06.1994</t>
  </si>
  <si>
    <t>Ильченко Святослав</t>
  </si>
  <si>
    <t>Илюхин Виктор</t>
  </si>
  <si>
    <t>23.04.2004</t>
  </si>
  <si>
    <t>Илюшов Егор</t>
  </si>
  <si>
    <t>Иманкадыров Анвар</t>
  </si>
  <si>
    <t>07.05.1998</t>
  </si>
  <si>
    <t>Иманов Даниил</t>
  </si>
  <si>
    <t>15.01.2008</t>
  </si>
  <si>
    <t>Интролигатор Демид</t>
  </si>
  <si>
    <t>Ионин Максим</t>
  </si>
  <si>
    <t>27.05.1999</t>
  </si>
  <si>
    <t>Иосько Борис</t>
  </si>
  <si>
    <t>29.04.2006</t>
  </si>
  <si>
    <t>Иоффе Марк</t>
  </si>
  <si>
    <t>02.08.1998</t>
  </si>
  <si>
    <t>Ипатов Валентин</t>
  </si>
  <si>
    <t>20.06.1999</t>
  </si>
  <si>
    <t>Ирицян Альберт</t>
  </si>
  <si>
    <t>22.09.2007</t>
  </si>
  <si>
    <t>Ирицян Гурген</t>
  </si>
  <si>
    <t>16.06.1970</t>
  </si>
  <si>
    <t>06.11.2000</t>
  </si>
  <si>
    <t>Исайкин Владимир</t>
  </si>
  <si>
    <t>28.08.1999</t>
  </si>
  <si>
    <t>Исипов Владислав</t>
  </si>
  <si>
    <t>Исмаилов Саади</t>
  </si>
  <si>
    <t>04.11.1996</t>
  </si>
  <si>
    <t>Исмаилов Хайем</t>
  </si>
  <si>
    <t>27.09.1992</t>
  </si>
  <si>
    <t>Исупов Илья</t>
  </si>
  <si>
    <t>26.01.2006</t>
  </si>
  <si>
    <t>Исупов Максим</t>
  </si>
  <si>
    <t>15.10.2004</t>
  </si>
  <si>
    <t>Исянбаев Тагир</t>
  </si>
  <si>
    <t>13.04.2005</t>
  </si>
  <si>
    <t>Иутин Богдан</t>
  </si>
  <si>
    <t>15.08.2006</t>
  </si>
  <si>
    <t>Ишанов Али</t>
  </si>
  <si>
    <t>06.12.1986</t>
  </si>
  <si>
    <t>Ишмуратов Денис</t>
  </si>
  <si>
    <t>09.12.2006</t>
  </si>
  <si>
    <t>Ишмуратов Шамиль</t>
  </si>
  <si>
    <t>Кабанов Эдуард</t>
  </si>
  <si>
    <t>13.10.1981</t>
  </si>
  <si>
    <t>Кабиров Роман</t>
  </si>
  <si>
    <t>18.03.2006</t>
  </si>
  <si>
    <t>Кабрера Даниэль</t>
  </si>
  <si>
    <t>17.07.2007</t>
  </si>
  <si>
    <t>Кабытов Илья</t>
  </si>
  <si>
    <t>21.02.2003</t>
  </si>
  <si>
    <t>Благовещенка  Алт.кр.</t>
  </si>
  <si>
    <t>Каверзин Александр</t>
  </si>
  <si>
    <t>27.08.1996</t>
  </si>
  <si>
    <t>Каверин Евгений</t>
  </si>
  <si>
    <t>Кадлубиский Артемий</t>
  </si>
  <si>
    <t>30.10.2006</t>
  </si>
  <si>
    <t>16.02.2000</t>
  </si>
  <si>
    <t>Каерлиев Сергей</t>
  </si>
  <si>
    <t>15.02.1992</t>
  </si>
  <si>
    <t>Кисловодск</t>
  </si>
  <si>
    <t>Казакевич Дмитрий</t>
  </si>
  <si>
    <t>Казаков Арсений</t>
  </si>
  <si>
    <t>04.01.2004</t>
  </si>
  <si>
    <t>04.01.2001</t>
  </si>
  <si>
    <t>Казаков Дмитрий</t>
  </si>
  <si>
    <t>Казаков Иван</t>
  </si>
  <si>
    <t>Казанцев Александр</t>
  </si>
  <si>
    <t>21.03.2003</t>
  </si>
  <si>
    <t>Казаринов Матвей</t>
  </si>
  <si>
    <t>02.12.2005</t>
  </si>
  <si>
    <t>Климовск  М.о.</t>
  </si>
  <si>
    <t>03.01.2003</t>
  </si>
  <si>
    <t>Кайгородов Георгий</t>
  </si>
  <si>
    <t>Кайгородов Юрий</t>
  </si>
  <si>
    <t>05.08.2007</t>
  </si>
  <si>
    <t>Каламбетов Данил</t>
  </si>
  <si>
    <t>Калачев Виктор</t>
  </si>
  <si>
    <t>02.06.1963</t>
  </si>
  <si>
    <t>Калачев Денис</t>
  </si>
  <si>
    <t>06.10.2004</t>
  </si>
  <si>
    <t>Калачев Егор</t>
  </si>
  <si>
    <t>Калашников Денис</t>
  </si>
  <si>
    <t>Калашников Никита</t>
  </si>
  <si>
    <t>13.01.2001</t>
  </si>
  <si>
    <t>Калеев Кирилл</t>
  </si>
  <si>
    <t>10.07.2001</t>
  </si>
  <si>
    <t>17.03.2004</t>
  </si>
  <si>
    <t>Калиберда Илья</t>
  </si>
  <si>
    <t>20.05.2007</t>
  </si>
  <si>
    <t>25.12.2002</t>
  </si>
  <si>
    <t>Калинин Виктор</t>
  </si>
  <si>
    <t>05.03.1960</t>
  </si>
  <si>
    <t>Калинин Егор</t>
  </si>
  <si>
    <t>28.05.2003</t>
  </si>
  <si>
    <t>Калинкин Арсений</t>
  </si>
  <si>
    <t>19.02.1999</t>
  </si>
  <si>
    <t>Калюжный Дмитрий</t>
  </si>
  <si>
    <t>Камардин Александр</t>
  </si>
  <si>
    <t>26.08.1996</t>
  </si>
  <si>
    <t>Камашев Максим</t>
  </si>
  <si>
    <t>20.06.2004</t>
  </si>
  <si>
    <t>Камнев Максим</t>
  </si>
  <si>
    <t>Камнев Михаил</t>
  </si>
  <si>
    <t>23.10.2006</t>
  </si>
  <si>
    <t>Камчатный Алексей</t>
  </si>
  <si>
    <t>02.03.1999</t>
  </si>
  <si>
    <t>Канатников Андрей</t>
  </si>
  <si>
    <t>14.05.1996</t>
  </si>
  <si>
    <t>Капитонов Богдан</t>
  </si>
  <si>
    <t>15.11.1999</t>
  </si>
  <si>
    <t>В. Вилюйск  Саха</t>
  </si>
  <si>
    <t>Каплан Станислав</t>
  </si>
  <si>
    <t>23.04.1984</t>
  </si>
  <si>
    <t>Каплун Илья</t>
  </si>
  <si>
    <t>05.04.2004</t>
  </si>
  <si>
    <t>Каплун Федор</t>
  </si>
  <si>
    <t>18.02.1983</t>
  </si>
  <si>
    <t>Киселевск  Кем.о.</t>
  </si>
  <si>
    <t>Капотов Дмитрий</t>
  </si>
  <si>
    <t>07.04.1996</t>
  </si>
  <si>
    <t>Капралов Вадим</t>
  </si>
  <si>
    <t>10.06.2004</t>
  </si>
  <si>
    <t>Капустянский Григорий</t>
  </si>
  <si>
    <t>Караваев Арсений</t>
  </si>
  <si>
    <t>Каравай Владимир</t>
  </si>
  <si>
    <t>07.09.2000</t>
  </si>
  <si>
    <t>Карагодин Артем</t>
  </si>
  <si>
    <t>15.09.1997</t>
  </si>
  <si>
    <t>Каракальцев Егор</t>
  </si>
  <si>
    <t>22.11.2005</t>
  </si>
  <si>
    <t>12.05.2002</t>
  </si>
  <si>
    <t>Карамян Сурен</t>
  </si>
  <si>
    <t>29.04.1998</t>
  </si>
  <si>
    <t>Карасев Александр</t>
  </si>
  <si>
    <t>20.11.2003</t>
  </si>
  <si>
    <t>Карасенко Александр</t>
  </si>
  <si>
    <t>17.04.1996</t>
  </si>
  <si>
    <t>Каргин Валерий</t>
  </si>
  <si>
    <t>18.06.1963</t>
  </si>
  <si>
    <t>Карданов Ислам</t>
  </si>
  <si>
    <t>Карданов Тимур</t>
  </si>
  <si>
    <t>23.01.2000</t>
  </si>
  <si>
    <t>Кардашов Артем</t>
  </si>
  <si>
    <t>30.04.2001</t>
  </si>
  <si>
    <t>Карелин Алексей</t>
  </si>
  <si>
    <t>28.12.2001</t>
  </si>
  <si>
    <t>15.06.2001</t>
  </si>
  <si>
    <t>Каримов Федор</t>
  </si>
  <si>
    <t>31.01.2008</t>
  </si>
  <si>
    <t>Каримуллин Ильдар</t>
  </si>
  <si>
    <t>02.04.2008</t>
  </si>
  <si>
    <t>Карлаш Захар</t>
  </si>
  <si>
    <t>20.05.2006</t>
  </si>
  <si>
    <t>Карленков Дмитрий</t>
  </si>
  <si>
    <t>Карлышев Егор</t>
  </si>
  <si>
    <t>31.07.2007</t>
  </si>
  <si>
    <t>Кармазин Александр</t>
  </si>
  <si>
    <t>25.09.1994</t>
  </si>
  <si>
    <t>Карнаев Арсений</t>
  </si>
  <si>
    <t>Карнаухов Владислав</t>
  </si>
  <si>
    <t>20.05.2002</t>
  </si>
  <si>
    <t>Карнаухов Тимофей</t>
  </si>
  <si>
    <t>14.03.2005</t>
  </si>
  <si>
    <t>Карнаушенко Александр</t>
  </si>
  <si>
    <t>09.03.2000</t>
  </si>
  <si>
    <t>Каров Ибрагим</t>
  </si>
  <si>
    <t>30.08.2006</t>
  </si>
  <si>
    <t>Карпенко Вячеслав</t>
  </si>
  <si>
    <t>23.03.1984</t>
  </si>
  <si>
    <t>Карпенко Руслан</t>
  </si>
  <si>
    <t>24.09.2005</t>
  </si>
  <si>
    <t>Карпета Иван</t>
  </si>
  <si>
    <t>07.07.2007</t>
  </si>
  <si>
    <t>Карпетов Михаил</t>
  </si>
  <si>
    <t>Карпов Андрей</t>
  </si>
  <si>
    <t>13.05.1983</t>
  </si>
  <si>
    <t>Карпов Глеб</t>
  </si>
  <si>
    <t>10.04.1997</t>
  </si>
  <si>
    <t>Карпов Иван</t>
  </si>
  <si>
    <t>07.08.1997</t>
  </si>
  <si>
    <t>Карпов Илья</t>
  </si>
  <si>
    <t>Карпов Тимур</t>
  </si>
  <si>
    <t>29.08.2006</t>
  </si>
  <si>
    <t>Карпущенко Сергей</t>
  </si>
  <si>
    <t>11.01.2001</t>
  </si>
  <si>
    <t>Карпычев Дмитрий</t>
  </si>
  <si>
    <t>19.10.2006</t>
  </si>
  <si>
    <t>Карсин Дмитрий</t>
  </si>
  <si>
    <t>Картавцев Михаил</t>
  </si>
  <si>
    <t>Карташев Сергей</t>
  </si>
  <si>
    <t>20.10.1964</t>
  </si>
  <si>
    <t>Касимцев Валерий</t>
  </si>
  <si>
    <t>03.11.1977</t>
  </si>
  <si>
    <t>Шуя  Иван.обл.</t>
  </si>
  <si>
    <t>Кастрюков Максим</t>
  </si>
  <si>
    <t>Каталин Дмитрий</t>
  </si>
  <si>
    <t>Катамадзе Ираклий</t>
  </si>
  <si>
    <t>Катанов Александр</t>
  </si>
  <si>
    <t>30.08.2008</t>
  </si>
  <si>
    <t>10.07.2002</t>
  </si>
  <si>
    <t>Катерушин Михаил</t>
  </si>
  <si>
    <t>Каулик Алексей</t>
  </si>
  <si>
    <t>04.11.1980</t>
  </si>
  <si>
    <t>Каулик Сергей</t>
  </si>
  <si>
    <t>03.07.1954</t>
  </si>
  <si>
    <t>31.03.2001</t>
  </si>
  <si>
    <t>Качалов Артем</t>
  </si>
  <si>
    <t>16.01.1995</t>
  </si>
  <si>
    <t>Кашежев Кантемир</t>
  </si>
  <si>
    <t>02.07.2007</t>
  </si>
  <si>
    <t>Каширгов Алим</t>
  </si>
  <si>
    <t>06.06.2005</t>
  </si>
  <si>
    <t>24.08.2000</t>
  </si>
  <si>
    <t>Каштанов Евгений</t>
  </si>
  <si>
    <t>19.08.2006</t>
  </si>
  <si>
    <t>Кашурин Алексей</t>
  </si>
  <si>
    <t>06.06.2006</t>
  </si>
  <si>
    <t>03.07.2001</t>
  </si>
  <si>
    <t>Кваша Даниил</t>
  </si>
  <si>
    <t>11.11.2000</t>
  </si>
  <si>
    <t>Квинт Александр</t>
  </si>
  <si>
    <t>Кейт Сергей</t>
  </si>
  <si>
    <t>30.05.2002</t>
  </si>
  <si>
    <t>Кекин Степан</t>
  </si>
  <si>
    <t>Кельдибеков Абдулвасит</t>
  </si>
  <si>
    <t>24.01.2006</t>
  </si>
  <si>
    <t>КЕНЖИГУЛОВ Дастан</t>
  </si>
  <si>
    <t>14.01.1998</t>
  </si>
  <si>
    <t>Керефов Михаил</t>
  </si>
  <si>
    <t>13.12.2004</t>
  </si>
  <si>
    <t>КЕСКИНБАЕВ Еркебулан</t>
  </si>
  <si>
    <t>23.05.2005</t>
  </si>
  <si>
    <t>Караганда  Казахстан</t>
  </si>
  <si>
    <t>Кешишян Артур</t>
  </si>
  <si>
    <t>30.08.2000</t>
  </si>
  <si>
    <t>Кибардин Кирилл</t>
  </si>
  <si>
    <t>Кижапкин Вадим</t>
  </si>
  <si>
    <t>12.08.2005</t>
  </si>
  <si>
    <t>Кизеров Александр</t>
  </si>
  <si>
    <t>06.04.2004</t>
  </si>
  <si>
    <t>Частоозерье  Кург.обл.</t>
  </si>
  <si>
    <t>Кизимов Савелий</t>
  </si>
  <si>
    <t>12.10.2007</t>
  </si>
  <si>
    <t>14.01.2000</t>
  </si>
  <si>
    <t>Килижеков Антон</t>
  </si>
  <si>
    <t>20.03.2002</t>
  </si>
  <si>
    <t>Ким Артем</t>
  </si>
  <si>
    <t>Ким Виталий</t>
  </si>
  <si>
    <t>Ким Лев</t>
  </si>
  <si>
    <t>22.10.2004</t>
  </si>
  <si>
    <t>Ким Эрик</t>
  </si>
  <si>
    <t>18.11.2004</t>
  </si>
  <si>
    <t>Киракосян Степан</t>
  </si>
  <si>
    <t>01.02.2006</t>
  </si>
  <si>
    <t>Киреев Кирилл</t>
  </si>
  <si>
    <t>Кирий Николай</t>
  </si>
  <si>
    <t>Кириленко Андрей</t>
  </si>
  <si>
    <t>02.08.1970</t>
  </si>
  <si>
    <t>Торжок  Тверск.о.</t>
  </si>
  <si>
    <t>Кирилин Андрей</t>
  </si>
  <si>
    <t>Кириллов Никита</t>
  </si>
  <si>
    <t>26.03.1994</t>
  </si>
  <si>
    <t>Кирилюк Георгий</t>
  </si>
  <si>
    <t>29.08.2002</t>
  </si>
  <si>
    <t>25.05.2000</t>
  </si>
  <si>
    <t>Кириченко Евгений</t>
  </si>
  <si>
    <t>16.07.2003</t>
  </si>
  <si>
    <t>Кириченко Станислав</t>
  </si>
  <si>
    <t>29.11.2007</t>
  </si>
  <si>
    <t>Киричок Дмитрий</t>
  </si>
  <si>
    <t>20.02.2005</t>
  </si>
  <si>
    <t>Кирпанев Никита</t>
  </si>
  <si>
    <t>27.12.1994</t>
  </si>
  <si>
    <t>Кирпитнев Иван</t>
  </si>
  <si>
    <t>05.07.1993</t>
  </si>
  <si>
    <t>Кирьянов Дмитрий</t>
  </si>
  <si>
    <t>02.08.1975</t>
  </si>
  <si>
    <t>Кирьянов Игорь</t>
  </si>
  <si>
    <t>02.02.1993</t>
  </si>
  <si>
    <t>Кирющенков Кирилл</t>
  </si>
  <si>
    <t>Киряков Александр</t>
  </si>
  <si>
    <t>13.06.2003</t>
  </si>
  <si>
    <t>Киселев Вадим</t>
  </si>
  <si>
    <t>01.12.2002</t>
  </si>
  <si>
    <t>Киселев Дмитрий</t>
  </si>
  <si>
    <t>Киселев Егор</t>
  </si>
  <si>
    <t>12.02.2006</t>
  </si>
  <si>
    <t>12.07.2007</t>
  </si>
  <si>
    <t>Киселев Максим</t>
  </si>
  <si>
    <t>05.12.1998</t>
  </si>
  <si>
    <t>02.08.1991</t>
  </si>
  <si>
    <t>Киселев Федор</t>
  </si>
  <si>
    <t>Кислов Артем</t>
  </si>
  <si>
    <t>Кистанов Александр</t>
  </si>
  <si>
    <t>21.03.2005</t>
  </si>
  <si>
    <t>Кистанов Сергей</t>
  </si>
  <si>
    <t>Кистанов Тимофей</t>
  </si>
  <si>
    <t>08.07.2006</t>
  </si>
  <si>
    <t>27.06.2002</t>
  </si>
  <si>
    <t>Клапчук Станислав</t>
  </si>
  <si>
    <t>17.04.1986</t>
  </si>
  <si>
    <t>Клейнов Максим</t>
  </si>
  <si>
    <t>16.12.2006</t>
  </si>
  <si>
    <t>29.04.2000</t>
  </si>
  <si>
    <t>Клемяшов Арсений</t>
  </si>
  <si>
    <t>19.02.2001</t>
  </si>
  <si>
    <t>Клестов Евгений</t>
  </si>
  <si>
    <t>12.09.2003</t>
  </si>
  <si>
    <t>Клец Андрей</t>
  </si>
  <si>
    <t>Климаков Виктор</t>
  </si>
  <si>
    <t>09.03.1962</t>
  </si>
  <si>
    <t>Клименко Алексей</t>
  </si>
  <si>
    <t>Клименнко Кирилл</t>
  </si>
  <si>
    <t>10.11.2006</t>
  </si>
  <si>
    <t>Клименок Ефрем</t>
  </si>
  <si>
    <t>20.03.2007</t>
  </si>
  <si>
    <t>Климентьев Александр</t>
  </si>
  <si>
    <t>Климов Артем</t>
  </si>
  <si>
    <t>Климович Максим</t>
  </si>
  <si>
    <t>19.05.1997</t>
  </si>
  <si>
    <t>Клишин Евгений</t>
  </si>
  <si>
    <t>03.09.1954</t>
  </si>
  <si>
    <t>Клишо Владислав</t>
  </si>
  <si>
    <t>Клочко Никита</t>
  </si>
  <si>
    <t>Клочков Вячеслав</t>
  </si>
  <si>
    <t>Клычков Глеб</t>
  </si>
  <si>
    <t>08.02.2008</t>
  </si>
  <si>
    <t>Князев Виктор</t>
  </si>
  <si>
    <t>26.10.2001</t>
  </si>
  <si>
    <t>Князев Залим</t>
  </si>
  <si>
    <t>05.02.2004</t>
  </si>
  <si>
    <t>Князев Иван</t>
  </si>
  <si>
    <t>21.10.2005</t>
  </si>
  <si>
    <t>Князев Сергей</t>
  </si>
  <si>
    <t>14.11.2003</t>
  </si>
  <si>
    <t>Кобалия Лука</t>
  </si>
  <si>
    <t>02.01.2000</t>
  </si>
  <si>
    <t>Кобзев Прохор</t>
  </si>
  <si>
    <t>13.01.1999</t>
  </si>
  <si>
    <t>Ковалев Владислав</t>
  </si>
  <si>
    <t>Ковалев Георгий</t>
  </si>
  <si>
    <t>06.03.2006</t>
  </si>
  <si>
    <t>Ковалев Герман</t>
  </si>
  <si>
    <t>12.03.2001</t>
  </si>
  <si>
    <t>Ковалев Иван</t>
  </si>
  <si>
    <t>01.11.2006</t>
  </si>
  <si>
    <t>Ковалев Илья</t>
  </si>
  <si>
    <t>Ковалев Константин</t>
  </si>
  <si>
    <t>03.11.2005</t>
  </si>
  <si>
    <t>Ковалев Максим</t>
  </si>
  <si>
    <t>20.11.2000</t>
  </si>
  <si>
    <t>Ковалев Роман</t>
  </si>
  <si>
    <t>02.05.2007</t>
  </si>
  <si>
    <t>Ковалевич Кирилл</t>
  </si>
  <si>
    <t>30.11.2001</t>
  </si>
  <si>
    <t>Коваленко Александр</t>
  </si>
  <si>
    <t>20.09.2005</t>
  </si>
  <si>
    <t>20.03.2005</t>
  </si>
  <si>
    <t>Коваленко Дмитрий</t>
  </si>
  <si>
    <t>28.09.1970</t>
  </si>
  <si>
    <t>Коваленко Иван</t>
  </si>
  <si>
    <t>08.08.2002</t>
  </si>
  <si>
    <t>23.08.2004</t>
  </si>
  <si>
    <t>Коваленко Илья</t>
  </si>
  <si>
    <t>08.11.1996</t>
  </si>
  <si>
    <t>Коваль Алексей</t>
  </si>
  <si>
    <t>16.02.2008</t>
  </si>
  <si>
    <t>16.09.2000</t>
  </si>
  <si>
    <t>Ковальский Илья</t>
  </si>
  <si>
    <t>05.01.2008</t>
  </si>
  <si>
    <t>Ковальчук Виктор</t>
  </si>
  <si>
    <t>05.12.2002</t>
  </si>
  <si>
    <t>Кованкин Александр</t>
  </si>
  <si>
    <t>Ковенко Павел</t>
  </si>
  <si>
    <t>20.10.1985</t>
  </si>
  <si>
    <t>Новомихайловский  Красн.кр.</t>
  </si>
  <si>
    <t>Коврига Владимир</t>
  </si>
  <si>
    <t>Коган Яков</t>
  </si>
  <si>
    <t>Кожемякин Михаил</t>
  </si>
  <si>
    <t>20.05.1997</t>
  </si>
  <si>
    <t>Кожин Андрей</t>
  </si>
  <si>
    <t>27.10.2005</t>
  </si>
  <si>
    <t>Кожин Виктор</t>
  </si>
  <si>
    <t>11.02.2008</t>
  </si>
  <si>
    <t>Кожоев Сулейман</t>
  </si>
  <si>
    <t>Козлов Антон</t>
  </si>
  <si>
    <t>23.01.1983</t>
  </si>
  <si>
    <t>Козлов Артем</t>
  </si>
  <si>
    <t>31.10.2005</t>
  </si>
  <si>
    <t>Козлов Архип</t>
  </si>
  <si>
    <t>20.10.2006</t>
  </si>
  <si>
    <t>Козлов Виктор</t>
  </si>
  <si>
    <t>18.04.1978</t>
  </si>
  <si>
    <t>02.11.2005</t>
  </si>
  <si>
    <t>Козлов Максим</t>
  </si>
  <si>
    <t>16.09.2007</t>
  </si>
  <si>
    <t>Козлов Марк</t>
  </si>
  <si>
    <t>28.01.2008</t>
  </si>
  <si>
    <t>Козлов Михаил</t>
  </si>
  <si>
    <t>29.12.1970</t>
  </si>
  <si>
    <t>03.03.2006</t>
  </si>
  <si>
    <t>Козлов Никита</t>
  </si>
  <si>
    <t>17.08.1999</t>
  </si>
  <si>
    <t>Козлов Роман</t>
  </si>
  <si>
    <t>09.03.1979</t>
  </si>
  <si>
    <t>Козловский Александр</t>
  </si>
  <si>
    <t>06.05.1970</t>
  </si>
  <si>
    <t>Козырев Кирилл</t>
  </si>
  <si>
    <t>23.03.2005</t>
  </si>
  <si>
    <t>19.09.2002</t>
  </si>
  <si>
    <t>Койка Сергей</t>
  </si>
  <si>
    <t>24.10.2003</t>
  </si>
  <si>
    <t>Коков Эльдар</t>
  </si>
  <si>
    <t>Кокорин Родион</t>
  </si>
  <si>
    <t>04.03.2004</t>
  </si>
  <si>
    <t>Коленко Дмитрий</t>
  </si>
  <si>
    <t>Колесников Владимир</t>
  </si>
  <si>
    <t>13.09.2004</t>
  </si>
  <si>
    <t>Колесников Дмитрий</t>
  </si>
  <si>
    <t>01.05.1998</t>
  </si>
  <si>
    <t>Сафоново  Смол.обл.</t>
  </si>
  <si>
    <t>Колесников Илья</t>
  </si>
  <si>
    <t>Колмаков Алексей</t>
  </si>
  <si>
    <t>Колмаков Андрей</t>
  </si>
  <si>
    <t>22.05.1967</t>
  </si>
  <si>
    <t>Колмыков Александр</t>
  </si>
  <si>
    <t>05.09.2006</t>
  </si>
  <si>
    <t>Колмыков Георгий</t>
  </si>
  <si>
    <t>05.06.2001</t>
  </si>
  <si>
    <t>Колмыков Николай</t>
  </si>
  <si>
    <t>Колобов Александр</t>
  </si>
  <si>
    <t>Колодин Алексей</t>
  </si>
  <si>
    <t>20.12.1990</t>
  </si>
  <si>
    <t>Колодный Данил</t>
  </si>
  <si>
    <t>17.03.2007</t>
  </si>
  <si>
    <t>Колодских Альберт</t>
  </si>
  <si>
    <t>10.02.1977</t>
  </si>
  <si>
    <t>Коломеец Николай</t>
  </si>
  <si>
    <t>19.06.2004</t>
  </si>
  <si>
    <t>Коломийцев Петр</t>
  </si>
  <si>
    <t>18.06.1950</t>
  </si>
  <si>
    <t>Алушта</t>
  </si>
  <si>
    <t>Коломин Иван</t>
  </si>
  <si>
    <t>26.05.2006</t>
  </si>
  <si>
    <t>Коломыцев Анатолий</t>
  </si>
  <si>
    <t>22.07.1991</t>
  </si>
  <si>
    <t>Колосов Илья</t>
  </si>
  <si>
    <t>Колпаков Дмитрий</t>
  </si>
  <si>
    <t>Колтаков Павел</t>
  </si>
  <si>
    <t>31.05.2008</t>
  </si>
  <si>
    <t>Колупаев Андрей</t>
  </si>
  <si>
    <t>12.04.1997</t>
  </si>
  <si>
    <t>Колычев Никита</t>
  </si>
  <si>
    <t>Коляда Даниил</t>
  </si>
  <si>
    <t>Комаров Алексей</t>
  </si>
  <si>
    <t>13.01.2004</t>
  </si>
  <si>
    <t>Комаров Андрей</t>
  </si>
  <si>
    <t>13.09.2002</t>
  </si>
  <si>
    <t>Комиссаров Даниил</t>
  </si>
  <si>
    <t>Комлев Иван</t>
  </si>
  <si>
    <t>02.12.2003</t>
  </si>
  <si>
    <t>Комлев Никита</t>
  </si>
  <si>
    <t>11.04.2003</t>
  </si>
  <si>
    <t>Комов Александр</t>
  </si>
  <si>
    <t>04.08.1988</t>
  </si>
  <si>
    <t>Конашков Илья</t>
  </si>
  <si>
    <t>15.12.1994</t>
  </si>
  <si>
    <t>Кондаков Матвей</t>
  </si>
  <si>
    <t>07.01.2007</t>
  </si>
  <si>
    <t>Сибирский  Алт.кр.</t>
  </si>
  <si>
    <t>Кондратенко Вадим</t>
  </si>
  <si>
    <t>27.01.2001</t>
  </si>
  <si>
    <t>Кондратьев Дмитрий</t>
  </si>
  <si>
    <t>30.07.1995</t>
  </si>
  <si>
    <t>Кондратьев Иван</t>
  </si>
  <si>
    <t>03.01.2006</t>
  </si>
  <si>
    <t>Кондратьев Кирилл</t>
  </si>
  <si>
    <t>17.11.2008</t>
  </si>
  <si>
    <t>Кондратьев Станислав</t>
  </si>
  <si>
    <t>Кондрашов Дмитрий</t>
  </si>
  <si>
    <t>02.01.2007</t>
  </si>
  <si>
    <t>Кондрашов Илья</t>
  </si>
  <si>
    <t>13.02.2001</t>
  </si>
  <si>
    <t>25.07.2001</t>
  </si>
  <si>
    <t>Коноваленков Павел</t>
  </si>
  <si>
    <t>25.01.2002</t>
  </si>
  <si>
    <t>18.07.2004</t>
  </si>
  <si>
    <t>Коновалов Владимир</t>
  </si>
  <si>
    <t>08.09.2004</t>
  </si>
  <si>
    <t>Коновалов Кирилл</t>
  </si>
  <si>
    <t>Коновалов Константин</t>
  </si>
  <si>
    <t>03.12.2006</t>
  </si>
  <si>
    <t>Коновальчук Александр</t>
  </si>
  <si>
    <t>30.10.2007</t>
  </si>
  <si>
    <t>Кононенко Владислав</t>
  </si>
  <si>
    <t>24.05.1997</t>
  </si>
  <si>
    <t>Кононенко Даниил</t>
  </si>
  <si>
    <t>Кононов Валерий</t>
  </si>
  <si>
    <t>17.07.2001</t>
  </si>
  <si>
    <t>Кононов Виталий</t>
  </si>
  <si>
    <t>18.10.2004</t>
  </si>
  <si>
    <t>Коноплев Денис</t>
  </si>
  <si>
    <t>01.03.1995</t>
  </si>
  <si>
    <t>Констанский Юрий</t>
  </si>
  <si>
    <t>02.10.1998</t>
  </si>
  <si>
    <t>Ессентуки  Ст.кр.</t>
  </si>
  <si>
    <t>Константинов Степан</t>
  </si>
  <si>
    <t>10.04.2005</t>
  </si>
  <si>
    <t>Конышев Александр</t>
  </si>
  <si>
    <t>12.11.1975</t>
  </si>
  <si>
    <t>Копейкин Денис</t>
  </si>
  <si>
    <t>Копотев Аркадий</t>
  </si>
  <si>
    <t>Коптяев Виталий</t>
  </si>
  <si>
    <t>Копылов Владимир</t>
  </si>
  <si>
    <t>17.01.2004</t>
  </si>
  <si>
    <t>Копылов Владислав</t>
  </si>
  <si>
    <t>22.10.1995</t>
  </si>
  <si>
    <t>Копырин Алексей</t>
  </si>
  <si>
    <t>Кораблев Денис</t>
  </si>
  <si>
    <t>14.03.2004</t>
  </si>
  <si>
    <t>Коратыгин Иван</t>
  </si>
  <si>
    <t>16.05.2001</t>
  </si>
  <si>
    <t>Корбачков Сергей</t>
  </si>
  <si>
    <t>Корбунов Виталий</t>
  </si>
  <si>
    <t>Коренюгин Дмитрий</t>
  </si>
  <si>
    <t>12.06.2002</t>
  </si>
  <si>
    <t>Корепанов Никита</t>
  </si>
  <si>
    <t>26.07.2004</t>
  </si>
  <si>
    <t>Корзаченко Иван</t>
  </si>
  <si>
    <t>18.01.2003</t>
  </si>
  <si>
    <t>Коринчук Никита</t>
  </si>
  <si>
    <t>09.01.2000</t>
  </si>
  <si>
    <t>Корниенко Илья</t>
  </si>
  <si>
    <t>02.03.2002</t>
  </si>
  <si>
    <t>Корниенко Олег</t>
  </si>
  <si>
    <t>04.10.1977</t>
  </si>
  <si>
    <t>Корниенко Роман</t>
  </si>
  <si>
    <t>Корнилов Александр</t>
  </si>
  <si>
    <t>20.12.2006</t>
  </si>
  <si>
    <t>Корнилов Даниил</t>
  </si>
  <si>
    <t>Корнилов Иван</t>
  </si>
  <si>
    <t>11.01.2009</t>
  </si>
  <si>
    <t>Вербилки  Мос.обл.</t>
  </si>
  <si>
    <t>Корнилов Михаил</t>
  </si>
  <si>
    <t>Покровск  Саха</t>
  </si>
  <si>
    <t>Корнилов Никита</t>
  </si>
  <si>
    <t>13.04.2001</t>
  </si>
  <si>
    <t>Корнис Илья</t>
  </si>
  <si>
    <t>26.07.1986</t>
  </si>
  <si>
    <t>Коробейников Егор</t>
  </si>
  <si>
    <t>Коробков Денис</t>
  </si>
  <si>
    <t>Коробов Андрей</t>
  </si>
  <si>
    <t>11.08.2005</t>
  </si>
  <si>
    <t>Коробов Иван</t>
  </si>
  <si>
    <t>23.02.1987</t>
  </si>
  <si>
    <t>Коровкин Артем</t>
  </si>
  <si>
    <t>Королев Александр</t>
  </si>
  <si>
    <t>19.04.2005</t>
  </si>
  <si>
    <t>Королев Дмитрий</t>
  </si>
  <si>
    <t>Королев Евгений</t>
  </si>
  <si>
    <t>30.01.2006</t>
  </si>
  <si>
    <t>Королев Игорь</t>
  </si>
  <si>
    <t>27.11.2001</t>
  </si>
  <si>
    <t>Королев Кирилл</t>
  </si>
  <si>
    <t>Королев Семен</t>
  </si>
  <si>
    <t>07.10.1989</t>
  </si>
  <si>
    <t>Королев Сергей</t>
  </si>
  <si>
    <t>19.11.1977</t>
  </si>
  <si>
    <t>Королев Степан</t>
  </si>
  <si>
    <t>31.05.2001</t>
  </si>
  <si>
    <t>Королев Тимофей</t>
  </si>
  <si>
    <t>05.04.2003</t>
  </si>
  <si>
    <t>Король Владислав</t>
  </si>
  <si>
    <t>Король Николай</t>
  </si>
  <si>
    <t>19.01.1952</t>
  </si>
  <si>
    <t>Малый Маяк  Крым</t>
  </si>
  <si>
    <t>Корольков Егор</t>
  </si>
  <si>
    <t>Корольков Иван</t>
  </si>
  <si>
    <t>09.09.2004</t>
  </si>
  <si>
    <t>Коротаев Егор</t>
  </si>
  <si>
    <t>07.11.2006</t>
  </si>
  <si>
    <t>Коротков Александр</t>
  </si>
  <si>
    <t>21.11.1989</t>
  </si>
  <si>
    <t>Коротков Степан</t>
  </si>
  <si>
    <t>10.03.2004</t>
  </si>
  <si>
    <t>03.07.2003</t>
  </si>
  <si>
    <t>04.09.2001</t>
  </si>
  <si>
    <t>Корсунский Максим</t>
  </si>
  <si>
    <t>Корх Андрей</t>
  </si>
  <si>
    <t>18.11.2003</t>
  </si>
  <si>
    <t>Корчелава Денис</t>
  </si>
  <si>
    <t>Коршунов Даниил</t>
  </si>
  <si>
    <t>22.04.2003</t>
  </si>
  <si>
    <t>Коршунов Егор</t>
  </si>
  <si>
    <t>Корытников Артем</t>
  </si>
  <si>
    <t>Корытов Максим</t>
  </si>
  <si>
    <t>16.11.2006</t>
  </si>
  <si>
    <t>Усть-Киран  Бурятия</t>
  </si>
  <si>
    <t>Корючкин Савелий</t>
  </si>
  <si>
    <t>05.07.2004</t>
  </si>
  <si>
    <t>Корякин Никита</t>
  </si>
  <si>
    <t>Коряковцев Денис</t>
  </si>
  <si>
    <t>11.10.2001</t>
  </si>
  <si>
    <t>Косакян Жора</t>
  </si>
  <si>
    <t>Косарев Артем</t>
  </si>
  <si>
    <t>30.12.2006</t>
  </si>
  <si>
    <t>Косилов Владислав</t>
  </si>
  <si>
    <t>16.03.2003</t>
  </si>
  <si>
    <t>Косинов Никита</t>
  </si>
  <si>
    <t>Косинский Владислав</t>
  </si>
  <si>
    <t>09.10.2001</t>
  </si>
  <si>
    <t>Космачев Иван</t>
  </si>
  <si>
    <t>27.04.2006</t>
  </si>
  <si>
    <t>Прохладный  КБР</t>
  </si>
  <si>
    <t>Косовец Арсений</t>
  </si>
  <si>
    <t>11.12.2005</t>
  </si>
  <si>
    <t>Косолапов Николай</t>
  </si>
  <si>
    <t>11.12.1987</t>
  </si>
  <si>
    <t>Костиков Николай</t>
  </si>
  <si>
    <t>31.12.2000</t>
  </si>
  <si>
    <t>Костин Даниил</t>
  </si>
  <si>
    <t>29.04.2001</t>
  </si>
  <si>
    <t>Костин Семен</t>
  </si>
  <si>
    <t>15.01.2001</t>
  </si>
  <si>
    <t>Костриков Сергей</t>
  </si>
  <si>
    <t>06.04.1969</t>
  </si>
  <si>
    <t>29.11.2000</t>
  </si>
  <si>
    <t>Костромин Кирилл</t>
  </si>
  <si>
    <t>Костырев Кирилл</t>
  </si>
  <si>
    <t>24.12.2004</t>
  </si>
  <si>
    <t>КОСТЮЧЕНКО Константин</t>
  </si>
  <si>
    <t>16.07.1999</t>
  </si>
  <si>
    <t>Косых Александр</t>
  </si>
  <si>
    <t>03.05.2007</t>
  </si>
  <si>
    <t>Косюга Артем</t>
  </si>
  <si>
    <t>03.12.2004</t>
  </si>
  <si>
    <t>Котляров Никита</t>
  </si>
  <si>
    <t>07.03.1992</t>
  </si>
  <si>
    <t>03.02.2002</t>
  </si>
  <si>
    <t>21.06.1999</t>
  </si>
  <si>
    <t>Котов Степан</t>
  </si>
  <si>
    <t>28.02.2008</t>
  </si>
  <si>
    <t>Котышов Дмитрий</t>
  </si>
  <si>
    <t>Умет  Тамб.обл.</t>
  </si>
  <si>
    <t>Котюбеев Тимофей</t>
  </si>
  <si>
    <t>Котюшев Роман</t>
  </si>
  <si>
    <t>Коцюба Артем</t>
  </si>
  <si>
    <t>20.08.2002</t>
  </si>
  <si>
    <t>Коцюба Никита</t>
  </si>
  <si>
    <t>Кочагин Илья</t>
  </si>
  <si>
    <t>02.08.2002</t>
  </si>
  <si>
    <t>Кочерба Александр</t>
  </si>
  <si>
    <t>Кочерук Олег</t>
  </si>
  <si>
    <t>01.01.1949</t>
  </si>
  <si>
    <t>Кочетков Алексей</t>
  </si>
  <si>
    <t>30.04.2004</t>
  </si>
  <si>
    <t>Данков  Лип.о.</t>
  </si>
  <si>
    <t>Кочетков Константин</t>
  </si>
  <si>
    <t>09.11.2000</t>
  </si>
  <si>
    <t>Кочкарев Иван</t>
  </si>
  <si>
    <t>Кочкин Никита</t>
  </si>
  <si>
    <t>Кочконян Вячеслав</t>
  </si>
  <si>
    <t>02.10.2006</t>
  </si>
  <si>
    <t>Кочнев Дмитрий</t>
  </si>
  <si>
    <t>09.01.2008</t>
  </si>
  <si>
    <t>Кочура Михаил</t>
  </si>
  <si>
    <t>12.12.2007</t>
  </si>
  <si>
    <t>Кошелев Кирилл</t>
  </si>
  <si>
    <t>Кошель Никита</t>
  </si>
  <si>
    <t>24.05.2004</t>
  </si>
  <si>
    <t>Новотроицкое  Рост.обл.</t>
  </si>
  <si>
    <t>Кошельников Андрей</t>
  </si>
  <si>
    <t>18.07.2008</t>
  </si>
  <si>
    <t>Кошеляев Владислав</t>
  </si>
  <si>
    <t>Кошкин Андрей</t>
  </si>
  <si>
    <t>Кошкин Денис</t>
  </si>
  <si>
    <t>15.08.2002</t>
  </si>
  <si>
    <t>Кошкин Иван</t>
  </si>
  <si>
    <t>06.02.2003</t>
  </si>
  <si>
    <t>Кошоев Толон</t>
  </si>
  <si>
    <t>06.08.1978</t>
  </si>
  <si>
    <t>Кызыл  Тыва</t>
  </si>
  <si>
    <t>Кошолкин Иван</t>
  </si>
  <si>
    <t>10.08.2006</t>
  </si>
  <si>
    <t>14.06.2002</t>
  </si>
  <si>
    <t>Кравцов Иван</t>
  </si>
  <si>
    <t>14.06.2006</t>
  </si>
  <si>
    <t>Кравченко Роман</t>
  </si>
  <si>
    <t>07.06.1978</t>
  </si>
  <si>
    <t>Краев Валерий</t>
  </si>
  <si>
    <t>22.07.1988</t>
  </si>
  <si>
    <t>Крамаренко Алексей</t>
  </si>
  <si>
    <t>24.03.2002</t>
  </si>
  <si>
    <t>10.10.2001</t>
  </si>
  <si>
    <t>Крапивницкий Александр</t>
  </si>
  <si>
    <t>20.08.1974</t>
  </si>
  <si>
    <t>Красавин Леонид</t>
  </si>
  <si>
    <t>Красавин Никита</t>
  </si>
  <si>
    <t>29.03.2000</t>
  </si>
  <si>
    <t>Краснов Арсений</t>
  </si>
  <si>
    <t>11.09.2007</t>
  </si>
  <si>
    <t>Краснов Артем</t>
  </si>
  <si>
    <t>Краснов Валерий</t>
  </si>
  <si>
    <t>Краснов Кирилл</t>
  </si>
  <si>
    <t>Красногаев Дмитрий</t>
  </si>
  <si>
    <t>27.06.2000</t>
  </si>
  <si>
    <t>Красножон Михаил</t>
  </si>
  <si>
    <t>09.09.2006</t>
  </si>
  <si>
    <t>Краснянский Александр</t>
  </si>
  <si>
    <t>09.12.2001</t>
  </si>
  <si>
    <t>Красовский Аркадий</t>
  </si>
  <si>
    <t>Крашеков Михаил</t>
  </si>
  <si>
    <t>Крашенинников Денис</t>
  </si>
  <si>
    <t>16.07.1990</t>
  </si>
  <si>
    <t>Кребс Андрей</t>
  </si>
  <si>
    <t>31.07.2002</t>
  </si>
  <si>
    <t>Крегель Дмитрий</t>
  </si>
  <si>
    <t>22.09.1992</t>
  </si>
  <si>
    <t>Креницын Александр</t>
  </si>
  <si>
    <t>27.03.2000</t>
  </si>
  <si>
    <t>Кретов Даниил</t>
  </si>
  <si>
    <t>18.07.2002</t>
  </si>
  <si>
    <t>Кречет Никита</t>
  </si>
  <si>
    <t>23.08.2003</t>
  </si>
  <si>
    <t>Кривилин Никита</t>
  </si>
  <si>
    <t>18.06.2008</t>
  </si>
  <si>
    <t>Кривоборский Григорий</t>
  </si>
  <si>
    <t>Кривов Антон</t>
  </si>
  <si>
    <t>Криволап Олег</t>
  </si>
  <si>
    <t>30.07.1979</t>
  </si>
  <si>
    <t>Кривоногов Виталий</t>
  </si>
  <si>
    <t>Кривоноженков Артем</t>
  </si>
  <si>
    <t>25.04.1997</t>
  </si>
  <si>
    <t>Кривоусов Владислав</t>
  </si>
  <si>
    <t>25.01.2007</t>
  </si>
  <si>
    <t>Кривошапкин Владимир</t>
  </si>
  <si>
    <t>09.08.2004</t>
  </si>
  <si>
    <t>Хатылы  Якут.</t>
  </si>
  <si>
    <t>Кривошеев Александр</t>
  </si>
  <si>
    <t>18.12.2005</t>
  </si>
  <si>
    <t>Кривошеев Вячеслав</t>
  </si>
  <si>
    <t>28.10.1987</t>
  </si>
  <si>
    <t>Кривошеин Александр</t>
  </si>
  <si>
    <t>13.12.1989</t>
  </si>
  <si>
    <t>Крикунов Андрей</t>
  </si>
  <si>
    <t>14.12.2007</t>
  </si>
  <si>
    <t>Крикунов Сергей</t>
  </si>
  <si>
    <t>Крикущенко Даниил</t>
  </si>
  <si>
    <t>Криницын Максим</t>
  </si>
  <si>
    <t>Криуля Игорь</t>
  </si>
  <si>
    <t>Кроптя Кирилл</t>
  </si>
  <si>
    <t>19.09.2001</t>
  </si>
  <si>
    <t>Кротиков Ярослав</t>
  </si>
  <si>
    <t>Крохин Вадим</t>
  </si>
  <si>
    <t>Крупский Артем</t>
  </si>
  <si>
    <t>23.03.2003</t>
  </si>
  <si>
    <t>Крутько Алексей</t>
  </si>
  <si>
    <t>01.01.1994</t>
  </si>
  <si>
    <t>Крылов Александр</t>
  </si>
  <si>
    <t>01.01.1987</t>
  </si>
  <si>
    <t>Кленовка  Крым</t>
  </si>
  <si>
    <t>Крылов Савелий</t>
  </si>
  <si>
    <t>Крылов Сергей</t>
  </si>
  <si>
    <t>Крыхтин Александр</t>
  </si>
  <si>
    <t>04.09.2007</t>
  </si>
  <si>
    <t>14.11.2002</t>
  </si>
  <si>
    <t>Крюков Марат</t>
  </si>
  <si>
    <t>Крючков Родион</t>
  </si>
  <si>
    <t>21.04.2001</t>
  </si>
  <si>
    <t>Солничнодольск Ст.кр.</t>
  </si>
  <si>
    <t>Ксенофонтов Виктор</t>
  </si>
  <si>
    <t>19.09.2004</t>
  </si>
  <si>
    <t>Кубанычбеков Тимур</t>
  </si>
  <si>
    <t>24.02.2002</t>
  </si>
  <si>
    <t>Кугучев Алексей</t>
  </si>
  <si>
    <t>01.10.2001</t>
  </si>
  <si>
    <t>Куделько Павел</t>
  </si>
  <si>
    <t>Куделя Александр</t>
  </si>
  <si>
    <t>Кудрявцев Никита</t>
  </si>
  <si>
    <t>01.04.2005</t>
  </si>
  <si>
    <t>Кудряшов Руслан</t>
  </si>
  <si>
    <t>03.03.1990</t>
  </si>
  <si>
    <t>Кузин Константин</t>
  </si>
  <si>
    <t>08.07.2005</t>
  </si>
  <si>
    <t>Кузин Максим</t>
  </si>
  <si>
    <t>Кузинов Александр</t>
  </si>
  <si>
    <t>Кузлякин Вячеслав</t>
  </si>
  <si>
    <t>24.05.1975</t>
  </si>
  <si>
    <t>Кузнецов Александр</t>
  </si>
  <si>
    <t>10.05.2004</t>
  </si>
  <si>
    <t>Кузнецов Арсений</t>
  </si>
  <si>
    <t>16.01.2007</t>
  </si>
  <si>
    <t>24.11.2005</t>
  </si>
  <si>
    <t>25.09.2003</t>
  </si>
  <si>
    <t>Кузнецов Владимир</t>
  </si>
  <si>
    <t>14.02.2008</t>
  </si>
  <si>
    <t>Кузнецов Владислав</t>
  </si>
  <si>
    <t>Кузнецов Константин</t>
  </si>
  <si>
    <t>30.09.1998</t>
  </si>
  <si>
    <t>04.12.1999</t>
  </si>
  <si>
    <t>23.02.2000</t>
  </si>
  <si>
    <t>Кузнецов Павел</t>
  </si>
  <si>
    <t>Кузык Ярослав</t>
  </si>
  <si>
    <t>09.05.2004</t>
  </si>
  <si>
    <t>26.04.2000</t>
  </si>
  <si>
    <t>Кузьмин Виталий</t>
  </si>
  <si>
    <t>01.07.1997</t>
  </si>
  <si>
    <t>Кузьмин Федор</t>
  </si>
  <si>
    <t>17.04.1983</t>
  </si>
  <si>
    <t>Кузьмич Игорь</t>
  </si>
  <si>
    <t>Кузьмичев Артемий</t>
  </si>
  <si>
    <t>25.05.2007</t>
  </si>
  <si>
    <t>Кузьмичук Егор</t>
  </si>
  <si>
    <t>08.01.2008</t>
  </si>
  <si>
    <t>Куимов Филипп</t>
  </si>
  <si>
    <t>12.07.1994</t>
  </si>
  <si>
    <t>Кукарцев Павел</t>
  </si>
  <si>
    <t>Кукушкин Сергей</t>
  </si>
  <si>
    <t>29.08.1971</t>
  </si>
  <si>
    <t>Георгиевск  Ставр.кр.</t>
  </si>
  <si>
    <t>Кулагин Артем</t>
  </si>
  <si>
    <t>05.06.1989</t>
  </si>
  <si>
    <t>Кулагин Олег</t>
  </si>
  <si>
    <t>09.02.1962</t>
  </si>
  <si>
    <t>07.05.2001</t>
  </si>
  <si>
    <t>Кулаков Тимофей</t>
  </si>
  <si>
    <t>30.06.2007</t>
  </si>
  <si>
    <t>Кулешов Игорь</t>
  </si>
  <si>
    <t>09.09.2003</t>
  </si>
  <si>
    <t>Кулигин Евгений</t>
  </si>
  <si>
    <t>Кулиев Магомед</t>
  </si>
  <si>
    <t>18.02.1961</t>
  </si>
  <si>
    <t>Кулик Илья</t>
  </si>
  <si>
    <t>12.11.2005</t>
  </si>
  <si>
    <t>Кулик Тимофей</t>
  </si>
  <si>
    <t>Куликовский Дмитрий</t>
  </si>
  <si>
    <t>17.08.2000</t>
  </si>
  <si>
    <t>28.04.2002</t>
  </si>
  <si>
    <t>Кулышев Денис</t>
  </si>
  <si>
    <t>19.09.1981</t>
  </si>
  <si>
    <t>Кульков Серафим</t>
  </si>
  <si>
    <t>Куминов Владислав</t>
  </si>
  <si>
    <t>16.03.2004</t>
  </si>
  <si>
    <t>Кумыков Арсен</t>
  </si>
  <si>
    <t>06.07.2001</t>
  </si>
  <si>
    <t>Кунаев Жаслан</t>
  </si>
  <si>
    <t>29.10.2002</t>
  </si>
  <si>
    <t>Куниченко Сергей</t>
  </si>
  <si>
    <t>05.12.1977</t>
  </si>
  <si>
    <t>Куокканен Степан</t>
  </si>
  <si>
    <t>Курамшин Михаил</t>
  </si>
  <si>
    <t>Курасов Егор</t>
  </si>
  <si>
    <t>14.11.2001</t>
  </si>
  <si>
    <t>02.10.2001</t>
  </si>
  <si>
    <t>Курбасов Иван</t>
  </si>
  <si>
    <t>Курбатов Максим</t>
  </si>
  <si>
    <t>18.08.2002</t>
  </si>
  <si>
    <t>Курдюков Владислав</t>
  </si>
  <si>
    <t>25.09.2008</t>
  </si>
  <si>
    <t>Курдюмов Лев</t>
  </si>
  <si>
    <t>27.03.2006</t>
  </si>
  <si>
    <t>Куренков Николай</t>
  </si>
  <si>
    <t>07.06.2008</t>
  </si>
  <si>
    <t>Куреной Андрей</t>
  </si>
  <si>
    <t>Куриленко Данила</t>
  </si>
  <si>
    <t>Курилкин Данил</t>
  </si>
  <si>
    <t>29.04.2003</t>
  </si>
  <si>
    <t>Курило Игорь</t>
  </si>
  <si>
    <t>23.11.1995</t>
  </si>
  <si>
    <t>Курилович Ярослав</t>
  </si>
  <si>
    <t>03.01.2007</t>
  </si>
  <si>
    <t>Куринной Андрей</t>
  </si>
  <si>
    <t>Курицын Александр</t>
  </si>
  <si>
    <t>Куркин Денис</t>
  </si>
  <si>
    <t>23.05.1991</t>
  </si>
  <si>
    <t>КУРМАНГАЛИЕВ Алан</t>
  </si>
  <si>
    <t>12.01.2007</t>
  </si>
  <si>
    <t>Курмышов Никита</t>
  </si>
  <si>
    <t>27.02.2001</t>
  </si>
  <si>
    <t>Курнаев Олег</t>
  </si>
  <si>
    <t>16.02.2001</t>
  </si>
  <si>
    <t>Курников Кирилл</t>
  </si>
  <si>
    <t>16.02.2006</t>
  </si>
  <si>
    <t>Курников Михаил</t>
  </si>
  <si>
    <t>Курочкин Андрей</t>
  </si>
  <si>
    <t>Курочкин Данил</t>
  </si>
  <si>
    <t>Курочкин Никита</t>
  </si>
  <si>
    <t>16.04.2006</t>
  </si>
  <si>
    <t>Курьянов Артем</t>
  </si>
  <si>
    <t>25.08.2005</t>
  </si>
  <si>
    <t>Курячий Иван</t>
  </si>
  <si>
    <t>31.10.2006</t>
  </si>
  <si>
    <t>Кустов Игорь</t>
  </si>
  <si>
    <t>29.06.1992</t>
  </si>
  <si>
    <t>Куталия Даниил</t>
  </si>
  <si>
    <t>24.05.2006</t>
  </si>
  <si>
    <t>Кутев Даниил</t>
  </si>
  <si>
    <t>22.02.2004</t>
  </si>
  <si>
    <t>Кутепов Никита</t>
  </si>
  <si>
    <t>02.07.2000</t>
  </si>
  <si>
    <t>Кутепов Степан</t>
  </si>
  <si>
    <t>28.06.2001</t>
  </si>
  <si>
    <t>Куценко Владислав</t>
  </si>
  <si>
    <t>13.08.1980</t>
  </si>
  <si>
    <t>Кучеренко Иван</t>
  </si>
  <si>
    <t>17.09.2006</t>
  </si>
  <si>
    <t>Кучерук Олег</t>
  </si>
  <si>
    <t>13.01.1949</t>
  </si>
  <si>
    <t>Кучин Степан</t>
  </si>
  <si>
    <t>26.09.2004</t>
  </si>
  <si>
    <t>Кучугурин Богдан</t>
  </si>
  <si>
    <t>Кучуков Артем</t>
  </si>
  <si>
    <t>Кылабысов Михаил</t>
  </si>
  <si>
    <t>20.11.1998</t>
  </si>
  <si>
    <t>Майя  Р.Саха</t>
  </si>
  <si>
    <t>КЫСТАУБАЕВ Дамир</t>
  </si>
  <si>
    <t>27.11.2005</t>
  </si>
  <si>
    <t>Алматы  Казахстан</t>
  </si>
  <si>
    <t>Кяргинский Даниил</t>
  </si>
  <si>
    <t>28.02.2001</t>
  </si>
  <si>
    <t>Лаврентьев Максим</t>
  </si>
  <si>
    <t>26.04.1994</t>
  </si>
  <si>
    <t>Лаврецкий Михаил</t>
  </si>
  <si>
    <t>26.03.2008</t>
  </si>
  <si>
    <t>Лавров Никита</t>
  </si>
  <si>
    <t>09.10.2007</t>
  </si>
  <si>
    <t>Лавров Ярослав</t>
  </si>
  <si>
    <t>09.05.2008</t>
  </si>
  <si>
    <t>Лагутько Олег</t>
  </si>
  <si>
    <t>28.07.2002</t>
  </si>
  <si>
    <t>Лазарев Игорь</t>
  </si>
  <si>
    <t>17.06.2005</t>
  </si>
  <si>
    <t>09.06.2007</t>
  </si>
  <si>
    <t>Лазарев Илья</t>
  </si>
  <si>
    <t>Лазарев Михаил</t>
  </si>
  <si>
    <t>16.07.2007</t>
  </si>
  <si>
    <t>Лазарев Петр</t>
  </si>
  <si>
    <t>13.07.1999</t>
  </si>
  <si>
    <t>Лазарев Тимофей</t>
  </si>
  <si>
    <t>25.06.2007</t>
  </si>
  <si>
    <t>Лазутин Артем</t>
  </si>
  <si>
    <t>10.01.2008</t>
  </si>
  <si>
    <t>Лакатош Николай</t>
  </si>
  <si>
    <t>11.10.2005</t>
  </si>
  <si>
    <t>Лакеев Василий</t>
  </si>
  <si>
    <t>07.11.1984</t>
  </si>
  <si>
    <t>Лактионов Евгений</t>
  </si>
  <si>
    <t>18.01.2001</t>
  </si>
  <si>
    <t>Лалаян Рауль</t>
  </si>
  <si>
    <t>29.12.2004</t>
  </si>
  <si>
    <t>Лановой Александр</t>
  </si>
  <si>
    <t>26.02.2006</t>
  </si>
  <si>
    <t>Лапаев Иван</t>
  </si>
  <si>
    <t>Лапаев Илья</t>
  </si>
  <si>
    <t>Лапин Андрей</t>
  </si>
  <si>
    <t>12.11.1985</t>
  </si>
  <si>
    <t>Лаптев Антон</t>
  </si>
  <si>
    <t>Лапшин Федор</t>
  </si>
  <si>
    <t>06.06.2001</t>
  </si>
  <si>
    <t>Ларин Матвей</t>
  </si>
  <si>
    <t>17.04.2004</t>
  </si>
  <si>
    <t>Ларионов Даниил</t>
  </si>
  <si>
    <t>08.01.2006</t>
  </si>
  <si>
    <t>Латипов Булат</t>
  </si>
  <si>
    <t>09.05.2003</t>
  </si>
  <si>
    <t>Латута Дмитрий</t>
  </si>
  <si>
    <t>Латышев Кирилл</t>
  </si>
  <si>
    <t>07.07.2005</t>
  </si>
  <si>
    <t>24.07.2002</t>
  </si>
  <si>
    <t>Лашманов Владимир</t>
  </si>
  <si>
    <t>29.05.1975</t>
  </si>
  <si>
    <t>Лебедев Артем</t>
  </si>
  <si>
    <t>Лебедев Кирилл</t>
  </si>
  <si>
    <t>Лебедев Максим</t>
  </si>
  <si>
    <t>11.05.1995</t>
  </si>
  <si>
    <t>Лебедев Михаил</t>
  </si>
  <si>
    <t>09.05.2002</t>
  </si>
  <si>
    <t>Лебедев Роман</t>
  </si>
  <si>
    <t>08.06.2004</t>
  </si>
  <si>
    <t>Лебедев Тимофей</t>
  </si>
  <si>
    <t>ЛЕВАЙАЦ Дмитрие</t>
  </si>
  <si>
    <t>Левашов Ярослав</t>
  </si>
  <si>
    <t>Левин Сергей</t>
  </si>
  <si>
    <t>30.12.1956</t>
  </si>
  <si>
    <t>Левинсон Михаил</t>
  </si>
  <si>
    <t>17.02.2000</t>
  </si>
  <si>
    <t>Левицкий Иван</t>
  </si>
  <si>
    <t>13.05.2003</t>
  </si>
  <si>
    <t>Левченко Олег</t>
  </si>
  <si>
    <t>24.12.1980</t>
  </si>
  <si>
    <t>Левша Роман</t>
  </si>
  <si>
    <t>Леднев Даниил</t>
  </si>
  <si>
    <t>Леднев Иван</t>
  </si>
  <si>
    <t>10.08.1970</t>
  </si>
  <si>
    <t>Ледяев Андрей</t>
  </si>
  <si>
    <t>06.06.1970</t>
  </si>
  <si>
    <t>Ледяев Илья</t>
  </si>
  <si>
    <t>17.08.2003</t>
  </si>
  <si>
    <t>Ледяев Никита</t>
  </si>
  <si>
    <t>07.10.2003</t>
  </si>
  <si>
    <t>Ледяев Руслан</t>
  </si>
  <si>
    <t>Лежнев Сергей</t>
  </si>
  <si>
    <t>Лемехов Михаил</t>
  </si>
  <si>
    <t>29.03.2007</t>
  </si>
  <si>
    <t>Леонидов Александр</t>
  </si>
  <si>
    <t>01.04.2006</t>
  </si>
  <si>
    <t>06.06.2007</t>
  </si>
  <si>
    <t>Леонов Иван</t>
  </si>
  <si>
    <t>19.01.1991</t>
  </si>
  <si>
    <t>Леонов Михаил</t>
  </si>
  <si>
    <t>Леонов Николай</t>
  </si>
  <si>
    <t>27.05.2005</t>
  </si>
  <si>
    <t>Леонов Степан</t>
  </si>
  <si>
    <t>09.08.2006</t>
  </si>
  <si>
    <t>Леонович Станислав</t>
  </si>
  <si>
    <t>15.01.1987</t>
  </si>
  <si>
    <t>Леонтьев Никита</t>
  </si>
  <si>
    <t>Леонченко Арсений</t>
  </si>
  <si>
    <t>03.09.2006</t>
  </si>
  <si>
    <t>Лепа Олег</t>
  </si>
  <si>
    <t>05.07.1970</t>
  </si>
  <si>
    <t>Лепихин Матвей</t>
  </si>
  <si>
    <t>06.02.2008</t>
  </si>
  <si>
    <t>28.10.2001</t>
  </si>
  <si>
    <t>Лешкин Артем</t>
  </si>
  <si>
    <t>14.05.2005</t>
  </si>
  <si>
    <t>Ли Кирилл</t>
  </si>
  <si>
    <t>14.01.2002</t>
  </si>
  <si>
    <t>24.06.2001</t>
  </si>
  <si>
    <t>Ли Сергей</t>
  </si>
  <si>
    <t>03.07.1981</t>
  </si>
  <si>
    <t>Мирный</t>
  </si>
  <si>
    <t>Либацкий Александр</t>
  </si>
  <si>
    <t>03.04.1965</t>
  </si>
  <si>
    <t>Апрелевка Мос.о.</t>
  </si>
  <si>
    <t>Ливенцов Алексей</t>
  </si>
  <si>
    <t>02.11.1981</t>
  </si>
  <si>
    <t>Линев Андрей</t>
  </si>
  <si>
    <t>20.11.2002</t>
  </si>
  <si>
    <t>12.07.2001</t>
  </si>
  <si>
    <t>Липатников Николай</t>
  </si>
  <si>
    <t>Лисак Денис</t>
  </si>
  <si>
    <t>09.02.2005</t>
  </si>
  <si>
    <t>07.01.1999</t>
  </si>
  <si>
    <t>12.12.2002</t>
  </si>
  <si>
    <t>Литвиненко Захар</t>
  </si>
  <si>
    <t>Литвинов Егор</t>
  </si>
  <si>
    <t>20.06.2005</t>
  </si>
  <si>
    <t>Литвинов Степан</t>
  </si>
  <si>
    <t>10.05.2005</t>
  </si>
  <si>
    <t>Литвинцев Платон</t>
  </si>
  <si>
    <t>Литкиман Константин</t>
  </si>
  <si>
    <t>Лихачев Иван</t>
  </si>
  <si>
    <t>05.11.1999</t>
  </si>
  <si>
    <t>Лихобаба Александр</t>
  </si>
  <si>
    <t>14.01.2007</t>
  </si>
  <si>
    <t>Лияскин Сергей</t>
  </si>
  <si>
    <t>20.06.1990</t>
  </si>
  <si>
    <t>Лобанов Дмитрий</t>
  </si>
  <si>
    <t>16.08.2000</t>
  </si>
  <si>
    <t>Лобач Федор</t>
  </si>
  <si>
    <t>24.08.1999</t>
  </si>
  <si>
    <t>Лобачев Вадим</t>
  </si>
  <si>
    <t>Лобовиков Артем</t>
  </si>
  <si>
    <t>14.01.2004</t>
  </si>
  <si>
    <t>Лобовиков Юрий</t>
  </si>
  <si>
    <t>03.07.1980</t>
  </si>
  <si>
    <t>Ловчий Евгений</t>
  </si>
  <si>
    <t>04.09.2005</t>
  </si>
  <si>
    <t>Логвин Михаил</t>
  </si>
  <si>
    <t>05.03.2008</t>
  </si>
  <si>
    <t>Логвиненко Кирилл</t>
  </si>
  <si>
    <t>Логинов Артем</t>
  </si>
  <si>
    <t>19.10.2004</t>
  </si>
  <si>
    <t>Логинов Станислав</t>
  </si>
  <si>
    <t>13.06.2005</t>
  </si>
  <si>
    <t>Логинов Ян</t>
  </si>
  <si>
    <t>04.11.2005</t>
  </si>
  <si>
    <t>Логунов Артем</t>
  </si>
  <si>
    <t>Логутов Даниил</t>
  </si>
  <si>
    <t>08.08.2005</t>
  </si>
  <si>
    <t>Лодыгин Владимир</t>
  </si>
  <si>
    <t>23.09.1998</t>
  </si>
  <si>
    <t>Лозицкий Алексей</t>
  </si>
  <si>
    <t>02.05.2001</t>
  </si>
  <si>
    <t>Лозовский Кирилл</t>
  </si>
  <si>
    <t>Лойко Георгий</t>
  </si>
  <si>
    <t>Локтионов Василий</t>
  </si>
  <si>
    <t>13.07.1984</t>
  </si>
  <si>
    <t>Ломакин Павел</t>
  </si>
  <si>
    <t>30.03.2001</t>
  </si>
  <si>
    <t>Лопатин Никита</t>
  </si>
  <si>
    <t>14.04.2000</t>
  </si>
  <si>
    <t>Лопин Арсений</t>
  </si>
  <si>
    <t>12.11.2008</t>
  </si>
  <si>
    <t>Лоскутов Алексей</t>
  </si>
  <si>
    <t>07.05.2002</t>
  </si>
  <si>
    <t>Лоскутов Владимир</t>
  </si>
  <si>
    <t>Лоскутов Данил</t>
  </si>
  <si>
    <t>Лоскутов Дмитрий</t>
  </si>
  <si>
    <t>23.06.1971</t>
  </si>
  <si>
    <t>Лоскутов Ладимир</t>
  </si>
  <si>
    <t>Лосюков Андрей</t>
  </si>
  <si>
    <t>03.11.2002</t>
  </si>
  <si>
    <t>Лошаков Константин</t>
  </si>
  <si>
    <t>08.01.2003</t>
  </si>
  <si>
    <t>Лузанов Даниил</t>
  </si>
  <si>
    <t>15.05.2003</t>
  </si>
  <si>
    <t>Лукаш Егор</t>
  </si>
  <si>
    <t>21.09.2002</t>
  </si>
  <si>
    <t>Лукашев Иван</t>
  </si>
  <si>
    <t>14.04.1981</t>
  </si>
  <si>
    <t>Приморско-Ахтарск  Красн.кр.</t>
  </si>
  <si>
    <t>Лукин Дмитрий</t>
  </si>
  <si>
    <t>08.11.2006</t>
  </si>
  <si>
    <t>Лукьянов Павел</t>
  </si>
  <si>
    <t>17.08.1979</t>
  </si>
  <si>
    <t>Луннов Владимир</t>
  </si>
  <si>
    <t>Лускин Никита</t>
  </si>
  <si>
    <t>27.05.2006</t>
  </si>
  <si>
    <t>Луста Степан</t>
  </si>
  <si>
    <t>27.10.2006</t>
  </si>
  <si>
    <t>Лучинин Евгений</t>
  </si>
  <si>
    <t>29.04.1986</t>
  </si>
  <si>
    <t>Лучко Олег</t>
  </si>
  <si>
    <t>Лушин Даниил</t>
  </si>
  <si>
    <t>02.03.2007</t>
  </si>
  <si>
    <t>Лысенков Владимир</t>
  </si>
  <si>
    <t>Лысенков Демьян</t>
  </si>
  <si>
    <t>10.12.2005</t>
  </si>
  <si>
    <t>Лысов Иван</t>
  </si>
  <si>
    <t>Львов Дмитрий</t>
  </si>
  <si>
    <t>Любезнов Демид</t>
  </si>
  <si>
    <t>30.07.2002</t>
  </si>
  <si>
    <t>Любомский Владимир</t>
  </si>
  <si>
    <t>Любушкин Николай</t>
  </si>
  <si>
    <t>25.05.2003</t>
  </si>
  <si>
    <t>Люлюшин Михаил</t>
  </si>
  <si>
    <t>Давыдово  Мо</t>
  </si>
  <si>
    <t>Лютиков Николай</t>
  </si>
  <si>
    <t>14.10.1988</t>
  </si>
  <si>
    <t>Лю-Шинзу Александр</t>
  </si>
  <si>
    <t>Новобурейск  Амурск.о.</t>
  </si>
  <si>
    <t>Лягин Никита</t>
  </si>
  <si>
    <t>Лядвик Егор</t>
  </si>
  <si>
    <t>09.06.1998</t>
  </si>
  <si>
    <t>Ляликов Дмитрий</t>
  </si>
  <si>
    <t>Лялин Дмитрий</t>
  </si>
  <si>
    <t>08.11.1989</t>
  </si>
  <si>
    <t>Лямин Егор</t>
  </si>
  <si>
    <t>04.09.2006</t>
  </si>
  <si>
    <t>Лятамбур Тимур</t>
  </si>
  <si>
    <t>24.06.1984</t>
  </si>
  <si>
    <t>Ляхов Владимир</t>
  </si>
  <si>
    <t>Ляшенко Виктор</t>
  </si>
  <si>
    <t>28.06.1972</t>
  </si>
  <si>
    <t>Ляшенков Егор</t>
  </si>
  <si>
    <t>Ляшко Василий</t>
  </si>
  <si>
    <t>08.08.2004</t>
  </si>
  <si>
    <t>Арсеньев  Приморье</t>
  </si>
  <si>
    <t>Маврин Максим</t>
  </si>
  <si>
    <t>Мавринский Евгений</t>
  </si>
  <si>
    <t>Маврушин Никита</t>
  </si>
  <si>
    <t>17.09.2004</t>
  </si>
  <si>
    <t>Магдеев Александр</t>
  </si>
  <si>
    <t>Магомедов Асхадбали</t>
  </si>
  <si>
    <t>08.12.2005</t>
  </si>
  <si>
    <t>Магомедов Магомед</t>
  </si>
  <si>
    <t>28.07.1997</t>
  </si>
  <si>
    <t>Каспийск  Даг.</t>
  </si>
  <si>
    <t>Магоян Максим</t>
  </si>
  <si>
    <t>27.01.2003</t>
  </si>
  <si>
    <t>Мадеев Артем</t>
  </si>
  <si>
    <t>Маджуль Егор</t>
  </si>
  <si>
    <t>28.07.2005</t>
  </si>
  <si>
    <t>Мазалев Ярослав</t>
  </si>
  <si>
    <t>Мазиков Матвей</t>
  </si>
  <si>
    <t>Мазманиди Юлиан</t>
  </si>
  <si>
    <t>05.07.2008</t>
  </si>
  <si>
    <t>Мазяров Алексей</t>
  </si>
  <si>
    <t>30.01.2008</t>
  </si>
  <si>
    <t>Макаров Александр</t>
  </si>
  <si>
    <t>09.06.1995</t>
  </si>
  <si>
    <t>Макаров Валерий</t>
  </si>
  <si>
    <t>25.04.2004</t>
  </si>
  <si>
    <t>25.09.2004</t>
  </si>
  <si>
    <t>Макаров Денис</t>
  </si>
  <si>
    <t>Макаров Кирилл</t>
  </si>
  <si>
    <t>18.05.2007</t>
  </si>
  <si>
    <t>Макаров Константин</t>
  </si>
  <si>
    <t>30.04.2003</t>
  </si>
  <si>
    <t>Макаров Петр</t>
  </si>
  <si>
    <t>04.12.2007</t>
  </si>
  <si>
    <t>Макаров Сергей</t>
  </si>
  <si>
    <t>Макаршин Максим</t>
  </si>
  <si>
    <t>Макас Даниил</t>
  </si>
  <si>
    <t>Макеев Александр</t>
  </si>
  <si>
    <t>21.11.1998</t>
  </si>
  <si>
    <t>31.01.2005</t>
  </si>
  <si>
    <t>Макоев Эмир</t>
  </si>
  <si>
    <t>03.01.2008</t>
  </si>
  <si>
    <t>Максимов Валерий</t>
  </si>
  <si>
    <t>14.03.1972</t>
  </si>
  <si>
    <t>Максимов Георгий</t>
  </si>
  <si>
    <t>24.10.2008</t>
  </si>
  <si>
    <t>Максимов Егор</t>
  </si>
  <si>
    <t>МАКСИМОВ Савелий</t>
  </si>
  <si>
    <t>06.07.2005</t>
  </si>
  <si>
    <t>Максимов Сергей</t>
  </si>
  <si>
    <t>Максюта Юрий</t>
  </si>
  <si>
    <t>Макушин Григорий</t>
  </si>
  <si>
    <t>Малаенко Артем</t>
  </si>
  <si>
    <t>25.05.1995</t>
  </si>
  <si>
    <t>Дальнереченск  Прим. край</t>
  </si>
  <si>
    <t>Малафеев Василий</t>
  </si>
  <si>
    <t>24.05.2008</t>
  </si>
  <si>
    <t>15.03.2003</t>
  </si>
  <si>
    <t>20.06.2001</t>
  </si>
  <si>
    <t>Маленко Сергей</t>
  </si>
  <si>
    <t>12.03.2004</t>
  </si>
  <si>
    <t>Малерян Генрих</t>
  </si>
  <si>
    <t>11.03.2000</t>
  </si>
  <si>
    <t>15.02.1999</t>
  </si>
  <si>
    <t>Малиновский Григорий</t>
  </si>
  <si>
    <t>Малов Артем</t>
  </si>
  <si>
    <t>29.05.2002</t>
  </si>
  <si>
    <t>Малоземов Александр</t>
  </si>
  <si>
    <t>Малофеев Никита</t>
  </si>
  <si>
    <t>17.11.2001</t>
  </si>
  <si>
    <t>Малыгин Сергей</t>
  </si>
  <si>
    <t>Малык Никита</t>
  </si>
  <si>
    <t>Малых Богдан</t>
  </si>
  <si>
    <t>Малых Илья</t>
  </si>
  <si>
    <t>Малышев Захар</t>
  </si>
  <si>
    <t>14.10.2006</t>
  </si>
  <si>
    <t>Малышев Константин</t>
  </si>
  <si>
    <t>12.10.2000</t>
  </si>
  <si>
    <t>Малышев Петр</t>
  </si>
  <si>
    <t>04.08.2007</t>
  </si>
  <si>
    <t>Малышев Руслан</t>
  </si>
  <si>
    <t>30.12.1998</t>
  </si>
  <si>
    <t>Малышкин Сергей</t>
  </si>
  <si>
    <t>Малько Алексей</t>
  </si>
  <si>
    <t>Мальцев Александр</t>
  </si>
  <si>
    <t>Мальцев Владислав</t>
  </si>
  <si>
    <t>03.08.1994</t>
  </si>
  <si>
    <t>Мальцев Михаил</t>
  </si>
  <si>
    <t>Мальцев Сергей</t>
  </si>
  <si>
    <t>28.01.2004</t>
  </si>
  <si>
    <t>Малякин Максим</t>
  </si>
  <si>
    <t>Маляр Эдуард</t>
  </si>
  <si>
    <t>26.02.1998</t>
  </si>
  <si>
    <t>Маляров Максим</t>
  </si>
  <si>
    <t>03.03.2008</t>
  </si>
  <si>
    <t>Мамедов Александр</t>
  </si>
  <si>
    <t>Мамедов Али</t>
  </si>
  <si>
    <t>Мамедов Руслан</t>
  </si>
  <si>
    <t>Мамижев Руслан</t>
  </si>
  <si>
    <t>Мамишев Ислам</t>
  </si>
  <si>
    <t>05.07.2003</t>
  </si>
  <si>
    <t>Мамлеев Тимур</t>
  </si>
  <si>
    <t>20.08.2005</t>
  </si>
  <si>
    <t>Мамонтов Артем</t>
  </si>
  <si>
    <t>13.08.2001</t>
  </si>
  <si>
    <t>Манаков Евгений</t>
  </si>
  <si>
    <t>28.06.1994</t>
  </si>
  <si>
    <t>Манович Олег</t>
  </si>
  <si>
    <t>26.07.2006</t>
  </si>
  <si>
    <t>Манро Эйден</t>
  </si>
  <si>
    <t>29.03.2005</t>
  </si>
  <si>
    <t>Мантуров Сергей</t>
  </si>
  <si>
    <t>25.11.1961</t>
  </si>
  <si>
    <t>Манцуров Тихон</t>
  </si>
  <si>
    <t>09.01.2003</t>
  </si>
  <si>
    <t>Манько Егор</t>
  </si>
  <si>
    <t>Орел</t>
  </si>
  <si>
    <t>Маньшин Владислав</t>
  </si>
  <si>
    <t>30.07.2006</t>
  </si>
  <si>
    <t>Маранов Дмитрий</t>
  </si>
  <si>
    <t>Маргаев Платон</t>
  </si>
  <si>
    <t>17.08.2006</t>
  </si>
  <si>
    <t>Маринов Игорь</t>
  </si>
  <si>
    <t>26.07.2003</t>
  </si>
  <si>
    <t>Маричев Алексей</t>
  </si>
  <si>
    <t>Маришин Леонид</t>
  </si>
  <si>
    <t>27.01.2005</t>
  </si>
  <si>
    <t>Маркелов Николай</t>
  </si>
  <si>
    <t>09.01.1997</t>
  </si>
  <si>
    <t>Маркелов Тимур</t>
  </si>
  <si>
    <t>22.10.2001</t>
  </si>
  <si>
    <t>Маркин Иван</t>
  </si>
  <si>
    <t>04.05.2003</t>
  </si>
  <si>
    <t>Марков Николай</t>
  </si>
  <si>
    <t>07.08.2007</t>
  </si>
  <si>
    <t>Марков Олег</t>
  </si>
  <si>
    <t>06.06.1969</t>
  </si>
  <si>
    <t>Марков Руслан</t>
  </si>
  <si>
    <t>07.12.2006</t>
  </si>
  <si>
    <t>Марков Сергей</t>
  </si>
  <si>
    <t>16.10.2005</t>
  </si>
  <si>
    <t>Марковский Евгений</t>
  </si>
  <si>
    <t>20.09.2003</t>
  </si>
  <si>
    <t>Маркушин Богдан</t>
  </si>
  <si>
    <t>29.06.2006</t>
  </si>
  <si>
    <t>Мартиросян Карен</t>
  </si>
  <si>
    <t>17.02.2006</t>
  </si>
  <si>
    <t>Мартыненко Захар</t>
  </si>
  <si>
    <t>Мартюгов Сергей</t>
  </si>
  <si>
    <t>17.12.2003</t>
  </si>
  <si>
    <t>Мартюк Владимир</t>
  </si>
  <si>
    <t>Мартюхин Матвей</t>
  </si>
  <si>
    <t>Мартюшев Максим</t>
  </si>
  <si>
    <t>19.05.1995</t>
  </si>
  <si>
    <t>Маршалов Владимир</t>
  </si>
  <si>
    <t>16.11.1984</t>
  </si>
  <si>
    <t>Зеленоград</t>
  </si>
  <si>
    <t>Марьенко Артем</t>
  </si>
  <si>
    <t>20.06.1997</t>
  </si>
  <si>
    <t>Маслаков Антон</t>
  </si>
  <si>
    <t>Масленников Даниил</t>
  </si>
  <si>
    <t>Масленников Сергей</t>
  </si>
  <si>
    <t>02.03.1961</t>
  </si>
  <si>
    <t>Маслий Антон</t>
  </si>
  <si>
    <t>23.01.2005</t>
  </si>
  <si>
    <t>Маслий Дмитрий</t>
  </si>
  <si>
    <t>24.02.2000</t>
  </si>
  <si>
    <t>05.05.2001</t>
  </si>
  <si>
    <t>Масовер Андрей</t>
  </si>
  <si>
    <t>22.10.2003</t>
  </si>
  <si>
    <t>Матанкин Владимир</t>
  </si>
  <si>
    <t>04.05.2002</t>
  </si>
  <si>
    <t>Ковров  Вл.о.</t>
  </si>
  <si>
    <t>Матвеев Антон</t>
  </si>
  <si>
    <t>Матвеев Дмитрий</t>
  </si>
  <si>
    <t>12.09.1997</t>
  </si>
  <si>
    <t>24.09.2001</t>
  </si>
  <si>
    <t>Матвеев Роман</t>
  </si>
  <si>
    <t>01.01.1997</t>
  </si>
  <si>
    <t>Матиос Василий</t>
  </si>
  <si>
    <t>14.03.1969</t>
  </si>
  <si>
    <t>Матренин Иван</t>
  </si>
  <si>
    <t>Матцев Сергей</t>
  </si>
  <si>
    <t>МАТЫКО Владислав</t>
  </si>
  <si>
    <t>03.02.2006</t>
  </si>
  <si>
    <t>Харьков  Укр.</t>
  </si>
  <si>
    <t>Матюнов Андрей</t>
  </si>
  <si>
    <t>07.05.1996</t>
  </si>
  <si>
    <t>Махматбеков Мустаджоб</t>
  </si>
  <si>
    <t>Махнев Тимур</t>
  </si>
  <si>
    <t>20.07.1988</t>
  </si>
  <si>
    <t>Махоткин Илья</t>
  </si>
  <si>
    <t>Махров Матвей</t>
  </si>
  <si>
    <t>12.06.2004</t>
  </si>
  <si>
    <t>Мацко Владислав</t>
  </si>
  <si>
    <t>Машков Владимир</t>
  </si>
  <si>
    <t>Машуков Рустам</t>
  </si>
  <si>
    <t>16.04.2005</t>
  </si>
  <si>
    <t>Баксан  КБР</t>
  </si>
  <si>
    <t>Мащенко Александр</t>
  </si>
  <si>
    <t>Медалиев Арсен</t>
  </si>
  <si>
    <t>29.08.2005</t>
  </si>
  <si>
    <t>Медалиев Залим</t>
  </si>
  <si>
    <t>23.01.2004</t>
  </si>
  <si>
    <t>Медведев Денис</t>
  </si>
  <si>
    <t>22.03.1995</t>
  </si>
  <si>
    <t>Медведев Михаил</t>
  </si>
  <si>
    <t>Медведев Роман</t>
  </si>
  <si>
    <t>Медведев Сергей</t>
  </si>
  <si>
    <t>30.06.1982</t>
  </si>
  <si>
    <t>Медведев Федор</t>
  </si>
  <si>
    <t>19.07.2005</t>
  </si>
  <si>
    <t>08.06.2000</t>
  </si>
  <si>
    <t>Мезгин Михаил</t>
  </si>
  <si>
    <t>24.11.2001</t>
  </si>
  <si>
    <t>Меленевский Андрей</t>
  </si>
  <si>
    <t>29.10.2003</t>
  </si>
  <si>
    <t>Мелешин Иван</t>
  </si>
  <si>
    <t>13.10.1999</t>
  </si>
  <si>
    <t>Меликсетян Карен</t>
  </si>
  <si>
    <t>15.12.2004</t>
  </si>
  <si>
    <t>Мелков Артур</t>
  </si>
  <si>
    <t>16.04.1965</t>
  </si>
  <si>
    <t>Мелков Святослав</t>
  </si>
  <si>
    <t>17.05.1997</t>
  </si>
  <si>
    <t>Мелконян Евгений</t>
  </si>
  <si>
    <t>Уват  Тюм.о.</t>
  </si>
  <si>
    <t>Мельник Максим</t>
  </si>
  <si>
    <t>05.06.2006</t>
  </si>
  <si>
    <t>Мельников Алексей</t>
  </si>
  <si>
    <t>Мельников Максим</t>
  </si>
  <si>
    <t>09.01.2004</t>
  </si>
  <si>
    <t>Мельников Станислав</t>
  </si>
  <si>
    <t>17.02.1971</t>
  </si>
  <si>
    <t>23.02.2001</t>
  </si>
  <si>
    <t>Мельничук Никита</t>
  </si>
  <si>
    <t>Междуреченск  Кем.обл.</t>
  </si>
  <si>
    <t>Менжиков Аюр-Зана</t>
  </si>
  <si>
    <t>Меньшиков Георгий</t>
  </si>
  <si>
    <t>Меньшиков Дмитрий</t>
  </si>
  <si>
    <t>19.10.2003</t>
  </si>
  <si>
    <t>Мерзликин Степан</t>
  </si>
  <si>
    <t>24.12.2003</t>
  </si>
  <si>
    <t>Мерзликин Тарас</t>
  </si>
  <si>
    <t>25.07.1991</t>
  </si>
  <si>
    <t>Мерзляков Антон</t>
  </si>
  <si>
    <t>06.12.1998</t>
  </si>
  <si>
    <t>Меркушев Станислав</t>
  </si>
  <si>
    <t>02.06.1997</t>
  </si>
  <si>
    <t>10.01.2000</t>
  </si>
  <si>
    <t>Местников Владимир</t>
  </si>
  <si>
    <t>23.04.2000</t>
  </si>
  <si>
    <t>Месхи Тимур</t>
  </si>
  <si>
    <t>Метальников Тимофей</t>
  </si>
  <si>
    <t>31.05.2005</t>
  </si>
  <si>
    <t>Мешков Денис</t>
  </si>
  <si>
    <t>Мешков Михаил</t>
  </si>
  <si>
    <t>15.01.2000</t>
  </si>
  <si>
    <t>Мешков Николай</t>
  </si>
  <si>
    <t>Мещанин Владимир</t>
  </si>
  <si>
    <t>Мещеряков Андрей</t>
  </si>
  <si>
    <t>06.02.1998</t>
  </si>
  <si>
    <t>Мещеряков Вадим</t>
  </si>
  <si>
    <t>01.07.2004</t>
  </si>
  <si>
    <t>Мещеряков Даниил</t>
  </si>
  <si>
    <t>22.01.2002</t>
  </si>
  <si>
    <t>Мигачев Николай</t>
  </si>
  <si>
    <t>МИЗУТАНИ Джун</t>
  </si>
  <si>
    <t>09.06.1989</t>
  </si>
  <si>
    <t>Токио  Япония</t>
  </si>
  <si>
    <t>Микушин Алексей</t>
  </si>
  <si>
    <t>05.03.1945</t>
  </si>
  <si>
    <t>Миленький Илья</t>
  </si>
  <si>
    <t>03.12.1991</t>
  </si>
  <si>
    <t>Милинка Владислав</t>
  </si>
  <si>
    <t>03.05.1995</t>
  </si>
  <si>
    <t>Милишников Никита</t>
  </si>
  <si>
    <t>29.05.2003</t>
  </si>
  <si>
    <t>Миллер Георгий</t>
  </si>
  <si>
    <t>23.10.2003</t>
  </si>
  <si>
    <t>Миллер Михаил</t>
  </si>
  <si>
    <t>28.10.2007</t>
  </si>
  <si>
    <t>Милькин Роман</t>
  </si>
  <si>
    <t>Минайкин Иван</t>
  </si>
  <si>
    <t>Минатуллаев Магомед</t>
  </si>
  <si>
    <t>Буйнакский р-он  Даг.</t>
  </si>
  <si>
    <t>10.03.2001</t>
  </si>
  <si>
    <t>Миндрюков Михаил</t>
  </si>
  <si>
    <t>21.01.1998</t>
  </si>
  <si>
    <t>Минеев Андрей</t>
  </si>
  <si>
    <t>29.09.2003</t>
  </si>
  <si>
    <t>19.02.2000</t>
  </si>
  <si>
    <t>Миннебаев Рамиль</t>
  </si>
  <si>
    <t>04.01.2008</t>
  </si>
  <si>
    <t>Миннихадиев Ильназ</t>
  </si>
  <si>
    <t>Минькин Егор</t>
  </si>
  <si>
    <t>20.09.2006</t>
  </si>
  <si>
    <t>Мирзоев Беслан</t>
  </si>
  <si>
    <t>03.06.2005</t>
  </si>
  <si>
    <t>Миронов Андрей</t>
  </si>
  <si>
    <t>Миронов Артем</t>
  </si>
  <si>
    <t>18.02.1996</t>
  </si>
  <si>
    <t>18.07.2006</t>
  </si>
  <si>
    <t>Миронов Вадим</t>
  </si>
  <si>
    <t>21.07.1967</t>
  </si>
  <si>
    <t>Миронов Евгений</t>
  </si>
  <si>
    <t>01.01.1971</t>
  </si>
  <si>
    <t>18.06.2003</t>
  </si>
  <si>
    <t>Миронов-Зайцев Ярослав</t>
  </si>
  <si>
    <t>Миронченко Денис</t>
  </si>
  <si>
    <t>Псков</t>
  </si>
  <si>
    <t>Миронченко Максим</t>
  </si>
  <si>
    <t>Мирошников Иван</t>
  </si>
  <si>
    <t>20.01.2004</t>
  </si>
  <si>
    <t>Мирошниченко Даниил</t>
  </si>
  <si>
    <t>29.10.2000</t>
  </si>
  <si>
    <t>Мирошниченко Михаил</t>
  </si>
  <si>
    <t>18.04.2008</t>
  </si>
  <si>
    <t>Мирошниченко Никита</t>
  </si>
  <si>
    <t>Митасов Максим</t>
  </si>
  <si>
    <t>Митин Вадим</t>
  </si>
  <si>
    <t>15.04.1946</t>
  </si>
  <si>
    <t>Митин Даниил</t>
  </si>
  <si>
    <t>Митин Павел</t>
  </si>
  <si>
    <t>01.01.1982</t>
  </si>
  <si>
    <t>Митин Роман</t>
  </si>
  <si>
    <t>Митрик Арсений</t>
  </si>
  <si>
    <t>25.06.2005</t>
  </si>
  <si>
    <t>17.07.2002</t>
  </si>
  <si>
    <t>Митрофанов Андрей</t>
  </si>
  <si>
    <t>04.07.2005</t>
  </si>
  <si>
    <t>Митрофанов Антон</t>
  </si>
  <si>
    <t>03.06.1992</t>
  </si>
  <si>
    <t>Митрофанов Илья</t>
  </si>
  <si>
    <t>23.07.1992</t>
  </si>
  <si>
    <t>Митрофанов Роман</t>
  </si>
  <si>
    <t>20.07.2007</t>
  </si>
  <si>
    <t>Митрофанов Сергей</t>
  </si>
  <si>
    <t>09.10.1978</t>
  </si>
  <si>
    <t>Михайленко Дмитрий</t>
  </si>
  <si>
    <t>17.02.2003</t>
  </si>
  <si>
    <t>Михайленко Кирилл</t>
  </si>
  <si>
    <t>29.05.2005</t>
  </si>
  <si>
    <t>Михайлин Андрей</t>
  </si>
  <si>
    <t>Михайличенко Аким</t>
  </si>
  <si>
    <t>Михайлов Валентин</t>
  </si>
  <si>
    <t>31.10.1999</t>
  </si>
  <si>
    <t>Михайлов Григорий</t>
  </si>
  <si>
    <t>21.03.1983</t>
  </si>
  <si>
    <t>Михайлов Дмитрий</t>
  </si>
  <si>
    <t>14.11.1998</t>
  </si>
  <si>
    <t>Михайлов Кирилл</t>
  </si>
  <si>
    <t>23.07.2006</t>
  </si>
  <si>
    <t>13.10.2000</t>
  </si>
  <si>
    <t>Михайлов Роман</t>
  </si>
  <si>
    <t>20.12.2007</t>
  </si>
  <si>
    <t>Михайлов Сергей</t>
  </si>
  <si>
    <t>Михалев Арсений</t>
  </si>
  <si>
    <t>09.04.2002</t>
  </si>
  <si>
    <t>Михалев Кирилл</t>
  </si>
  <si>
    <t>Михалев Николай</t>
  </si>
  <si>
    <t>28.10.2005</t>
  </si>
  <si>
    <t>Михалевич Максим</t>
  </si>
  <si>
    <t>03.08.2003</t>
  </si>
  <si>
    <t>30.08.1999</t>
  </si>
  <si>
    <t>Михеев Александр</t>
  </si>
  <si>
    <t>Михеев Илья</t>
  </si>
  <si>
    <t>02.02.2002</t>
  </si>
  <si>
    <t>Михеев Марк</t>
  </si>
  <si>
    <t>07.06.2006</t>
  </si>
  <si>
    <t>Михеев Никита</t>
  </si>
  <si>
    <t>Михеев Роман</t>
  </si>
  <si>
    <t>01.11.2007</t>
  </si>
  <si>
    <t>Михно Георгий</t>
  </si>
  <si>
    <t>Мицык Андрей</t>
  </si>
  <si>
    <t>Мишин Алексей</t>
  </si>
  <si>
    <t>21.07.2004</t>
  </si>
  <si>
    <t>Мишин Дмитрий</t>
  </si>
  <si>
    <t>22.12.2005</t>
  </si>
  <si>
    <t>Ельня  См.обл.</t>
  </si>
  <si>
    <t>Мишуков Кирилл</t>
  </si>
  <si>
    <t>Мишуков Михаил</t>
  </si>
  <si>
    <t>19.03.2007</t>
  </si>
  <si>
    <t>Мишура Александр</t>
  </si>
  <si>
    <t>31.10.2004</t>
  </si>
  <si>
    <t>Мищенко Иван</t>
  </si>
  <si>
    <t>Мищерин Артем</t>
  </si>
  <si>
    <t>25.05.2005</t>
  </si>
  <si>
    <t>Мкртчан Александр</t>
  </si>
  <si>
    <t>Мкртчян Александр</t>
  </si>
  <si>
    <t>12.12.2004</t>
  </si>
  <si>
    <t>Млинарж Алексей</t>
  </si>
  <si>
    <t>30.03.1980</t>
  </si>
  <si>
    <t>Мноян Артем</t>
  </si>
  <si>
    <t>08.02.2006</t>
  </si>
  <si>
    <t>Мовсисян Карен</t>
  </si>
  <si>
    <t>13.06.1990</t>
  </si>
  <si>
    <t>Можаев Александр</t>
  </si>
  <si>
    <t>05.12.2008</t>
  </si>
  <si>
    <t>Можгин Евгений</t>
  </si>
  <si>
    <t>Можейко Георгий</t>
  </si>
  <si>
    <t>25.07.2006</t>
  </si>
  <si>
    <t>Мозговенко Олег</t>
  </si>
  <si>
    <t>01.01.1979</t>
  </si>
  <si>
    <t>Мозговой Эдуард</t>
  </si>
  <si>
    <t>08.04.2001</t>
  </si>
  <si>
    <t>Моисеев Владислав</t>
  </si>
  <si>
    <t>Моисеев Вячеслав</t>
  </si>
  <si>
    <t>Моисеев Олег</t>
  </si>
  <si>
    <t>Моисеенко Всеволод</t>
  </si>
  <si>
    <t>Моисеенко Кирилл</t>
  </si>
  <si>
    <t>Моисеенко Савелий</t>
  </si>
  <si>
    <t>Моисеенков Александр</t>
  </si>
  <si>
    <t>Моисейкин Андрей</t>
  </si>
  <si>
    <t>Мокрополов Сергей</t>
  </si>
  <si>
    <t>23.02.1995</t>
  </si>
  <si>
    <t>Молоков Даниил</t>
  </si>
  <si>
    <t>27.04.1995</t>
  </si>
  <si>
    <t>Молоков Михаил</t>
  </si>
  <si>
    <t>Молонов Дамдин</t>
  </si>
  <si>
    <t>30.05.2003</t>
  </si>
  <si>
    <t>Молчанов Даниил</t>
  </si>
  <si>
    <t>Шебекино  Белг.обл.</t>
  </si>
  <si>
    <t>Молчанов Дмитрий</t>
  </si>
  <si>
    <t>Молчанов Илья</t>
  </si>
  <si>
    <t>26.10.2006</t>
  </si>
  <si>
    <t>Молчанов Михаил</t>
  </si>
  <si>
    <t>24.12.1991</t>
  </si>
  <si>
    <t>Молчанов Роман</t>
  </si>
  <si>
    <t>Монастырский Игорь</t>
  </si>
  <si>
    <t>11.09.2002</t>
  </si>
  <si>
    <t>Монахов Алексей</t>
  </si>
  <si>
    <t>27.03.2007</t>
  </si>
  <si>
    <t>Моргаленко Артем</t>
  </si>
  <si>
    <t>15.12.2006</t>
  </si>
  <si>
    <t>Моргачев Артем</t>
  </si>
  <si>
    <t>14.07.1998</t>
  </si>
  <si>
    <t>Моргачев Константин</t>
  </si>
  <si>
    <t>23.09.1968</t>
  </si>
  <si>
    <t>Моргунов Тимофей</t>
  </si>
  <si>
    <t>Морев Виктор</t>
  </si>
  <si>
    <t>Морин Алексей</t>
  </si>
  <si>
    <t>Мороз Артем</t>
  </si>
  <si>
    <t>Морозкин Дмитрий</t>
  </si>
  <si>
    <t>Морозов Василий</t>
  </si>
  <si>
    <t>13.03.1987</t>
  </si>
  <si>
    <t>Морозов Денис</t>
  </si>
  <si>
    <t>Морозов Егор</t>
  </si>
  <si>
    <t>25.08.2004</t>
  </si>
  <si>
    <t>Морозов Семен</t>
  </si>
  <si>
    <t>Морозов Ярослав</t>
  </si>
  <si>
    <t>Мосенков Виктор</t>
  </si>
  <si>
    <t>02.03.2004</t>
  </si>
  <si>
    <t>Мосийчук Андрей</t>
  </si>
  <si>
    <t>07.04.2007</t>
  </si>
  <si>
    <t>Мосийчук Владимир</t>
  </si>
  <si>
    <t>21.07.2005</t>
  </si>
  <si>
    <t>28.06.2000</t>
  </si>
  <si>
    <t>Москвин Егор</t>
  </si>
  <si>
    <t>14.01.1997</t>
  </si>
  <si>
    <t>Москвичев Герман</t>
  </si>
  <si>
    <t>Мосолков Евгений</t>
  </si>
  <si>
    <t>08.03.2003</t>
  </si>
  <si>
    <t>Мосолов Дмитрий</t>
  </si>
  <si>
    <t>Моспанов Илья</t>
  </si>
  <si>
    <t>20.08.2003</t>
  </si>
  <si>
    <t>Моторин Никита</t>
  </si>
  <si>
    <t>Лахколампи Кар.</t>
  </si>
  <si>
    <t>Мохначев Антон</t>
  </si>
  <si>
    <t>14.11.1999</t>
  </si>
  <si>
    <t>Мошков Максим</t>
  </si>
  <si>
    <t>06.08.2007</t>
  </si>
  <si>
    <t>06.01.2001</t>
  </si>
  <si>
    <t>06.05.2001</t>
  </si>
  <si>
    <t>Мошкутело Андрей</t>
  </si>
  <si>
    <t>26.10.1975</t>
  </si>
  <si>
    <t>Мошненко Артем</t>
  </si>
  <si>
    <t>Мошталев Максим</t>
  </si>
  <si>
    <t>Мрыхин Дмитрий</t>
  </si>
  <si>
    <t>Мубаракшин Дмитрий</t>
  </si>
  <si>
    <t>Музюкин Александр</t>
  </si>
  <si>
    <t>17.12.2007</t>
  </si>
  <si>
    <t>Мукамбетов Марат</t>
  </si>
  <si>
    <t>04.08.1994</t>
  </si>
  <si>
    <t>10.05.2002</t>
  </si>
  <si>
    <t>Мулюкин Илья</t>
  </si>
  <si>
    <t>22.12.1998</t>
  </si>
  <si>
    <t>Муравьев Артем</t>
  </si>
  <si>
    <t>Муравьев Николай</t>
  </si>
  <si>
    <t>26.02.1987</t>
  </si>
  <si>
    <t>Муратов Дмитрий</t>
  </si>
  <si>
    <t>Муренков Роман</t>
  </si>
  <si>
    <t>Мурзаев Денис</t>
  </si>
  <si>
    <t>Мурзин Виталий</t>
  </si>
  <si>
    <t>18.07.1989</t>
  </si>
  <si>
    <t>Муртазин Руслан</t>
  </si>
  <si>
    <t>11.04.1997</t>
  </si>
  <si>
    <t>Мусаилов Сергей</t>
  </si>
  <si>
    <t>23.02.1969</t>
  </si>
  <si>
    <t>Мусикаев Владислав</t>
  </si>
  <si>
    <t>12.09.2007</t>
  </si>
  <si>
    <t>Мустаев Всеволод</t>
  </si>
  <si>
    <t>19.09.2006</t>
  </si>
  <si>
    <t>Мустафин Мансур</t>
  </si>
  <si>
    <t>10.12.2004</t>
  </si>
  <si>
    <t>Мутыгуллин Рамиль</t>
  </si>
  <si>
    <t>02.05.1988</t>
  </si>
  <si>
    <t>Мухаметзянов Булат</t>
  </si>
  <si>
    <t>29.09.2006</t>
  </si>
  <si>
    <t>Мухаметзянов Вильдан</t>
  </si>
  <si>
    <t>20.11.2001</t>
  </si>
  <si>
    <t>Мухин Максим</t>
  </si>
  <si>
    <t>18.03.2007</t>
  </si>
  <si>
    <t>Железнодорожный</t>
  </si>
  <si>
    <t>02.06.2007</t>
  </si>
  <si>
    <t>Мухин Никита</t>
  </si>
  <si>
    <t>Мухмадбеков Мустаджоб</t>
  </si>
  <si>
    <t>Мухортиков Михаил</t>
  </si>
  <si>
    <t>01.01.1999</t>
  </si>
  <si>
    <t>Мучник Георгий</t>
  </si>
  <si>
    <t>Мучник Константин</t>
  </si>
  <si>
    <t>23.07.1975</t>
  </si>
  <si>
    <t>Мхитарян Георгий</t>
  </si>
  <si>
    <t>19.08.2002</t>
  </si>
  <si>
    <t>Мыдыков Жалсарай</t>
  </si>
  <si>
    <t>08.06.1999</t>
  </si>
  <si>
    <t>Мыльников Михаил</t>
  </si>
  <si>
    <t>Мясников Данил</t>
  </si>
  <si>
    <t>12.06.2003</t>
  </si>
  <si>
    <t>Мячин Дмитрий</t>
  </si>
  <si>
    <t>28.06.1975</t>
  </si>
  <si>
    <t>Мячин Николай</t>
  </si>
  <si>
    <t>07.09.2006</t>
  </si>
  <si>
    <t>Набиев Даниэль</t>
  </si>
  <si>
    <t>15.07.2002</t>
  </si>
  <si>
    <t>Нагибин Роман</t>
  </si>
  <si>
    <t>Нагибнев Ян</t>
  </si>
  <si>
    <t>Надеев Валерий</t>
  </si>
  <si>
    <t>05.04.1989</t>
  </si>
  <si>
    <t>Надточий Максим</t>
  </si>
  <si>
    <t>06.08.2003</t>
  </si>
  <si>
    <t>Нажмутдинов Джамал</t>
  </si>
  <si>
    <t>Назаренко Андрей</t>
  </si>
  <si>
    <t>16.08.2007</t>
  </si>
  <si>
    <t>Назаренко Максим</t>
  </si>
  <si>
    <t>Назаренко Олег</t>
  </si>
  <si>
    <t>29.10.1965</t>
  </si>
  <si>
    <t>Назаркин Максим</t>
  </si>
  <si>
    <t>16.11.2004</t>
  </si>
  <si>
    <t>Назаров Аким</t>
  </si>
  <si>
    <t>07.10.1996</t>
  </si>
  <si>
    <t>Назаров Алексей</t>
  </si>
  <si>
    <t>Назаров Владимир</t>
  </si>
  <si>
    <t>12.05.2006</t>
  </si>
  <si>
    <t>Назаров Илья</t>
  </si>
  <si>
    <t>11.10.2007</t>
  </si>
  <si>
    <t>Назаров Кирилл</t>
  </si>
  <si>
    <t>24.04.2003</t>
  </si>
  <si>
    <t>Назаров Никита</t>
  </si>
  <si>
    <t>01.06.2000</t>
  </si>
  <si>
    <t>Наймушин Илья</t>
  </si>
  <si>
    <t>02.03.1996</t>
  </si>
  <si>
    <t>Накипов Ильдар</t>
  </si>
  <si>
    <t>22.06.1987</t>
  </si>
  <si>
    <t>Балтаси  Тат.</t>
  </si>
  <si>
    <t>Наконечный Егор</t>
  </si>
  <si>
    <t>20.10.2005</t>
  </si>
  <si>
    <t>Наконечный Максим</t>
  </si>
  <si>
    <t>Налбандян Армен</t>
  </si>
  <si>
    <t>29.04.1976</t>
  </si>
  <si>
    <t>Налимов Егор</t>
  </si>
  <si>
    <t>15.04.2004</t>
  </si>
  <si>
    <t>Намятов Александр</t>
  </si>
  <si>
    <t>20.06.1977</t>
  </si>
  <si>
    <t>Намятов Никита</t>
  </si>
  <si>
    <t>08.09.2007</t>
  </si>
  <si>
    <t>Нартоков Ислам</t>
  </si>
  <si>
    <t>Насиров Федор</t>
  </si>
  <si>
    <t>27.12.2002</t>
  </si>
  <si>
    <t>Насонов Богдан</t>
  </si>
  <si>
    <t>Насонов Евгений</t>
  </si>
  <si>
    <t>12.05.1982</t>
  </si>
  <si>
    <t>Насонов Николай</t>
  </si>
  <si>
    <t>31.03.2007</t>
  </si>
  <si>
    <t>Насретдинов Эдуард</t>
  </si>
  <si>
    <t>Науменко Никита</t>
  </si>
  <si>
    <t>30.01.2005</t>
  </si>
  <si>
    <t>08.09.2000</t>
  </si>
  <si>
    <t>Наумов Данил</t>
  </si>
  <si>
    <t>Наумов Егор</t>
  </si>
  <si>
    <t>Наумов Илья</t>
  </si>
  <si>
    <t>Наумов Максим</t>
  </si>
  <si>
    <t>Наумов Михаил</t>
  </si>
  <si>
    <t>Наумов Павел</t>
  </si>
  <si>
    <t>21.07.2002</t>
  </si>
  <si>
    <t>Нахалов Александр</t>
  </si>
  <si>
    <t>22.11.2004</t>
  </si>
  <si>
    <t>Запрудное  Крым</t>
  </si>
  <si>
    <t>Нащекин Андрей</t>
  </si>
  <si>
    <t>14.07.1988</t>
  </si>
  <si>
    <t>Наяндин Даниил</t>
  </si>
  <si>
    <t>Неброй Владимир</t>
  </si>
  <si>
    <t>14.06.2009</t>
  </si>
  <si>
    <t>Невенченный Марк</t>
  </si>
  <si>
    <t>04.11.2002</t>
  </si>
  <si>
    <t>Медногорск  Орен.о.</t>
  </si>
  <si>
    <t>Невзоров Александр</t>
  </si>
  <si>
    <t>12.10.1983</t>
  </si>
  <si>
    <t>Невский Александр</t>
  </si>
  <si>
    <t>28.09.1968</t>
  </si>
  <si>
    <t>Недвига Василий</t>
  </si>
  <si>
    <t>Хонуу  Як.</t>
  </si>
  <si>
    <t>Недилько Кирилл</t>
  </si>
  <si>
    <t>22.02.2007</t>
  </si>
  <si>
    <t>Неклюдов Никита</t>
  </si>
  <si>
    <t>Некрасов Дмитрий</t>
  </si>
  <si>
    <t>Некрасов Илья</t>
  </si>
  <si>
    <t>Нелидов Дмитрий</t>
  </si>
  <si>
    <t>03.05.2001</t>
  </si>
  <si>
    <t>Курчатов  Кур.обл.</t>
  </si>
  <si>
    <t>Нелюбовский Роман</t>
  </si>
  <si>
    <t>20.01.2007</t>
  </si>
  <si>
    <t>Немгиров Игорь</t>
  </si>
  <si>
    <t>07.08.1961</t>
  </si>
  <si>
    <t>Неменущий Никита</t>
  </si>
  <si>
    <t>19.03.2004</t>
  </si>
  <si>
    <t>Немыкин Михаил</t>
  </si>
  <si>
    <t>20.11.1987</t>
  </si>
  <si>
    <t>Ненашев Иван</t>
  </si>
  <si>
    <t>04.07.1997</t>
  </si>
  <si>
    <t>Ненашкин Егор</t>
  </si>
  <si>
    <t>22.05.1992</t>
  </si>
  <si>
    <t>Неплох Александр</t>
  </si>
  <si>
    <t>19.02.2006</t>
  </si>
  <si>
    <t>Нерусов Арсений</t>
  </si>
  <si>
    <t>Нестеренко Андрей</t>
  </si>
  <si>
    <t>23.06.2008</t>
  </si>
  <si>
    <t>Нестеренко Роман</t>
  </si>
  <si>
    <t>Нестеров Александр</t>
  </si>
  <si>
    <t>20.01.1970</t>
  </si>
  <si>
    <t>Нестеров Владислав</t>
  </si>
  <si>
    <t>28.07.1999</t>
  </si>
  <si>
    <t>Нестеров Степан</t>
  </si>
  <si>
    <t>Нестеров Тимофей</t>
  </si>
  <si>
    <t>23.06.2003</t>
  </si>
  <si>
    <t>Нетесов Даниил</t>
  </si>
  <si>
    <t>01.03.2004</t>
  </si>
  <si>
    <t>Неустроев Михаил</t>
  </si>
  <si>
    <t>Нефедов Алексей</t>
  </si>
  <si>
    <t>14.10.1996</t>
  </si>
  <si>
    <t>Нефедьев Артем</t>
  </si>
  <si>
    <t>12.04.2006</t>
  </si>
  <si>
    <t>09.10.2003</t>
  </si>
  <si>
    <t>Нехаенко Станислав</t>
  </si>
  <si>
    <t>Нецко Никита</t>
  </si>
  <si>
    <t>12.02.2004</t>
  </si>
  <si>
    <t>03.06.2000</t>
  </si>
  <si>
    <t>Нечайкин Дмитрий</t>
  </si>
  <si>
    <t>Моршанск</t>
  </si>
  <si>
    <t>Нигматуллин Денис</t>
  </si>
  <si>
    <t>01.04.2002</t>
  </si>
  <si>
    <t>Нигматуллин Карим</t>
  </si>
  <si>
    <t>Ниделько Илья</t>
  </si>
  <si>
    <t>11.02.2005</t>
  </si>
  <si>
    <t>НИЕТКАЛИЕВ Болат</t>
  </si>
  <si>
    <t>Низаметдинов Даниил</t>
  </si>
  <si>
    <t>Низамов Тимур</t>
  </si>
  <si>
    <t>Низовских Роман</t>
  </si>
  <si>
    <t>Низовцев Константин</t>
  </si>
  <si>
    <t>24.05.2002</t>
  </si>
  <si>
    <t>Никитенко Антон</t>
  </si>
  <si>
    <t>05.03.1985</t>
  </si>
  <si>
    <t>Никитин Владислав</t>
  </si>
  <si>
    <t>27.01.2000</t>
  </si>
  <si>
    <t>Никитин Всеволод</t>
  </si>
  <si>
    <t>Никитин Глеб</t>
  </si>
  <si>
    <t>19.09.2009</t>
  </si>
  <si>
    <t>Никитин Денис</t>
  </si>
  <si>
    <t>Никифоров Дмитрий</t>
  </si>
  <si>
    <t>31.08.2006</t>
  </si>
  <si>
    <t>Никифоров Павел</t>
  </si>
  <si>
    <t>Никифорчин Михаил</t>
  </si>
  <si>
    <t>07.01.2001</t>
  </si>
  <si>
    <t>20.10.2004</t>
  </si>
  <si>
    <t>Николаев Анатолий</t>
  </si>
  <si>
    <t>08.11.1994</t>
  </si>
  <si>
    <t>30.01.2000</t>
  </si>
  <si>
    <t>Николаев Артем</t>
  </si>
  <si>
    <t>Николаев Леонид</t>
  </si>
  <si>
    <t>Николаев Роман</t>
  </si>
  <si>
    <t>Никонов Кирилл</t>
  </si>
  <si>
    <t>16.07.2008</t>
  </si>
  <si>
    <t>Никонов Леонид</t>
  </si>
  <si>
    <t>Никонов Павел</t>
  </si>
  <si>
    <t>17.03.1998</t>
  </si>
  <si>
    <t>Никонов Савелий</t>
  </si>
  <si>
    <t>22.04.2002</t>
  </si>
  <si>
    <t>Никотин Илья</t>
  </si>
  <si>
    <t>Никулин Иван</t>
  </si>
  <si>
    <t>Нимаев Булат</t>
  </si>
  <si>
    <t>Нифонов Айгимар</t>
  </si>
  <si>
    <t>28.10.2000</t>
  </si>
  <si>
    <t>Хампа  Як.</t>
  </si>
  <si>
    <t>Новиков Артем</t>
  </si>
  <si>
    <t>06.02.2000</t>
  </si>
  <si>
    <t>Новиков Владислав</t>
  </si>
  <si>
    <t>01.02.1999</t>
  </si>
  <si>
    <t>Новиков Кирилл</t>
  </si>
  <si>
    <t>18.06.2004</t>
  </si>
  <si>
    <t>03.08.2007</t>
  </si>
  <si>
    <t>Новицкий Александр</t>
  </si>
  <si>
    <t>Новичков Артем</t>
  </si>
  <si>
    <t>Новожилов Кирилл</t>
  </si>
  <si>
    <t>29.07.2004</t>
  </si>
  <si>
    <t>Новожилов Максим</t>
  </si>
  <si>
    <t>29.07.2002</t>
  </si>
  <si>
    <t>Ноздрин Алексей</t>
  </si>
  <si>
    <t>04.03.2002</t>
  </si>
  <si>
    <t>Ноздрунов Юрий</t>
  </si>
  <si>
    <t>Норкин Марк</t>
  </si>
  <si>
    <t>Носовский Даниил</t>
  </si>
  <si>
    <t>03.08.2005</t>
  </si>
  <si>
    <t>Нургалиев Артур</t>
  </si>
  <si>
    <t>Нургалиев Самир</t>
  </si>
  <si>
    <t>Нуртдинов Райнур</t>
  </si>
  <si>
    <t>Нуруллин Самир</t>
  </si>
  <si>
    <t>07.10.2007</t>
  </si>
  <si>
    <t>Нуцкий Федор</t>
  </si>
  <si>
    <t>21.05.2002</t>
  </si>
  <si>
    <t>Няньчур Антон</t>
  </si>
  <si>
    <t>Обухов Степан</t>
  </si>
  <si>
    <t>Обушков Данила</t>
  </si>
  <si>
    <t>09.04.2001</t>
  </si>
  <si>
    <t>Овешков Илья</t>
  </si>
  <si>
    <t>25.12.2000</t>
  </si>
  <si>
    <t>Овсяников Даниил</t>
  </si>
  <si>
    <t>Овсянников Сергей</t>
  </si>
  <si>
    <t>12.12.1983</t>
  </si>
  <si>
    <t>Красный Сулин  Рост.обл.</t>
  </si>
  <si>
    <t>Овчаренко Игорь</t>
  </si>
  <si>
    <t>24.01.1969</t>
  </si>
  <si>
    <t>ОВЧАРОВ Дмитрий</t>
  </si>
  <si>
    <t>02.09.1988</t>
  </si>
  <si>
    <t>Хамельн  Германия</t>
  </si>
  <si>
    <t>Овчаров Петр</t>
  </si>
  <si>
    <t>Овчинников Артем</t>
  </si>
  <si>
    <t>15.07.2004</t>
  </si>
  <si>
    <t>Овчинников Владимир</t>
  </si>
  <si>
    <t>19.08.1974</t>
  </si>
  <si>
    <t>08.11.2000</t>
  </si>
  <si>
    <t>Оганесян Левон</t>
  </si>
  <si>
    <t>Оганесян Сурен</t>
  </si>
  <si>
    <t>08.02.2003</t>
  </si>
  <si>
    <t>Огнев Егор</t>
  </si>
  <si>
    <t>Огородников Глеб</t>
  </si>
  <si>
    <t>Огородов Даниил</t>
  </si>
  <si>
    <t>Огурцов Александр</t>
  </si>
  <si>
    <t>Одерков Марк</t>
  </si>
  <si>
    <t>Одиночкин Василий</t>
  </si>
  <si>
    <t>Одинцов Александр</t>
  </si>
  <si>
    <t>Одинцов Андрей</t>
  </si>
  <si>
    <t>10.01.2003</t>
  </si>
  <si>
    <t>Одинцов Никита</t>
  </si>
  <si>
    <t>Одноралов Артем</t>
  </si>
  <si>
    <t>28.03.1995</t>
  </si>
  <si>
    <t>Оклеев Артем</t>
  </si>
  <si>
    <t>04.01.2006</t>
  </si>
  <si>
    <t>Округов Никита</t>
  </si>
  <si>
    <t>13.06.2006</t>
  </si>
  <si>
    <t>Октябрев Артем</t>
  </si>
  <si>
    <t>Оларь Сергей</t>
  </si>
  <si>
    <t>02.11.1991</t>
  </si>
  <si>
    <t>Олейников Роман</t>
  </si>
  <si>
    <t>Олехов Михаил</t>
  </si>
  <si>
    <t>Олонов Александр</t>
  </si>
  <si>
    <t>27.05.1989</t>
  </si>
  <si>
    <t>Ольгин Георгий</t>
  </si>
  <si>
    <t>18.02.1998</t>
  </si>
  <si>
    <t>Ольденбург Денис</t>
  </si>
  <si>
    <t>23.12.2004</t>
  </si>
  <si>
    <t>Ольховик Александр</t>
  </si>
  <si>
    <t>Ольховой Антон</t>
  </si>
  <si>
    <t>22.07.1993</t>
  </si>
  <si>
    <t>Ольховский Андрей</t>
  </si>
  <si>
    <t>Омельченко Игорь</t>
  </si>
  <si>
    <t>Омурзаков Бектур</t>
  </si>
  <si>
    <t>10.08.2001</t>
  </si>
  <si>
    <t>Ондар Алдар</t>
  </si>
  <si>
    <t>26.08.1990</t>
  </si>
  <si>
    <t>Онегин Алексей</t>
  </si>
  <si>
    <t>20.09.2004</t>
  </si>
  <si>
    <t>Онищенко Юрий</t>
  </si>
  <si>
    <t>Опанасенко Мирон</t>
  </si>
  <si>
    <t>Опарин Сергей</t>
  </si>
  <si>
    <t>Опевалов Давид</t>
  </si>
  <si>
    <t>14.09.2007</t>
  </si>
  <si>
    <t>Опока Александр</t>
  </si>
  <si>
    <t>Опрышко Кирилл</t>
  </si>
  <si>
    <t>Орбакас Антон</t>
  </si>
  <si>
    <t>26.10.1989</t>
  </si>
  <si>
    <t>Орехов Даниил</t>
  </si>
  <si>
    <t>19.02.2005</t>
  </si>
  <si>
    <t>Орехов Леонид</t>
  </si>
  <si>
    <t>Орлов Анатолий</t>
  </si>
  <si>
    <t>Орлов Андрей</t>
  </si>
  <si>
    <t>Орлов Артем</t>
  </si>
  <si>
    <t>08.06.2006</t>
  </si>
  <si>
    <t>Орлов Глеб</t>
  </si>
  <si>
    <t>28.02.2002</t>
  </si>
  <si>
    <t>Орлов Михаил</t>
  </si>
  <si>
    <t>26.10.2005</t>
  </si>
  <si>
    <t>Орлов Серафим</t>
  </si>
  <si>
    <t>23.07.2007</t>
  </si>
  <si>
    <t>Суксун  Перм.кр.</t>
  </si>
  <si>
    <t>Орловский Максим</t>
  </si>
  <si>
    <t>Осинцев Игорь</t>
  </si>
  <si>
    <t>17.09.2003</t>
  </si>
  <si>
    <t>Осипов Александр</t>
  </si>
  <si>
    <t>05.02.2002</t>
  </si>
  <si>
    <t>Вилюйск  Саха</t>
  </si>
  <si>
    <t>Осипов Андрей</t>
  </si>
  <si>
    <t>Осипов Василий</t>
  </si>
  <si>
    <t>06.04.1988</t>
  </si>
  <si>
    <t>Осипов Глеб</t>
  </si>
  <si>
    <t>Осипов Даниил</t>
  </si>
  <si>
    <t>08.02.2005</t>
  </si>
  <si>
    <t>ОСИПОВ Даниил</t>
  </si>
  <si>
    <t>Осипов Иван</t>
  </si>
  <si>
    <t>22.02.2001</t>
  </si>
  <si>
    <t>Осипов Сергей</t>
  </si>
  <si>
    <t>12.05.1985</t>
  </si>
  <si>
    <t>Османов Ариф</t>
  </si>
  <si>
    <t>Урожайное  Крым</t>
  </si>
  <si>
    <t>Осмоловский Никита</t>
  </si>
  <si>
    <t>Осокин Арсений</t>
  </si>
  <si>
    <t>20.03.1999</t>
  </si>
  <si>
    <t>Остапович Андрей</t>
  </si>
  <si>
    <t>Осташевский Святослав</t>
  </si>
  <si>
    <t>Осташов Артем</t>
  </si>
  <si>
    <t>Островский Кирилл</t>
  </si>
  <si>
    <t>06.05.2005</t>
  </si>
  <si>
    <t>Остроумов Данил</t>
  </si>
  <si>
    <t>28.01.2002</t>
  </si>
  <si>
    <t>Оськин Дмитрий</t>
  </si>
  <si>
    <t>28.10.1984</t>
  </si>
  <si>
    <t>Ота Рики</t>
  </si>
  <si>
    <t>Ота Юлий</t>
  </si>
  <si>
    <t>Ошев Максим</t>
  </si>
  <si>
    <t>Ошеров Роман</t>
  </si>
  <si>
    <t>16.03.2008</t>
  </si>
  <si>
    <t>Ошкин Станислав</t>
  </si>
  <si>
    <t>15.04.1996</t>
  </si>
  <si>
    <t>Ощерин Ярослав</t>
  </si>
  <si>
    <t>21.09.2007</t>
  </si>
  <si>
    <t>Павленко Алексей</t>
  </si>
  <si>
    <t>16.09.1998</t>
  </si>
  <si>
    <t>Павленко Виктор</t>
  </si>
  <si>
    <t>ПАВЛЕНКОВ Артем</t>
  </si>
  <si>
    <t>19.05.2005</t>
  </si>
  <si>
    <t>Павленков Макар</t>
  </si>
  <si>
    <t>05.02.2003</t>
  </si>
  <si>
    <t>Павликов Михаил</t>
  </si>
  <si>
    <t>Павлина Сергей</t>
  </si>
  <si>
    <t>21.06.1982</t>
  </si>
  <si>
    <t>Павличков Вадим</t>
  </si>
  <si>
    <t>Павлов Богдан</t>
  </si>
  <si>
    <t>01.03.2008</t>
  </si>
  <si>
    <t>Павлов Владимир</t>
  </si>
  <si>
    <t>Павлов Георгий</t>
  </si>
  <si>
    <t>Павлов Дмитрий</t>
  </si>
  <si>
    <t>Павлов Евгений</t>
  </si>
  <si>
    <t>24.04.1996</t>
  </si>
  <si>
    <t>Павлов Максим</t>
  </si>
  <si>
    <t>31.10.2000</t>
  </si>
  <si>
    <t>25.03.1999</t>
  </si>
  <si>
    <t>29.10.2007</t>
  </si>
  <si>
    <t>12.08.2003</t>
  </si>
  <si>
    <t>Павлович Владислав</t>
  </si>
  <si>
    <t>Пайков Михаил</t>
  </si>
  <si>
    <t>31.07.1989</t>
  </si>
  <si>
    <t>Пак Антон</t>
  </si>
  <si>
    <t>25.04.1991</t>
  </si>
  <si>
    <t>25.04.2000</t>
  </si>
  <si>
    <t>Паклин Алексей</t>
  </si>
  <si>
    <t>Паклин Иван</t>
  </si>
  <si>
    <t>Палеха Михаил</t>
  </si>
  <si>
    <t>17.12.1999</t>
  </si>
  <si>
    <t>Палян Арсен</t>
  </si>
  <si>
    <t>03.04.2006</t>
  </si>
  <si>
    <t>Панарин Даниил</t>
  </si>
  <si>
    <t>Паневин Сергей</t>
  </si>
  <si>
    <t>20.08.1981</t>
  </si>
  <si>
    <t>Панкратов Валентин</t>
  </si>
  <si>
    <t>20.05.1972</t>
  </si>
  <si>
    <t>Панов Артем</t>
  </si>
  <si>
    <t>21.07.2001</t>
  </si>
  <si>
    <t>Панов Виталий</t>
  </si>
  <si>
    <t>Панов Кирилл</t>
  </si>
  <si>
    <t>Панов Павел</t>
  </si>
  <si>
    <t>24.11.1989</t>
  </si>
  <si>
    <t>Сыктывкар</t>
  </si>
  <si>
    <t>Панов Станислав</t>
  </si>
  <si>
    <t>13.12.2002</t>
  </si>
  <si>
    <t>Панов Степан</t>
  </si>
  <si>
    <t>Пантелеев Андрей</t>
  </si>
  <si>
    <t>18.03.2003</t>
  </si>
  <si>
    <t>Пантелеев Михаил</t>
  </si>
  <si>
    <t>16.07.2001</t>
  </si>
  <si>
    <t>Пантелеев Сергей</t>
  </si>
  <si>
    <t>20.09.1976</t>
  </si>
  <si>
    <t>Панферов Владимир</t>
  </si>
  <si>
    <t>Панферов Роман</t>
  </si>
  <si>
    <t>Панфилов Илья</t>
  </si>
  <si>
    <t>19.09.1998</t>
  </si>
  <si>
    <t>Панцырев Андрей</t>
  </si>
  <si>
    <t>Панченко Артем</t>
  </si>
  <si>
    <t>25.03.1986</t>
  </si>
  <si>
    <t>Панченко Евгении</t>
  </si>
  <si>
    <t>06.04.1984</t>
  </si>
  <si>
    <t>Парфенов Андрей</t>
  </si>
  <si>
    <t>07.12.2004</t>
  </si>
  <si>
    <t>Пархоменко Вячеслав</t>
  </si>
  <si>
    <t>28.08.2007</t>
  </si>
  <si>
    <t>Пастухов Кирилл</t>
  </si>
  <si>
    <t>23.02.2003</t>
  </si>
  <si>
    <t>Пасюга Владислав</t>
  </si>
  <si>
    <t>09.01.2007</t>
  </si>
  <si>
    <t>Патраков Данила</t>
  </si>
  <si>
    <t>11.05.2007</t>
  </si>
  <si>
    <t>Патчин Игорь</t>
  </si>
  <si>
    <t>Пауков Александр</t>
  </si>
  <si>
    <t>15.08.1981</t>
  </si>
  <si>
    <t>Паутов Артемий</t>
  </si>
  <si>
    <t>11.08.2006</t>
  </si>
  <si>
    <t>Пахомов Борис</t>
  </si>
  <si>
    <t>22.06.1947</t>
  </si>
  <si>
    <t>Пахомов Олег</t>
  </si>
  <si>
    <t>Пахомов Сергей</t>
  </si>
  <si>
    <t>14.05.1986</t>
  </si>
  <si>
    <t>Пачев Артур</t>
  </si>
  <si>
    <t>24.10.1963</t>
  </si>
  <si>
    <t>Пашин Алексей</t>
  </si>
  <si>
    <t>20.04.1978</t>
  </si>
  <si>
    <t>Пашков Максим</t>
  </si>
  <si>
    <t>01.06.2002</t>
  </si>
  <si>
    <t>Педе Андрей</t>
  </si>
  <si>
    <t>12.10.2004</t>
  </si>
  <si>
    <t>Пекарский Данила</t>
  </si>
  <si>
    <t>Пеккоев Матвей</t>
  </si>
  <si>
    <t>29.06.2004</t>
  </si>
  <si>
    <t>Пелевин Евгений</t>
  </si>
  <si>
    <t>28.01.2001</t>
  </si>
  <si>
    <t>Пелих Вячеслав</t>
  </si>
  <si>
    <t>20.09.2007</t>
  </si>
  <si>
    <t>Пенкин Богдан</t>
  </si>
  <si>
    <t>Пенников Александр</t>
  </si>
  <si>
    <t>Пентегов Никита</t>
  </si>
  <si>
    <t>Первой Константин</t>
  </si>
  <si>
    <t>Переверзев Борис</t>
  </si>
  <si>
    <t>17.04.1950</t>
  </si>
  <si>
    <t>11.02.1999</t>
  </si>
  <si>
    <t>Перешивкин Даниил</t>
  </si>
  <si>
    <t>Перминов Тимофей</t>
  </si>
  <si>
    <t>02.06.2006</t>
  </si>
  <si>
    <t>Пермяков Дмитрий</t>
  </si>
  <si>
    <t>09.07.2005</t>
  </si>
  <si>
    <t>Пермяков Евгений</t>
  </si>
  <si>
    <t>21.06.1989</t>
  </si>
  <si>
    <t>07.11.1982</t>
  </si>
  <si>
    <t>Перов Павел</t>
  </si>
  <si>
    <t>25.01.1978</t>
  </si>
  <si>
    <t>Перфильев Алексей</t>
  </si>
  <si>
    <t>27.02.1976</t>
  </si>
  <si>
    <t>06.12.2005</t>
  </si>
  <si>
    <t>Першин Глеб</t>
  </si>
  <si>
    <t>02.07.1998</t>
  </si>
  <si>
    <t>Пестов Никита</t>
  </si>
  <si>
    <t>14.04.2001</t>
  </si>
  <si>
    <t>Петрищев Сергей</t>
  </si>
  <si>
    <t>Петров Александр</t>
  </si>
  <si>
    <t>Петров Антон</t>
  </si>
  <si>
    <t>23.09.1993</t>
  </si>
  <si>
    <t>Петров Артем</t>
  </si>
  <si>
    <t>Петров Владимир</t>
  </si>
  <si>
    <t>10.01.1983</t>
  </si>
  <si>
    <t>Петров Глеб</t>
  </si>
  <si>
    <t>Петров Денис</t>
  </si>
  <si>
    <t>29.04.1997</t>
  </si>
  <si>
    <t>27.01.2008</t>
  </si>
  <si>
    <t>Петров Дмитрий</t>
  </si>
  <si>
    <t>Петров Егор</t>
  </si>
  <si>
    <t>25.11.2003</t>
  </si>
  <si>
    <t>29.12.2005</t>
  </si>
  <si>
    <t>Петров Максим</t>
  </si>
  <si>
    <t>Петров Матвей</t>
  </si>
  <si>
    <t>10.01.2004</t>
  </si>
  <si>
    <t>Петров Никита</t>
  </si>
  <si>
    <t>01.04.2007</t>
  </si>
  <si>
    <t>Петров Роман</t>
  </si>
  <si>
    <t>07.02.1996</t>
  </si>
  <si>
    <t>05.10.2001</t>
  </si>
  <si>
    <t>Петрунин Федор</t>
  </si>
  <si>
    <t>Петрухин Дмитрий</t>
  </si>
  <si>
    <t>27.08.2002</t>
  </si>
  <si>
    <t>Петрухин Евгений</t>
  </si>
  <si>
    <t>16.08.1985</t>
  </si>
  <si>
    <t>Петрученко Лаврентий</t>
  </si>
  <si>
    <t>16.09.2004</t>
  </si>
  <si>
    <t>13.09.2001</t>
  </si>
  <si>
    <t>Петухов Андрей</t>
  </si>
  <si>
    <t>Петухов Антон</t>
  </si>
  <si>
    <t>Петухов Глеб</t>
  </si>
  <si>
    <t>24.04.2005</t>
  </si>
  <si>
    <t>Петухов Иван</t>
  </si>
  <si>
    <t>25.04.2009</t>
  </si>
  <si>
    <t>Петухов Михаил</t>
  </si>
  <si>
    <t>Печегин Игорь</t>
  </si>
  <si>
    <t>Пешко Олег</t>
  </si>
  <si>
    <t>Пивень Тигран</t>
  </si>
  <si>
    <t>Пивень Фаддей</t>
  </si>
  <si>
    <t>Пивоваров Владислав</t>
  </si>
  <si>
    <t>20.12.2000</t>
  </si>
  <si>
    <t>Пивоваров Иван</t>
  </si>
  <si>
    <t>Пивторак Виталий</t>
  </si>
  <si>
    <t>26.06.2005</t>
  </si>
  <si>
    <t>Пигалев Кирилл</t>
  </si>
  <si>
    <t>Пикаров Роман</t>
  </si>
  <si>
    <t>Пикульский Никита</t>
  </si>
  <si>
    <t>Пилипенко Дмитрий</t>
  </si>
  <si>
    <t>Пилипец Вадим</t>
  </si>
  <si>
    <t>19.07.1984</t>
  </si>
  <si>
    <t>Пилицын Игорь</t>
  </si>
  <si>
    <t>01.10.2003</t>
  </si>
  <si>
    <t>Пильщиков Евгений</t>
  </si>
  <si>
    <t>Пименов Дмитрий</t>
  </si>
  <si>
    <t>25.05.1999</t>
  </si>
  <si>
    <t>Пименов Тимофей</t>
  </si>
  <si>
    <t>02.05.2005</t>
  </si>
  <si>
    <t>Пинаев Алексей</t>
  </si>
  <si>
    <t>01.01.1992</t>
  </si>
  <si>
    <t>Пинежский Роберт</t>
  </si>
  <si>
    <t>Пиньковский Павел</t>
  </si>
  <si>
    <t>25.11.1978</t>
  </si>
  <si>
    <t>Пиотрович Михаил</t>
  </si>
  <si>
    <t>Пискаев Максим</t>
  </si>
  <si>
    <t>16.10.2002</t>
  </si>
  <si>
    <t>Пискунов Сергей</t>
  </si>
  <si>
    <t>21.12.2003</t>
  </si>
  <si>
    <t>Питиримов Артем</t>
  </si>
  <si>
    <t>Пищук Дмитрий</t>
  </si>
  <si>
    <t>11.01.1990</t>
  </si>
  <si>
    <t>Плакатин Александр</t>
  </si>
  <si>
    <t>Платонов Арсен</t>
  </si>
  <si>
    <t>12.08.1999</t>
  </si>
  <si>
    <t>Ытык-Кюель  Якут.</t>
  </si>
  <si>
    <t>Плахотник Александр</t>
  </si>
  <si>
    <t>Плетнев Андрей</t>
  </si>
  <si>
    <t>28.07.1986</t>
  </si>
  <si>
    <t>Плешивцев Дмитрий</t>
  </si>
  <si>
    <t>Плотников Георгий</t>
  </si>
  <si>
    <t>01.12.2003</t>
  </si>
  <si>
    <t>Плотников Марк</t>
  </si>
  <si>
    <t>14.06.1999</t>
  </si>
  <si>
    <t>Площенко Денис</t>
  </si>
  <si>
    <t>28.04.2005</t>
  </si>
  <si>
    <t>Плюхин Игорь</t>
  </si>
  <si>
    <t>Плясовица Игорь</t>
  </si>
  <si>
    <t>24.06.1991</t>
  </si>
  <si>
    <t>Побежимов Тимофей</t>
  </si>
  <si>
    <t>Повальчук Юрий</t>
  </si>
  <si>
    <t>23.01.1997</t>
  </si>
  <si>
    <t>Поворознюк Артем</t>
  </si>
  <si>
    <t>Погорелов Дмитрий</t>
  </si>
  <si>
    <t>07.12.2007</t>
  </si>
  <si>
    <t>Погудин Никита</t>
  </si>
  <si>
    <t>05.01.2002</t>
  </si>
  <si>
    <t>Подволоцкий Никита</t>
  </si>
  <si>
    <t>Подкорытов Алексей</t>
  </si>
  <si>
    <t>07.02.2007</t>
  </si>
  <si>
    <t>Подольский Владимир</t>
  </si>
  <si>
    <t>25.09.1951</t>
  </si>
  <si>
    <t>Подоматько Никита</t>
  </si>
  <si>
    <t>07.05.2003</t>
  </si>
  <si>
    <t>Подпалый Серафим</t>
  </si>
  <si>
    <t>16.08.2003</t>
  </si>
  <si>
    <t>Подскребалин Иван</t>
  </si>
  <si>
    <t>13.03.2005</t>
  </si>
  <si>
    <t>Подшивалов Семен</t>
  </si>
  <si>
    <t>Подъяпольский Артем</t>
  </si>
  <si>
    <t>Подъяпольский Сергей</t>
  </si>
  <si>
    <t>06.12.2007</t>
  </si>
  <si>
    <t>Пожарский Андрей</t>
  </si>
  <si>
    <t>Полатайко Денис</t>
  </si>
  <si>
    <t>09.03.2004</t>
  </si>
  <si>
    <t>Поливанов Владислав</t>
  </si>
  <si>
    <t>Полищук Тимофей</t>
  </si>
  <si>
    <t>15.06.2003</t>
  </si>
  <si>
    <t>Полозов Сергей</t>
  </si>
  <si>
    <t>25.02.1991</t>
  </si>
  <si>
    <t>Полонеев Александр</t>
  </si>
  <si>
    <t>Полонеев Илья</t>
  </si>
  <si>
    <t>24.04.2008</t>
  </si>
  <si>
    <t>Полосухин Денис</t>
  </si>
  <si>
    <t>Камень-на-Оби  Алт.кр.</t>
  </si>
  <si>
    <t>Полтев Данил</t>
  </si>
  <si>
    <t>Полумиев Артем</t>
  </si>
  <si>
    <t>Полухин Глеб</t>
  </si>
  <si>
    <t>Полушкин Антон</t>
  </si>
  <si>
    <t>11.03.2002</t>
  </si>
  <si>
    <t>Полуэктов Игорь</t>
  </si>
  <si>
    <t>23.05.1970</t>
  </si>
  <si>
    <t>02.07.1999</t>
  </si>
  <si>
    <t>Поляков Василий</t>
  </si>
  <si>
    <t>Поляков Дмитрий</t>
  </si>
  <si>
    <t>Поляков Леонид</t>
  </si>
  <si>
    <t>30.03.2005</t>
  </si>
  <si>
    <t>Поляков Ярослав</t>
  </si>
  <si>
    <t>Поляницын Антон</t>
  </si>
  <si>
    <t>18.04.2000</t>
  </si>
  <si>
    <t>Полянский Никита</t>
  </si>
  <si>
    <t>30.03.1983</t>
  </si>
  <si>
    <t>Пономарев Данил</t>
  </si>
  <si>
    <t>17.12.2005</t>
  </si>
  <si>
    <t>Пономарев Егор</t>
  </si>
  <si>
    <t>20.01.2006</t>
  </si>
  <si>
    <t>Пономарев Максим</t>
  </si>
  <si>
    <t>Пономарев Никита</t>
  </si>
  <si>
    <t>Пономаренко Евгений</t>
  </si>
  <si>
    <t>Пооль Артур</t>
  </si>
  <si>
    <t>17.01.2002</t>
  </si>
  <si>
    <t>Попандопуло Дмитрий</t>
  </si>
  <si>
    <t>08.02.2002</t>
  </si>
  <si>
    <t>Попиков Андрей</t>
  </si>
  <si>
    <t>Попков Арсений</t>
  </si>
  <si>
    <t>05.09.2003</t>
  </si>
  <si>
    <t>23.04.2001</t>
  </si>
  <si>
    <t>03.05.1996</t>
  </si>
  <si>
    <t>Попов Борис</t>
  </si>
  <si>
    <t>31.01.2004</t>
  </si>
  <si>
    <t>Попов Данил</t>
  </si>
  <si>
    <t>09.11.2004</t>
  </si>
  <si>
    <t>20.04.2002</t>
  </si>
  <si>
    <t>27.08.1983</t>
  </si>
  <si>
    <t>Попов Илья</t>
  </si>
  <si>
    <t>28.02.2003</t>
  </si>
  <si>
    <t>Попов Михаил</t>
  </si>
  <si>
    <t>13.06.2008</t>
  </si>
  <si>
    <t>29.11.2004</t>
  </si>
  <si>
    <t>17.10.2003</t>
  </si>
  <si>
    <t>Попов Олег</t>
  </si>
  <si>
    <t>Попов Павел</t>
  </si>
  <si>
    <t>09.03.1991</t>
  </si>
  <si>
    <t>Татарск  Новос.обл.</t>
  </si>
  <si>
    <t>Попов Ярослав</t>
  </si>
  <si>
    <t>27.07.1984</t>
  </si>
  <si>
    <t>Поповцев Александр</t>
  </si>
  <si>
    <t>Попырин Вячеслав</t>
  </si>
  <si>
    <t>Порошин Павел</t>
  </si>
  <si>
    <t>22.09.1986</t>
  </si>
  <si>
    <t>Портнов Фадей</t>
  </si>
  <si>
    <t>Порядин Максим</t>
  </si>
  <si>
    <t>Посохов Артем</t>
  </si>
  <si>
    <t>29.09.2002</t>
  </si>
  <si>
    <t>Постников Антон</t>
  </si>
  <si>
    <t>18.08.1989</t>
  </si>
  <si>
    <t>Постников Михаил</t>
  </si>
  <si>
    <t>09.04.1984</t>
  </si>
  <si>
    <t>Постовгар Александр</t>
  </si>
  <si>
    <t>Постолов Ярослав</t>
  </si>
  <si>
    <t>04.06.2001</t>
  </si>
  <si>
    <t>Потапов Игорь</t>
  </si>
  <si>
    <t>Потапов Никита</t>
  </si>
  <si>
    <t>12.09.2008</t>
  </si>
  <si>
    <t>Потапов Сергей</t>
  </si>
  <si>
    <t>06.01.1989</t>
  </si>
  <si>
    <t>Потеряхин Никита</t>
  </si>
  <si>
    <t>Потешкин Михаил</t>
  </si>
  <si>
    <t>06.01.2006</t>
  </si>
  <si>
    <t>Праздников Александр</t>
  </si>
  <si>
    <t>14.12.2000</t>
  </si>
  <si>
    <t>Прасол Арсений</t>
  </si>
  <si>
    <t>24.03.2006</t>
  </si>
  <si>
    <t>Прибыткин Роман</t>
  </si>
  <si>
    <t>07.03.2004</t>
  </si>
  <si>
    <t>Привалов Дмитрий</t>
  </si>
  <si>
    <t>20.08.1997</t>
  </si>
  <si>
    <t>Прикладов Алексей</t>
  </si>
  <si>
    <t>Прима Владимир</t>
  </si>
  <si>
    <t>03.02.1945</t>
  </si>
  <si>
    <t>Примак Семен</t>
  </si>
  <si>
    <t>ПРИМОРАЦ Зоран</t>
  </si>
  <si>
    <t>10.05.1969</t>
  </si>
  <si>
    <t>Загреб  Хорватия</t>
  </si>
  <si>
    <t>Прищенко Дмитрий</t>
  </si>
  <si>
    <t>05.01.2001</t>
  </si>
  <si>
    <t>Прокопенко Сергей</t>
  </si>
  <si>
    <t>Прокофьев Алексей</t>
  </si>
  <si>
    <t>18.02.1997</t>
  </si>
  <si>
    <t>Прокофьев Леонид</t>
  </si>
  <si>
    <t>Пронкин Максим</t>
  </si>
  <si>
    <t>09.08.1978</t>
  </si>
  <si>
    <t>Проскурин Евгений</t>
  </si>
  <si>
    <t>31.01.1975</t>
  </si>
  <si>
    <t>Проскурин Максим</t>
  </si>
  <si>
    <t>Простов Александр</t>
  </si>
  <si>
    <t>Прохоров Антон</t>
  </si>
  <si>
    <t>27.05.2004</t>
  </si>
  <si>
    <t>Прохоров Василий</t>
  </si>
  <si>
    <t>05.01.1981</t>
  </si>
  <si>
    <t>Прохоров Кирилл</t>
  </si>
  <si>
    <t>Прошин Антон</t>
  </si>
  <si>
    <t>16.09.2003</t>
  </si>
  <si>
    <t>Прошин Якуб</t>
  </si>
  <si>
    <t>Прошка Дмитрий</t>
  </si>
  <si>
    <t>21.09.2008</t>
  </si>
  <si>
    <t>Прудкий Дмитрий</t>
  </si>
  <si>
    <t>Прудников Андрей</t>
  </si>
  <si>
    <t>Прытков Николай</t>
  </si>
  <si>
    <t>14.11.1956</t>
  </si>
  <si>
    <t>Прыщенко Владислав</t>
  </si>
  <si>
    <t>17.11.2000</t>
  </si>
  <si>
    <t>Прядкин Михаил</t>
  </si>
  <si>
    <t>10.02.2007</t>
  </si>
  <si>
    <t>Прялкин Даниил</t>
  </si>
  <si>
    <t>Пряхин Иван</t>
  </si>
  <si>
    <t>10.11.2005</t>
  </si>
  <si>
    <t>25.09.1999</t>
  </si>
  <si>
    <t>Пудовин Михаил</t>
  </si>
  <si>
    <t>23.09.1994</t>
  </si>
  <si>
    <t>Ишим  Тюм.обл.</t>
  </si>
  <si>
    <t>Пудовинников Савелий</t>
  </si>
  <si>
    <t>Пужляков Максим</t>
  </si>
  <si>
    <t>27.08.2005</t>
  </si>
  <si>
    <t>Пужляков Никита</t>
  </si>
  <si>
    <t>04.05.2005</t>
  </si>
  <si>
    <t>Пулин Алексей</t>
  </si>
  <si>
    <t>Пуллинен Леонид</t>
  </si>
  <si>
    <t>Пульный Павел</t>
  </si>
  <si>
    <t>22.11.1991</t>
  </si>
  <si>
    <t>21.02.2000</t>
  </si>
  <si>
    <t>Пустовой Игнат</t>
  </si>
  <si>
    <t>01.11.2005</t>
  </si>
  <si>
    <t>Путов Никита</t>
  </si>
  <si>
    <t>Пучнин Никита</t>
  </si>
  <si>
    <t>09.11.2005</t>
  </si>
  <si>
    <t>Пушкарев Алексей</t>
  </si>
  <si>
    <t>20.08.2007</t>
  </si>
  <si>
    <t>Пушкарев Артем</t>
  </si>
  <si>
    <t>Пушкаренко Степан</t>
  </si>
  <si>
    <t>Пчельников Семен</t>
  </si>
  <si>
    <t>Пшеничный Никита</t>
  </si>
  <si>
    <t>29.05.2006</t>
  </si>
  <si>
    <t>Пшенников Максим</t>
  </si>
  <si>
    <t>10.06.2007</t>
  </si>
  <si>
    <t>Пыгамов Тимур</t>
  </si>
  <si>
    <t>Пыльник Данил</t>
  </si>
  <si>
    <t>23.10.2002</t>
  </si>
  <si>
    <t>Рагимов Решад</t>
  </si>
  <si>
    <t>Радецкий Святослав</t>
  </si>
  <si>
    <t>Радионов Глеб</t>
  </si>
  <si>
    <t>12.07.2002</t>
  </si>
  <si>
    <t>Радионов Данил</t>
  </si>
  <si>
    <t>26.11.2003</t>
  </si>
  <si>
    <t>Радкевич Матвей</t>
  </si>
  <si>
    <t>Раднаев Батор</t>
  </si>
  <si>
    <t>23.05.2006</t>
  </si>
  <si>
    <t>Раднаев Жалсан</t>
  </si>
  <si>
    <t>24.02.1998</t>
  </si>
  <si>
    <t>Ражев Семен</t>
  </si>
  <si>
    <t>06.11.1996</t>
  </si>
  <si>
    <t>Разбойников Федор</t>
  </si>
  <si>
    <t>Развозжаев Ярослав</t>
  </si>
  <si>
    <t>17.10.2008</t>
  </si>
  <si>
    <t>Раздоров Ростислав</t>
  </si>
  <si>
    <t>Разимовский Дмитрий</t>
  </si>
  <si>
    <t>Разин Сергей</t>
  </si>
  <si>
    <t>08.06.2003</t>
  </si>
  <si>
    <t>Размысловский Павел</t>
  </si>
  <si>
    <t>Разносчиков Егор</t>
  </si>
  <si>
    <t>Разумов Даниил</t>
  </si>
  <si>
    <t>29.03.2004</t>
  </si>
  <si>
    <t>Разумов Игорь</t>
  </si>
  <si>
    <t>03.10.2000</t>
  </si>
  <si>
    <t>РАЙ Андрей</t>
  </si>
  <si>
    <t>Райлян Александр</t>
  </si>
  <si>
    <t>04.10.2001</t>
  </si>
  <si>
    <t>Райнин Юрий</t>
  </si>
  <si>
    <t>01.09.1996</t>
  </si>
  <si>
    <t>Раисов Евгений</t>
  </si>
  <si>
    <t>РАЙТЕР Эрик</t>
  </si>
  <si>
    <t>25.07.1996</t>
  </si>
  <si>
    <t>Раков Алексей</t>
  </si>
  <si>
    <t>05.01.2006</t>
  </si>
  <si>
    <t>Раков Иван</t>
  </si>
  <si>
    <t>Ральдин Тимур</t>
  </si>
  <si>
    <t>Рамс Сергей</t>
  </si>
  <si>
    <t>21.09.2004</t>
  </si>
  <si>
    <t>Распопин Сергей</t>
  </si>
  <si>
    <t>Рассадин Андрей</t>
  </si>
  <si>
    <t>20.05.2005</t>
  </si>
  <si>
    <t>Рассказов Максим</t>
  </si>
  <si>
    <t>13.05.2004</t>
  </si>
  <si>
    <t>Расторгуев Павел</t>
  </si>
  <si>
    <t>22.04.2006</t>
  </si>
  <si>
    <t>Ратахин Никита</t>
  </si>
  <si>
    <t>18.08.1998</t>
  </si>
  <si>
    <t>Ратушняк Василий</t>
  </si>
  <si>
    <t>20.04.1960</t>
  </si>
  <si>
    <t>Рахаев Астемир</t>
  </si>
  <si>
    <t>Рахимов Айдар</t>
  </si>
  <si>
    <t>16.10.2000</t>
  </si>
  <si>
    <t>Медведево  Марий Эл</t>
  </si>
  <si>
    <t>Рахимов Артур</t>
  </si>
  <si>
    <t>Рахманинов Максим</t>
  </si>
  <si>
    <t>Рахманов Виктор</t>
  </si>
  <si>
    <t>06.10.1998</t>
  </si>
  <si>
    <t>Рахманов Роман</t>
  </si>
  <si>
    <t>Рачков Сергей</t>
  </si>
  <si>
    <t>15.05.1995</t>
  </si>
  <si>
    <t>Ращукин Александр</t>
  </si>
  <si>
    <t>22.12.1999</t>
  </si>
  <si>
    <t>Ращупкин Олег</t>
  </si>
  <si>
    <t>Ревенко Матвей</t>
  </si>
  <si>
    <t>Ревин Андрей</t>
  </si>
  <si>
    <t>07.04.1979</t>
  </si>
  <si>
    <t>Регентов Евгений</t>
  </si>
  <si>
    <t>02.07.1978</t>
  </si>
  <si>
    <t>Резаков Кирилл</t>
  </si>
  <si>
    <t>Резванов Егор</t>
  </si>
  <si>
    <t>11.02.2006</t>
  </si>
  <si>
    <t>Резинкин Дмитрий</t>
  </si>
  <si>
    <t>13.04.2002</t>
  </si>
  <si>
    <t>Резников Андрей</t>
  </si>
  <si>
    <t>11.08.1984</t>
  </si>
  <si>
    <t>Резников Иван</t>
  </si>
  <si>
    <t>26.11.2007</t>
  </si>
  <si>
    <t>10.03.1999</t>
  </si>
  <si>
    <t>Рекутин Вадим</t>
  </si>
  <si>
    <t>Ремезов Вадим</t>
  </si>
  <si>
    <t>Рементов Григорий</t>
  </si>
  <si>
    <t>05.06.1995</t>
  </si>
  <si>
    <t>Ренжин Ярослав</t>
  </si>
  <si>
    <t>Репников Сергей</t>
  </si>
  <si>
    <t>18.03.1986</t>
  </si>
  <si>
    <t>Репях Владислав</t>
  </si>
  <si>
    <t>23.11.2007</t>
  </si>
  <si>
    <t>Рехтин Андрей</t>
  </si>
  <si>
    <t>Решетилов Георгий</t>
  </si>
  <si>
    <t>Решетников Егор</t>
  </si>
  <si>
    <t>Решетников Максим</t>
  </si>
  <si>
    <t>10.10.2006</t>
  </si>
  <si>
    <t>Решетов Павел</t>
  </si>
  <si>
    <t>Рещиков Дмитрий</t>
  </si>
  <si>
    <t>Ржепко Сергей</t>
  </si>
  <si>
    <t>Ризаев Никита</t>
  </si>
  <si>
    <t>16.11.2002</t>
  </si>
  <si>
    <t>Рихтик Александр</t>
  </si>
  <si>
    <t>Рогачев Дмитрий</t>
  </si>
  <si>
    <t>Салават  Башк.</t>
  </si>
  <si>
    <t>Рогачев Кирилл</t>
  </si>
  <si>
    <t>Рогер Егор</t>
  </si>
  <si>
    <t>08.10.2006</t>
  </si>
  <si>
    <t>Рогозин Анатолий</t>
  </si>
  <si>
    <t>25.11.1942</t>
  </si>
  <si>
    <t>Родиков Евгений</t>
  </si>
  <si>
    <t>27.06.1989</t>
  </si>
  <si>
    <t>Родин Александр</t>
  </si>
  <si>
    <t>08.09.1990</t>
  </si>
  <si>
    <t>Родин Артем</t>
  </si>
  <si>
    <t>26.11.2000</t>
  </si>
  <si>
    <t>30.12.2001</t>
  </si>
  <si>
    <t>Родин Роман</t>
  </si>
  <si>
    <t>14.02.2005</t>
  </si>
  <si>
    <t>Родинов Андрей</t>
  </si>
  <si>
    <t>Родионов Александр</t>
  </si>
  <si>
    <t>Родионов Иван</t>
  </si>
  <si>
    <t>Родионов Илья</t>
  </si>
  <si>
    <t>09.05.1996</t>
  </si>
  <si>
    <t>Родников Даниил</t>
  </si>
  <si>
    <t>18.11.2001</t>
  </si>
  <si>
    <t>Рожков Анатолий</t>
  </si>
  <si>
    <t>23.01.2007</t>
  </si>
  <si>
    <t>Рожков Даниил</t>
  </si>
  <si>
    <t>04.04.1999</t>
  </si>
  <si>
    <t>02.02.2003</t>
  </si>
  <si>
    <t>Рожков Николай</t>
  </si>
  <si>
    <t>12.03.1998</t>
  </si>
  <si>
    <t>Розелиус Всеволод</t>
  </si>
  <si>
    <t>Розенберг Николай</t>
  </si>
  <si>
    <t>Рокотянский Владислав</t>
  </si>
  <si>
    <t>20.07.2001</t>
  </si>
  <si>
    <t>Ролдугин Артем</t>
  </si>
  <si>
    <t>Ролдугин Игорь</t>
  </si>
  <si>
    <t>25.09.1960</t>
  </si>
  <si>
    <t>Рольгейзер Арсений</t>
  </si>
  <si>
    <t>Романенко Александр</t>
  </si>
  <si>
    <t>Романенко Евгений</t>
  </si>
  <si>
    <t>22.10.2007</t>
  </si>
  <si>
    <t>Романенко Максим</t>
  </si>
  <si>
    <t>29.09.2008</t>
  </si>
  <si>
    <t>Романенков Александр</t>
  </si>
  <si>
    <t>Романов Александр</t>
  </si>
  <si>
    <t>17.10.1994</t>
  </si>
  <si>
    <t>16.02.1998</t>
  </si>
  <si>
    <t>Романов Роман</t>
  </si>
  <si>
    <t>20.07.2005</t>
  </si>
  <si>
    <t>Романов Сергей</t>
  </si>
  <si>
    <t>Романчиков Евгений</t>
  </si>
  <si>
    <t>Ромасев Олег</t>
  </si>
  <si>
    <t>09.12.1984</t>
  </si>
  <si>
    <t>Роменский Никита</t>
  </si>
  <si>
    <t>Рослый Михаил</t>
  </si>
  <si>
    <t>11.03.1972</t>
  </si>
  <si>
    <t>Россейкин Леонид</t>
  </si>
  <si>
    <t>22.08.2004</t>
  </si>
  <si>
    <t>Россыгин Егор</t>
  </si>
  <si>
    <t>Ростошинский Иван</t>
  </si>
  <si>
    <t>Ротань Александр</t>
  </si>
  <si>
    <t>Ротарь Максим</t>
  </si>
  <si>
    <t>07.11.1983</t>
  </si>
  <si>
    <t>Роткин Максим</t>
  </si>
  <si>
    <t>Ротнов Егор</t>
  </si>
  <si>
    <t>28.03.2003</t>
  </si>
  <si>
    <t>Рубцов Александр</t>
  </si>
  <si>
    <t>20.06.2007</t>
  </si>
  <si>
    <t>Рубцов Андрей</t>
  </si>
  <si>
    <t>20.07.1999</t>
  </si>
  <si>
    <t>Рудаков Алексей</t>
  </si>
  <si>
    <t>19.11.2005</t>
  </si>
  <si>
    <t>Руденко Евгений</t>
  </si>
  <si>
    <t>08.08.2003</t>
  </si>
  <si>
    <t>Руденко Константин</t>
  </si>
  <si>
    <t>Кировск  Мурм.обл.</t>
  </si>
  <si>
    <t>Рудых Захар</t>
  </si>
  <si>
    <t>Рукавицын Евгений</t>
  </si>
  <si>
    <t>03.09.2007</t>
  </si>
  <si>
    <t>Румянцев Василий</t>
  </si>
  <si>
    <t>07.11.1988</t>
  </si>
  <si>
    <t>с. Боргонцы  Саха</t>
  </si>
  <si>
    <t>Румянцев Данил</t>
  </si>
  <si>
    <t>15.07.2007</t>
  </si>
  <si>
    <t>Румянцев Илья</t>
  </si>
  <si>
    <t>27.12.2001</t>
  </si>
  <si>
    <t>Рунев Дмитрий</t>
  </si>
  <si>
    <t>22.09.2003</t>
  </si>
  <si>
    <t>16.03.2000</t>
  </si>
  <si>
    <t>Русаков Максим</t>
  </si>
  <si>
    <t>17.02.1996</t>
  </si>
  <si>
    <t>Русяев Александр</t>
  </si>
  <si>
    <t>25.10.2004</t>
  </si>
  <si>
    <t>Рыбаков Михаил</t>
  </si>
  <si>
    <t>Рыбаков Никита</t>
  </si>
  <si>
    <t>14.05.2009</t>
  </si>
  <si>
    <t>Рыбалкин Федор</t>
  </si>
  <si>
    <t>Рыбальченко Дмитрий</t>
  </si>
  <si>
    <t>17.10.1996</t>
  </si>
  <si>
    <t>Рыбин Вадим</t>
  </si>
  <si>
    <t>Рыбин Дмитрий</t>
  </si>
  <si>
    <t>Рыбников Илья</t>
  </si>
  <si>
    <t>Рыжаков Артур</t>
  </si>
  <si>
    <t>Рыженьков Сергей</t>
  </si>
  <si>
    <t>14.01.2008</t>
  </si>
  <si>
    <t>Рыжиков Максим</t>
  </si>
  <si>
    <t>Рыжков Александр</t>
  </si>
  <si>
    <t>26.09.1985</t>
  </si>
  <si>
    <t>Рыжков Алексей</t>
  </si>
  <si>
    <t>Рыжков Валерий</t>
  </si>
  <si>
    <t>Рыжков Владислав</t>
  </si>
  <si>
    <t>04.08.2004</t>
  </si>
  <si>
    <t>Рыжков Егор</t>
  </si>
  <si>
    <t>17.07.2008</t>
  </si>
  <si>
    <t>Рыжов Артем</t>
  </si>
  <si>
    <t>Рыжов Дмитрий</t>
  </si>
  <si>
    <t>Рыжов Петр</t>
  </si>
  <si>
    <t>Рындин Артем</t>
  </si>
  <si>
    <t>14.01.2003</t>
  </si>
  <si>
    <t>Рыпаков Даниил</t>
  </si>
  <si>
    <t>23.06.2002</t>
  </si>
  <si>
    <t>Рысин Максим</t>
  </si>
  <si>
    <t>Рычков Артем</t>
  </si>
  <si>
    <t>Рюмин Артем</t>
  </si>
  <si>
    <t>25.03.2006</t>
  </si>
  <si>
    <t>Рябашапка Федор</t>
  </si>
  <si>
    <t>Рябов Александр</t>
  </si>
  <si>
    <t>14.03.2001</t>
  </si>
  <si>
    <t>Рябов Данила</t>
  </si>
  <si>
    <t>08.02.2000</t>
  </si>
  <si>
    <t>Рябов Егор</t>
  </si>
  <si>
    <t>31.12.1989</t>
  </si>
  <si>
    <t>Рябов Максим</t>
  </si>
  <si>
    <t>08.12.2001</t>
  </si>
  <si>
    <t>Рябоконь Илья</t>
  </si>
  <si>
    <t>10.08.1980</t>
  </si>
  <si>
    <t>21.01.2000</t>
  </si>
  <si>
    <t>Рязанцев Матвей</t>
  </si>
  <si>
    <t>06.09.2000</t>
  </si>
  <si>
    <t>Сабарайкин Ньургун</t>
  </si>
  <si>
    <t>18.03.1992</t>
  </si>
  <si>
    <t>Чурапча  Якутия</t>
  </si>
  <si>
    <t>07.03.1999</t>
  </si>
  <si>
    <t>Сабиров Данил</t>
  </si>
  <si>
    <t>Сабиров Эмиль</t>
  </si>
  <si>
    <t>Савандер Иван</t>
  </si>
  <si>
    <t>18.02.2001</t>
  </si>
  <si>
    <t>Савельев Александр</t>
  </si>
  <si>
    <t>29.05.1968</t>
  </si>
  <si>
    <t>Савельев Антон</t>
  </si>
  <si>
    <t>Савельев Владислав</t>
  </si>
  <si>
    <t>12.10.2001</t>
  </si>
  <si>
    <t>Савельев Егор</t>
  </si>
  <si>
    <t>13.08.2009</t>
  </si>
  <si>
    <t>18.03.2004</t>
  </si>
  <si>
    <t>Савельев Сергей</t>
  </si>
  <si>
    <t>18.07.1974</t>
  </si>
  <si>
    <t>Савин Даниил</t>
  </si>
  <si>
    <t>30.09.2000</t>
  </si>
  <si>
    <t>08.10.2000</t>
  </si>
  <si>
    <t>Савинов Максим</t>
  </si>
  <si>
    <t>14.07.1993</t>
  </si>
  <si>
    <t>Савинский Александр</t>
  </si>
  <si>
    <t>12.07.1984</t>
  </si>
  <si>
    <t>Савичев Артем</t>
  </si>
  <si>
    <t>22.09.2002</t>
  </si>
  <si>
    <t>Савченко Николай</t>
  </si>
  <si>
    <t>Сагадетдинов Ислам</t>
  </si>
  <si>
    <t>Сагдеев Раиль</t>
  </si>
  <si>
    <t>14.12.2006</t>
  </si>
  <si>
    <t>Сагоцкий Александр</t>
  </si>
  <si>
    <t>26.02.2001</t>
  </si>
  <si>
    <t>Садиков Тимур</t>
  </si>
  <si>
    <t>Садов Андрей</t>
  </si>
  <si>
    <t>Садов Максим</t>
  </si>
  <si>
    <t>30.09.1999</t>
  </si>
  <si>
    <t>Садовников Владислав</t>
  </si>
  <si>
    <t>Садыков Артем</t>
  </si>
  <si>
    <t>23.04.2005</t>
  </si>
  <si>
    <t>Сазыкин Матвей</t>
  </si>
  <si>
    <t>05.08.2002</t>
  </si>
  <si>
    <t>Сайдашев Дамир</t>
  </si>
  <si>
    <t>26.10.2002</t>
  </si>
  <si>
    <t>Сайдашев Равиль</t>
  </si>
  <si>
    <t>Сайфутдинов Руслан</t>
  </si>
  <si>
    <t>Саламанин Александр</t>
  </si>
  <si>
    <t>Саливон Иван</t>
  </si>
  <si>
    <t>Салимгареев Камиль</t>
  </si>
  <si>
    <t>18.02.2005</t>
  </si>
  <si>
    <t>Салимов Камран</t>
  </si>
  <si>
    <t>Салихов Адель</t>
  </si>
  <si>
    <t>Салов Никита</t>
  </si>
  <si>
    <t>23.12.2003</t>
  </si>
  <si>
    <t>Салтысек Николай</t>
  </si>
  <si>
    <t>16.09.1954</t>
  </si>
  <si>
    <t>Бахчисарай  Крым</t>
  </si>
  <si>
    <t>Сальников Максим</t>
  </si>
  <si>
    <t>Сальников Никита</t>
  </si>
  <si>
    <t>21.03.2000</t>
  </si>
  <si>
    <t>Салюков Иван</t>
  </si>
  <si>
    <t>20.04.2006</t>
  </si>
  <si>
    <t>Саляхов Сергей</t>
  </si>
  <si>
    <t>12.11.1998</t>
  </si>
  <si>
    <t>Самарин Кирилл</t>
  </si>
  <si>
    <t>Самарков Евгений</t>
  </si>
  <si>
    <t>Самарцев Дмитрий</t>
  </si>
  <si>
    <t>04.12.2003</t>
  </si>
  <si>
    <t>Саматов Никита</t>
  </si>
  <si>
    <t>11.04.2009</t>
  </si>
  <si>
    <t>Самерханов Руслан</t>
  </si>
  <si>
    <t>Самеъзода Шараф</t>
  </si>
  <si>
    <t>28.03.1988</t>
  </si>
  <si>
    <t>Самитов Карим</t>
  </si>
  <si>
    <t>Самойленко Павел</t>
  </si>
  <si>
    <t>Самойлов Денис</t>
  </si>
  <si>
    <t>23.03.2007</t>
  </si>
  <si>
    <t>Каменск  Тул.обл.</t>
  </si>
  <si>
    <t>Самойлюк Сергей</t>
  </si>
  <si>
    <t>28.03.1977</t>
  </si>
  <si>
    <t>Самохвалов Валентин</t>
  </si>
  <si>
    <t>05.01.1961</t>
  </si>
  <si>
    <t>Самохвалов Вячеслав</t>
  </si>
  <si>
    <t>Самохин Алексей</t>
  </si>
  <si>
    <t>Самохин Михаил</t>
  </si>
  <si>
    <t>11.07.2005</t>
  </si>
  <si>
    <t>Самохин Никита</t>
  </si>
  <si>
    <t>27.11.2006</t>
  </si>
  <si>
    <t>Самохотов Леонид</t>
  </si>
  <si>
    <t>28.07.1973</t>
  </si>
  <si>
    <t>САМСОНОВ Владимир</t>
  </si>
  <si>
    <t>17.04.1976</t>
  </si>
  <si>
    <t>Самсонов Владислав</t>
  </si>
  <si>
    <t>25.08.1997</t>
  </si>
  <si>
    <t>Самсонов Демьян</t>
  </si>
  <si>
    <t>Самулевич Роман</t>
  </si>
  <si>
    <t>Сандитов Николай</t>
  </si>
  <si>
    <t>Санжаровский Артем</t>
  </si>
  <si>
    <t>Сапарбаев Нурдин</t>
  </si>
  <si>
    <t>28.04.1960</t>
  </si>
  <si>
    <t>Сапаров Абай</t>
  </si>
  <si>
    <t>07.06.2001</t>
  </si>
  <si>
    <t>Володаровка  Астр.обл.</t>
  </si>
  <si>
    <t>Сапегин Андрей</t>
  </si>
  <si>
    <t>02.08.1986</t>
  </si>
  <si>
    <t>Сапожинец Марк</t>
  </si>
  <si>
    <t>Сапожников Никита</t>
  </si>
  <si>
    <t>Сапрыкин Артем</t>
  </si>
  <si>
    <t>04.11.1995</t>
  </si>
  <si>
    <t>Сапунцов Василий</t>
  </si>
  <si>
    <t>17.02.1960</t>
  </si>
  <si>
    <t>Сарапаев Александр</t>
  </si>
  <si>
    <t>09.04.2005</t>
  </si>
  <si>
    <t>Сарваев Артем</t>
  </si>
  <si>
    <t>15.11.2007</t>
  </si>
  <si>
    <t>Сарваров Ильназ</t>
  </si>
  <si>
    <t>18.02.2002</t>
  </si>
  <si>
    <t>Сариди Артем</t>
  </si>
  <si>
    <t>Саркисян Арман</t>
  </si>
  <si>
    <t>САРСЕНБАЙ Дамир</t>
  </si>
  <si>
    <t>Сарычев Сергей</t>
  </si>
  <si>
    <t>29.10.1995</t>
  </si>
  <si>
    <t>Сасько Максим</t>
  </si>
  <si>
    <t>Сатаев Амир</t>
  </si>
  <si>
    <t>01.09.2008</t>
  </si>
  <si>
    <t>Сатдаров Артем</t>
  </si>
  <si>
    <t>Саттаров Фуат</t>
  </si>
  <si>
    <t>Саунин Алексей</t>
  </si>
  <si>
    <t>30.06.1994</t>
  </si>
  <si>
    <t>Сафарян Калаш</t>
  </si>
  <si>
    <t>26.11.1992</t>
  </si>
  <si>
    <t>Сафин Ренат</t>
  </si>
  <si>
    <t>18.09.2006</t>
  </si>
  <si>
    <t>Сафиуллин Адель</t>
  </si>
  <si>
    <t>Сафиуллин Азат</t>
  </si>
  <si>
    <t>05.12.1990</t>
  </si>
  <si>
    <t>Сафиуллин Ахмад</t>
  </si>
  <si>
    <t>29.06.2008</t>
  </si>
  <si>
    <t>Сафиуллин Рашид</t>
  </si>
  <si>
    <t>Сафиуллин Тимур</t>
  </si>
  <si>
    <t>13.11.2006</t>
  </si>
  <si>
    <t>Сафонов Захар</t>
  </si>
  <si>
    <t>Сафронов Никита</t>
  </si>
  <si>
    <t>01.08.2000</t>
  </si>
  <si>
    <t>Сахаров Арсений</t>
  </si>
  <si>
    <t>05.06.2008</t>
  </si>
  <si>
    <t>13.07.2001</t>
  </si>
  <si>
    <t>Саяпов Ринат</t>
  </si>
  <si>
    <t>30.03.1969</t>
  </si>
  <si>
    <t>Свеклов Артем</t>
  </si>
  <si>
    <t>25.10.2007</t>
  </si>
  <si>
    <t>Светиков Юрий</t>
  </si>
  <si>
    <t>09.11.1964</t>
  </si>
  <si>
    <t>Светлаков Евгений</t>
  </si>
  <si>
    <t>21.02.1986</t>
  </si>
  <si>
    <t>Свиренко Максим</t>
  </si>
  <si>
    <t>Свиридов Егор</t>
  </si>
  <si>
    <t>14.07.2002</t>
  </si>
  <si>
    <t>Свирщевский Юрий</t>
  </si>
  <si>
    <t>29.12.2003</t>
  </si>
  <si>
    <t>Свистунов Александр</t>
  </si>
  <si>
    <t>15.07.1971</t>
  </si>
  <si>
    <t>Севостьянов Валерий</t>
  </si>
  <si>
    <t>Севумов Константин</t>
  </si>
  <si>
    <t>26.09.1977</t>
  </si>
  <si>
    <t>Седельников Даниил</t>
  </si>
  <si>
    <t>28.01.1999</t>
  </si>
  <si>
    <t>Седых Вадим</t>
  </si>
  <si>
    <t>Сейтумеров Илим</t>
  </si>
  <si>
    <t>Селезень Арсений</t>
  </si>
  <si>
    <t>09.11.2006</t>
  </si>
  <si>
    <t>Селезнев Илья</t>
  </si>
  <si>
    <t>08.01.2004</t>
  </si>
  <si>
    <t>Селиванов Иван</t>
  </si>
  <si>
    <t>14.06.2008</t>
  </si>
  <si>
    <t>Селютин Никита</t>
  </si>
  <si>
    <t>Селяметов Таир</t>
  </si>
  <si>
    <t>01.01.1990</t>
  </si>
  <si>
    <t>Семененко Всеволод</t>
  </si>
  <si>
    <t>Семененко Даниил</t>
  </si>
  <si>
    <t>Семенин Иван</t>
  </si>
  <si>
    <t>14.02.2002</t>
  </si>
  <si>
    <t xml:space="preserve">Семенов  Александр </t>
  </si>
  <si>
    <t>20.10.1995</t>
  </si>
  <si>
    <t>Семенов Александр</t>
  </si>
  <si>
    <t>Семенов Андрей</t>
  </si>
  <si>
    <t>27.10.1997</t>
  </si>
  <si>
    <t>25.09.2002</t>
  </si>
  <si>
    <t>22.07.2002</t>
  </si>
  <si>
    <t>Семенов Константин</t>
  </si>
  <si>
    <t>02.08.1997</t>
  </si>
  <si>
    <t>Семенов Марк</t>
  </si>
  <si>
    <t>Петропавловск-Камчатский</t>
  </si>
  <si>
    <t>Семенов Михаил</t>
  </si>
  <si>
    <t>08.04.2005</t>
  </si>
  <si>
    <t>Семенов Семен</t>
  </si>
  <si>
    <t>Семериков Кирилл</t>
  </si>
  <si>
    <t>01.04.1993</t>
  </si>
  <si>
    <t>05.03.2000</t>
  </si>
  <si>
    <t>Семизоров Максим</t>
  </si>
  <si>
    <t>15.07.1976</t>
  </si>
  <si>
    <t>Семин Андрей</t>
  </si>
  <si>
    <t>24.11.1968</t>
  </si>
  <si>
    <t>Семин Артем</t>
  </si>
  <si>
    <t>11.06.1998</t>
  </si>
  <si>
    <t>Семичастнов Алексей</t>
  </si>
  <si>
    <t>Семичев Игорь</t>
  </si>
  <si>
    <t>Семченко Владимир</t>
  </si>
  <si>
    <t>06.04.2003</t>
  </si>
  <si>
    <t>Семышев Сергей</t>
  </si>
  <si>
    <t>26.01.2005</t>
  </si>
  <si>
    <t>Семякин Николай</t>
  </si>
  <si>
    <t>10.08.2003</t>
  </si>
  <si>
    <t>Сенькин Алексей</t>
  </si>
  <si>
    <t>Серво Александр</t>
  </si>
  <si>
    <t>22.06.2006</t>
  </si>
  <si>
    <t>Сергеев Василий</t>
  </si>
  <si>
    <t>13.05.2008</t>
  </si>
  <si>
    <t>Сергеев Матвей</t>
  </si>
  <si>
    <t>22.12.2003</t>
  </si>
  <si>
    <t>Яранск  Кир.обл.</t>
  </si>
  <si>
    <t>Сергеев Никита</t>
  </si>
  <si>
    <t>23.11.2006</t>
  </si>
  <si>
    <t>Сергиенко Даниил</t>
  </si>
  <si>
    <t>24.06.2007</t>
  </si>
  <si>
    <t>Сергутин Дмитрий</t>
  </si>
  <si>
    <t>Сердюков Илья</t>
  </si>
  <si>
    <t>02.10.2004</t>
  </si>
  <si>
    <t>Серебренников Данил</t>
  </si>
  <si>
    <t>07.01.2006</t>
  </si>
  <si>
    <t>Серебренов Даниил</t>
  </si>
  <si>
    <t>Сережкин Дмитрий</t>
  </si>
  <si>
    <t>22.09.2006</t>
  </si>
  <si>
    <t>Серков Арсений</t>
  </si>
  <si>
    <t>Серков Егор</t>
  </si>
  <si>
    <t>13.07.2004</t>
  </si>
  <si>
    <t>Серпионов Арсений</t>
  </si>
  <si>
    <t>05.01.2003</t>
  </si>
  <si>
    <t>Сибеков Кантемир</t>
  </si>
  <si>
    <t>27.05.1990</t>
  </si>
  <si>
    <t>Сивенков Дмитрий</t>
  </si>
  <si>
    <t>15.02.1986</t>
  </si>
  <si>
    <t>Сивухин Павел</t>
  </si>
  <si>
    <t>06.05.1987</t>
  </si>
  <si>
    <t>Сигитов Артем</t>
  </si>
  <si>
    <t>Сидельников Даниил</t>
  </si>
  <si>
    <t>Сидлов Александр</t>
  </si>
  <si>
    <t>07.04.2002</t>
  </si>
  <si>
    <t>08.02.1998</t>
  </si>
  <si>
    <t>Сидоренко Евгений</t>
  </si>
  <si>
    <t>16.05.1978</t>
  </si>
  <si>
    <t>Сидорин Олег</t>
  </si>
  <si>
    <t>23.05.2004</t>
  </si>
  <si>
    <t>Сидоркин Кирилл</t>
  </si>
  <si>
    <t>09.10.2006</t>
  </si>
  <si>
    <t>Сидоров Даниил</t>
  </si>
  <si>
    <t>Сидоров Егор</t>
  </si>
  <si>
    <t>Сидоров Никита</t>
  </si>
  <si>
    <t>11.08.2001</t>
  </si>
  <si>
    <t>Сидоров Роман</t>
  </si>
  <si>
    <t>Сидоров Савва</t>
  </si>
  <si>
    <t>24.11.1999</t>
  </si>
  <si>
    <t>Сидорович Никита</t>
  </si>
  <si>
    <t>22.07.2006</t>
  </si>
  <si>
    <t>Сидорчук Игорь</t>
  </si>
  <si>
    <t>25.09.2000</t>
  </si>
  <si>
    <t>Сизиков Андрей</t>
  </si>
  <si>
    <t>01.05.2005</t>
  </si>
  <si>
    <t>Сизиков Дмитрий</t>
  </si>
  <si>
    <t>Силинцев Влад</t>
  </si>
  <si>
    <t>15.09.2005</t>
  </si>
  <si>
    <t>Силков Никита</t>
  </si>
  <si>
    <t>13.05.2001</t>
  </si>
  <si>
    <t>Симагин Александр</t>
  </si>
  <si>
    <t>Симдянов Иван</t>
  </si>
  <si>
    <t>30.08.2001</t>
  </si>
  <si>
    <t>25.11.1999</t>
  </si>
  <si>
    <t>Симоненко Анатолий</t>
  </si>
  <si>
    <t>23.02.1965</t>
  </si>
  <si>
    <t>06.12.2000</t>
  </si>
  <si>
    <t>Симонов Виктор</t>
  </si>
  <si>
    <t>Симонов Данила</t>
  </si>
  <si>
    <t>30.03.2004</t>
  </si>
  <si>
    <t>Симонов Максим</t>
  </si>
  <si>
    <t>Симонов Эдгар</t>
  </si>
  <si>
    <t>11.05.2004</t>
  </si>
  <si>
    <t>Симонович Георгий</t>
  </si>
  <si>
    <t>22.04.2004</t>
  </si>
  <si>
    <t>Симусев Сергей</t>
  </si>
  <si>
    <t>Сингатуллин Ренат</t>
  </si>
  <si>
    <t>Синев Михаил</t>
  </si>
  <si>
    <t>18.09.1985</t>
  </si>
  <si>
    <t>Синицкий Иван</t>
  </si>
  <si>
    <t>12.11.2002</t>
  </si>
  <si>
    <t>Синичкин Матвей</t>
  </si>
  <si>
    <t>Синчук Михаил</t>
  </si>
  <si>
    <t>04.02.2004</t>
  </si>
  <si>
    <t>Сираев Инсаф</t>
  </si>
  <si>
    <t>30.04.1997</t>
  </si>
  <si>
    <t>Сиряцкий Александр</t>
  </si>
  <si>
    <t>Ситников Александр</t>
  </si>
  <si>
    <t>Ситников Кирилл</t>
  </si>
  <si>
    <t>Ситнов Артур</t>
  </si>
  <si>
    <t>21.09.2000</t>
  </si>
  <si>
    <t>Скаленко Василий</t>
  </si>
  <si>
    <t>Скачков Алексей</t>
  </si>
  <si>
    <t>16.03.2001</t>
  </si>
  <si>
    <t>Скачков Кирилл</t>
  </si>
  <si>
    <t>06.08.1987</t>
  </si>
  <si>
    <t>03.03.2001</t>
  </si>
  <si>
    <t>Скворцов Егор</t>
  </si>
  <si>
    <t>Скипин Ярослав</t>
  </si>
  <si>
    <t>18.09.2007</t>
  </si>
  <si>
    <t>Скоморохов Алексей</t>
  </si>
  <si>
    <t>29.08.2000</t>
  </si>
  <si>
    <t>Скоробогатов Вячеслав</t>
  </si>
  <si>
    <t>03.06.1995</t>
  </si>
  <si>
    <t>Скородилов Денис</t>
  </si>
  <si>
    <t>Скорупский Николай</t>
  </si>
  <si>
    <t>13.10.1946</t>
  </si>
  <si>
    <t>Скорынин Вадим</t>
  </si>
  <si>
    <t>Скотников Игорь</t>
  </si>
  <si>
    <t>Скоторенко Никита</t>
  </si>
  <si>
    <t>Скрыпник Никита</t>
  </si>
  <si>
    <t>Скудин Генрих</t>
  </si>
  <si>
    <t>Железнодорожный  Мос.обл.</t>
  </si>
  <si>
    <t>Слабин Павел</t>
  </si>
  <si>
    <t>Славкин Евгений</t>
  </si>
  <si>
    <t>Славнов Андрей</t>
  </si>
  <si>
    <t>26.06.1987</t>
  </si>
  <si>
    <t>02.12.2000</t>
  </si>
  <si>
    <t>Слащилин Алексей</t>
  </si>
  <si>
    <t>20.10.1999</t>
  </si>
  <si>
    <t>Слепнев Владислав</t>
  </si>
  <si>
    <t>Слепцов Николай</t>
  </si>
  <si>
    <t>Слесарев Данил</t>
  </si>
  <si>
    <t>22.05.2004</t>
  </si>
  <si>
    <t>Слинченко Василий</t>
  </si>
  <si>
    <t>03.06.1956</t>
  </si>
  <si>
    <t>Слиньков Александр</t>
  </si>
  <si>
    <t>02.11.2004</t>
  </si>
  <si>
    <t>Слободчиков Илья</t>
  </si>
  <si>
    <t>22.05.2006</t>
  </si>
  <si>
    <t>Слободян Александр</t>
  </si>
  <si>
    <t>Служенко Григорий</t>
  </si>
  <si>
    <t>21.04.1971</t>
  </si>
  <si>
    <t>СМАГУЛОВ Нурмухамед</t>
  </si>
  <si>
    <t>02.05.2006</t>
  </si>
  <si>
    <t>Сманько Виктор</t>
  </si>
  <si>
    <t>24.07.2004</t>
  </si>
  <si>
    <t>Сметанин Максим</t>
  </si>
  <si>
    <t>27.05.2002</t>
  </si>
  <si>
    <t>09.07.2007</t>
  </si>
  <si>
    <t>Смирнов Алексей</t>
  </si>
  <si>
    <t>09.10.1977</t>
  </si>
  <si>
    <t>22.09.1977</t>
  </si>
  <si>
    <t>Кольцово  Новос.обл.</t>
  </si>
  <si>
    <t>Смирнов Артем</t>
  </si>
  <si>
    <t>Смирнов Данила</t>
  </si>
  <si>
    <t>19.02.2003</t>
  </si>
  <si>
    <t>Смирнов Дарий</t>
  </si>
  <si>
    <t>Смирнов Евгений</t>
  </si>
  <si>
    <t>11.12.1999</t>
  </si>
  <si>
    <t>Смирнов Егор</t>
  </si>
  <si>
    <t>02.06.2004</t>
  </si>
  <si>
    <t>Смирнов Иван</t>
  </si>
  <si>
    <t>25.09.2006</t>
  </si>
  <si>
    <t>20.08.1998</t>
  </si>
  <si>
    <t>21.01.2002</t>
  </si>
  <si>
    <t>Смирнов Кирилл</t>
  </si>
  <si>
    <t>18.12.1992</t>
  </si>
  <si>
    <t>15.01.2003</t>
  </si>
  <si>
    <t>Смирнов Матвей</t>
  </si>
  <si>
    <t>08.03.2006</t>
  </si>
  <si>
    <t>Смирнов Павел</t>
  </si>
  <si>
    <t>20.06.1996</t>
  </si>
  <si>
    <t>Смоликов Леонид</t>
  </si>
  <si>
    <t>12.01.2003</t>
  </si>
  <si>
    <t>Смолин Валерий</t>
  </si>
  <si>
    <t>Сморгачев Егор</t>
  </si>
  <si>
    <t>Смычков Антон</t>
  </si>
  <si>
    <t>08.12.1986</t>
  </si>
  <si>
    <t>Смышников Максим</t>
  </si>
  <si>
    <t>23.03.2001</t>
  </si>
  <si>
    <t>Сновалов Денис</t>
  </si>
  <si>
    <t>Собакин Юрий</t>
  </si>
  <si>
    <t>Соболев Александр</t>
  </si>
  <si>
    <t>09.02.2008</t>
  </si>
  <si>
    <t>Соболев Владимир</t>
  </si>
  <si>
    <t>Совин Семен</t>
  </si>
  <si>
    <t>09.04.2007</t>
  </si>
  <si>
    <t>Содыль Максим</t>
  </si>
  <si>
    <t>Созин Максим</t>
  </si>
  <si>
    <t>09.05.2005</t>
  </si>
  <si>
    <t>Сойнов Михаил</t>
  </si>
  <si>
    <t>15.08.2000</t>
  </si>
  <si>
    <t>Сокол Петр</t>
  </si>
  <si>
    <t>Соколенко Александр</t>
  </si>
  <si>
    <t>10.03.2007</t>
  </si>
  <si>
    <t>13.08.1998</t>
  </si>
  <si>
    <t>Соколов Владимир</t>
  </si>
  <si>
    <t>Соколов Егор</t>
  </si>
  <si>
    <t>05.05.2009</t>
  </si>
  <si>
    <t>Соколов Кирилл</t>
  </si>
  <si>
    <t>Соколов Юрий</t>
  </si>
  <si>
    <t>05.08.1983</t>
  </si>
  <si>
    <t>Соколов Ярослав</t>
  </si>
  <si>
    <t>Солдатов Павел</t>
  </si>
  <si>
    <t>04.06.2004</t>
  </si>
  <si>
    <t>Соловей Иван</t>
  </si>
  <si>
    <t>Соловей Юрий</t>
  </si>
  <si>
    <t>11.08.1982</t>
  </si>
  <si>
    <t>23.12.2001</t>
  </si>
  <si>
    <t>Соловьев Виктор</t>
  </si>
  <si>
    <t>19.11.1999</t>
  </si>
  <si>
    <t>Соловьев Владислав</t>
  </si>
  <si>
    <t>Соловьев Данил</t>
  </si>
  <si>
    <t>21.11.2003</t>
  </si>
  <si>
    <t>Соловьев Дмитрий</t>
  </si>
  <si>
    <t>13.12.2000</t>
  </si>
  <si>
    <t>Соловьев Кирилл</t>
  </si>
  <si>
    <t>05.04.1988</t>
  </si>
  <si>
    <t>Соловьев Роман</t>
  </si>
  <si>
    <t>31.08.2000</t>
  </si>
  <si>
    <t>Солодков Ярослав</t>
  </si>
  <si>
    <t>12.01.2004</t>
  </si>
  <si>
    <t>Солодухин Дмитрий</t>
  </si>
  <si>
    <t>Соломачев Дмитрий</t>
  </si>
  <si>
    <t>07.03.1981</t>
  </si>
  <si>
    <t>Соломенин Александр</t>
  </si>
  <si>
    <t>25.09.2007</t>
  </si>
  <si>
    <t>Соломин Матвей</t>
  </si>
  <si>
    <t>Солопов Матвей</t>
  </si>
  <si>
    <t>26.12.2006</t>
  </si>
  <si>
    <t>Сомов Андрей</t>
  </si>
  <si>
    <t>Сомов Макар</t>
  </si>
  <si>
    <t>Сомов Максим</t>
  </si>
  <si>
    <t>01.07.2006</t>
  </si>
  <si>
    <t>Сомсин Максим</t>
  </si>
  <si>
    <t>11.03.1980</t>
  </si>
  <si>
    <t>Сорбало Владислав</t>
  </si>
  <si>
    <t>01.04.1973</t>
  </si>
  <si>
    <t>Соржеев Владислав</t>
  </si>
  <si>
    <t>Сорокин Алексей</t>
  </si>
  <si>
    <t>Сорокин Максим</t>
  </si>
  <si>
    <t>Сорокин Николай</t>
  </si>
  <si>
    <t>Сорокин Юрий</t>
  </si>
  <si>
    <t>08.05.1968</t>
  </si>
  <si>
    <t>Сосницкий Никита</t>
  </si>
  <si>
    <t>Сотников Артем</t>
  </si>
  <si>
    <t>12.11.2006</t>
  </si>
  <si>
    <t>Сочинский Тимофей</t>
  </si>
  <si>
    <t>01.08.2006</t>
  </si>
  <si>
    <t>Сошников Дмитрий</t>
  </si>
  <si>
    <t>Спектарук Егор</t>
  </si>
  <si>
    <t>Спиридонов Александр</t>
  </si>
  <si>
    <t>21.11.1959</t>
  </si>
  <si>
    <t>Спиридонов Роман</t>
  </si>
  <si>
    <t>Спиридонов Яков</t>
  </si>
  <si>
    <t>Спирин Федор</t>
  </si>
  <si>
    <t>Спиряков Александр</t>
  </si>
  <si>
    <t>Спорышев Александр</t>
  </si>
  <si>
    <t>Стадник Роман</t>
  </si>
  <si>
    <t>20.03.2001</t>
  </si>
  <si>
    <t>13.11.1999</t>
  </si>
  <si>
    <t>Старина Даниил</t>
  </si>
  <si>
    <t>27.02.2005</t>
  </si>
  <si>
    <t>Старков Антон</t>
  </si>
  <si>
    <t>Старковский Сергей</t>
  </si>
  <si>
    <t>Старов Степан</t>
  </si>
  <si>
    <t>Стародубцев Александр</t>
  </si>
  <si>
    <t>11.07.2001</t>
  </si>
  <si>
    <t>Старостин Александр</t>
  </si>
  <si>
    <t>03.02.2005</t>
  </si>
  <si>
    <t>Старостин Владислав</t>
  </si>
  <si>
    <t>14.06.2007</t>
  </si>
  <si>
    <t>Славянка  Прим.кр.</t>
  </si>
  <si>
    <t>Старостин Павел</t>
  </si>
  <si>
    <t>11.01.1989</t>
  </si>
  <si>
    <t>Старостин Роман</t>
  </si>
  <si>
    <t>Старцев Егор</t>
  </si>
  <si>
    <t>Старцев Илья</t>
  </si>
  <si>
    <t>28.02.2007</t>
  </si>
  <si>
    <t>Старцев Сергей</t>
  </si>
  <si>
    <t>14.08.2008</t>
  </si>
  <si>
    <t>Стафеев Александр</t>
  </si>
  <si>
    <t>24.02.2001</t>
  </si>
  <si>
    <t>Сташ Мурат</t>
  </si>
  <si>
    <t>Сташенко Тимофей</t>
  </si>
  <si>
    <t>Сташков Даниил</t>
  </si>
  <si>
    <t>Ола  Магад.обл.</t>
  </si>
  <si>
    <t>Сташковский Глеб</t>
  </si>
  <si>
    <t>07.08.2003</t>
  </si>
  <si>
    <t>Стенников Константин</t>
  </si>
  <si>
    <t>Степаненко Андрей</t>
  </si>
  <si>
    <t>02.01.1973</t>
  </si>
  <si>
    <t>Степанов  Денис</t>
  </si>
  <si>
    <t>23.07.1997</t>
  </si>
  <si>
    <t>Степанов Айсен</t>
  </si>
  <si>
    <t>Степанов Владислав</t>
  </si>
  <si>
    <t>21.12.1998</t>
  </si>
  <si>
    <t>Степанов Даниил</t>
  </si>
  <si>
    <t>04.11.2007</t>
  </si>
  <si>
    <t>Степанов Егор</t>
  </si>
  <si>
    <t>06.05.1999</t>
  </si>
  <si>
    <t>Степанов Иван</t>
  </si>
  <si>
    <t>07.07.1998</t>
  </si>
  <si>
    <t>Степанов Игорь</t>
  </si>
  <si>
    <t>22.03.2004</t>
  </si>
  <si>
    <t>Степанов Юрий</t>
  </si>
  <si>
    <t>14.05.1979</t>
  </si>
  <si>
    <t>Стерхов Максим</t>
  </si>
  <si>
    <t>Стеценко Александр</t>
  </si>
  <si>
    <t>30.06.1980</t>
  </si>
  <si>
    <t>Стовбыра Артем</t>
  </si>
  <si>
    <t>10.03.2008</t>
  </si>
  <si>
    <t>Столетов Антон</t>
  </si>
  <si>
    <t>03.03.1995</t>
  </si>
  <si>
    <t>Столяров Никита</t>
  </si>
  <si>
    <t>29.05.2007</t>
  </si>
  <si>
    <t>Сторожук Сергей</t>
  </si>
  <si>
    <t>27.03.1973</t>
  </si>
  <si>
    <t>Стрельцов Виталий</t>
  </si>
  <si>
    <t>Стрешнев Владислав</t>
  </si>
  <si>
    <t>16.08.1995</t>
  </si>
  <si>
    <t>Стрикица Максим</t>
  </si>
  <si>
    <t>Строкань Александр</t>
  </si>
  <si>
    <t>Строкин Илья</t>
  </si>
  <si>
    <t>27.09.2002</t>
  </si>
  <si>
    <t>Струженков Артем</t>
  </si>
  <si>
    <t>29.08.2008</t>
  </si>
  <si>
    <t>Струков Сергей</t>
  </si>
  <si>
    <t>19.05.1969</t>
  </si>
  <si>
    <t>02.06.2000</t>
  </si>
  <si>
    <t>Студеникин Даниил</t>
  </si>
  <si>
    <t>Стулий Максим</t>
  </si>
  <si>
    <t>01.11.1986</t>
  </si>
  <si>
    <t>Субботин Андрей</t>
  </si>
  <si>
    <t>01.01.1983</t>
  </si>
  <si>
    <t>Первомайское  Крым</t>
  </si>
  <si>
    <t>Субботин Дмитрий</t>
  </si>
  <si>
    <t>Суварян Гарик</t>
  </si>
  <si>
    <t>23.08.2001</t>
  </si>
  <si>
    <t>Судаков Сергей</t>
  </si>
  <si>
    <t>Судяхин Игорь</t>
  </si>
  <si>
    <t>21.01.1948</t>
  </si>
  <si>
    <t>Сулдин Владислав</t>
  </si>
  <si>
    <t>25.10.1998</t>
  </si>
  <si>
    <t>Сулдин Вячеслав</t>
  </si>
  <si>
    <t>22.11.2003</t>
  </si>
  <si>
    <t>20.03.2003</t>
  </si>
  <si>
    <t>Сумин Андрей</t>
  </si>
  <si>
    <t>Сумкин Ярослав</t>
  </si>
  <si>
    <t>Суриков Игорь</t>
  </si>
  <si>
    <t>31.05.1968</t>
  </si>
  <si>
    <t>Суровцев Даниил</t>
  </si>
  <si>
    <t>26.05.2002</t>
  </si>
  <si>
    <t>Суровцев Денис</t>
  </si>
  <si>
    <t>Сусанин Николай</t>
  </si>
  <si>
    <t>Суслин Анатолий</t>
  </si>
  <si>
    <t>19.11.1994</t>
  </si>
  <si>
    <t>Суслов Павел</t>
  </si>
  <si>
    <t>Сусметов Дмитрий</t>
  </si>
  <si>
    <t>Суханов Никита</t>
  </si>
  <si>
    <t>19.04.2007</t>
  </si>
  <si>
    <t>Сухов Дмитрий</t>
  </si>
  <si>
    <t>Сухомлинов Артем</t>
  </si>
  <si>
    <t>10.04.2003</t>
  </si>
  <si>
    <t>Сухонин Ярослав</t>
  </si>
  <si>
    <t>19.09.2008</t>
  </si>
  <si>
    <t>Сухотько Роман</t>
  </si>
  <si>
    <t>Сучков Артемий</t>
  </si>
  <si>
    <t>28.11.2005</t>
  </si>
  <si>
    <t>Суюндуков Фанис</t>
  </si>
  <si>
    <t>28.04.2006</t>
  </si>
  <si>
    <t>Сыздыков Константин</t>
  </si>
  <si>
    <t>Сыса Павел</t>
  </si>
  <si>
    <t>Сысоев Александр</t>
  </si>
  <si>
    <t>Сюбаев Артем</t>
  </si>
  <si>
    <t>Сягайло Александр</t>
  </si>
  <si>
    <t>Сяркин Михаил</t>
  </si>
  <si>
    <t>Табакаев Владимир</t>
  </si>
  <si>
    <t>06.10.1942</t>
  </si>
  <si>
    <t>Табданов Максим</t>
  </si>
  <si>
    <t>09.04.1998</t>
  </si>
  <si>
    <t>Тавров Евгений</t>
  </si>
  <si>
    <t>26.12.1991</t>
  </si>
  <si>
    <t>Тазеев Евгений</t>
  </si>
  <si>
    <t>Таламанов Иван</t>
  </si>
  <si>
    <t>09.07.1993</t>
  </si>
  <si>
    <t>Талыков Дмитрий</t>
  </si>
  <si>
    <t>Тамазов Артем</t>
  </si>
  <si>
    <t>26.06.1967</t>
  </si>
  <si>
    <t>Тамшов Никита</t>
  </si>
  <si>
    <t>Тараборин Андрей</t>
  </si>
  <si>
    <t>Тараканов Тимофей</t>
  </si>
  <si>
    <t>Таран Виталий</t>
  </si>
  <si>
    <t>Таран Евгений</t>
  </si>
  <si>
    <t>07.11.2005</t>
  </si>
  <si>
    <t>Таран Кирилл</t>
  </si>
  <si>
    <t>09.12.2004</t>
  </si>
  <si>
    <t>Таранов Алексей</t>
  </si>
  <si>
    <t>15.06.1984</t>
  </si>
  <si>
    <t>Тарантин Иван</t>
  </si>
  <si>
    <t>01.02.2001</t>
  </si>
  <si>
    <t>Тарасов Даниил</t>
  </si>
  <si>
    <t>28.09.2002</t>
  </si>
  <si>
    <t>Ряжск  Ряз.обл.</t>
  </si>
  <si>
    <t>26.06.1999</t>
  </si>
  <si>
    <t>Тарасов Егор</t>
  </si>
  <si>
    <t>27.03.1999</t>
  </si>
  <si>
    <t>Тарасов Семен</t>
  </si>
  <si>
    <t>Тарасов Сергей</t>
  </si>
  <si>
    <t>13.08.1978</t>
  </si>
  <si>
    <t>Тарбин Семен</t>
  </si>
  <si>
    <t>Тартышев Никита</t>
  </si>
  <si>
    <t>Тарусов Андрей</t>
  </si>
  <si>
    <t>13.06.1996</t>
  </si>
  <si>
    <t>17.10.2000</t>
  </si>
  <si>
    <t>Тарханов Максим</t>
  </si>
  <si>
    <t>Тарханов Павел</t>
  </si>
  <si>
    <t>24.07.2007</t>
  </si>
  <si>
    <t>Тарчоков Аслан</t>
  </si>
  <si>
    <t>Татаржинский Дмитрий</t>
  </si>
  <si>
    <t>Татаринов Павел</t>
  </si>
  <si>
    <t>Татаркин Артем</t>
  </si>
  <si>
    <t>Тверитнев Андрей</t>
  </si>
  <si>
    <t>Тебеньков Денис</t>
  </si>
  <si>
    <t>19.01.2002</t>
  </si>
  <si>
    <t>Теличко Владимир</t>
  </si>
  <si>
    <t>23.11.2003</t>
  </si>
  <si>
    <t>05.10.1999</t>
  </si>
  <si>
    <t>Тельдибеков Абдул</t>
  </si>
  <si>
    <t>24.04.2006</t>
  </si>
  <si>
    <t>Тельканов Андрей</t>
  </si>
  <si>
    <t>Тельнов Павел</t>
  </si>
  <si>
    <t>30.12.2000</t>
  </si>
  <si>
    <t>Темботов Ахмед</t>
  </si>
  <si>
    <t>Темляков Глеб</t>
  </si>
  <si>
    <t>Темников Алексей</t>
  </si>
  <si>
    <t>Тен Артемий</t>
  </si>
  <si>
    <t>04.10.2005</t>
  </si>
  <si>
    <t>Теницкий Иван</t>
  </si>
  <si>
    <t>Теняев Алексей</t>
  </si>
  <si>
    <t>Терентьев Виталий</t>
  </si>
  <si>
    <t>30.12.2004</t>
  </si>
  <si>
    <t>Терехин Максим</t>
  </si>
  <si>
    <t>30.12.1999</t>
  </si>
  <si>
    <t>Щелково</t>
  </si>
  <si>
    <t>Терехов Дмитрий</t>
  </si>
  <si>
    <t>08.09.1998</t>
  </si>
  <si>
    <t>Белая Калитва  Рост.обл.</t>
  </si>
  <si>
    <t>28.09.2003</t>
  </si>
  <si>
    <t>Терехов Ярослав</t>
  </si>
  <si>
    <t>04.04.2009</t>
  </si>
  <si>
    <t>Терсенов Назар</t>
  </si>
  <si>
    <t>22.10.2000</t>
  </si>
  <si>
    <t>Тетеркин Артем</t>
  </si>
  <si>
    <t>Тимербулатов Ренат</t>
  </si>
  <si>
    <t>12.11.1991</t>
  </si>
  <si>
    <t>18.10.1999</t>
  </si>
  <si>
    <t>Тимофеев Артемий</t>
  </si>
  <si>
    <t>Тимофеев Владислав</t>
  </si>
  <si>
    <t>26.01.1988</t>
  </si>
  <si>
    <t>Тимофеев Николай</t>
  </si>
  <si>
    <t>06.04.1992</t>
  </si>
  <si>
    <t>16.11.2003</t>
  </si>
  <si>
    <t>Тимофеев Федор</t>
  </si>
  <si>
    <t>11.01.2003</t>
  </si>
  <si>
    <t>Тимофеев Юрий</t>
  </si>
  <si>
    <t>24.08.2006</t>
  </si>
  <si>
    <t>Тимошенко Григорий</t>
  </si>
  <si>
    <t>Тимошин Владислав</t>
  </si>
  <si>
    <t>Тимуршин Кирилл</t>
  </si>
  <si>
    <t>Тимченко Федор</t>
  </si>
  <si>
    <t>10.05.2001</t>
  </si>
  <si>
    <t>Тимчишин Денис</t>
  </si>
  <si>
    <t>Тинников Максим</t>
  </si>
  <si>
    <t>27.11.2004</t>
  </si>
  <si>
    <t>Титкин Леонид</t>
  </si>
  <si>
    <t>27.08.1999</t>
  </si>
  <si>
    <t>Титов Дмитрий</t>
  </si>
  <si>
    <t>Титов Егор</t>
  </si>
  <si>
    <t>06.03.1999</t>
  </si>
  <si>
    <t>Тиунов Евгений</t>
  </si>
  <si>
    <t>10.08.2000</t>
  </si>
  <si>
    <t>Тиханов Владислав</t>
  </si>
  <si>
    <t>Тихомолов Ярослав</t>
  </si>
  <si>
    <t>Тихонов Богдан</t>
  </si>
  <si>
    <t>10.05.1997</t>
  </si>
  <si>
    <t>Тихонов Владислав</t>
  </si>
  <si>
    <t>Тихонов Евгений</t>
  </si>
  <si>
    <t>06.10.2005</t>
  </si>
  <si>
    <t>Тихонов Егор</t>
  </si>
  <si>
    <t>Тихонов Иван</t>
  </si>
  <si>
    <t>Тихонов Михаил</t>
  </si>
  <si>
    <t>Тихонов Юрий</t>
  </si>
  <si>
    <t>Тихоновский Юрий</t>
  </si>
  <si>
    <t>Тишенин Вадим</t>
  </si>
  <si>
    <t>Тишков Артем</t>
  </si>
  <si>
    <t>Ткачев Игорь</t>
  </si>
  <si>
    <t>16.02.1999</t>
  </si>
  <si>
    <t>Ткаченко Владимир</t>
  </si>
  <si>
    <t>31.03.1985</t>
  </si>
  <si>
    <t>Ткаченко Георгий</t>
  </si>
  <si>
    <t>Ткаченко Максим</t>
  </si>
  <si>
    <t>Ткаченко Михаил</t>
  </si>
  <si>
    <t>Ткаченко Павел</t>
  </si>
  <si>
    <t>24.12.1995</t>
  </si>
  <si>
    <t>Тлебзу Роман</t>
  </si>
  <si>
    <t>Товчигречко Илья</t>
  </si>
  <si>
    <t>03.11.2008</t>
  </si>
  <si>
    <t>Товчигречко Роман</t>
  </si>
  <si>
    <t>01.10.2004</t>
  </si>
  <si>
    <t>Токарь Павел</t>
  </si>
  <si>
    <t>03.12.1996</t>
  </si>
  <si>
    <t>Толстиков Максим</t>
  </si>
  <si>
    <t>26.05.1998</t>
  </si>
  <si>
    <t>Толстопятов Александр</t>
  </si>
  <si>
    <t>Толчейников Антон</t>
  </si>
  <si>
    <t>23.06.1998</t>
  </si>
  <si>
    <t>Толченков Андрей</t>
  </si>
  <si>
    <t>Томахин Тимофей</t>
  </si>
  <si>
    <t>17.01.2001</t>
  </si>
  <si>
    <t>30.01.1999</t>
  </si>
  <si>
    <t>Топтунов Константин</t>
  </si>
  <si>
    <t>Топчян Александр</t>
  </si>
  <si>
    <t>Торгов Артем</t>
  </si>
  <si>
    <t>Торгов Максим</t>
  </si>
  <si>
    <t>29.11.1988</t>
  </si>
  <si>
    <t>Тормозов Михаил</t>
  </si>
  <si>
    <t>29.12.1996</t>
  </si>
  <si>
    <t>Торопов Евгений</t>
  </si>
  <si>
    <t>06.12.1995</t>
  </si>
  <si>
    <t>Тохов Тамерлан</t>
  </si>
  <si>
    <t>Травин Данила</t>
  </si>
  <si>
    <t>22.10.1997</t>
  </si>
  <si>
    <t>Траневич Антон</t>
  </si>
  <si>
    <t>Требин Артем</t>
  </si>
  <si>
    <t>Трегубенко Анатолий</t>
  </si>
  <si>
    <t>26.05.1997</t>
  </si>
  <si>
    <t>Тремасов Егор</t>
  </si>
  <si>
    <t>Тремель Дмитрий</t>
  </si>
  <si>
    <t>Трепаков Даниил</t>
  </si>
  <si>
    <t>16.10.2003</t>
  </si>
  <si>
    <t>Третьяков Виктор</t>
  </si>
  <si>
    <t>22.06.2005</t>
  </si>
  <si>
    <t>Третьяков Георгий</t>
  </si>
  <si>
    <t>Третьяков Даниил</t>
  </si>
  <si>
    <t>03.05.2003</t>
  </si>
  <si>
    <t>Третьяков Максим</t>
  </si>
  <si>
    <t>Тридух Игорь</t>
  </si>
  <si>
    <t>28.04.1989</t>
  </si>
  <si>
    <t>25.11.2004</t>
  </si>
  <si>
    <t>Трифонов Андрей</t>
  </si>
  <si>
    <t>Трифонов Кирилл</t>
  </si>
  <si>
    <t>08.04.2006</t>
  </si>
  <si>
    <t>Тришин Илья</t>
  </si>
  <si>
    <t>Тропицин Максим</t>
  </si>
  <si>
    <t>Трофимов Александр</t>
  </si>
  <si>
    <t>14.11.2005</t>
  </si>
  <si>
    <t>Троценко Владислав</t>
  </si>
  <si>
    <t>Трошков Кирилл</t>
  </si>
  <si>
    <t>Трубачев Владимир</t>
  </si>
  <si>
    <t>Труженников Николай</t>
  </si>
  <si>
    <t>18.01.2004</t>
  </si>
  <si>
    <t>Трусов Алексей</t>
  </si>
  <si>
    <t>22.06.1971</t>
  </si>
  <si>
    <t>Трусов Владислав</t>
  </si>
  <si>
    <t>13.02.1971</t>
  </si>
  <si>
    <t>Трушин Дмитрий</t>
  </si>
  <si>
    <t>Трушкин Егор</t>
  </si>
  <si>
    <t>Туев Евгений</t>
  </si>
  <si>
    <t>16.08.1987</t>
  </si>
  <si>
    <t>Туйчиев Бахтиер</t>
  </si>
  <si>
    <t>17.10.1970</t>
  </si>
  <si>
    <t>Туйчиев Рамис</t>
  </si>
  <si>
    <t>24.12.2006</t>
  </si>
  <si>
    <t>Тулонов Арсалан</t>
  </si>
  <si>
    <t>Тульчанский Михаил</t>
  </si>
  <si>
    <t>Туманов Владимир</t>
  </si>
  <si>
    <t>Туманян Арут</t>
  </si>
  <si>
    <t>Турубанов Арсентий</t>
  </si>
  <si>
    <t>21.10.1987</t>
  </si>
  <si>
    <t>Турунов Леонид</t>
  </si>
  <si>
    <t>02.08.2003</t>
  </si>
  <si>
    <t>Тухужев Артур</t>
  </si>
  <si>
    <t>16.06.2008</t>
  </si>
  <si>
    <t>Тушаков Роман</t>
  </si>
  <si>
    <t>12.02.2001</t>
  </si>
  <si>
    <t>Тхакахов Эльдар</t>
  </si>
  <si>
    <t>31.05.2003</t>
  </si>
  <si>
    <t>Тымчик Алексей</t>
  </si>
  <si>
    <t>14.03.2003</t>
  </si>
  <si>
    <t>Тюгунов Рифкат</t>
  </si>
  <si>
    <t>Тюльпин Артем</t>
  </si>
  <si>
    <t>01.12.1997</t>
  </si>
  <si>
    <t>Тюмереков Тимир</t>
  </si>
  <si>
    <t>Тюрбеев Санчир</t>
  </si>
  <si>
    <t>22.12.2007</t>
  </si>
  <si>
    <t>Тюриков Илья</t>
  </si>
  <si>
    <t>14.02.2000</t>
  </si>
  <si>
    <t>Тюрин Дмитрий</t>
  </si>
  <si>
    <t>05.10.2004</t>
  </si>
  <si>
    <t>Тютрюмов Александр</t>
  </si>
  <si>
    <t>28.08.1998</t>
  </si>
  <si>
    <t>Тябин Артем</t>
  </si>
  <si>
    <t>Тябин Тимур</t>
  </si>
  <si>
    <t>Тягло Никита</t>
  </si>
  <si>
    <t>19.04.2002</t>
  </si>
  <si>
    <t>Уваров Александр</t>
  </si>
  <si>
    <t>22.11.2001</t>
  </si>
  <si>
    <t>Угланов Дмитрий</t>
  </si>
  <si>
    <t>15.09.2004</t>
  </si>
  <si>
    <t>Углов Максим</t>
  </si>
  <si>
    <t>Угодин Ярослав</t>
  </si>
  <si>
    <t>Ударцев Андрей</t>
  </si>
  <si>
    <t>05.10.1979</t>
  </si>
  <si>
    <t>Удельных Алексей</t>
  </si>
  <si>
    <t>11.02.2003</t>
  </si>
  <si>
    <t>Удоратин Дмитрий</t>
  </si>
  <si>
    <t>06.05.2004</t>
  </si>
  <si>
    <t>Украинский Александр</t>
  </si>
  <si>
    <t>05.11.1959</t>
  </si>
  <si>
    <t>Украинский Иван</t>
  </si>
  <si>
    <t>26.01.1981</t>
  </si>
  <si>
    <t>Михайловск  Ст.кр.</t>
  </si>
  <si>
    <t>Уланов Алексей</t>
  </si>
  <si>
    <t>18.10.1983</t>
  </si>
  <si>
    <t>Уланов Роман</t>
  </si>
  <si>
    <t>24.11.2004</t>
  </si>
  <si>
    <t>Улугбашев Азар</t>
  </si>
  <si>
    <t>29.11.2002</t>
  </si>
  <si>
    <t>Улугходжаев Хуршед</t>
  </si>
  <si>
    <t>Улуханян Эрик</t>
  </si>
  <si>
    <t>15.10.2000</t>
  </si>
  <si>
    <t>Ульянов Игорь</t>
  </si>
  <si>
    <t>22.12.2004</t>
  </si>
  <si>
    <t>Ульяновский Алексей</t>
  </si>
  <si>
    <t>Унагаев Кирилл</t>
  </si>
  <si>
    <t>Унажоков Альберт</t>
  </si>
  <si>
    <t>08.05.1990</t>
  </si>
  <si>
    <t>Унгурян Александр</t>
  </si>
  <si>
    <t>Унтилов Артем</t>
  </si>
  <si>
    <t>22.09.2000</t>
  </si>
  <si>
    <t>Уразов Святослав</t>
  </si>
  <si>
    <t>03.02.1998</t>
  </si>
  <si>
    <t>Урбазаев Роман</t>
  </si>
  <si>
    <t>01.05.2006</t>
  </si>
  <si>
    <t>Урканов Станислав</t>
  </si>
  <si>
    <t>27.05.2007</t>
  </si>
  <si>
    <t>Урусмамбетов Аслан</t>
  </si>
  <si>
    <t>16.04.2007</t>
  </si>
  <si>
    <t>Урюпин Василий</t>
  </si>
  <si>
    <t>Усатый Константин</t>
  </si>
  <si>
    <t>15.01.2004</t>
  </si>
  <si>
    <t>Усачев Григорий</t>
  </si>
  <si>
    <t>26.09.1961</t>
  </si>
  <si>
    <t>Усачев Иван</t>
  </si>
  <si>
    <t>Усачев Игорь</t>
  </si>
  <si>
    <t>Усманов Ринат</t>
  </si>
  <si>
    <t>30.09.2008</t>
  </si>
  <si>
    <t>Усов Никита</t>
  </si>
  <si>
    <t>13.09.2003</t>
  </si>
  <si>
    <t>Усольцев Роман</t>
  </si>
  <si>
    <t>Устименко Сергей</t>
  </si>
  <si>
    <t>12.09.2005</t>
  </si>
  <si>
    <t>Устимов Антон</t>
  </si>
  <si>
    <t>Устинов Матвей</t>
  </si>
  <si>
    <t>Устюгов Степан</t>
  </si>
  <si>
    <t>Уткин Александр</t>
  </si>
  <si>
    <t>Лежнево  Ив.обл.</t>
  </si>
  <si>
    <t>27.03.2001</t>
  </si>
  <si>
    <t>Учаев Игорь</t>
  </si>
  <si>
    <t>19.08.2004</t>
  </si>
  <si>
    <t>Ушаков Александр</t>
  </si>
  <si>
    <t>05.04.2000</t>
  </si>
  <si>
    <t>Ушаков Вадим</t>
  </si>
  <si>
    <t>27.02.2006</t>
  </si>
  <si>
    <t>Ушаков Евгений</t>
  </si>
  <si>
    <t>21.03.1996</t>
  </si>
  <si>
    <t>Ушаков Кирилл</t>
  </si>
  <si>
    <t>Ушаков Федор</t>
  </si>
  <si>
    <t>23.07.2005</t>
  </si>
  <si>
    <t>Кирово-Чепецк  Кир.обл.</t>
  </si>
  <si>
    <t>Ушанев Даниил</t>
  </si>
  <si>
    <t>Ушкарев Максим</t>
  </si>
  <si>
    <t>Фадеев Денис</t>
  </si>
  <si>
    <t>15.10.2003</t>
  </si>
  <si>
    <t>Фадеев Егор</t>
  </si>
  <si>
    <t>Кириши  Лен.о.</t>
  </si>
  <si>
    <t>Фадеев Марк</t>
  </si>
  <si>
    <t>Файзуллин Артур</t>
  </si>
  <si>
    <t>15.07.2008</t>
  </si>
  <si>
    <t>Фаргер Роман</t>
  </si>
  <si>
    <t>05.07.2005</t>
  </si>
  <si>
    <t>Фатеев Богдан</t>
  </si>
  <si>
    <t>18.08.2005</t>
  </si>
  <si>
    <t>Фаттахов Азат</t>
  </si>
  <si>
    <t>22.04.1981</t>
  </si>
  <si>
    <t>Фатьянов Вячеслав</t>
  </si>
  <si>
    <t>Федоренко Александр</t>
  </si>
  <si>
    <t>Федоренко Кирилл</t>
  </si>
  <si>
    <t>Федоренко Тимофей</t>
  </si>
  <si>
    <t>05.07.1999</t>
  </si>
  <si>
    <t>Федоров Александр</t>
  </si>
  <si>
    <t>Федоров Артем</t>
  </si>
  <si>
    <t>Федоров Владислав</t>
  </si>
  <si>
    <t>25.06.2000</t>
  </si>
  <si>
    <t>Федоров Даниил</t>
  </si>
  <si>
    <t>Федоров Максим</t>
  </si>
  <si>
    <t>19.08.2001</t>
  </si>
  <si>
    <t>Федоров Никита</t>
  </si>
  <si>
    <t>Федоров Николай</t>
  </si>
  <si>
    <t>Федоров Санан</t>
  </si>
  <si>
    <t>27.12.2005</t>
  </si>
  <si>
    <t>Федоров Семен</t>
  </si>
  <si>
    <t>07.03.2001</t>
  </si>
  <si>
    <t>Федоров Федор</t>
  </si>
  <si>
    <t>Федорченко Никита</t>
  </si>
  <si>
    <t>Федосеев Владимир</t>
  </si>
  <si>
    <t>25.01.2008</t>
  </si>
  <si>
    <t>Федосеев Дмитрий</t>
  </si>
  <si>
    <t>Федосов Михаил</t>
  </si>
  <si>
    <t>Федотов Аркадий</t>
  </si>
  <si>
    <t>17.11.2005</t>
  </si>
  <si>
    <t>Федотов Даниил</t>
  </si>
  <si>
    <t>Федотов Илья</t>
  </si>
  <si>
    <t>17.02.2004</t>
  </si>
  <si>
    <t>Федотов Максим</t>
  </si>
  <si>
    <t>Федотов Петр</t>
  </si>
  <si>
    <t>12.12.1997</t>
  </si>
  <si>
    <t>Федотов Тимофей</t>
  </si>
  <si>
    <t>Федотовских Артем</t>
  </si>
  <si>
    <t>11.01.2005</t>
  </si>
  <si>
    <t>Федулов Александр</t>
  </si>
  <si>
    <t>19.10.1991</t>
  </si>
  <si>
    <t>Федулов Егор</t>
  </si>
  <si>
    <t>Феклистов Андрей</t>
  </si>
  <si>
    <t>20.06.2002</t>
  </si>
  <si>
    <t>Фендриков Никита</t>
  </si>
  <si>
    <t>Фефелов Алексей</t>
  </si>
  <si>
    <t>12.10.2008</t>
  </si>
  <si>
    <t>Фиделев Сергей</t>
  </si>
  <si>
    <t>Филатов Алексей</t>
  </si>
  <si>
    <t>23.09.2001</t>
  </si>
  <si>
    <t>24.08.2005</t>
  </si>
  <si>
    <t>Филатов Василий</t>
  </si>
  <si>
    <t>06.11.1988</t>
  </si>
  <si>
    <t>Филатов Егор</t>
  </si>
  <si>
    <t>08.12.1997</t>
  </si>
  <si>
    <t>Филатов Игорь</t>
  </si>
  <si>
    <t>01.04.1999</t>
  </si>
  <si>
    <t>Филатов Илья</t>
  </si>
  <si>
    <t>Филипенко Даниил</t>
  </si>
  <si>
    <t>Филиппенко Дмитрий</t>
  </si>
  <si>
    <t>26.12.2002</t>
  </si>
  <si>
    <t>Филиппов Кирилл</t>
  </si>
  <si>
    <t>Филиппов Никита</t>
  </si>
  <si>
    <t>22.10.2005</t>
  </si>
  <si>
    <t>Филиппов Тимофей</t>
  </si>
  <si>
    <t>11.07.2004</t>
  </si>
  <si>
    <t>Филисов Антон</t>
  </si>
  <si>
    <t>22.03.2001</t>
  </si>
  <si>
    <t>Филичев Виталий</t>
  </si>
  <si>
    <t>30.08.1981</t>
  </si>
  <si>
    <t>Филонов Александр</t>
  </si>
  <si>
    <t>Филонов Антон</t>
  </si>
  <si>
    <t>16.03.1999</t>
  </si>
  <si>
    <t>Фильчев Сергей</t>
  </si>
  <si>
    <t>22.06.1989</t>
  </si>
  <si>
    <t>Финадеев Максим</t>
  </si>
  <si>
    <t>Финкель Сергей</t>
  </si>
  <si>
    <t>29.09.1998</t>
  </si>
  <si>
    <t>Фионов Даниил</t>
  </si>
  <si>
    <t>Фисенко Александр</t>
  </si>
  <si>
    <t>Фитисов Денис</t>
  </si>
  <si>
    <t>Фичкин Олег</t>
  </si>
  <si>
    <t>19.11.1983</t>
  </si>
  <si>
    <t>Флягин Николай</t>
  </si>
  <si>
    <t>15.08.2004</t>
  </si>
  <si>
    <t>Фокин Игорь</t>
  </si>
  <si>
    <t>21.10.1968</t>
  </si>
  <si>
    <t>Фоменко Артем</t>
  </si>
  <si>
    <t>29.10.2004</t>
  </si>
  <si>
    <t>Фомин Евгений</t>
  </si>
  <si>
    <t>08.05.1998</t>
  </si>
  <si>
    <t>Фомин Кирилл</t>
  </si>
  <si>
    <t>Фомин Николай</t>
  </si>
  <si>
    <t>Фомин Роман</t>
  </si>
  <si>
    <t>24.09.2000</t>
  </si>
  <si>
    <t>Фоминых Илья</t>
  </si>
  <si>
    <t>10.10.1997</t>
  </si>
  <si>
    <t>Фомичев Владислав</t>
  </si>
  <si>
    <t>Фонин Станислав</t>
  </si>
  <si>
    <t>11.10.2006</t>
  </si>
  <si>
    <t>Форостовский Иван</t>
  </si>
  <si>
    <t>24.01.1998</t>
  </si>
  <si>
    <t>Фридман Даниил</t>
  </si>
  <si>
    <t>Фролов Максим</t>
  </si>
  <si>
    <t>Фролов Николай</t>
  </si>
  <si>
    <t>Фроловский Михаил</t>
  </si>
  <si>
    <t>30.12.2005</t>
  </si>
  <si>
    <t>Фунтов Андрей</t>
  </si>
  <si>
    <t>Фурин Данила</t>
  </si>
  <si>
    <t>Хабибуллин Айрат</t>
  </si>
  <si>
    <t>Хадиев Карим</t>
  </si>
  <si>
    <t>20.04.2007</t>
  </si>
  <si>
    <t>Хадыкин Александр</t>
  </si>
  <si>
    <t>Хадыкин Федор</t>
  </si>
  <si>
    <t>Хаеров Дмитрий</t>
  </si>
  <si>
    <t>Хайбуллин Данил</t>
  </si>
  <si>
    <t>Хайдаров Эдуард</t>
  </si>
  <si>
    <t>Хайдуков Максим</t>
  </si>
  <si>
    <t>24.06.2006</t>
  </si>
  <si>
    <t>Хайруллин Артур</t>
  </si>
  <si>
    <t>Хайруллин Шамиль</t>
  </si>
  <si>
    <t>Халиков Шамиль</t>
  </si>
  <si>
    <t>Халюзин Никита</t>
  </si>
  <si>
    <t>Хаматханов Иса</t>
  </si>
  <si>
    <t>07.09.2003</t>
  </si>
  <si>
    <t>Хамдохов Данил</t>
  </si>
  <si>
    <t>Хамидуллин Булат</t>
  </si>
  <si>
    <t>12.09.2001</t>
  </si>
  <si>
    <t>Хандогин Дмитрий</t>
  </si>
  <si>
    <t>Ханов Михаил</t>
  </si>
  <si>
    <t>04.05.2004</t>
  </si>
  <si>
    <t>Хапачев Мансур</t>
  </si>
  <si>
    <t>16.05.2008</t>
  </si>
  <si>
    <t>Хапишт Максим</t>
  </si>
  <si>
    <t>Харинцев Федор</t>
  </si>
  <si>
    <t>Харитонов Денис</t>
  </si>
  <si>
    <t>08.10.2005</t>
  </si>
  <si>
    <t>Харламов Вадим</t>
  </si>
  <si>
    <t>Хасанов Джамшед</t>
  </si>
  <si>
    <t>31.05.2000</t>
  </si>
  <si>
    <t>Хасбиев Динияр</t>
  </si>
  <si>
    <t>18.06.2007</t>
  </si>
  <si>
    <t>Хасбулатов Темирлан</t>
  </si>
  <si>
    <t>29.08.1989</t>
  </si>
  <si>
    <t>Хафизов Камиль</t>
  </si>
  <si>
    <t>Хахулин Александр</t>
  </si>
  <si>
    <t>Хахулин Павел</t>
  </si>
  <si>
    <t>12.10.2005</t>
  </si>
  <si>
    <t>Хачатрян Артем</t>
  </si>
  <si>
    <t>Хачатрян Карен</t>
  </si>
  <si>
    <t>31.07.1960</t>
  </si>
  <si>
    <t>Хвостов Максим</t>
  </si>
  <si>
    <t>20.01.1996</t>
  </si>
  <si>
    <t>Хертек Александр</t>
  </si>
  <si>
    <t>Хижников Владислав</t>
  </si>
  <si>
    <t>Хилькевич Кирилл</t>
  </si>
  <si>
    <t>23.02.2004</t>
  </si>
  <si>
    <t>Химен Кирилл</t>
  </si>
  <si>
    <t>Хисматуллин Эмиль</t>
  </si>
  <si>
    <t>Стерлитамак  Башк.</t>
  </si>
  <si>
    <t>Хитров Андрей</t>
  </si>
  <si>
    <t>Хлопин Артем</t>
  </si>
  <si>
    <t>04.10.2003</t>
  </si>
  <si>
    <t>Хмарук Антон</t>
  </si>
  <si>
    <t>Хмелев Алексей</t>
  </si>
  <si>
    <t>29.01.1980</t>
  </si>
  <si>
    <t>Хмелев Михаил</t>
  </si>
  <si>
    <t>27.04.2000</t>
  </si>
  <si>
    <t>Хмельницкий Александр</t>
  </si>
  <si>
    <t>10.12.2003</t>
  </si>
  <si>
    <t>Ходкевич Богдан</t>
  </si>
  <si>
    <t>02.10.2007</t>
  </si>
  <si>
    <t>Ходоров Федор</t>
  </si>
  <si>
    <t>Ходяков Евгений</t>
  </si>
  <si>
    <t>16.01.1998</t>
  </si>
  <si>
    <t>Холбоев Рамазан</t>
  </si>
  <si>
    <t>Холин Роман</t>
  </si>
  <si>
    <t>15.05.2007</t>
  </si>
  <si>
    <t>Холоденин Дмитрий</t>
  </si>
  <si>
    <t>18.03.2005</t>
  </si>
  <si>
    <t>Холодков Илья</t>
  </si>
  <si>
    <t>Холодов Максим</t>
  </si>
  <si>
    <t>Холомьев Данила</t>
  </si>
  <si>
    <t>10.08.2004</t>
  </si>
  <si>
    <t>Хомутов Михаил</t>
  </si>
  <si>
    <t>29.11.1974</t>
  </si>
  <si>
    <t>Хонин Сергей</t>
  </si>
  <si>
    <t>26.01.1982</t>
  </si>
  <si>
    <t>Хорев Арсений</t>
  </si>
  <si>
    <t>Хоронько Михаил</t>
  </si>
  <si>
    <t>Хорошилов Петр</t>
  </si>
  <si>
    <t>21.05.2006</t>
  </si>
  <si>
    <t>Хорошко Александр</t>
  </si>
  <si>
    <t>17.04.2006</t>
  </si>
  <si>
    <t>Хорьков Алексей</t>
  </si>
  <si>
    <t>21.08.1979</t>
  </si>
  <si>
    <t>Хохлов Никита</t>
  </si>
  <si>
    <t>Храмов Андрей</t>
  </si>
  <si>
    <t>Храмцов Сергей</t>
  </si>
  <si>
    <t>Храновский Даниил</t>
  </si>
  <si>
    <t>Хриенко Андрей</t>
  </si>
  <si>
    <t>11.01.2006</t>
  </si>
  <si>
    <t>Хрипуненко Павел</t>
  </si>
  <si>
    <t>16.06.1995</t>
  </si>
  <si>
    <t>Христофоров Жан</t>
  </si>
  <si>
    <t>Хрущев Федор</t>
  </si>
  <si>
    <t>Хубиев Имран</t>
  </si>
  <si>
    <t>Худайбердиев Давлат</t>
  </si>
  <si>
    <t>Худас Алексей</t>
  </si>
  <si>
    <t>Худолей Артем</t>
  </si>
  <si>
    <t>Худяков Максим</t>
  </si>
  <si>
    <t>Хужоков Идар</t>
  </si>
  <si>
    <t>Хурцилава Антон</t>
  </si>
  <si>
    <t>05.05.1997</t>
  </si>
  <si>
    <t>Хусаинов Айдар</t>
  </si>
  <si>
    <t>Хусаинов Руслан</t>
  </si>
  <si>
    <t>Хуснутдинов Рафаэль</t>
  </si>
  <si>
    <t>14.08.1977</t>
  </si>
  <si>
    <t>Хусу Максим</t>
  </si>
  <si>
    <t>Цаноглу Александр</t>
  </si>
  <si>
    <t>Царев Константин</t>
  </si>
  <si>
    <t>Царьков Матвей</t>
  </si>
  <si>
    <t>25.07.2002</t>
  </si>
  <si>
    <t>Царьков Тимофей</t>
  </si>
  <si>
    <t>Цветков Степан</t>
  </si>
  <si>
    <t>28.04.2004</t>
  </si>
  <si>
    <t>Цей Рустам</t>
  </si>
  <si>
    <t>Целих Михаил</t>
  </si>
  <si>
    <t>Целищев Иван</t>
  </si>
  <si>
    <t>12.06.1996</t>
  </si>
  <si>
    <t>Ценаев Данила</t>
  </si>
  <si>
    <t>Церр Сергей</t>
  </si>
  <si>
    <t>Цихонь Игорь</t>
  </si>
  <si>
    <t>Цицельский Артем</t>
  </si>
  <si>
    <t>08.11.1988</t>
  </si>
  <si>
    <t>Цункак Араник</t>
  </si>
  <si>
    <t>Цуриков Григорий</t>
  </si>
  <si>
    <t>21.02.1998</t>
  </si>
  <si>
    <t>Цутаев Михаил</t>
  </si>
  <si>
    <t>18.10.1993</t>
  </si>
  <si>
    <t>Цхе Вадим</t>
  </si>
  <si>
    <t>Цыбикдоржиев Дмитрий</t>
  </si>
  <si>
    <t>Цыбикжапов Тумэр</t>
  </si>
  <si>
    <t>20.02.2002</t>
  </si>
  <si>
    <t>Цыбулин Сергей</t>
  </si>
  <si>
    <t>09.07.1983</t>
  </si>
  <si>
    <t>Цыганков Адель</t>
  </si>
  <si>
    <t>Цыганков Вадим</t>
  </si>
  <si>
    <t>Цыденов Аюр</t>
  </si>
  <si>
    <t>Цыденов Майдари</t>
  </si>
  <si>
    <t>23.12.1999</t>
  </si>
  <si>
    <t>Цыклин Вячеслав</t>
  </si>
  <si>
    <t>Цымбал Даниил</t>
  </si>
  <si>
    <t>24.12.2001</t>
  </si>
  <si>
    <t>Цымбалистый Лев</t>
  </si>
  <si>
    <t>21.12.2004</t>
  </si>
  <si>
    <t>Цыплаков Александр</t>
  </si>
  <si>
    <t>24.04.1991</t>
  </si>
  <si>
    <t>Цыпушев Ярослав</t>
  </si>
  <si>
    <t>Цыренов Доржо</t>
  </si>
  <si>
    <t>Чадаев Роман</t>
  </si>
  <si>
    <t>04.09.1995</t>
  </si>
  <si>
    <t>Чайка Степан</t>
  </si>
  <si>
    <t>Чакрян Артур</t>
  </si>
  <si>
    <t>21.04.1992</t>
  </si>
  <si>
    <t>Чалый Максим</t>
  </si>
  <si>
    <t>Чаплинцев Павел</t>
  </si>
  <si>
    <t>Чаплыгин Максим</t>
  </si>
  <si>
    <t>Чариев Иван</t>
  </si>
  <si>
    <t>Чарчян Эдуард</t>
  </si>
  <si>
    <t>Частков Константин</t>
  </si>
  <si>
    <t>23.07.2000</t>
  </si>
  <si>
    <t>Че Владимир</t>
  </si>
  <si>
    <t>18.10.1966</t>
  </si>
  <si>
    <t>Чебаков Нурислам</t>
  </si>
  <si>
    <t>16.09.2006</t>
  </si>
  <si>
    <t>Чебанов Михаил</t>
  </si>
  <si>
    <t>13.10.2004</t>
  </si>
  <si>
    <t>Чеботаев Гордей</t>
  </si>
  <si>
    <t>16.09.2001</t>
  </si>
  <si>
    <t>Чеботарев Станислав</t>
  </si>
  <si>
    <t>26.09.2005</t>
  </si>
  <si>
    <t>Чебруков Никита</t>
  </si>
  <si>
    <t>Чегадуев Ислам</t>
  </si>
  <si>
    <t>Чекалин Арсений</t>
  </si>
  <si>
    <t>Чекалин Павел</t>
  </si>
  <si>
    <t>Чекалов Дмитрий</t>
  </si>
  <si>
    <t>Чекалов Никита</t>
  </si>
  <si>
    <t>23.12.2008</t>
  </si>
  <si>
    <t>Чеканин Степан</t>
  </si>
  <si>
    <t>Челядко Александр</t>
  </si>
  <si>
    <t>13.02.1994</t>
  </si>
  <si>
    <t>Чемерис Сергей</t>
  </si>
  <si>
    <t>12.08.1989</t>
  </si>
  <si>
    <t>Ченцов Александр</t>
  </si>
  <si>
    <t>05.11.1978</t>
  </si>
  <si>
    <t>Ченцов Даниил</t>
  </si>
  <si>
    <t>Чепкасов Виталий</t>
  </si>
  <si>
    <t>Чепко Егор</t>
  </si>
  <si>
    <t>Чепурко Максим</t>
  </si>
  <si>
    <t>Черашев Дмитрий</t>
  </si>
  <si>
    <t>30.11.1983</t>
  </si>
  <si>
    <t>Черданцев Александр</t>
  </si>
  <si>
    <t>20.04.2003</t>
  </si>
  <si>
    <t>Черевиков Аотем</t>
  </si>
  <si>
    <t>26.11.2005</t>
  </si>
  <si>
    <t>Черемисинов Алексей</t>
  </si>
  <si>
    <t>07.05.2005</t>
  </si>
  <si>
    <t>Черемхин Михаил</t>
  </si>
  <si>
    <t>10.07.2004</t>
  </si>
  <si>
    <t>Черенев Олег</t>
  </si>
  <si>
    <t>Черенков Никита</t>
  </si>
  <si>
    <t>09.10.2005</t>
  </si>
  <si>
    <t>Черепанов Алексей</t>
  </si>
  <si>
    <t>02.06.1999</t>
  </si>
  <si>
    <t>Черепанов Давид</t>
  </si>
  <si>
    <t>Черепанов Никита</t>
  </si>
  <si>
    <t>28.03.1998</t>
  </si>
  <si>
    <t>Черепанов Николай</t>
  </si>
  <si>
    <t>Черкасов Артур</t>
  </si>
  <si>
    <t>Черкашин Александр</t>
  </si>
  <si>
    <t>Черкашин Максим</t>
  </si>
  <si>
    <t>31.07.2005</t>
  </si>
  <si>
    <t>Черкашин Федор</t>
  </si>
  <si>
    <t>Черкес Даниил</t>
  </si>
  <si>
    <t>17.11.2003</t>
  </si>
  <si>
    <t>Черкес Руслан</t>
  </si>
  <si>
    <t>Чернев Игорь</t>
  </si>
  <si>
    <t>13.06.1974</t>
  </si>
  <si>
    <t>Черненко Данил</t>
  </si>
  <si>
    <t>Чернецов Семен</t>
  </si>
  <si>
    <t>27.04.2004</t>
  </si>
  <si>
    <t>Чернигов Андрей</t>
  </si>
  <si>
    <t>Черников Давид</t>
  </si>
  <si>
    <t>11.04.2000</t>
  </si>
  <si>
    <t>Черников Ян</t>
  </si>
  <si>
    <t>13.08.2000</t>
  </si>
  <si>
    <t>Чернов Владислав</t>
  </si>
  <si>
    <t>Чернов Константин</t>
  </si>
  <si>
    <t>16.08.1997</t>
  </si>
  <si>
    <t>07.07.1977</t>
  </si>
  <si>
    <t>Черноглазов Никита</t>
  </si>
  <si>
    <t>04.01.1999</t>
  </si>
  <si>
    <t>03.12.2000</t>
  </si>
  <si>
    <t>02.02.1999</t>
  </si>
  <si>
    <t>Черный Андрей</t>
  </si>
  <si>
    <t>20.09.1984</t>
  </si>
  <si>
    <t>Чернышев Арсений</t>
  </si>
  <si>
    <t>Чернышев Константин</t>
  </si>
  <si>
    <t>16.12.2003</t>
  </si>
  <si>
    <t>Чернышков Алексей</t>
  </si>
  <si>
    <t>12.02.1983</t>
  </si>
  <si>
    <t>Чернявский Владимир</t>
  </si>
  <si>
    <t>15.02.2000</t>
  </si>
  <si>
    <t>28.03.2001</t>
  </si>
  <si>
    <t>Чертков Егор</t>
  </si>
  <si>
    <t>Черчаев Роман</t>
  </si>
  <si>
    <t>25.03.2007</t>
  </si>
  <si>
    <t>Черяшов Борис</t>
  </si>
  <si>
    <t>Чеснаков Егор</t>
  </si>
  <si>
    <t>Чесноков Аркадий</t>
  </si>
  <si>
    <t>02.02.2000</t>
  </si>
  <si>
    <t>Чесноков Михаил</t>
  </si>
  <si>
    <t>Чехлов Андрей</t>
  </si>
  <si>
    <t>Чеченов Андемир</t>
  </si>
  <si>
    <t>Чивилев Вадим</t>
  </si>
  <si>
    <t>Дзержинский  Мо</t>
  </si>
  <si>
    <t>21.12.2001</t>
  </si>
  <si>
    <t>Чижиков Дмитрий</t>
  </si>
  <si>
    <t>11.10.2000</t>
  </si>
  <si>
    <t>Чикилев Роман</t>
  </si>
  <si>
    <t>Чикин Александр</t>
  </si>
  <si>
    <t>18.09.2004</t>
  </si>
  <si>
    <t>Чикин Даниил</t>
  </si>
  <si>
    <t>Чимбарцев Владислав</t>
  </si>
  <si>
    <t>05.03.1989</t>
  </si>
  <si>
    <t>Чимбарцев Михаил</t>
  </si>
  <si>
    <t>08.06.1966</t>
  </si>
  <si>
    <t>Лермонтов  Ставр.кр.</t>
  </si>
  <si>
    <t>Чимин Егор</t>
  </si>
  <si>
    <t>15.05.2009</t>
  </si>
  <si>
    <t>Чимитдоржиев Баир</t>
  </si>
  <si>
    <t>Чимитдоржиев Намжил</t>
  </si>
  <si>
    <t>Чинёнов Александр</t>
  </si>
  <si>
    <t>Чирков Данила</t>
  </si>
  <si>
    <t>Чирков Петр</t>
  </si>
  <si>
    <t>Чирков Степан</t>
  </si>
  <si>
    <t>19.08.2003</t>
  </si>
  <si>
    <t>Чирковский Арсений</t>
  </si>
  <si>
    <t>18.03.2000</t>
  </si>
  <si>
    <t>Чичитко Николай</t>
  </si>
  <si>
    <t>28.08.1956</t>
  </si>
  <si>
    <t>Чкалов Владимир</t>
  </si>
  <si>
    <t>03.02.2003</t>
  </si>
  <si>
    <t>ЧМЕЛЕВ Родион</t>
  </si>
  <si>
    <t>16.03.1998</t>
  </si>
  <si>
    <t>Чобонян Эмиль</t>
  </si>
  <si>
    <t>Чоботар Сергей</t>
  </si>
  <si>
    <t>03.05.2005</t>
  </si>
  <si>
    <t>Чорный Олег</t>
  </si>
  <si>
    <t>11.03.1973</t>
  </si>
  <si>
    <t>Чубуков Владислав</t>
  </si>
  <si>
    <t>Чуваев Захар</t>
  </si>
  <si>
    <t>22.08.2005</t>
  </si>
  <si>
    <t>Чувилин Матвей</t>
  </si>
  <si>
    <t>24.09.2008</t>
  </si>
  <si>
    <t>Чугай Владимир</t>
  </si>
  <si>
    <t>02.11.1964</t>
  </si>
  <si>
    <t>Чудаков Максим</t>
  </si>
  <si>
    <t>Чуев Ярослав</t>
  </si>
  <si>
    <t>10.11.1992</t>
  </si>
  <si>
    <t>Чуйкин Никита</t>
  </si>
  <si>
    <t>19.02.2007</t>
  </si>
  <si>
    <t>Чуйков Андрей</t>
  </si>
  <si>
    <t>01.05.2001</t>
  </si>
  <si>
    <t>Чулков Роман</t>
  </si>
  <si>
    <t>Чумаков Илья</t>
  </si>
  <si>
    <t>Чуманов Никита</t>
  </si>
  <si>
    <t>Чупраков Сергей</t>
  </si>
  <si>
    <t>20.02.1996</t>
  </si>
  <si>
    <t>Чурилов Станислав</t>
  </si>
  <si>
    <t>10.01.2005</t>
  </si>
  <si>
    <t>Чуркин Николай</t>
  </si>
  <si>
    <t>28.08.2004</t>
  </si>
  <si>
    <t>Чурнусов Никита</t>
  </si>
  <si>
    <t>Чухманов Семен</t>
  </si>
  <si>
    <t>31.12.2006</t>
  </si>
  <si>
    <t>Чучварев Павел</t>
  </si>
  <si>
    <t>Чучелов Антон</t>
  </si>
  <si>
    <t>22.03.2008</t>
  </si>
  <si>
    <t>Чучин Иван</t>
  </si>
  <si>
    <t>Чымалдай Артемий</t>
  </si>
  <si>
    <t>23.02.1981</t>
  </si>
  <si>
    <t>Шабалин Федор</t>
  </si>
  <si>
    <t>05.06.1999</t>
  </si>
  <si>
    <t>Шабров Никита</t>
  </si>
  <si>
    <t>Шаваев Аслан</t>
  </si>
  <si>
    <t>21.08.2005</t>
  </si>
  <si>
    <t>Шаваев Ренат</t>
  </si>
  <si>
    <t>Шага Константин</t>
  </si>
  <si>
    <t>Шадрин Степан</t>
  </si>
  <si>
    <t>Шайхайдаров Фидий</t>
  </si>
  <si>
    <t>Шайхутдинов Айдар</t>
  </si>
  <si>
    <t>Шакин Илья</t>
  </si>
  <si>
    <t>17.08.2007</t>
  </si>
  <si>
    <t>Шакирзянов Камиль</t>
  </si>
  <si>
    <t>12.08.2006</t>
  </si>
  <si>
    <t>Шакирзянов Тимур</t>
  </si>
  <si>
    <t>07.08.2005</t>
  </si>
  <si>
    <t>Шакиров Адель</t>
  </si>
  <si>
    <t>18.10.2006</t>
  </si>
  <si>
    <t>Шакиров Азкар</t>
  </si>
  <si>
    <t>31.03.2008</t>
  </si>
  <si>
    <t>Шакиров Арслан</t>
  </si>
  <si>
    <t>Шакиров Рашат</t>
  </si>
  <si>
    <t>06.10.2001</t>
  </si>
  <si>
    <t>Шакуров Егор</t>
  </si>
  <si>
    <t>Шалагин Ярослав</t>
  </si>
  <si>
    <t>24.06.2005</t>
  </si>
  <si>
    <t>Шамин Илья</t>
  </si>
  <si>
    <t>17.12.1993</t>
  </si>
  <si>
    <t>Шамсутдинов Инсаф</t>
  </si>
  <si>
    <t>Шамсутдинов Ислам</t>
  </si>
  <si>
    <t>Шамшин Павел</t>
  </si>
  <si>
    <t>Шандыбин Леонид</t>
  </si>
  <si>
    <t>30.11.2004</t>
  </si>
  <si>
    <t>Шаплин Глеб</t>
  </si>
  <si>
    <t>Шапочкин Олег</t>
  </si>
  <si>
    <t>03.12.2003</t>
  </si>
  <si>
    <t>Шапошник Иван</t>
  </si>
  <si>
    <t>30.03.2007</t>
  </si>
  <si>
    <t>Шапошников Степан</t>
  </si>
  <si>
    <t>17.05.1996</t>
  </si>
  <si>
    <t>Шапчиц Василий</t>
  </si>
  <si>
    <t>Шапчиц Михаил</t>
  </si>
  <si>
    <t>07.11.2008</t>
  </si>
  <si>
    <t>Шараев Алдар</t>
  </si>
  <si>
    <t>Шарапанов Иван</t>
  </si>
  <si>
    <t>Шарапов Валерий</t>
  </si>
  <si>
    <t>16.05.2003</t>
  </si>
  <si>
    <t>Рыбное  Ряз.обл.</t>
  </si>
  <si>
    <t>Шарапов Георгий</t>
  </si>
  <si>
    <t>Шарапов Максим</t>
  </si>
  <si>
    <t>Шарафетдинов Артем</t>
  </si>
  <si>
    <t>Шарифуллин Михаил</t>
  </si>
  <si>
    <t>07.06.2003</t>
  </si>
  <si>
    <t>Шаркин Артем</t>
  </si>
  <si>
    <t>Шарков Даниил</t>
  </si>
  <si>
    <t>Шаров Антон</t>
  </si>
  <si>
    <t>15.09.2003</t>
  </si>
  <si>
    <t>Шаров Илья</t>
  </si>
  <si>
    <t>20.02.2007</t>
  </si>
  <si>
    <t>02.11.2001</t>
  </si>
  <si>
    <t>Шаталов Денис</t>
  </si>
  <si>
    <t>11.06.2007</t>
  </si>
  <si>
    <t>Шаталов Максим</t>
  </si>
  <si>
    <t>Шатило Тимофей</t>
  </si>
  <si>
    <t>07.12.2005</t>
  </si>
  <si>
    <t>Шатилов Тимофей</t>
  </si>
  <si>
    <t>Шатихин Иван</t>
  </si>
  <si>
    <t>Шатихин Константин</t>
  </si>
  <si>
    <t>25.04.2008</t>
  </si>
  <si>
    <t>Шатравка Артем</t>
  </si>
  <si>
    <t>Шатров Алексей</t>
  </si>
  <si>
    <t>02.01.2001</t>
  </si>
  <si>
    <t>Шатских Александр</t>
  </si>
  <si>
    <t>Шатыло Данил</t>
  </si>
  <si>
    <t>22.05.2008</t>
  </si>
  <si>
    <t>Шафигуллин Мурат</t>
  </si>
  <si>
    <t>03.10.2002</t>
  </si>
  <si>
    <t>Шашелев Юрий</t>
  </si>
  <si>
    <t>23.11.1981</t>
  </si>
  <si>
    <t>Швайко Руслан</t>
  </si>
  <si>
    <t>11.09.2001</t>
  </si>
  <si>
    <t>Шварц Леон</t>
  </si>
  <si>
    <t>Шведов Александр</t>
  </si>
  <si>
    <t>29.06.1979</t>
  </si>
  <si>
    <t>Швец Кирилл</t>
  </si>
  <si>
    <t>15.02.1995</t>
  </si>
  <si>
    <t>Швецов Никита</t>
  </si>
  <si>
    <t>Шеботнев Владимир</t>
  </si>
  <si>
    <t>Шевелев Глеб</t>
  </si>
  <si>
    <t>04.02.2008</t>
  </si>
  <si>
    <t>Шевляков Алексей</t>
  </si>
  <si>
    <t>Шевнин Семен</t>
  </si>
  <si>
    <t>Шевцов Александр</t>
  </si>
  <si>
    <t>11.05.2005</t>
  </si>
  <si>
    <t>Шевцов Андрей</t>
  </si>
  <si>
    <t>30.09.1974</t>
  </si>
  <si>
    <t>Шевцов Дмитрий</t>
  </si>
  <si>
    <t>06.05.1976</t>
  </si>
  <si>
    <t>Шевцов Назар</t>
  </si>
  <si>
    <t>24.01.2001</t>
  </si>
  <si>
    <t>Шевченко Клим</t>
  </si>
  <si>
    <t>26.01.2003</t>
  </si>
  <si>
    <t>Шевченко Михаил</t>
  </si>
  <si>
    <t>Шевченко Семен</t>
  </si>
  <si>
    <t>10.01.1986</t>
  </si>
  <si>
    <t>Шевчук Алексей</t>
  </si>
  <si>
    <t>Шевчук Виталий</t>
  </si>
  <si>
    <t>Шевяков Владимир</t>
  </si>
  <si>
    <t>Шейгусов Константин</t>
  </si>
  <si>
    <t>Шейников Максим</t>
  </si>
  <si>
    <t>Шеленговский Алексей</t>
  </si>
  <si>
    <t>Шемаханов Константин</t>
  </si>
  <si>
    <t>07.02.2001</t>
  </si>
  <si>
    <t>18.06.2000</t>
  </si>
  <si>
    <t>Шепелев Роман</t>
  </si>
  <si>
    <t>24.09.2004</t>
  </si>
  <si>
    <t>Шералиев Мухамед</t>
  </si>
  <si>
    <t>Шеремет Семен</t>
  </si>
  <si>
    <t>10.08.2007</t>
  </si>
  <si>
    <t>Шерстяных Альберт</t>
  </si>
  <si>
    <t>27.11.1993</t>
  </si>
  <si>
    <t>25.08.2000</t>
  </si>
  <si>
    <t>Шестоперов Станислав</t>
  </si>
  <si>
    <t>Шефер Георгий</t>
  </si>
  <si>
    <t>Шехтман Илья</t>
  </si>
  <si>
    <t>Шибаев Александр</t>
  </si>
  <si>
    <t>09.09.1990</t>
  </si>
  <si>
    <t>Шигаев Сергей</t>
  </si>
  <si>
    <t>29.07.1975</t>
  </si>
  <si>
    <t>Шигаров Роман</t>
  </si>
  <si>
    <t>Шигеев Антон</t>
  </si>
  <si>
    <t>Шигин Данил</t>
  </si>
  <si>
    <t>Шиенко Денис</t>
  </si>
  <si>
    <t>23.12.2006</t>
  </si>
  <si>
    <t>Шило Алексей</t>
  </si>
  <si>
    <t>Шилов Владимир</t>
  </si>
  <si>
    <t>Шилов Глеб</t>
  </si>
  <si>
    <t>Шилов Платон</t>
  </si>
  <si>
    <t>Шинев Роман</t>
  </si>
  <si>
    <t>01.10.1988</t>
  </si>
  <si>
    <t>Шинов Алексей</t>
  </si>
  <si>
    <t>Шипулин Игорь</t>
  </si>
  <si>
    <t>Ширин Михаил</t>
  </si>
  <si>
    <t>Ширин Никита</t>
  </si>
  <si>
    <t>09.06.2001</t>
  </si>
  <si>
    <t>Широких Григорий</t>
  </si>
  <si>
    <t>03.04.2008</t>
  </si>
  <si>
    <t>Широких Тимур</t>
  </si>
  <si>
    <t>11.09.1966</t>
  </si>
  <si>
    <t>Ширшин Егор</t>
  </si>
  <si>
    <t>21.02.1999</t>
  </si>
  <si>
    <t>Ширшов Андрей</t>
  </si>
  <si>
    <t>Ширшов Евгений</t>
  </si>
  <si>
    <t>04.07.1962</t>
  </si>
  <si>
    <t>Ширяев Александр</t>
  </si>
  <si>
    <t>31.01.2003</t>
  </si>
  <si>
    <t>Ширяев Савелий</t>
  </si>
  <si>
    <t>19.04.2008</t>
  </si>
  <si>
    <t>Шишкин Андрей</t>
  </si>
  <si>
    <t>04.06.2003</t>
  </si>
  <si>
    <t>Шишкин Марк</t>
  </si>
  <si>
    <t>Шишкин Павел</t>
  </si>
  <si>
    <t>Шишкин Юрий</t>
  </si>
  <si>
    <t>07.02.2003</t>
  </si>
  <si>
    <t>14.10.2000</t>
  </si>
  <si>
    <t>Шквыра Сергей</t>
  </si>
  <si>
    <t>19.03.1959</t>
  </si>
  <si>
    <t>Шклярский Александр</t>
  </si>
  <si>
    <t>11.04.2007</t>
  </si>
  <si>
    <t>Школа Максим</t>
  </si>
  <si>
    <t>03.09.1994</t>
  </si>
  <si>
    <t>26.10.2000</t>
  </si>
  <si>
    <t>Шкред Илья</t>
  </si>
  <si>
    <t>Шкуро Максим</t>
  </si>
  <si>
    <t>Шлапаков Алексей</t>
  </si>
  <si>
    <t>02.07.2001</t>
  </si>
  <si>
    <t>Шлык Василий</t>
  </si>
  <si>
    <t>Шлындров Арсений</t>
  </si>
  <si>
    <t>27.12.1983</t>
  </si>
  <si>
    <t>Шляхтин Максим</t>
  </si>
  <si>
    <t>Шляхтов Леонид</t>
  </si>
  <si>
    <t>19.07.2003</t>
  </si>
  <si>
    <t>13.01.2002</t>
  </si>
  <si>
    <t>Шматухин Денис</t>
  </si>
  <si>
    <t>Шматухин Никита</t>
  </si>
  <si>
    <t>01.05.2008</t>
  </si>
  <si>
    <t>Шмелев Владимир</t>
  </si>
  <si>
    <t>21.08.1958</t>
  </si>
  <si>
    <t>Шмерев Григорий</t>
  </si>
  <si>
    <t>10.01.2002</t>
  </si>
  <si>
    <t>Шмидт Александр</t>
  </si>
  <si>
    <t>10.09.2004</t>
  </si>
  <si>
    <t>Шмуйло Иван</t>
  </si>
  <si>
    <t>Шмырев Максим</t>
  </si>
  <si>
    <t>30.11.1971</t>
  </si>
  <si>
    <t>Шогжал Чаян</t>
  </si>
  <si>
    <t>Шодиев Зафар</t>
  </si>
  <si>
    <t>26.01.1976</t>
  </si>
  <si>
    <t>Шокорев Андрей</t>
  </si>
  <si>
    <t>08.06.1984</t>
  </si>
  <si>
    <t>Шоронов Александр</t>
  </si>
  <si>
    <t>Шпагин Вячеслав</t>
  </si>
  <si>
    <t>Шпак Алексей</t>
  </si>
  <si>
    <t>Шпак Евгений</t>
  </si>
  <si>
    <t>21.09.1996</t>
  </si>
  <si>
    <t>Шпарийчук Андрей</t>
  </si>
  <si>
    <t>19.03.1999</t>
  </si>
  <si>
    <t>Штельвак Евгений</t>
  </si>
  <si>
    <t>03.10.2008</t>
  </si>
  <si>
    <t>Штерцер Николай</t>
  </si>
  <si>
    <t>Шторм Вадим</t>
  </si>
  <si>
    <t>25.09.1984</t>
  </si>
  <si>
    <t>Штыков Валерий</t>
  </si>
  <si>
    <t>29.06.2003</t>
  </si>
  <si>
    <t>Штыков Даниил</t>
  </si>
  <si>
    <t>02.01.2004</t>
  </si>
  <si>
    <t>Шубарт Михаил</t>
  </si>
  <si>
    <t>Шубат Михаил</t>
  </si>
  <si>
    <t>Шубин Роман</t>
  </si>
  <si>
    <t>23.11.2005</t>
  </si>
  <si>
    <t>Шуваев Илья</t>
  </si>
  <si>
    <t>17.10.2002</t>
  </si>
  <si>
    <t>Николаевск-на-Амуре</t>
  </si>
  <si>
    <t>Шувалов Иван</t>
  </si>
  <si>
    <t>Шувалов Роман</t>
  </si>
  <si>
    <t>14.08.2005</t>
  </si>
  <si>
    <t>Шугаев Иван</t>
  </si>
  <si>
    <t>27.09.1998</t>
  </si>
  <si>
    <t>Шугушев Залим</t>
  </si>
  <si>
    <t>Шуклин Александр</t>
  </si>
  <si>
    <t>Шулдык Иван</t>
  </si>
  <si>
    <t>Шулепин Андрей</t>
  </si>
  <si>
    <t>29.07.2001</t>
  </si>
  <si>
    <t>17.12.2002</t>
  </si>
  <si>
    <t>Шумилов Андрей</t>
  </si>
  <si>
    <t>Шунин Кирилл</t>
  </si>
  <si>
    <t>Шурмилев Артем</t>
  </si>
  <si>
    <t>Шуст Никита</t>
  </si>
  <si>
    <t>Шусталов Антон</t>
  </si>
  <si>
    <t>ШУТОВ Никон</t>
  </si>
  <si>
    <t>08.08.2007</t>
  </si>
  <si>
    <t>Гомель  Беларусь</t>
  </si>
  <si>
    <t>Шух Роман</t>
  </si>
  <si>
    <t>13.10.1998</t>
  </si>
  <si>
    <t>Щеголев Александр</t>
  </si>
  <si>
    <t>03.08.2001</t>
  </si>
  <si>
    <t>Щеголев Дмитрий</t>
  </si>
  <si>
    <t>Щеголь Кирилл</t>
  </si>
  <si>
    <t>Щедров Артем</t>
  </si>
  <si>
    <t>Щека Николай</t>
  </si>
  <si>
    <t>09.09.1981</t>
  </si>
  <si>
    <t>Щемеров Алексей</t>
  </si>
  <si>
    <t>16.09.1987</t>
  </si>
  <si>
    <t>Явас  Морд.</t>
  </si>
  <si>
    <t>Щепетнев Дмитрий</t>
  </si>
  <si>
    <t>Щербак Антон</t>
  </si>
  <si>
    <t>04.11.1993</t>
  </si>
  <si>
    <t>Щербаков Андрей</t>
  </si>
  <si>
    <t>27.09.1983</t>
  </si>
  <si>
    <t>Щербаков Владислав</t>
  </si>
  <si>
    <t>01.05.2007</t>
  </si>
  <si>
    <t>Щербаков Всеволод</t>
  </si>
  <si>
    <t>09.08.2007</t>
  </si>
  <si>
    <t>Щербаков Сергей</t>
  </si>
  <si>
    <t>Щербань Николай</t>
  </si>
  <si>
    <t>27.04.1998</t>
  </si>
  <si>
    <t>Щетинкин Кирилл</t>
  </si>
  <si>
    <t>29.04.1993</t>
  </si>
  <si>
    <t>Щиголь Павел</t>
  </si>
  <si>
    <t>27.02.2000</t>
  </si>
  <si>
    <t>Щиканов Дмитрий</t>
  </si>
  <si>
    <t>Щинов Максим</t>
  </si>
  <si>
    <t>14.09.1995</t>
  </si>
  <si>
    <t>Щипалов Роман</t>
  </si>
  <si>
    <t>07.03.2002</t>
  </si>
  <si>
    <t>Эглит Илья</t>
  </si>
  <si>
    <t>15.07.1999</t>
  </si>
  <si>
    <t>Элинсон Александр</t>
  </si>
  <si>
    <t>18.06.1958</t>
  </si>
  <si>
    <t>Эренценов Алдар</t>
  </si>
  <si>
    <t>Эренценов Аюш</t>
  </si>
  <si>
    <t>Эсмедляев Федор</t>
  </si>
  <si>
    <t>Югай Михаил</t>
  </si>
  <si>
    <t>Юдаков Антон</t>
  </si>
  <si>
    <t>27.05.1996</t>
  </si>
  <si>
    <t>Юденков Павел</t>
  </si>
  <si>
    <t>22.02.2005</t>
  </si>
  <si>
    <t>Юдин Алексей</t>
  </si>
  <si>
    <t>Юдин Артем</t>
  </si>
  <si>
    <t>17.08.2005</t>
  </si>
  <si>
    <t>Южанинов Григорий</t>
  </si>
  <si>
    <t>Юзмухаметов Данис</t>
  </si>
  <si>
    <t>17.02.2002</t>
  </si>
  <si>
    <t>Юлдашев Худайберди</t>
  </si>
  <si>
    <t>01.05.1992</t>
  </si>
  <si>
    <t>Юманов Михаил</t>
  </si>
  <si>
    <t>16.01.2004</t>
  </si>
  <si>
    <t>Юн Андрей</t>
  </si>
  <si>
    <t>31.07.1982</t>
  </si>
  <si>
    <t>Юнда Александр</t>
  </si>
  <si>
    <t>Юнусов Михаил</t>
  </si>
  <si>
    <t>Юпатов Александр</t>
  </si>
  <si>
    <t>15.08.2005</t>
  </si>
  <si>
    <t>08.02.1993</t>
  </si>
  <si>
    <t>Юртеев Сергей</t>
  </si>
  <si>
    <t>Юрьев Владислав</t>
  </si>
  <si>
    <t>Юсупов Динар</t>
  </si>
  <si>
    <t>02.01.2002</t>
  </si>
  <si>
    <t>Юсупов Тимур</t>
  </si>
  <si>
    <t>02.02.2008</t>
  </si>
  <si>
    <t>Юхневич Павел</t>
  </si>
  <si>
    <t>Яблоков Никита</t>
  </si>
  <si>
    <t>Ягудин Азат</t>
  </si>
  <si>
    <t>Якимцев Дмитрий</t>
  </si>
  <si>
    <t>Яковенко Константин</t>
  </si>
  <si>
    <t>03.11.2000</t>
  </si>
  <si>
    <t>Яковенко Михаил</t>
  </si>
  <si>
    <t>14.10.2001</t>
  </si>
  <si>
    <t>Яковлев Артем</t>
  </si>
  <si>
    <t>Яковлев Владислав</t>
  </si>
  <si>
    <t>Яковлев Максим</t>
  </si>
  <si>
    <t>18.12.2006</t>
  </si>
  <si>
    <t>Якубенко Кирилл</t>
  </si>
  <si>
    <t>Якубович Артем</t>
  </si>
  <si>
    <t>Якубович Егор</t>
  </si>
  <si>
    <t>Якупов Вадим</t>
  </si>
  <si>
    <t>Нефтекамск  Башк.</t>
  </si>
  <si>
    <t>Якутин Данил</t>
  </si>
  <si>
    <t>15.10.2002</t>
  </si>
  <si>
    <t>Яловенко Василий</t>
  </si>
  <si>
    <t>04.02.2000</t>
  </si>
  <si>
    <t>Яльцов Никита</t>
  </si>
  <si>
    <t>Ямнов Артем</t>
  </si>
  <si>
    <t>Ямпилец Никита</t>
  </si>
  <si>
    <t>Ямпилец Роман</t>
  </si>
  <si>
    <t>19.08.2000</t>
  </si>
  <si>
    <t>Ямпольский Алексей</t>
  </si>
  <si>
    <t>Яненко Дмитрий</t>
  </si>
  <si>
    <t>03.11.2006</t>
  </si>
  <si>
    <t>25.02.2002</t>
  </si>
  <si>
    <t>Янковский Богдан</t>
  </si>
  <si>
    <t>Яновский Артем</t>
  </si>
  <si>
    <t>Янчуркин Иван</t>
  </si>
  <si>
    <t>17.02.1988</t>
  </si>
  <si>
    <t>Яньшин Данил</t>
  </si>
  <si>
    <t>Ярлыков Кирилл</t>
  </si>
  <si>
    <t>07.04.2000</t>
  </si>
  <si>
    <t>Ярмушев Денис</t>
  </si>
  <si>
    <t>Яров Роман</t>
  </si>
  <si>
    <t>Яровой Андрей</t>
  </si>
  <si>
    <t>21.10.1998</t>
  </si>
  <si>
    <t>13.03.1999</t>
  </si>
  <si>
    <t>Ярошенко Сергей</t>
  </si>
  <si>
    <t>07.05.1964</t>
  </si>
  <si>
    <t>Ярушин Никита</t>
  </si>
  <si>
    <t>Ястребов Артем</t>
  </si>
  <si>
    <t>Ястребов Сергей</t>
  </si>
  <si>
    <t>11.04.1988</t>
  </si>
  <si>
    <t>Яхонтов Антон</t>
  </si>
  <si>
    <t>22.03.2005</t>
  </si>
  <si>
    <t>Яцына Андрей</t>
  </si>
  <si>
    <t>Ячный Егор</t>
  </si>
  <si>
    <t>Яшагин Виктор</t>
  </si>
  <si>
    <t>29.01.2001</t>
  </si>
  <si>
    <t>Яшин Сергей</t>
  </si>
  <si>
    <t>13.07.1991</t>
  </si>
  <si>
    <t>Яшин Юрий</t>
  </si>
  <si>
    <t>26.08.2000</t>
  </si>
  <si>
    <t>Ященин Семен</t>
  </si>
  <si>
    <t>Ященко Илья</t>
  </si>
  <si>
    <t>IV Мемориал Заслуженного тренера России В.А.Воробьева</t>
  </si>
  <si>
    <t>среди юношей и девушек 2002 г.р. и моложе</t>
  </si>
  <si>
    <t>26-29 мая 2016 г.</t>
  </si>
  <si>
    <t>г. Москва</t>
  </si>
  <si>
    <t>Главный судья, судья МК</t>
  </si>
  <si>
    <t>Главный секретарь, судья МК</t>
  </si>
  <si>
    <t>2группа</t>
  </si>
  <si>
    <t>Количество участников</t>
  </si>
  <si>
    <t>Количество посеянных</t>
  </si>
  <si>
    <t>Участники, область, тренер</t>
  </si>
  <si>
    <t>1-8 место</t>
  </si>
  <si>
    <t>9-16 место</t>
  </si>
  <si>
    <t>17-24 место</t>
  </si>
  <si>
    <t>25-32 место</t>
  </si>
  <si>
    <t>Абдулаев Даниял</t>
  </si>
  <si>
    <t>18.08.2003</t>
  </si>
  <si>
    <t>Абдулганиев Адель</t>
  </si>
  <si>
    <t>05.01.2000</t>
  </si>
  <si>
    <t>24.04.2000</t>
  </si>
  <si>
    <t>Абушов Мурад</t>
  </si>
  <si>
    <t>11.04.2001</t>
  </si>
  <si>
    <t>Авдоничев Никита</t>
  </si>
  <si>
    <t>27.05.2003</t>
  </si>
  <si>
    <t>Аверин Никита</t>
  </si>
  <si>
    <t>Агаджанов Георгий</t>
  </si>
  <si>
    <t>Агеев Денис</t>
  </si>
  <si>
    <t>Цементный  Св.обл.</t>
  </si>
  <si>
    <t>Агриков Владислав</t>
  </si>
  <si>
    <t>03.07.1996</t>
  </si>
  <si>
    <t>Адайкин Андрей</t>
  </si>
  <si>
    <t>05.12.2004</t>
  </si>
  <si>
    <t>Адайкин Илья</t>
  </si>
  <si>
    <t>АДЛЕЙБА Ренат</t>
  </si>
  <si>
    <t>05.01.1997</t>
  </si>
  <si>
    <t>Азизов Илья</t>
  </si>
  <si>
    <t>20.06.1998</t>
  </si>
  <si>
    <t>Акберов Тимур</t>
  </si>
  <si>
    <t>Акинин Никита</t>
  </si>
  <si>
    <t>Акинченко Дмитрий</t>
  </si>
  <si>
    <t>Аксенкин Георгий</t>
  </si>
  <si>
    <t>Алатырцев Константин</t>
  </si>
  <si>
    <t>25.04.1993</t>
  </si>
  <si>
    <t>Александров Евгений</t>
  </si>
  <si>
    <t>20.08.1982</t>
  </si>
  <si>
    <t>Алексеев Бронислав</t>
  </si>
  <si>
    <t>08.12.2004</t>
  </si>
  <si>
    <t>Алексеенко Игорь</t>
  </si>
  <si>
    <t>14.11.2000</t>
  </si>
  <si>
    <t>Тында   Амурск.о.</t>
  </si>
  <si>
    <t>Алешин Андрей</t>
  </si>
  <si>
    <t>17.05.2001</t>
  </si>
  <si>
    <t>Алиев Роман</t>
  </si>
  <si>
    <t>Алимбек Акжолтой</t>
  </si>
  <si>
    <t>04.10.1995</t>
  </si>
  <si>
    <t>Алисов Артем</t>
  </si>
  <si>
    <t>Альмухаметов Альберт</t>
  </si>
  <si>
    <t>27.03.2004</t>
  </si>
  <si>
    <t>03.05.2000</t>
  </si>
  <si>
    <t>Анастасов Демис</t>
  </si>
  <si>
    <t>21.03.2002</t>
  </si>
  <si>
    <t>Андреев Анатолий</t>
  </si>
  <si>
    <t>01.11.1998</t>
  </si>
  <si>
    <t>Андреев Сергей</t>
  </si>
  <si>
    <t>26.01.2004</t>
  </si>
  <si>
    <t>Андрианов Никита</t>
  </si>
  <si>
    <t>31.07.2004</t>
  </si>
  <si>
    <t>Андрияненко Григорий</t>
  </si>
  <si>
    <t>Андриянов Игорь</t>
  </si>
  <si>
    <t>Андриянов Рустам</t>
  </si>
  <si>
    <t>Андросов Вячеслав</t>
  </si>
  <si>
    <t>Андросов Даниил</t>
  </si>
  <si>
    <t>Андрюшин Виталий</t>
  </si>
  <si>
    <t>22.04.1997</t>
  </si>
  <si>
    <t>02.09.2000</t>
  </si>
  <si>
    <t>27.09.1999</t>
  </si>
  <si>
    <t>Антипенко Матвей</t>
  </si>
  <si>
    <t>03.03.2004</t>
  </si>
  <si>
    <t>25.11.1996</t>
  </si>
  <si>
    <t>Антифеев Виталий</t>
  </si>
  <si>
    <t>28.10.1992</t>
  </si>
  <si>
    <t>Антонов Алексей</t>
  </si>
  <si>
    <t>Антонов Дмитрий</t>
  </si>
  <si>
    <t>Антонян Ваге</t>
  </si>
  <si>
    <t>Анфиногенов Евгений</t>
  </si>
  <si>
    <t>20.07.2002</t>
  </si>
  <si>
    <t>Октябрьский Перм.кр.</t>
  </si>
  <si>
    <t>Аракчеев Юрий</t>
  </si>
  <si>
    <t>22.05.1953</t>
  </si>
  <si>
    <t>Бологое</t>
  </si>
  <si>
    <t>Арахамед Давид</t>
  </si>
  <si>
    <t>Аргентов Матвей</t>
  </si>
  <si>
    <t>16.07.1984</t>
  </si>
  <si>
    <t>Арихин Александр</t>
  </si>
  <si>
    <t>Арсланов Ильнур</t>
  </si>
  <si>
    <t>10.09.1995</t>
  </si>
  <si>
    <t>Артамон Артем</t>
  </si>
  <si>
    <t>Артамонов Николай</t>
  </si>
  <si>
    <t>Артамонов Сергей</t>
  </si>
  <si>
    <t>20.08.2001</t>
  </si>
  <si>
    <t>Артемов Илья</t>
  </si>
  <si>
    <t>01.08.2003</t>
  </si>
  <si>
    <t>Нарьян-Мар</t>
  </si>
  <si>
    <t>Артемьев Иван</t>
  </si>
  <si>
    <t>08.02.2004</t>
  </si>
  <si>
    <t>21.11.2001</t>
  </si>
  <si>
    <t>Артюхин Никита</t>
  </si>
  <si>
    <t>11.09.2003</t>
  </si>
  <si>
    <t>Артюшкин Александр</t>
  </si>
  <si>
    <t>Арутюнян Арсен</t>
  </si>
  <si>
    <t>11.07.2002</t>
  </si>
  <si>
    <t>Горячий Ключ  Красн.кр.</t>
  </si>
  <si>
    <t>Архипкин Ярослав</t>
  </si>
  <si>
    <t>Архипов Владислав</t>
  </si>
  <si>
    <t>Аскараков Кирим</t>
  </si>
  <si>
    <t>Асланкери Нурдин</t>
  </si>
  <si>
    <t>Астафьев Илья</t>
  </si>
  <si>
    <t>02.12.1997</t>
  </si>
  <si>
    <t>Камышин  Волг.обл.</t>
  </si>
  <si>
    <t>Асташкин Михаил</t>
  </si>
  <si>
    <t>25.10.2000</t>
  </si>
  <si>
    <t>Афанасьев Аркадий</t>
  </si>
  <si>
    <t>08.06.1967</t>
  </si>
  <si>
    <t>Афанасьев Денис</t>
  </si>
  <si>
    <t>10.06.1996</t>
  </si>
  <si>
    <t>Ахмадуллин Руслан</t>
  </si>
  <si>
    <t>Ахмаров Никита</t>
  </si>
  <si>
    <t>Ахмедов Руслан</t>
  </si>
  <si>
    <t>Ахметов Евгений</t>
  </si>
  <si>
    <t>09.09.1994</t>
  </si>
  <si>
    <t>Ахметов Тимур</t>
  </si>
  <si>
    <t>Ашмянский Александр</t>
  </si>
  <si>
    <t>21.02.2004</t>
  </si>
  <si>
    <t>Бабий Матвей</t>
  </si>
  <si>
    <t>Бабурян Арарат</t>
  </si>
  <si>
    <t>Бабчик Дмитрий</t>
  </si>
  <si>
    <t>Бабышев Сергей</t>
  </si>
  <si>
    <t>21.11.2004</t>
  </si>
  <si>
    <t>Бабянин Сергей</t>
  </si>
  <si>
    <t>Багров Кирилл</t>
  </si>
  <si>
    <t>Бадалян Саргис</t>
  </si>
  <si>
    <t>27.12.1997</t>
  </si>
  <si>
    <t>Бадиков Егор</t>
  </si>
  <si>
    <t>Бадраков Залим</t>
  </si>
  <si>
    <t>Бадтиев Сослан</t>
  </si>
  <si>
    <t>22.06.2000</t>
  </si>
  <si>
    <t>Бадялкин Илья</t>
  </si>
  <si>
    <t>27.03.1998</t>
  </si>
  <si>
    <t>Баженов Александр</t>
  </si>
  <si>
    <t>Баздылев Никита</t>
  </si>
  <si>
    <t>28.12.2000</t>
  </si>
  <si>
    <t>Бакастов Иван</t>
  </si>
  <si>
    <t>15.06.2004</t>
  </si>
  <si>
    <t>Бакшинский Тимофей</t>
  </si>
  <si>
    <t>БАКЫТЖАН Тимур</t>
  </si>
  <si>
    <t>11.10.2004</t>
  </si>
  <si>
    <t>Балабаев Андрей</t>
  </si>
  <si>
    <t>Балабанов Алексей</t>
  </si>
  <si>
    <t>Балабанов Евгений</t>
  </si>
  <si>
    <t>Балабуркин Евгений</t>
  </si>
  <si>
    <t>05.05.1983</t>
  </si>
  <si>
    <t>01.01.1956</t>
  </si>
  <si>
    <t>Баландин Владислав</t>
  </si>
  <si>
    <t>25.11.2000</t>
  </si>
  <si>
    <t>Балеевскийх Степан</t>
  </si>
  <si>
    <t>Балтаев Айдар</t>
  </si>
  <si>
    <t>Барда  Перм.кр.</t>
  </si>
  <si>
    <t>БАЛЫКБАЙ Галым</t>
  </si>
  <si>
    <t>Балыков Алексей</t>
  </si>
  <si>
    <t>Бао Алдар</t>
  </si>
  <si>
    <t>Бараев Денис</t>
  </si>
  <si>
    <t>23.12.2002</t>
  </si>
  <si>
    <t>Баранов Антон</t>
  </si>
  <si>
    <t>21.09.1988</t>
  </si>
  <si>
    <t>Баранов Даниил</t>
  </si>
  <si>
    <t>11.11.2002</t>
  </si>
  <si>
    <t>Баранов Иван</t>
  </si>
  <si>
    <t>Барский Александр</t>
  </si>
  <si>
    <t>24.03.2003</t>
  </si>
  <si>
    <t>Барсков Даниил</t>
  </si>
  <si>
    <t>Барсуков Даниил</t>
  </si>
  <si>
    <t>Барсуков Илья</t>
  </si>
  <si>
    <t>Барыгин Иван</t>
  </si>
  <si>
    <t>Барышников Вадим</t>
  </si>
  <si>
    <t>22.10.1985</t>
  </si>
  <si>
    <t>Басистый Иван</t>
  </si>
  <si>
    <t>08.02.1995</t>
  </si>
  <si>
    <t>Басистый Илья</t>
  </si>
  <si>
    <t>Баскаков Андрей</t>
  </si>
  <si>
    <t>Басов Павел</t>
  </si>
  <si>
    <t>Батрак Александр</t>
  </si>
  <si>
    <t>06.12.2004</t>
  </si>
  <si>
    <t>Батурин Дмитрий</t>
  </si>
  <si>
    <t>19.05.1988</t>
  </si>
  <si>
    <t>Бауэр Всеволод</t>
  </si>
  <si>
    <t>21.11.2002</t>
  </si>
  <si>
    <t>Бахтинов Илья</t>
  </si>
  <si>
    <t>11.11.2001</t>
  </si>
  <si>
    <t>Бачуркин Виталий</t>
  </si>
  <si>
    <t>08.11.2003</t>
  </si>
  <si>
    <t>Бегичев Александр</t>
  </si>
  <si>
    <t>01.01.1975</t>
  </si>
  <si>
    <t>Безверхов Артем</t>
  </si>
  <si>
    <t>25.08.2001</t>
  </si>
  <si>
    <t>Беликов Алексей</t>
  </si>
  <si>
    <t>Белинский Даниил</t>
  </si>
  <si>
    <t>Белов Никита</t>
  </si>
  <si>
    <t>29.05.1999</t>
  </si>
  <si>
    <t>Белов Тимур</t>
  </si>
  <si>
    <t>10.02.1992</t>
  </si>
  <si>
    <t>Белозерцев Никита</t>
  </si>
  <si>
    <t>Белокур Александр</t>
  </si>
  <si>
    <t>Белоус Никита</t>
  </si>
  <si>
    <t>19.08.1997</t>
  </si>
  <si>
    <t>Белоусов Валентин</t>
  </si>
  <si>
    <t>29.07.2003</t>
  </si>
  <si>
    <t>Белый Владислав</t>
  </si>
  <si>
    <t>03.10.2003</t>
  </si>
  <si>
    <t>Белый Григорий</t>
  </si>
  <si>
    <t>16.09.1965</t>
  </si>
  <si>
    <t>Белых Константин</t>
  </si>
  <si>
    <t>08.07.1984</t>
  </si>
  <si>
    <t>Белых Михаил</t>
  </si>
  <si>
    <t>Беляев Константин</t>
  </si>
  <si>
    <t>Беляков Владислав</t>
  </si>
  <si>
    <t>Бердников Максим</t>
  </si>
  <si>
    <t>01.01.1991</t>
  </si>
  <si>
    <t>Бережнев Иван</t>
  </si>
  <si>
    <t>Бережнов Алексей</t>
  </si>
  <si>
    <t>Березин Никита</t>
  </si>
  <si>
    <t>20.12.2004</t>
  </si>
  <si>
    <t>Березин Сергей</t>
  </si>
  <si>
    <t>02.04.1989</t>
  </si>
  <si>
    <t>Бересневич Данил</t>
  </si>
  <si>
    <t>Берлин Яков</t>
  </si>
  <si>
    <t>20.01.1964</t>
  </si>
  <si>
    <t>Бикмуллин Даниял</t>
  </si>
  <si>
    <t>Биктимиров Наиль</t>
  </si>
  <si>
    <t>Билецкий Олег</t>
  </si>
  <si>
    <t>03.04.1977</t>
  </si>
  <si>
    <t>Билюга Станислав</t>
  </si>
  <si>
    <t>16.08.1992</t>
  </si>
  <si>
    <t>Биненда Валентин</t>
  </si>
  <si>
    <t>11.12.1980</t>
  </si>
  <si>
    <t>Бирюков Кирилл</t>
  </si>
  <si>
    <t>Биушкин Дмитрий</t>
  </si>
  <si>
    <t>01.05.1990</t>
  </si>
  <si>
    <t>Бобик Александр</t>
  </si>
  <si>
    <t>28.11.2003</t>
  </si>
  <si>
    <t>Бобков Дмитрий</t>
  </si>
  <si>
    <t>13.05.1986</t>
  </si>
  <si>
    <t>Бобылев Данил</t>
  </si>
  <si>
    <t>Богатов Дмитрий</t>
  </si>
  <si>
    <t>30.06.1979</t>
  </si>
  <si>
    <t>Богатов Лев</t>
  </si>
  <si>
    <t>Богач Семен</t>
  </si>
  <si>
    <t>10.08.2002</t>
  </si>
  <si>
    <t>Богачев Илья</t>
  </si>
  <si>
    <t>16.04.2003</t>
  </si>
  <si>
    <t>Богданов Владимир</t>
  </si>
  <si>
    <t>13.03.2004</t>
  </si>
  <si>
    <t>Богданов Егор</t>
  </si>
  <si>
    <t>Богомолов Александр</t>
  </si>
  <si>
    <t>17.05.1957</t>
  </si>
  <si>
    <t>12.08.2000</t>
  </si>
  <si>
    <t>Божко Виталий</t>
  </si>
  <si>
    <t>05.03.2002</t>
  </si>
  <si>
    <t>Бойкачев Александр</t>
  </si>
  <si>
    <t>Бойко Богдан</t>
  </si>
  <si>
    <t>Болгарин Георгий</t>
  </si>
  <si>
    <t>05.12.2003</t>
  </si>
  <si>
    <t>Болгов Данила</t>
  </si>
  <si>
    <t>22.01.2001</t>
  </si>
  <si>
    <t>Лежнево  Иван.обл.</t>
  </si>
  <si>
    <t>Болдов Никита</t>
  </si>
  <si>
    <t>14.05.1997</t>
  </si>
  <si>
    <t>Бологов Александр</t>
  </si>
  <si>
    <t>Бондарев Даниил</t>
  </si>
  <si>
    <t>21.04.2004</t>
  </si>
  <si>
    <t>Бондарев Павел</t>
  </si>
  <si>
    <t>18.09.2003</t>
  </si>
  <si>
    <t>Бондарь Владимир</t>
  </si>
  <si>
    <t>05.10.1983</t>
  </si>
  <si>
    <t>Боргутенко Николай</t>
  </si>
  <si>
    <t>29.07.1998</t>
  </si>
  <si>
    <t>Бордашов Федор</t>
  </si>
  <si>
    <t>06.03.2000</t>
  </si>
  <si>
    <t>Обнинск  Калуж.обл.</t>
  </si>
  <si>
    <t>Борзенков Вадим</t>
  </si>
  <si>
    <t>Борисенко Егор</t>
  </si>
  <si>
    <t>13.04.2004</t>
  </si>
  <si>
    <t>Борискин Александр</t>
  </si>
  <si>
    <t>26.05.2000</t>
  </si>
  <si>
    <t>Борисов Александр</t>
  </si>
  <si>
    <t>20.08.2000</t>
  </si>
  <si>
    <t>30.09.2004</t>
  </si>
  <si>
    <t>Борисов Олег</t>
  </si>
  <si>
    <t>Борисычев Валерий</t>
  </si>
  <si>
    <t>Боров Амир</t>
  </si>
  <si>
    <t>24.06.1999</t>
  </si>
  <si>
    <t>Боровков Иван</t>
  </si>
  <si>
    <t>Бороухин Кирилл</t>
  </si>
  <si>
    <t>29.03.2003</t>
  </si>
  <si>
    <t>Бостанжиев Александр</t>
  </si>
  <si>
    <t>Бохонец Павел</t>
  </si>
  <si>
    <t>12.11.1977</t>
  </si>
  <si>
    <t>Яя  Кемер.обл.</t>
  </si>
  <si>
    <t>Бочарников Дмитрий</t>
  </si>
  <si>
    <t>Бочарников Никита</t>
  </si>
  <si>
    <t>16.04.1995</t>
  </si>
  <si>
    <t>Бояркин Виталий</t>
  </si>
  <si>
    <t>Брагин Даниил</t>
  </si>
  <si>
    <t>10.12.2001</t>
  </si>
  <si>
    <t>Брайнин Евгений</t>
  </si>
  <si>
    <t>02.08.1968</t>
  </si>
  <si>
    <t>Брехт Даниил</t>
  </si>
  <si>
    <t>Бриц Артемий</t>
  </si>
  <si>
    <t>Брунов Денис</t>
  </si>
  <si>
    <t>Брыксин Богдан</t>
  </si>
  <si>
    <t>Брыксин Тарас</t>
  </si>
  <si>
    <t>20.12.1996</t>
  </si>
  <si>
    <t>Буданов Александр</t>
  </si>
  <si>
    <t>Бударков Александр</t>
  </si>
  <si>
    <t>04.03.2001</t>
  </si>
  <si>
    <t>Букин Владислав</t>
  </si>
  <si>
    <t>03.07.2004</t>
  </si>
  <si>
    <t>Булгадарян Павел</t>
  </si>
  <si>
    <t>16.05.2002</t>
  </si>
  <si>
    <t>Булгаков Артур</t>
  </si>
  <si>
    <t>23.02.1997</t>
  </si>
  <si>
    <t>Буленков Александр</t>
  </si>
  <si>
    <t>03.04.2002</t>
  </si>
  <si>
    <t>Булхак Антон</t>
  </si>
  <si>
    <t>Бурашов Алексей</t>
  </si>
  <si>
    <t>22.06.1998</t>
  </si>
  <si>
    <t>Бурдуков Александр</t>
  </si>
  <si>
    <t>Бурков Андрей</t>
  </si>
  <si>
    <t>07.11.2004</t>
  </si>
  <si>
    <t>Буртиев Асет</t>
  </si>
  <si>
    <t>Бурцев Данил</t>
  </si>
  <si>
    <t>16.09.1999</t>
  </si>
  <si>
    <t>Бутенко Олег</t>
  </si>
  <si>
    <t>30.12.1971</t>
  </si>
  <si>
    <t>23.06.2001</t>
  </si>
  <si>
    <t>Бучельников Егор</t>
  </si>
  <si>
    <t>20.02.2004</t>
  </si>
  <si>
    <t>Бушмелев Артем</t>
  </si>
  <si>
    <t>28.02.1980</t>
  </si>
  <si>
    <t>Буюклян Габриэль</t>
  </si>
  <si>
    <t>Буянкин Дмитрий</t>
  </si>
  <si>
    <t>25.06.1971</t>
  </si>
  <si>
    <t>06.02.1981</t>
  </si>
  <si>
    <t>Вагайцев Алексей</t>
  </si>
  <si>
    <t>Бакчар  Том.обл.</t>
  </si>
  <si>
    <t>Ваганов Даниил</t>
  </si>
  <si>
    <t>Вагин Евгений</t>
  </si>
  <si>
    <t>Вагнер Егор</t>
  </si>
  <si>
    <t>Валевко Игорь</t>
  </si>
  <si>
    <t>09.12.2003</t>
  </si>
  <si>
    <t>Валеев Карим</t>
  </si>
  <si>
    <t>Валиев Нияз</t>
  </si>
  <si>
    <t>06.01.2004</t>
  </si>
  <si>
    <t>Валовой Андрей</t>
  </si>
  <si>
    <t>Валуев Артем</t>
  </si>
  <si>
    <t>Ванеев Иван</t>
  </si>
  <si>
    <t>29.05.2000</t>
  </si>
  <si>
    <t>Вапсинов Курман</t>
  </si>
  <si>
    <t>04.03.1968</t>
  </si>
  <si>
    <t>Вардугин Никита</t>
  </si>
  <si>
    <t>01.05.2003</t>
  </si>
  <si>
    <t>Асбест  Св.о.</t>
  </si>
  <si>
    <t>Вартанов Дмитрий</t>
  </si>
  <si>
    <t>Василевский Кирилл</t>
  </si>
  <si>
    <t>Василенко Данил</t>
  </si>
  <si>
    <t>31.05.2004</t>
  </si>
  <si>
    <t>Васильев Даниил</t>
  </si>
  <si>
    <t>Васильев Данил</t>
  </si>
  <si>
    <t>09.07.2002</t>
  </si>
  <si>
    <t>Васильев Никита</t>
  </si>
  <si>
    <t>06.06.2000</t>
  </si>
  <si>
    <t>Васюткин Илья</t>
  </si>
  <si>
    <t>06.07.2003</t>
  </si>
  <si>
    <t>Ващенко Дмитрий</t>
  </si>
  <si>
    <t>Ващенко Степан</t>
  </si>
  <si>
    <t>Ведов Юрий</t>
  </si>
  <si>
    <t>02.09.1962</t>
  </si>
  <si>
    <t>Величкин Дмитрий</t>
  </si>
  <si>
    <t>23.07.1981</t>
  </si>
  <si>
    <t>Верейкин Владислав</t>
  </si>
  <si>
    <t>Вересов Михаил</t>
  </si>
  <si>
    <t>21.01.2003</t>
  </si>
  <si>
    <t>Верещагин Владислав</t>
  </si>
  <si>
    <t>04.11.1998</t>
  </si>
  <si>
    <t>Веселов Фока</t>
  </si>
  <si>
    <t>Ветлужских Иван</t>
  </si>
  <si>
    <t>24.04.1997</t>
  </si>
  <si>
    <t>Ноябрьск</t>
  </si>
  <si>
    <t>Викулов Александр</t>
  </si>
  <si>
    <t>09.03.2003</t>
  </si>
  <si>
    <t>Вильчинский Антон</t>
  </si>
  <si>
    <t>25.07.1997</t>
  </si>
  <si>
    <t>Виницкий Никита</t>
  </si>
  <si>
    <t>26.08.1999</t>
  </si>
  <si>
    <t>12.12.1981</t>
  </si>
  <si>
    <t>Виноградов Валентин</t>
  </si>
  <si>
    <t>17.12.2004</t>
  </si>
  <si>
    <t>Ногинск</t>
  </si>
  <si>
    <t>Виноградов Василий</t>
  </si>
  <si>
    <t>25.07.2004</t>
  </si>
  <si>
    <t>Виноградов Павел</t>
  </si>
  <si>
    <t>01.09.1994</t>
  </si>
  <si>
    <t>Вихляев Никита</t>
  </si>
  <si>
    <t>09.07.1989</t>
  </si>
  <si>
    <t>Вишневский Глеб</t>
  </si>
  <si>
    <t>Владыкин Никита</t>
  </si>
  <si>
    <t>28.08.2001</t>
  </si>
  <si>
    <t>Власий Андрей</t>
  </si>
  <si>
    <t>Власов Глеб</t>
  </si>
  <si>
    <t>13.08.2003</t>
  </si>
  <si>
    <t>Водяницкий Александр</t>
  </si>
  <si>
    <t>Водянов Егор</t>
  </si>
  <si>
    <t>Верхний Ломов  Пенз.о.</t>
  </si>
  <si>
    <t>Воеводин Павел</t>
  </si>
  <si>
    <t>Волков Даниил</t>
  </si>
  <si>
    <t>04.11.2000</t>
  </si>
  <si>
    <t>10.04.2000</t>
  </si>
  <si>
    <t>Волков Максим</t>
  </si>
  <si>
    <t>21.08.2001</t>
  </si>
  <si>
    <t>15.05.2004</t>
  </si>
  <si>
    <t>Волков Никита</t>
  </si>
  <si>
    <t>Волынец Илья</t>
  </si>
  <si>
    <t>Воробьев Даниил</t>
  </si>
  <si>
    <t>Ворожцов Федор</t>
  </si>
  <si>
    <t>Воронин Егор</t>
  </si>
  <si>
    <t>Воронков Геогрий</t>
  </si>
  <si>
    <t>Воронов Анатолий</t>
  </si>
  <si>
    <t>07.09.2004</t>
  </si>
  <si>
    <t>Воронцов Артемий</t>
  </si>
  <si>
    <t>Востриков Дмитрий</t>
  </si>
  <si>
    <t>09.04.1989</t>
  </si>
  <si>
    <t>19.05.1999</t>
  </si>
  <si>
    <t>Вохмяков Андрей</t>
  </si>
  <si>
    <t>13.03.1963</t>
  </si>
  <si>
    <t>Высотский Семен</t>
  </si>
  <si>
    <t>Вязков Владимир</t>
  </si>
  <si>
    <t>Вялых Егор</t>
  </si>
  <si>
    <t>Вяткин Алексей</t>
  </si>
  <si>
    <t>15.07.1984</t>
  </si>
  <si>
    <t>Гаджиев Руслан</t>
  </si>
  <si>
    <t>Гадиятуллин Булат</t>
  </si>
  <si>
    <t>Гадоев Абубакри</t>
  </si>
  <si>
    <t>14.03.2000</t>
  </si>
  <si>
    <t>Газетдинов Игорь</t>
  </si>
  <si>
    <t>04.04.1997</t>
  </si>
  <si>
    <t>ГАЙНЕДЕНОВ Ерасыл</t>
  </si>
  <si>
    <t>01.08.2004</t>
  </si>
  <si>
    <t>Гайфуллин Ильяс</t>
  </si>
  <si>
    <t>Галаев Данил</t>
  </si>
  <si>
    <t>Галактионов Егор</t>
  </si>
  <si>
    <t>07.03.1991</t>
  </si>
  <si>
    <t>Галеев Рустам</t>
  </si>
  <si>
    <t>Галиакбаров Игорь</t>
  </si>
  <si>
    <t>14.09.2002</t>
  </si>
  <si>
    <t>Галимов Артур</t>
  </si>
  <si>
    <t>29.12.1994</t>
  </si>
  <si>
    <t>17.08.2001</t>
  </si>
  <si>
    <t>Галузин Александр</t>
  </si>
  <si>
    <t>Ачинск  Краснояр.кр.</t>
  </si>
  <si>
    <t>Гапеев Владислав</t>
  </si>
  <si>
    <t>Гапеев Дмитрий</t>
  </si>
  <si>
    <t>25.10.2003</t>
  </si>
  <si>
    <t>Гареев Данил</t>
  </si>
  <si>
    <t>28.07.2004</t>
  </si>
  <si>
    <t>Гарифов Руслан</t>
  </si>
  <si>
    <t>03.03.1991</t>
  </si>
  <si>
    <t>Гарифуллин Рамазан</t>
  </si>
  <si>
    <t>06.12.1999</t>
  </si>
  <si>
    <t>Гаркавый Егор</t>
  </si>
  <si>
    <t>Гарькавенко Андрей</t>
  </si>
  <si>
    <t>28.05.1972</t>
  </si>
  <si>
    <t>Гарькуша Даниил</t>
  </si>
  <si>
    <t>Гаспарьян Георгий</t>
  </si>
  <si>
    <t>Гаспарян Карен</t>
  </si>
  <si>
    <t>21.07.1993</t>
  </si>
  <si>
    <t>Гафаров Антон</t>
  </si>
  <si>
    <t>Гафиатуллин Искандер</t>
  </si>
  <si>
    <t>Геворкян Александр</t>
  </si>
  <si>
    <t>25.10.1984</t>
  </si>
  <si>
    <t>Гедуев Тамерлан</t>
  </si>
  <si>
    <t>11.09.2004</t>
  </si>
  <si>
    <t>Гельвиг Андрей</t>
  </si>
  <si>
    <t>ГЕРАСИМЕНКО Кирилл</t>
  </si>
  <si>
    <t>18.12.1996</t>
  </si>
  <si>
    <t>Герасимов Андрей</t>
  </si>
  <si>
    <t>06.01.1998</t>
  </si>
  <si>
    <t>Герасимов Даниил</t>
  </si>
  <si>
    <t>Герасимов Евгений</t>
  </si>
  <si>
    <t>28.11.1999</t>
  </si>
  <si>
    <t>Герасимов Сергей</t>
  </si>
  <si>
    <t>23.03.1957</t>
  </si>
  <si>
    <t>Удомля  Тв.о.</t>
  </si>
  <si>
    <t>Герштейн Павел</t>
  </si>
  <si>
    <t>Гивчак Владимир</t>
  </si>
  <si>
    <t>26.01.2001</t>
  </si>
  <si>
    <t>Гильманов Роберт</t>
  </si>
  <si>
    <t>Гиматов Радик</t>
  </si>
  <si>
    <t>06.02.1972</t>
  </si>
  <si>
    <t>Гладин Илья</t>
  </si>
  <si>
    <t>Гладкой Юрий</t>
  </si>
  <si>
    <t>04.04.1973</t>
  </si>
  <si>
    <t>Глазов Владимир</t>
  </si>
  <si>
    <t>29.07.1980</t>
  </si>
  <si>
    <t>Глебов Глеб</t>
  </si>
  <si>
    <t>04.04.1991</t>
  </si>
  <si>
    <t>Глебов Никита</t>
  </si>
  <si>
    <t>Глебов Роман</t>
  </si>
  <si>
    <t>Глизнецов Тимофей</t>
  </si>
  <si>
    <t>Глумов Сергей</t>
  </si>
  <si>
    <t>26.09.1964</t>
  </si>
  <si>
    <t>Глушков Дмитрий</t>
  </si>
  <si>
    <t>Глущенко Григорий</t>
  </si>
  <si>
    <t>Глют Артем</t>
  </si>
  <si>
    <t>05.06.2004</t>
  </si>
  <si>
    <t>Гмызин Дмитрий</t>
  </si>
  <si>
    <t>Гнатюк Денис</t>
  </si>
  <si>
    <t>Голигузов Василий</t>
  </si>
  <si>
    <t>29.04.1996</t>
  </si>
  <si>
    <t>Головачев Эдуард</t>
  </si>
  <si>
    <t>20.02.1991</t>
  </si>
  <si>
    <t>Головин Александр</t>
  </si>
  <si>
    <t>30.06.2004</t>
  </si>
  <si>
    <t>Головинский Николай</t>
  </si>
  <si>
    <t>24.09.2002</t>
  </si>
  <si>
    <t>Головкин Илья</t>
  </si>
  <si>
    <t>Голуб Владислав</t>
  </si>
  <si>
    <t>21.10.2001</t>
  </si>
  <si>
    <t>Гольтяпин Николай</t>
  </si>
  <si>
    <t>11.05.1993</t>
  </si>
  <si>
    <t>Гончаров Марк</t>
  </si>
  <si>
    <t>Горбач Дмитрий</t>
  </si>
  <si>
    <t>18.02.2000</t>
  </si>
  <si>
    <t>Горбач Станислав</t>
  </si>
  <si>
    <t>Горбачев Владислав</t>
  </si>
  <si>
    <t>16.12.2000</t>
  </si>
  <si>
    <t>Горбунов Виталий</t>
  </si>
  <si>
    <t>Горбунов Максим</t>
  </si>
  <si>
    <t>18.08.1997</t>
  </si>
  <si>
    <t>Горбунов Николай</t>
  </si>
  <si>
    <t>Гореликов Виктор</t>
  </si>
  <si>
    <t>08.10.1999</t>
  </si>
  <si>
    <t>Горемыкин Елисей</t>
  </si>
  <si>
    <t>Горовой Илья</t>
  </si>
  <si>
    <t>24.04.2004</t>
  </si>
  <si>
    <t>Городов Михаил</t>
  </si>
  <si>
    <t>Горохов Константин</t>
  </si>
  <si>
    <t>14.12.1994</t>
  </si>
  <si>
    <t>20.09.2000</t>
  </si>
  <si>
    <t>Горшков Владимир</t>
  </si>
  <si>
    <t>22.01.1998</t>
  </si>
  <si>
    <t>Горюнов Алексей</t>
  </si>
  <si>
    <t>24.06.2002</t>
  </si>
  <si>
    <t>Горячев Алексей</t>
  </si>
  <si>
    <t>Гошко Данил</t>
  </si>
  <si>
    <t>Градов Олег</t>
  </si>
  <si>
    <t>06.11.1954</t>
  </si>
  <si>
    <t>Вышний Волочек</t>
  </si>
  <si>
    <t>Гребенник Егор</t>
  </si>
  <si>
    <t>Грейдинг Павел</t>
  </si>
  <si>
    <t>Грибов Максим</t>
  </si>
  <si>
    <t>05.07.2002</t>
  </si>
  <si>
    <t>Грибченков Иван</t>
  </si>
  <si>
    <t>07.04.2004</t>
  </si>
  <si>
    <t>Григорьев Алексей</t>
  </si>
  <si>
    <t>03.07.1991</t>
  </si>
  <si>
    <t>Григорьев Виталий</t>
  </si>
  <si>
    <t>03.01.1989</t>
  </si>
  <si>
    <t>Григорьев Владислав</t>
  </si>
  <si>
    <t>16.04.2000</t>
  </si>
  <si>
    <t>Григорьев Иван</t>
  </si>
  <si>
    <t>25.08.1998</t>
  </si>
  <si>
    <t>Григорьев Федор</t>
  </si>
  <si>
    <t>20.10.1998</t>
  </si>
  <si>
    <t>Григорян Григор</t>
  </si>
  <si>
    <t>03.01.1999</t>
  </si>
  <si>
    <t>29.06.2001</t>
  </si>
  <si>
    <t>Гринько Иван</t>
  </si>
  <si>
    <t>Гриценко Данил</t>
  </si>
  <si>
    <t>15.11.2004</t>
  </si>
  <si>
    <t>Громов Дмитрий</t>
  </si>
  <si>
    <t>04.12.2004</t>
  </si>
  <si>
    <t>Губанов Дмитрий</t>
  </si>
  <si>
    <t>13.07.1996</t>
  </si>
  <si>
    <t>Губанов Максим</t>
  </si>
  <si>
    <t>29.08.1997</t>
  </si>
  <si>
    <t>08.03.2002</t>
  </si>
  <si>
    <t>Губин Артем</t>
  </si>
  <si>
    <t>Гудымов Даниил</t>
  </si>
  <si>
    <t>Гузиев Ахмат</t>
  </si>
  <si>
    <t>Гуменный Виталий</t>
  </si>
  <si>
    <t>01.01.1980</t>
  </si>
  <si>
    <t>Гунько Владимир</t>
  </si>
  <si>
    <t>05.05.1993</t>
  </si>
  <si>
    <t>Гуринович Егор</t>
  </si>
  <si>
    <t>04.04.2003</t>
  </si>
  <si>
    <t>Гусев Владимир</t>
  </si>
  <si>
    <t>20.03.1973</t>
  </si>
  <si>
    <t>Гусев Григорий</t>
  </si>
  <si>
    <t>Гусев Евгений</t>
  </si>
  <si>
    <t>25.05.1998</t>
  </si>
  <si>
    <t>Гусев Егор</t>
  </si>
  <si>
    <t>Гуторов Артем</t>
  </si>
  <si>
    <t>Гущин Александр</t>
  </si>
  <si>
    <t>08.08.1999</t>
  </si>
  <si>
    <t>Дабаев Роман</t>
  </si>
  <si>
    <t>10.06.1966</t>
  </si>
  <si>
    <t>Давиденко Владислав</t>
  </si>
  <si>
    <t>03.09.1999</t>
  </si>
  <si>
    <t>Давидюк Владимир</t>
  </si>
  <si>
    <t>11.12.2004</t>
  </si>
  <si>
    <t>Данилов Антон</t>
  </si>
  <si>
    <t>09.02.1994</t>
  </si>
  <si>
    <t>Данилов Даниил</t>
  </si>
  <si>
    <t>13.10.1994</t>
  </si>
  <si>
    <t>Данилов Илья</t>
  </si>
  <si>
    <t>01.10.2002</t>
  </si>
  <si>
    <t>Данилович Игорь</t>
  </si>
  <si>
    <t>20.01.1993</t>
  </si>
  <si>
    <t>Данн Виктор</t>
  </si>
  <si>
    <t>08.12.1996</t>
  </si>
  <si>
    <t>Данов Юрий</t>
  </si>
  <si>
    <t>09.07.2000</t>
  </si>
  <si>
    <t>Дашиев Тимур</t>
  </si>
  <si>
    <t>Дворецкий Алексей</t>
  </si>
  <si>
    <t>30.03.1999</t>
  </si>
  <si>
    <t>Девликамов Ринат</t>
  </si>
  <si>
    <t>30.05.1999</t>
  </si>
  <si>
    <t>Девятаев Егор</t>
  </si>
  <si>
    <t>Дедин Дмитрий</t>
  </si>
  <si>
    <t>14.02.1996</t>
  </si>
  <si>
    <t>Дектярев Ярослав</t>
  </si>
  <si>
    <t>17.07.2000</t>
  </si>
  <si>
    <t>Демин Александр</t>
  </si>
  <si>
    <t>29.11.2001</t>
  </si>
  <si>
    <t>Демитриченко Максим</t>
  </si>
  <si>
    <t>Демьянцев Данила</t>
  </si>
  <si>
    <t>10.02.2003</t>
  </si>
  <si>
    <t>Денисов Никита</t>
  </si>
  <si>
    <t>Деншин Константин</t>
  </si>
  <si>
    <t>Деньщиков Михаил</t>
  </si>
  <si>
    <t>Дергунов Алексей</t>
  </si>
  <si>
    <t>Дергунов Андрей</t>
  </si>
  <si>
    <t>22.04.1992</t>
  </si>
  <si>
    <t>Джамбинов Богдан</t>
  </si>
  <si>
    <t>26.10.2004</t>
  </si>
  <si>
    <t>Дзюба Артем</t>
  </si>
  <si>
    <t>14.02.2004</t>
  </si>
  <si>
    <t>Диесперов Константин</t>
  </si>
  <si>
    <t>Димитриадис Петрос</t>
  </si>
  <si>
    <t>24.04.2002</t>
  </si>
  <si>
    <t>22.07.2000</t>
  </si>
  <si>
    <t>Дмитриев Дмитрий</t>
  </si>
  <si>
    <t>Добринов Владислав</t>
  </si>
  <si>
    <t>Добров Владислав</t>
  </si>
  <si>
    <t>03.11.2001</t>
  </si>
  <si>
    <t>Добровольский Алексей</t>
  </si>
  <si>
    <t>13.02.2004</t>
  </si>
  <si>
    <t>Долгих Владимир</t>
  </si>
  <si>
    <t>27.08.1960</t>
  </si>
  <si>
    <t>Долотказин Константин</t>
  </si>
  <si>
    <t>22.07.1984</t>
  </si>
  <si>
    <t>Донин Арсений</t>
  </si>
  <si>
    <t>Донин Артемий</t>
  </si>
  <si>
    <t>16.12.2004</t>
  </si>
  <si>
    <t>Дорожников Денис</t>
  </si>
  <si>
    <t>Доронин Данил</t>
  </si>
  <si>
    <t>Дорофеев Виктор</t>
  </si>
  <si>
    <t>15.11.1966</t>
  </si>
  <si>
    <t>Дорошин Павел</t>
  </si>
  <si>
    <t>23.02.2002</t>
  </si>
  <si>
    <t>Дотдуев Пахат</t>
  </si>
  <si>
    <t>11.05.1953</t>
  </si>
  <si>
    <t>27.01.1999</t>
  </si>
  <si>
    <t>Дружинин Андрей</t>
  </si>
  <si>
    <t>Дрягин Тимофей</t>
  </si>
  <si>
    <t>Дубинин Денис</t>
  </si>
  <si>
    <t>15.03.2004</t>
  </si>
  <si>
    <t>ДУБОВОЙ Денис</t>
  </si>
  <si>
    <t>Дубровин Кирилл</t>
  </si>
  <si>
    <t>01.11.2002</t>
  </si>
  <si>
    <t>Курагино  Краснояр.кр.</t>
  </si>
  <si>
    <t>Дуванов Никита</t>
  </si>
  <si>
    <t>Думанов Михаил</t>
  </si>
  <si>
    <t>18.11.1990</t>
  </si>
  <si>
    <t>Дунаев Филипп</t>
  </si>
  <si>
    <t>Дусько Александр</t>
  </si>
  <si>
    <t>10.06.1998</t>
  </si>
  <si>
    <t>Дутов Сергей</t>
  </si>
  <si>
    <t>05.12.1973</t>
  </si>
  <si>
    <t>Духов Григорий</t>
  </si>
  <si>
    <t>08.03.1996</t>
  </si>
  <si>
    <t>Дьяков Алексей</t>
  </si>
  <si>
    <t>Дьяченко Алексей</t>
  </si>
  <si>
    <t>11.06.1997</t>
  </si>
  <si>
    <t>Дядчиков Илья</t>
  </si>
  <si>
    <t>06.02.2004</t>
  </si>
  <si>
    <t>Дядюнов Данил</t>
  </si>
  <si>
    <t>Евглевский Георгий</t>
  </si>
  <si>
    <t>19.02.1994</t>
  </si>
  <si>
    <t>Евграфов Влад</t>
  </si>
  <si>
    <t>04.07.2001</t>
  </si>
  <si>
    <t>Евдокимов Александр</t>
  </si>
  <si>
    <t>22.11.1995</t>
  </si>
  <si>
    <t>19.02.1998</t>
  </si>
  <si>
    <t>Сунтар  Як.</t>
  </si>
  <si>
    <t>Евстафьев Елисей</t>
  </si>
  <si>
    <t>Евтушенко Сергей</t>
  </si>
  <si>
    <t>01.09.1991</t>
  </si>
  <si>
    <t>Егоров Андрей</t>
  </si>
  <si>
    <t>16.05.2004</t>
  </si>
  <si>
    <t>03.04.2000</t>
  </si>
  <si>
    <t>04.02.2002</t>
  </si>
  <si>
    <t>Егошин Георгий</t>
  </si>
  <si>
    <t>Елизаров Евгений</t>
  </si>
  <si>
    <t>12.06.1987</t>
  </si>
  <si>
    <t>Елизаров Сергей</t>
  </si>
  <si>
    <t>10.10.1992</t>
  </si>
  <si>
    <t>Елсуков Юрий</t>
  </si>
  <si>
    <t>01.04.2004</t>
  </si>
  <si>
    <t>Емельянов Егор</t>
  </si>
  <si>
    <t>Ендовицкий Кирилл</t>
  </si>
  <si>
    <t>Епифанцев Степан</t>
  </si>
  <si>
    <t>Еремеев Егор</t>
  </si>
  <si>
    <t>Еремееев Михаил</t>
  </si>
  <si>
    <t>11.11.1957</t>
  </si>
  <si>
    <t>Еременко Ярослав</t>
  </si>
  <si>
    <t>27.07.2004</t>
  </si>
  <si>
    <t>ЕРМАК Владислав</t>
  </si>
  <si>
    <t>Ермаков Александр</t>
  </si>
  <si>
    <t>Ермилов Филипп</t>
  </si>
  <si>
    <t>Ермоленко Марк</t>
  </si>
  <si>
    <t>25.05.2004</t>
  </si>
  <si>
    <t>Ерофеев Александр</t>
  </si>
  <si>
    <t>24.08.1988</t>
  </si>
  <si>
    <t>Ерушин Георгий</t>
  </si>
  <si>
    <t>Ерыгин Денис</t>
  </si>
  <si>
    <t>16.05.2000</t>
  </si>
  <si>
    <t>Есюнин Максим</t>
  </si>
  <si>
    <t>Ефименко Назар</t>
  </si>
  <si>
    <t>Ефремкин Михаил</t>
  </si>
  <si>
    <t>27.06.2001</t>
  </si>
  <si>
    <t>ЖАМАЛ Бекулан</t>
  </si>
  <si>
    <t>12.01.1996</t>
  </si>
  <si>
    <t>ЖАМАШЕВ Ислам</t>
  </si>
  <si>
    <t>Жамсаронов Сандан</t>
  </si>
  <si>
    <t>10.07.1998</t>
  </si>
  <si>
    <t>Жаренков Роман</t>
  </si>
  <si>
    <t>ЖАСУЛАН Рахман</t>
  </si>
  <si>
    <t>Жеховский Степан</t>
  </si>
  <si>
    <t>Жигарев Ярослав</t>
  </si>
  <si>
    <t>19.09.1987</t>
  </si>
  <si>
    <t>Жидайкин Андрей</t>
  </si>
  <si>
    <t>14.04.2002</t>
  </si>
  <si>
    <t>Жилоков Алим</t>
  </si>
  <si>
    <t>Жимовский Станислав</t>
  </si>
  <si>
    <t>Жиряков Данил</t>
  </si>
  <si>
    <t>Жишко Станислав</t>
  </si>
  <si>
    <t>22.10.1999</t>
  </si>
  <si>
    <t>ЖМУДЕНКО Ярослав</t>
  </si>
  <si>
    <t>21.07.1988</t>
  </si>
  <si>
    <t>Умань  УКРАИНА</t>
  </si>
  <si>
    <t>Жмыхов Павел</t>
  </si>
  <si>
    <t>Жолдошов Азамат</t>
  </si>
  <si>
    <t>Жужнев Андрей</t>
  </si>
  <si>
    <t>11.06.1990</t>
  </si>
  <si>
    <t>Жуков Денис</t>
  </si>
  <si>
    <t>Жуков Рамзес</t>
  </si>
  <si>
    <t>Жуков Юрий</t>
  </si>
  <si>
    <t>Жуков Ярослав</t>
  </si>
  <si>
    <t>Волгоград</t>
  </si>
  <si>
    <t>Заболотский Алексей</t>
  </si>
  <si>
    <t>20.10.1979</t>
  </si>
  <si>
    <t>Заболоцкий Владимир</t>
  </si>
  <si>
    <t>27.03.1974</t>
  </si>
  <si>
    <t>Задворных Дмитрий</t>
  </si>
  <si>
    <t>04.02.2003</t>
  </si>
  <si>
    <t>Зазимко Евгений</t>
  </si>
  <si>
    <t>03.03.1956</t>
  </si>
  <si>
    <t>15.12.1999</t>
  </si>
  <si>
    <t>Зайцев Илья</t>
  </si>
  <si>
    <t>Зайцев Никита</t>
  </si>
  <si>
    <t>06.10.2000</t>
  </si>
  <si>
    <t>Зайцев Олег</t>
  </si>
  <si>
    <t>Заиченко Андрей</t>
  </si>
  <si>
    <t>25.05.1981</t>
  </si>
  <si>
    <t>Замула Степан</t>
  </si>
  <si>
    <t>Занодворов Максим</t>
  </si>
  <si>
    <t>10.02.2001</t>
  </si>
  <si>
    <t>Заорбрайт Артем</t>
  </si>
  <si>
    <t>Заплатин Данила</t>
  </si>
  <si>
    <t>Запольских Павел</t>
  </si>
  <si>
    <t>Запорожец Владимир</t>
  </si>
  <si>
    <t>21.11.1986</t>
  </si>
  <si>
    <t>Зарипов Рифат</t>
  </si>
  <si>
    <t>20.12.2002</t>
  </si>
  <si>
    <t>Захарий Владислав</t>
  </si>
  <si>
    <t>Захарин Матвей</t>
  </si>
  <si>
    <t>21.09.2001</t>
  </si>
  <si>
    <t>Захаров Алексей</t>
  </si>
  <si>
    <t>Захаров Дмитрий</t>
  </si>
  <si>
    <t>10.05.1995</t>
  </si>
  <si>
    <t>Захаров Иван</t>
  </si>
  <si>
    <t>07.07.2004</t>
  </si>
  <si>
    <t>Захаров Илья</t>
  </si>
  <si>
    <t>Захаров Степан</t>
  </si>
  <si>
    <t>05.08.1998</t>
  </si>
  <si>
    <t>Захватов Семен</t>
  </si>
  <si>
    <t>25.11.1998</t>
  </si>
  <si>
    <t>Захожий Вячеслав</t>
  </si>
  <si>
    <t>Звонарев Геннадий</t>
  </si>
  <si>
    <t>24.07.1955</t>
  </si>
  <si>
    <t>Осташков  Тв.о.</t>
  </si>
  <si>
    <t>03.03.2000</t>
  </si>
  <si>
    <t>Зеленев Иван</t>
  </si>
  <si>
    <t>Зеленкин Константин</t>
  </si>
  <si>
    <t>Зеленков Владислав</t>
  </si>
  <si>
    <t>31.08.2002</t>
  </si>
  <si>
    <t>Зеленов Максим</t>
  </si>
  <si>
    <t>20.11.1991</t>
  </si>
  <si>
    <t>Зернов Никита</t>
  </si>
  <si>
    <t>Зименков Максим</t>
  </si>
  <si>
    <t>07.03.2003</t>
  </si>
  <si>
    <t>Злобин Артем</t>
  </si>
  <si>
    <t>Золотарев Андрей</t>
  </si>
  <si>
    <t>08.11.2002</t>
  </si>
  <si>
    <t>Золотоверх Андрей</t>
  </si>
  <si>
    <t>Золотухин Валерий</t>
  </si>
  <si>
    <t>Зонов Назар</t>
  </si>
  <si>
    <t>Зорин Антон</t>
  </si>
  <si>
    <t>20.02.2000</t>
  </si>
  <si>
    <t>Зорин Виталий</t>
  </si>
  <si>
    <t>13.06.2002</t>
  </si>
  <si>
    <t>Зорин Владислав</t>
  </si>
  <si>
    <t>Арзамас</t>
  </si>
  <si>
    <t>Зубрицкий Владислав</t>
  </si>
  <si>
    <t>29.02.2004</t>
  </si>
  <si>
    <t>Зуев Глеб</t>
  </si>
  <si>
    <t>23.12.2000</t>
  </si>
  <si>
    <t>Зуев Роман</t>
  </si>
  <si>
    <t>04.05.1999</t>
  </si>
  <si>
    <t>ЗУЕНОК Валерий</t>
  </si>
  <si>
    <t>Борисов  Беларусь</t>
  </si>
  <si>
    <t>Зырянцев Вячеслав</t>
  </si>
  <si>
    <t>20.10.2000</t>
  </si>
  <si>
    <t>Зюхин Алексей</t>
  </si>
  <si>
    <t>01.05.2004</t>
  </si>
  <si>
    <t>Иванищев Артем</t>
  </si>
  <si>
    <t>Иванов Анатолий</t>
  </si>
  <si>
    <t>26.06.1976</t>
  </si>
  <si>
    <t>06.08.1997</t>
  </si>
  <si>
    <t>Иванов Василий</t>
  </si>
  <si>
    <t>Иванов Владимир</t>
  </si>
  <si>
    <t>22.03.2002</t>
  </si>
  <si>
    <t>10.06.2000</t>
  </si>
  <si>
    <t>Иванов Павел</t>
  </si>
  <si>
    <t>Иванов Сергей</t>
  </si>
  <si>
    <t>27.08.1995</t>
  </si>
  <si>
    <t>Березовский  Св.обл.</t>
  </si>
  <si>
    <t>28.05.1975</t>
  </si>
  <si>
    <t>Ивановский Илья</t>
  </si>
  <si>
    <t>Иванченко Анатолий</t>
  </si>
  <si>
    <t>04.12.2002</t>
  </si>
  <si>
    <t>Ивженко Вадим</t>
  </si>
  <si>
    <t>24.06.2004</t>
  </si>
  <si>
    <t>09.09.2002</t>
  </si>
  <si>
    <t>Игнатьев Иван</t>
  </si>
  <si>
    <t>Игнатьев Максим</t>
  </si>
  <si>
    <t>18.12.2001</t>
  </si>
  <si>
    <t>Илаев Исламбек</t>
  </si>
  <si>
    <t>Илларионов Юрий</t>
  </si>
  <si>
    <t>29.04.1963</t>
  </si>
  <si>
    <t>Илтыбаев Максим</t>
  </si>
  <si>
    <t>24.11.1997</t>
  </si>
  <si>
    <t>Ильин Илья</t>
  </si>
  <si>
    <t>Ильин Федор</t>
  </si>
  <si>
    <t>02.02.2004</t>
  </si>
  <si>
    <t>Ильин Юрий</t>
  </si>
  <si>
    <t>Ильченко Глеб</t>
  </si>
  <si>
    <t>09.12.1998</t>
  </si>
  <si>
    <t>Ильясов Салават</t>
  </si>
  <si>
    <t>Плешаново  Орен.обл.</t>
  </si>
  <si>
    <t>Ильяшенко Андрей</t>
  </si>
  <si>
    <t>23.04.1997</t>
  </si>
  <si>
    <t>Инназаров Алексей</t>
  </si>
  <si>
    <t>17.09.1986</t>
  </si>
  <si>
    <t>Иноземцев Ярослав</t>
  </si>
  <si>
    <t>Иншин Денис</t>
  </si>
  <si>
    <t>Бурея  Ам.обл.</t>
  </si>
  <si>
    <t>Инякин Илья</t>
  </si>
  <si>
    <t>21.07.2003</t>
  </si>
  <si>
    <t>Ионов Илья</t>
  </si>
  <si>
    <t>23.10.2004</t>
  </si>
  <si>
    <t>Исаков Артем</t>
  </si>
  <si>
    <t>Исаков Григорий</t>
  </si>
  <si>
    <t>04.12.1981</t>
  </si>
  <si>
    <t>Исаков Сергей</t>
  </si>
  <si>
    <t>Исмухаметов Батыр</t>
  </si>
  <si>
    <t>Исфаилов Егор</t>
  </si>
  <si>
    <t>Исхаков Роман</t>
  </si>
  <si>
    <t>24.10.2004</t>
  </si>
  <si>
    <t>Ихсанов Данис</t>
  </si>
  <si>
    <t>Ишмухаметов Рамиль</t>
  </si>
  <si>
    <t>Кабаков Владислав</t>
  </si>
  <si>
    <t>Кабарухин Владимир</t>
  </si>
  <si>
    <t>02.10.1970</t>
  </si>
  <si>
    <t>Каберов Александр</t>
  </si>
  <si>
    <t>16.11.1994</t>
  </si>
  <si>
    <t>Каверзин Евгений</t>
  </si>
  <si>
    <t>19.01.1970</t>
  </si>
  <si>
    <t>Кавлюгин Глеб</t>
  </si>
  <si>
    <t>Кадирбеков Багавудин</t>
  </si>
  <si>
    <t>14.10.1968</t>
  </si>
  <si>
    <t>Казаев Артем</t>
  </si>
  <si>
    <t>29.10.2001</t>
  </si>
  <si>
    <t>Казак Леонид</t>
  </si>
  <si>
    <t>Казаков Илья</t>
  </si>
  <si>
    <t>Казачина Иван</t>
  </si>
  <si>
    <t>28.01.2003</t>
  </si>
  <si>
    <t>Казбек Султан</t>
  </si>
  <si>
    <t>Казелло Александр</t>
  </si>
  <si>
    <t>26.08.1995</t>
  </si>
  <si>
    <t>КАЙРАТУЛЫ Мирболат</t>
  </si>
  <si>
    <t>Какичев Иван</t>
  </si>
  <si>
    <t>Калачев Михаил</t>
  </si>
  <si>
    <t>09.05.2000</t>
  </si>
  <si>
    <t>Калашников Алексей</t>
  </si>
  <si>
    <t>16.03.1995</t>
  </si>
  <si>
    <t>Калашников Андрей</t>
  </si>
  <si>
    <t>Калимуллин Рустем</t>
  </si>
  <si>
    <t>11.08.2000</t>
  </si>
  <si>
    <t>Калинин Федор</t>
  </si>
  <si>
    <t>10.11.1998</t>
  </si>
  <si>
    <t>Калинкин Данил</t>
  </si>
  <si>
    <t>06.07.2004</t>
  </si>
  <si>
    <t>Калинчук Николай</t>
  </si>
  <si>
    <t>Калитин Вадим</t>
  </si>
  <si>
    <t>05.08.1999</t>
  </si>
  <si>
    <t>Калмыков Александр</t>
  </si>
  <si>
    <t>Калмыков Николай</t>
  </si>
  <si>
    <t>Калуцких Никита</t>
  </si>
  <si>
    <t>Камбалов Михаил</t>
  </si>
  <si>
    <t>03.04.2004</t>
  </si>
  <si>
    <t>Камиловский Дмитрий</t>
  </si>
  <si>
    <t>24.07.1994</t>
  </si>
  <si>
    <t>Тутаев  Яр.обл.</t>
  </si>
  <si>
    <t>Камушкин Савелий</t>
  </si>
  <si>
    <t>Каневский Алексей</t>
  </si>
  <si>
    <t>02.06.2001</t>
  </si>
  <si>
    <t>Канунников Константин</t>
  </si>
  <si>
    <t>06.12.1976</t>
  </si>
  <si>
    <t>Карабасов Егор</t>
  </si>
  <si>
    <t>Карабейников Данил</t>
  </si>
  <si>
    <t>Карагулов Денис</t>
  </si>
  <si>
    <t>Котельники  Мос.о.</t>
  </si>
  <si>
    <t>Каратев Виктор</t>
  </si>
  <si>
    <t>Карачков Алексей</t>
  </si>
  <si>
    <t>Карбаинов Данил</t>
  </si>
  <si>
    <t>14.08.2003</t>
  </si>
  <si>
    <t>Карбулов Виталий</t>
  </si>
  <si>
    <t>Каргашин Илья</t>
  </si>
  <si>
    <t>Карелин Вадим</t>
  </si>
  <si>
    <t>Карманов Александр</t>
  </si>
  <si>
    <t>Карпинец Артем</t>
  </si>
  <si>
    <t>Североонежск  Арх.о.</t>
  </si>
  <si>
    <t>Карпов Дмитрий</t>
  </si>
  <si>
    <t>Карташов Илья</t>
  </si>
  <si>
    <t>Карташов Сергей</t>
  </si>
  <si>
    <t>Карчагин Савва</t>
  </si>
  <si>
    <t>Каршагин Илья</t>
  </si>
  <si>
    <t>Касперович Данил</t>
  </si>
  <si>
    <t>Касперович Кирилл</t>
  </si>
  <si>
    <t>Кассем Рами</t>
  </si>
  <si>
    <t>Кассин Игорь</t>
  </si>
  <si>
    <t>03.10.1999</t>
  </si>
  <si>
    <t>КАСЫМОВ Айбек</t>
  </si>
  <si>
    <t>Бишкек  Кыргызстан</t>
  </si>
  <si>
    <t>КАСЫМОВ Аклбек</t>
  </si>
  <si>
    <t>Касымов Тимур</t>
  </si>
  <si>
    <t>Каталеев Александр</t>
  </si>
  <si>
    <t>Кауров Юрий</t>
  </si>
  <si>
    <t>Кашкин Кирилл</t>
  </si>
  <si>
    <t>18.07.2001</t>
  </si>
  <si>
    <t>Каюков Александр</t>
  </si>
  <si>
    <t>Квасов Владимир</t>
  </si>
  <si>
    <t>18.09.1969</t>
  </si>
  <si>
    <t>Кибко Роман</t>
  </si>
  <si>
    <t>07.07.1996</t>
  </si>
  <si>
    <t>Николаенко  Краснод.край</t>
  </si>
  <si>
    <t>Ким Ростислав</t>
  </si>
  <si>
    <t>КИМ Темирлан</t>
  </si>
  <si>
    <t>Кириков Павел</t>
  </si>
  <si>
    <t>Кириленко Владимир</t>
  </si>
  <si>
    <t>Кириллов Егор</t>
  </si>
  <si>
    <t>08.04.1997</t>
  </si>
  <si>
    <t>Кириченко Виктор</t>
  </si>
  <si>
    <t>20.07.1998</t>
  </si>
  <si>
    <t>07.04.2001</t>
  </si>
  <si>
    <t>Киршин Виталий</t>
  </si>
  <si>
    <t>08.06.1998</t>
  </si>
  <si>
    <t>Киселев Александр</t>
  </si>
  <si>
    <t>16.05.1998</t>
  </si>
  <si>
    <t>Киселев Эдуард</t>
  </si>
  <si>
    <t>05.07.2001</t>
  </si>
  <si>
    <t>Кислицын Константин</t>
  </si>
  <si>
    <t>18.09.1997</t>
  </si>
  <si>
    <t>Кисляк Артем</t>
  </si>
  <si>
    <t>30.12.1997</t>
  </si>
  <si>
    <t>Китаев Максим</t>
  </si>
  <si>
    <t>Кишкин Дмитрий</t>
  </si>
  <si>
    <t>Киямов Роберт</t>
  </si>
  <si>
    <t>Климентьев Максим</t>
  </si>
  <si>
    <t>Климов Николай</t>
  </si>
  <si>
    <t>Клинов Михаил</t>
  </si>
  <si>
    <t>Клюев Артем</t>
  </si>
  <si>
    <t>Клюшин Никита</t>
  </si>
  <si>
    <t>Кобылянский Дмитрий</t>
  </si>
  <si>
    <t>03.05.1981</t>
  </si>
  <si>
    <t>Ковалев Дмитрий</t>
  </si>
  <si>
    <t>Ковалев Лев</t>
  </si>
  <si>
    <t>Ковалев Сергей</t>
  </si>
  <si>
    <t>Ковалев Тимофей</t>
  </si>
  <si>
    <t>Коваленко Василий</t>
  </si>
  <si>
    <t>Коваль Илья</t>
  </si>
  <si>
    <t>Ковригин Николай</t>
  </si>
  <si>
    <t>Коврижников Максим</t>
  </si>
  <si>
    <t>13.03.2000</t>
  </si>
  <si>
    <t>Кожевников Константин</t>
  </si>
  <si>
    <t>15.03.1998</t>
  </si>
  <si>
    <t>Кожемякин Алексей</t>
  </si>
  <si>
    <t>Козарезов Станислав</t>
  </si>
  <si>
    <t>28.12.1999</t>
  </si>
  <si>
    <t>Козин Артем</t>
  </si>
  <si>
    <t>Козлов Владимир</t>
  </si>
  <si>
    <t>Козырев Матвей</t>
  </si>
  <si>
    <t>Кокарев Андрей</t>
  </si>
  <si>
    <t>14.07.2003</t>
  </si>
  <si>
    <t>Кокарев Артем</t>
  </si>
  <si>
    <t>12.09.2000</t>
  </si>
  <si>
    <t>Колесников Игорь</t>
  </si>
  <si>
    <t>03.06.1982</t>
  </si>
  <si>
    <t>Колин Алексей</t>
  </si>
  <si>
    <t>28.01.1998</t>
  </si>
  <si>
    <t>Колосов Дмитрий</t>
  </si>
  <si>
    <t>13.11.1985</t>
  </si>
  <si>
    <t>Колпаков Герман</t>
  </si>
  <si>
    <t>Коляндра Максим</t>
  </si>
  <si>
    <t>Командин Анатолий</t>
  </si>
  <si>
    <t>Павловский Посад</t>
  </si>
  <si>
    <t>Комаров Константин</t>
  </si>
  <si>
    <t>19.06.2003</t>
  </si>
  <si>
    <t>Комиссаров Рудольф</t>
  </si>
  <si>
    <t>08.10.1970</t>
  </si>
  <si>
    <t>Конашин Илья</t>
  </si>
  <si>
    <t>07.05.1993</t>
  </si>
  <si>
    <t>Кондаков Дмитрий</t>
  </si>
  <si>
    <t>Кондратенко Георгий</t>
  </si>
  <si>
    <t>18.06.2001</t>
  </si>
  <si>
    <t>Кондратичев Олег</t>
  </si>
  <si>
    <t>24.06.1973</t>
  </si>
  <si>
    <t>Кондрашов Сергей</t>
  </si>
  <si>
    <t>07.08.1984</t>
  </si>
  <si>
    <t>Конеев Кирилл</t>
  </si>
  <si>
    <t>16.01.2003</t>
  </si>
  <si>
    <t>Кононов Михаил</t>
  </si>
  <si>
    <t>08.11.2004</t>
  </si>
  <si>
    <t>Коноплев Даниил</t>
  </si>
  <si>
    <t>Коношенко Фадей</t>
  </si>
  <si>
    <t>Констанский Даниил</t>
  </si>
  <si>
    <t>Концевенко Ростислав</t>
  </si>
  <si>
    <t>Конышев Николай</t>
  </si>
  <si>
    <t>Коньшин Степан</t>
  </si>
  <si>
    <t>Копчак Иван</t>
  </si>
  <si>
    <t>26.06.1997</t>
  </si>
  <si>
    <t>Копылов Андрей</t>
  </si>
  <si>
    <t>Корельский Александр</t>
  </si>
  <si>
    <t>12.10.1978</t>
  </si>
  <si>
    <t>Коренков Никита</t>
  </si>
  <si>
    <t>Коренков Сергей</t>
  </si>
  <si>
    <t>Коркоцкий Матвей</t>
  </si>
  <si>
    <t>07.08.2000</t>
  </si>
  <si>
    <t>Королев Владислав</t>
  </si>
  <si>
    <t>Королев Вячеслав</t>
  </si>
  <si>
    <t>27.12.1998</t>
  </si>
  <si>
    <t>Королев Егор</t>
  </si>
  <si>
    <t>25.02.2003</t>
  </si>
  <si>
    <t>Король Максим</t>
  </si>
  <si>
    <t>Короткий Савелий</t>
  </si>
  <si>
    <t>13.12.2003</t>
  </si>
  <si>
    <t>15.02.2004</t>
  </si>
  <si>
    <t>15.04.2001</t>
  </si>
  <si>
    <t>Косенок Александр</t>
  </si>
  <si>
    <t>26.10.1991</t>
  </si>
  <si>
    <t>Коссе Игорь</t>
  </si>
  <si>
    <t>21.10.1959</t>
  </si>
  <si>
    <t>Костанян Артемий</t>
  </si>
  <si>
    <t>Костиков Егор</t>
  </si>
  <si>
    <t>Костин Владислав</t>
  </si>
  <si>
    <t>Косяков Данила</t>
  </si>
  <si>
    <t>Котельников Олег</t>
  </si>
  <si>
    <t>20.02.1993</t>
  </si>
  <si>
    <t>Котляков Андрей</t>
  </si>
  <si>
    <t>04.07.2003</t>
  </si>
  <si>
    <t>Котляр Кирилл</t>
  </si>
  <si>
    <t>Кочура Максим</t>
  </si>
  <si>
    <t>12.10.2003</t>
  </si>
  <si>
    <t>Кравец Артем</t>
  </si>
  <si>
    <t>31.03.1993</t>
  </si>
  <si>
    <t>Кравцов Егор</t>
  </si>
  <si>
    <t>Краев Никита</t>
  </si>
  <si>
    <t>Красильников Дмитрий</t>
  </si>
  <si>
    <t>Краснов Владислав</t>
  </si>
  <si>
    <t>19.05.2004</t>
  </si>
  <si>
    <t>Краснояров Николай</t>
  </si>
  <si>
    <t>29.09.1997</t>
  </si>
  <si>
    <t>Краузе  Сергей</t>
  </si>
  <si>
    <t>20.03.1994</t>
  </si>
  <si>
    <t>Кремлев Олег</t>
  </si>
  <si>
    <t>14.10.1999</t>
  </si>
  <si>
    <t>Кривоносов Григорий</t>
  </si>
  <si>
    <t>Кривоусов Влад</t>
  </si>
  <si>
    <t>Кригер Александр</t>
  </si>
  <si>
    <t>10.10.1987</t>
  </si>
  <si>
    <t>Кртян Оганес</t>
  </si>
  <si>
    <t>05.04.1995</t>
  </si>
  <si>
    <t>Кругликов Даниил</t>
  </si>
  <si>
    <t>Крулев Андрей</t>
  </si>
  <si>
    <t>Крупеня Михаил</t>
  </si>
  <si>
    <t>Круценко Михаил</t>
  </si>
  <si>
    <t>Крысанов Илья</t>
  </si>
  <si>
    <t>02.03.2003</t>
  </si>
  <si>
    <t>Крючков Василий</t>
  </si>
  <si>
    <t>Крючков Павел</t>
  </si>
  <si>
    <t>Кувалдин Николай</t>
  </si>
  <si>
    <t>07.11.2003</t>
  </si>
  <si>
    <t>Куделя Алексей</t>
  </si>
  <si>
    <t>08.12.2000</t>
  </si>
  <si>
    <t>Кузеванов Евгений</t>
  </si>
  <si>
    <t>02.06.1998</t>
  </si>
  <si>
    <t>11.06.2002</t>
  </si>
  <si>
    <t>07.10.2004</t>
  </si>
  <si>
    <t>09.10.2004</t>
  </si>
  <si>
    <t>Кузнецов Илья</t>
  </si>
  <si>
    <t>12.08.1998</t>
  </si>
  <si>
    <t>07.04.1987</t>
  </si>
  <si>
    <t>04.01.1995</t>
  </si>
  <si>
    <t>Кузнецов Сергей</t>
  </si>
  <si>
    <t>06.11.1999</t>
  </si>
  <si>
    <t>Кузьмин Владислав</t>
  </si>
  <si>
    <t>23.11.2002</t>
  </si>
  <si>
    <t>Кузьмин Егор</t>
  </si>
  <si>
    <t>Кузьмин Максим</t>
  </si>
  <si>
    <t>21.01.2001</t>
  </si>
  <si>
    <t>Кузьмин Тимур</t>
  </si>
  <si>
    <t>Куимов Никита</t>
  </si>
  <si>
    <t>Куклин Арсений</t>
  </si>
  <si>
    <t>Куклин Максим</t>
  </si>
  <si>
    <t>17.01.1997</t>
  </si>
  <si>
    <t>Куклин Ян</t>
  </si>
  <si>
    <t>Куксов Виктор</t>
  </si>
  <si>
    <t>КУЛАГИН Алексей</t>
  </si>
  <si>
    <t>Кулаков Андрей</t>
  </si>
  <si>
    <t>04.03.1970</t>
  </si>
  <si>
    <t>Куленко Иван</t>
  </si>
  <si>
    <t>Кулиев Василий</t>
  </si>
  <si>
    <t>19.01.1963</t>
  </si>
  <si>
    <t>Кулинченко Максим</t>
  </si>
  <si>
    <t>02.11.2000</t>
  </si>
  <si>
    <t>Кульга Артем</t>
  </si>
  <si>
    <t>01.09.2000</t>
  </si>
  <si>
    <t>19.06.2000</t>
  </si>
  <si>
    <t>Кумпан Федор</t>
  </si>
  <si>
    <t>27.02.2004</t>
  </si>
  <si>
    <t>31.10.2002</t>
  </si>
  <si>
    <t>Куприянов Олег</t>
  </si>
  <si>
    <t>07.07.1983</t>
  </si>
  <si>
    <t>Курбанов Илья</t>
  </si>
  <si>
    <t>Курбанов Никита</t>
  </si>
  <si>
    <t>Курбацкий Дмитрий</t>
  </si>
  <si>
    <t>Курганов Павел</t>
  </si>
  <si>
    <t>Курильчик Никита</t>
  </si>
  <si>
    <t>29.09.1994</t>
  </si>
  <si>
    <t>Курицин Владимир</t>
  </si>
  <si>
    <t>Курков Евгений</t>
  </si>
  <si>
    <t>Курмашев Артур</t>
  </si>
  <si>
    <t>14.07.2001</t>
  </si>
  <si>
    <t>Кухта Кирилл</t>
  </si>
  <si>
    <t>11.12.2003</t>
  </si>
  <si>
    <t>19.04.1999</t>
  </si>
  <si>
    <t>Кушнарев Вячеслав</t>
  </si>
  <si>
    <t>Кушнаренко Богдан</t>
  </si>
  <si>
    <t>11.05.2003</t>
  </si>
  <si>
    <t>Кушниренко Виктор</t>
  </si>
  <si>
    <t>28.09.2001</t>
  </si>
  <si>
    <t>13.04.2003</t>
  </si>
  <si>
    <t>Кушхов Дмитрий</t>
  </si>
  <si>
    <t>Лаврентьев Александр</t>
  </si>
  <si>
    <t>11.09.1992</t>
  </si>
  <si>
    <t>Лаврентьев Владислав</t>
  </si>
  <si>
    <t>11.09.1997</t>
  </si>
  <si>
    <t>Лаврентьев Роман</t>
  </si>
  <si>
    <t>Лавриненко Александр</t>
  </si>
  <si>
    <t>Лагаев Александр</t>
  </si>
  <si>
    <t>27.07.1992</t>
  </si>
  <si>
    <t>Лагутин Михаил</t>
  </si>
  <si>
    <t>Лазарев Владислав</t>
  </si>
  <si>
    <t>15.10.1998</t>
  </si>
  <si>
    <t>Лазарев Даниил</t>
  </si>
  <si>
    <t>Лазаренко Владимир</t>
  </si>
  <si>
    <t>Лазаренко Герман</t>
  </si>
  <si>
    <t>25.05.1996</t>
  </si>
  <si>
    <t>Лазовский Александр</t>
  </si>
  <si>
    <t>25.06.2003</t>
  </si>
  <si>
    <t>Лазовский Кирилл</t>
  </si>
  <si>
    <t>Лазовский Максим</t>
  </si>
  <si>
    <t>Ланин Александр</t>
  </si>
  <si>
    <t>16.10.1987</t>
  </si>
  <si>
    <t>Лаптев Савелий</t>
  </si>
  <si>
    <t>18.10.1998</t>
  </si>
  <si>
    <t>Лаптов Владислав</t>
  </si>
  <si>
    <t>Ларин Александр</t>
  </si>
  <si>
    <t>05.06.1973</t>
  </si>
  <si>
    <t>Ларионов Данил</t>
  </si>
  <si>
    <t>Лебедев Василий</t>
  </si>
  <si>
    <t>26.02.1970</t>
  </si>
  <si>
    <t>Лебедев Степан</t>
  </si>
  <si>
    <t>Лебецкий Феликс</t>
  </si>
  <si>
    <t>Леваков Иван</t>
  </si>
  <si>
    <t>Левен Владимир</t>
  </si>
  <si>
    <t>Левицкий Эдуард</t>
  </si>
  <si>
    <t>Лейдерман Игорь</t>
  </si>
  <si>
    <t>Леконцев Дмитрий</t>
  </si>
  <si>
    <t>17.06.2001</t>
  </si>
  <si>
    <t>Леонтьев Артем</t>
  </si>
  <si>
    <t>Леонтьев Сергей</t>
  </si>
  <si>
    <t>01.10.1998</t>
  </si>
  <si>
    <t>Леснов Даниил</t>
  </si>
  <si>
    <t>24.11.2002</t>
  </si>
  <si>
    <t>ЛЕЩЕНКО Даниил</t>
  </si>
  <si>
    <t>ЛЕЩЕНКО Денис</t>
  </si>
  <si>
    <t>Лившиц Михаил</t>
  </si>
  <si>
    <t>12.10.1999</t>
  </si>
  <si>
    <t>Линков Игорь</t>
  </si>
  <si>
    <t>Линок Елисей</t>
  </si>
  <si>
    <t>30.04.1999</t>
  </si>
  <si>
    <t>28.02.2000</t>
  </si>
  <si>
    <t>Липняков Никита</t>
  </si>
  <si>
    <t>28.06.2004</t>
  </si>
  <si>
    <t>31.03.2000</t>
  </si>
  <si>
    <t>Лисеный Кирилл</t>
  </si>
  <si>
    <t>Литвинов Антон</t>
  </si>
  <si>
    <t>Литвинов Кирилл</t>
  </si>
  <si>
    <t>29.09.1999</t>
  </si>
  <si>
    <t>Логачев Рафаэль</t>
  </si>
  <si>
    <t>Солнечный  ХМАО</t>
  </si>
  <si>
    <t>Логвиненко Максим</t>
  </si>
  <si>
    <t>Логинов Алексей</t>
  </si>
  <si>
    <t>Лозовский Андрей</t>
  </si>
  <si>
    <t>Ломакин Максим</t>
  </si>
  <si>
    <t>26.01.1980</t>
  </si>
  <si>
    <t>Ломтев Андрей</t>
  </si>
  <si>
    <t>Лопушинский Станислав</t>
  </si>
  <si>
    <t>23.07.1971</t>
  </si>
  <si>
    <t>Лось Степан</t>
  </si>
  <si>
    <t>Лошкарев Владислав</t>
  </si>
  <si>
    <t>Лощенов Михаил</t>
  </si>
  <si>
    <t>Лубенский Арсений</t>
  </si>
  <si>
    <t>Луговик Никита</t>
  </si>
  <si>
    <t>Лукашов Иван</t>
  </si>
  <si>
    <t>Лукич Страхиня</t>
  </si>
  <si>
    <t>Лукшин Григорий</t>
  </si>
  <si>
    <t>Лукьянов Роман</t>
  </si>
  <si>
    <t>Лучин Егор</t>
  </si>
  <si>
    <t>Лысенко Владислав</t>
  </si>
  <si>
    <t>Лысов Данил</t>
  </si>
  <si>
    <t>Любарец Сергей</t>
  </si>
  <si>
    <t>23.05.2002</t>
  </si>
  <si>
    <t>Любезнов Глеб</t>
  </si>
  <si>
    <t>Любимов Данил</t>
  </si>
  <si>
    <t>01.01.1988</t>
  </si>
  <si>
    <t>Лютых Артем</t>
  </si>
  <si>
    <t>Лядов Федор</t>
  </si>
  <si>
    <t>Ляйхтлинг Дмитрий</t>
  </si>
  <si>
    <t>28.10.1953</t>
  </si>
  <si>
    <t>Лялин Артем</t>
  </si>
  <si>
    <t>Ляховский Ник</t>
  </si>
  <si>
    <t>Мазиков Дмитрий</t>
  </si>
  <si>
    <t>Маймула Константин</t>
  </si>
  <si>
    <t>20.06.1993</t>
  </si>
  <si>
    <t>Майфат Александр</t>
  </si>
  <si>
    <t>03.06.1999</t>
  </si>
  <si>
    <t>Майфат Иван</t>
  </si>
  <si>
    <t>Маканин Владислав</t>
  </si>
  <si>
    <t>Макаров Алексей</t>
  </si>
  <si>
    <t>20.09.1998</t>
  </si>
  <si>
    <t>Макаров Владимир</t>
  </si>
  <si>
    <t>22.04.1963</t>
  </si>
  <si>
    <t>Макаров Дмитрий</t>
  </si>
  <si>
    <t>15.10.1973</t>
  </si>
  <si>
    <t>10.02.1997</t>
  </si>
  <si>
    <t>Макаров Захар</t>
  </si>
  <si>
    <t>Макаров Николай</t>
  </si>
  <si>
    <t>02.12.2004</t>
  </si>
  <si>
    <t>Макаров Роман</t>
  </si>
  <si>
    <t>03.11.1998</t>
  </si>
  <si>
    <t>Макиенко Даниил</t>
  </si>
  <si>
    <t>30.12.2003</t>
  </si>
  <si>
    <t>Максатов Даниэль</t>
  </si>
  <si>
    <t>08.07.1999</t>
  </si>
  <si>
    <t>Максимов Андрей</t>
  </si>
  <si>
    <t>02.07.1973</t>
  </si>
  <si>
    <t>Маланьин Артем</t>
  </si>
  <si>
    <t>28.06.2003</t>
  </si>
  <si>
    <t>Малиновский Егор</t>
  </si>
  <si>
    <t>Малиновский Игорь</t>
  </si>
  <si>
    <t>28.02.1966</t>
  </si>
  <si>
    <t>Малкин Станислав</t>
  </si>
  <si>
    <t>12.02.2003</t>
  </si>
  <si>
    <t>19.09.2000</t>
  </si>
  <si>
    <t>Малых Никита</t>
  </si>
  <si>
    <t>Малышев Владислав</t>
  </si>
  <si>
    <t>28.03.1992</t>
  </si>
  <si>
    <t>Малюта Дмитрий</t>
  </si>
  <si>
    <t>21.03.2004</t>
  </si>
  <si>
    <t>Мамонов Михаил</t>
  </si>
  <si>
    <t>20.10.1993</t>
  </si>
  <si>
    <t>Мамошин Кирилл</t>
  </si>
  <si>
    <t>25.01.2000</t>
  </si>
  <si>
    <t>Маннапов Ильяс</t>
  </si>
  <si>
    <t>Манро Эден</t>
  </si>
  <si>
    <t>06.09.2006</t>
  </si>
  <si>
    <t>Маранов Артем</t>
  </si>
  <si>
    <t>Маратканов Сергей</t>
  </si>
  <si>
    <t>08.11.2001</t>
  </si>
  <si>
    <t>Марголин Михаил</t>
  </si>
  <si>
    <t>21.10.1999</t>
  </si>
  <si>
    <t>Мареев Никита</t>
  </si>
  <si>
    <t>Маричев Иван</t>
  </si>
  <si>
    <t>Марков Владимир</t>
  </si>
  <si>
    <t>Мартин Игорь</t>
  </si>
  <si>
    <t>03.05.1998</t>
  </si>
  <si>
    <t>Мартиросян Ян</t>
  </si>
  <si>
    <t>Мартыненко Михаил</t>
  </si>
  <si>
    <t>Мартынов Игорь</t>
  </si>
  <si>
    <t>19.05.1972</t>
  </si>
  <si>
    <t>МАРТЫНОВ Николай</t>
  </si>
  <si>
    <t>Мартынов Сергей</t>
  </si>
  <si>
    <t>19.06.1997</t>
  </si>
  <si>
    <t>Мартысюк Даниил</t>
  </si>
  <si>
    <t>08.03.2001</t>
  </si>
  <si>
    <t>Мартыщенко Владислав</t>
  </si>
  <si>
    <t>16.11.2001</t>
  </si>
  <si>
    <t>Марусич Дмитрий</t>
  </si>
  <si>
    <t>26.10.1980</t>
  </si>
  <si>
    <t>Марущуков Олег</t>
  </si>
  <si>
    <t>Марфуткин Евгений</t>
  </si>
  <si>
    <t>01.04.1997</t>
  </si>
  <si>
    <t>Маршаков Павел</t>
  </si>
  <si>
    <t>Маршев Кирилл</t>
  </si>
  <si>
    <t>13.01.2003</t>
  </si>
  <si>
    <t>Табачный  Адыгея</t>
  </si>
  <si>
    <t>Марьин Павел</t>
  </si>
  <si>
    <t>01.01.1961</t>
  </si>
  <si>
    <t>Маслов Александр</t>
  </si>
  <si>
    <t>21.07.1997</t>
  </si>
  <si>
    <t>05.05.1991</t>
  </si>
  <si>
    <t>Маслов Константин</t>
  </si>
  <si>
    <t>Матвеев Алексей</t>
  </si>
  <si>
    <t>02.08.2004</t>
  </si>
  <si>
    <t>11.08.2002</t>
  </si>
  <si>
    <t>Матвеев Игорь</t>
  </si>
  <si>
    <t>14.01.2001</t>
  </si>
  <si>
    <t>Матвеев Максим</t>
  </si>
  <si>
    <t>Матюхин Андрей</t>
  </si>
  <si>
    <t>Матюшин Александр</t>
  </si>
  <si>
    <t>Маурин Михаил</t>
  </si>
  <si>
    <t>Махмудов Фарух</t>
  </si>
  <si>
    <t>Махмутов Азамат</t>
  </si>
  <si>
    <t>Махоткин Сергей</t>
  </si>
  <si>
    <t>05.03.1982</t>
  </si>
  <si>
    <t>Мацовкин Иван</t>
  </si>
  <si>
    <t>Мачула Никита</t>
  </si>
  <si>
    <t>27.11.2000</t>
  </si>
  <si>
    <t>Машитлов Хачим</t>
  </si>
  <si>
    <t>26.08.2004</t>
  </si>
  <si>
    <t>Машкин Сергей</t>
  </si>
  <si>
    <t>06.08.1996</t>
  </si>
  <si>
    <t>Мгебришвили Георгий</t>
  </si>
  <si>
    <t>Медведев Алексей</t>
  </si>
  <si>
    <t>15.01.2002</t>
  </si>
  <si>
    <t>Медведев Артем</t>
  </si>
  <si>
    <t>13.02.2002</t>
  </si>
  <si>
    <t>Медведев Богдан</t>
  </si>
  <si>
    <t>Медведев Владислав</t>
  </si>
  <si>
    <t>Медведев Матвей</t>
  </si>
  <si>
    <t>Медов Тимур</t>
  </si>
  <si>
    <t>26.01.2002</t>
  </si>
  <si>
    <t>Мезенцев Андрей</t>
  </si>
  <si>
    <t>Мезенцев Данил</t>
  </si>
  <si>
    <t>Меладзе Евгений</t>
  </si>
  <si>
    <t>Мелихов Денис</t>
  </si>
  <si>
    <t>04.09.1998</t>
  </si>
  <si>
    <t>Мелкуев Семен</t>
  </si>
  <si>
    <t>17.04.1995</t>
  </si>
  <si>
    <t>Мельник Владимир</t>
  </si>
  <si>
    <t>07.09.1982</t>
  </si>
  <si>
    <t>Мельников Илья</t>
  </si>
  <si>
    <t>Мерекин Игорь</t>
  </si>
  <si>
    <t>Меркулов Николай</t>
  </si>
  <si>
    <t>02.06.1990</t>
  </si>
  <si>
    <t>Меркушев Александр</t>
  </si>
  <si>
    <t>02.04.1958</t>
  </si>
  <si>
    <t>Метлин Виктор</t>
  </si>
  <si>
    <t>Мещеринов Максим</t>
  </si>
  <si>
    <t>Мещеряков Владислав</t>
  </si>
  <si>
    <t>Мещеряков Станислав</t>
  </si>
  <si>
    <t>Миков Игорь</t>
  </si>
  <si>
    <t>20.11.1966</t>
  </si>
  <si>
    <t>Микрюков Юрий</t>
  </si>
  <si>
    <t>21.08.1987</t>
  </si>
  <si>
    <t>Микуляк Артем</t>
  </si>
  <si>
    <t>19.04.2004</t>
  </si>
  <si>
    <t>Милкин Олег</t>
  </si>
  <si>
    <t>26.09.1975</t>
  </si>
  <si>
    <t>Мильшин Роман</t>
  </si>
  <si>
    <t>22.04.2000</t>
  </si>
  <si>
    <t>Минаков Никита</t>
  </si>
  <si>
    <t>14.11.1995</t>
  </si>
  <si>
    <t>05.03.1999</t>
  </si>
  <si>
    <t>Миначев Даниил</t>
  </si>
  <si>
    <t>Мингалев Дмитрий</t>
  </si>
  <si>
    <t>Минин Валентин</t>
  </si>
  <si>
    <t>04.08.1987</t>
  </si>
  <si>
    <t>05.07.1986</t>
  </si>
  <si>
    <t>Миронов Дмитрий</t>
  </si>
  <si>
    <t>Мирошников Дмитрий</t>
  </si>
  <si>
    <t>Мисько Юрий</t>
  </si>
  <si>
    <t>02.02.1963</t>
  </si>
  <si>
    <t>Митюшин Артем</t>
  </si>
  <si>
    <t>Михайлов Владислав</t>
  </si>
  <si>
    <t>04.06.2000</t>
  </si>
  <si>
    <t>Михайлюченко Александр</t>
  </si>
  <si>
    <t>01.01.1966</t>
  </si>
  <si>
    <t>Михалин Владимир</t>
  </si>
  <si>
    <t>Михальков Михаил</t>
  </si>
  <si>
    <t>Михасев Владислав</t>
  </si>
  <si>
    <t>Михеев Дмитрий</t>
  </si>
  <si>
    <t>Мишин Никита</t>
  </si>
  <si>
    <t>Мишкин Максим</t>
  </si>
  <si>
    <t>Мишнев Евгений</t>
  </si>
  <si>
    <t>Мищанин Влад</t>
  </si>
  <si>
    <t>Моисеенко Илья</t>
  </si>
  <si>
    <t>22.07.2004</t>
  </si>
  <si>
    <t>Молодкин Алексей</t>
  </si>
  <si>
    <t>21.03.1999</t>
  </si>
  <si>
    <t>Монастырный Иван</t>
  </si>
  <si>
    <t>Монахов Дмитрий</t>
  </si>
  <si>
    <t>МОНТЕЙРО Жоао</t>
  </si>
  <si>
    <t>29.08.1983</t>
  </si>
  <si>
    <t>Массама  Португалия</t>
  </si>
  <si>
    <t>Мореев Никита</t>
  </si>
  <si>
    <t>Мороз Евгений</t>
  </si>
  <si>
    <t>Морозенко Артем</t>
  </si>
  <si>
    <t>18.03.2002</t>
  </si>
  <si>
    <t>Морозов Антон</t>
  </si>
  <si>
    <t>06.01.2000</t>
  </si>
  <si>
    <t>Б.Мурта  Краснояр.кр.</t>
  </si>
  <si>
    <t>26.03.2001</t>
  </si>
  <si>
    <t>Морозов Сергей</t>
  </si>
  <si>
    <t>10.04.1980</t>
  </si>
  <si>
    <t>Морошкин Арсений</t>
  </si>
  <si>
    <t>Москаев Иван</t>
  </si>
  <si>
    <t>10.06.1978</t>
  </si>
  <si>
    <t>31.01.2000</t>
  </si>
  <si>
    <t>Мотько Никита</t>
  </si>
  <si>
    <t>02.05.2003</t>
  </si>
  <si>
    <t>Мрастев Иван</t>
  </si>
  <si>
    <t>11.04.2002</t>
  </si>
  <si>
    <t>МУЗАБЕРГЕНОВ Алихан</t>
  </si>
  <si>
    <t>Музыка Егор</t>
  </si>
  <si>
    <t>Мулихов Семен</t>
  </si>
  <si>
    <t>Мун Александр</t>
  </si>
  <si>
    <t>05.11.1998</t>
  </si>
  <si>
    <t>Мунасипов Нияз</t>
  </si>
  <si>
    <t>Муравлев Сергей</t>
  </si>
  <si>
    <t>Муратов Эльдар</t>
  </si>
  <si>
    <t>МУРЗАБЕРГЕНОВ Алихан</t>
  </si>
  <si>
    <t>Мурнаев Богдан</t>
  </si>
  <si>
    <t>07.08.2004</t>
  </si>
  <si>
    <t>Мусин Марат</t>
  </si>
  <si>
    <t>Мустаев Ильяс</t>
  </si>
  <si>
    <t>Муталапов Эмиль</t>
  </si>
  <si>
    <t>10.02.2004</t>
  </si>
  <si>
    <t>Мутшаль Евгений</t>
  </si>
  <si>
    <t>01.08.1989</t>
  </si>
  <si>
    <t>Муханов Алексей</t>
  </si>
  <si>
    <t>21.04.1985</t>
  </si>
  <si>
    <t>Муходанов Валерий</t>
  </si>
  <si>
    <t>Мухортов Илья</t>
  </si>
  <si>
    <t>28.07.1994</t>
  </si>
  <si>
    <t>Набиев Амир</t>
  </si>
  <si>
    <t>10.10.2003</t>
  </si>
  <si>
    <t>Назаров Владислав</t>
  </si>
  <si>
    <t>Назарович Павел</t>
  </si>
  <si>
    <t>15.05.1994</t>
  </si>
  <si>
    <t>Наземцев Сергей</t>
  </si>
  <si>
    <t>Назин Илья</t>
  </si>
  <si>
    <t>Назукин Александр</t>
  </si>
  <si>
    <t>12.04.2001</t>
  </si>
  <si>
    <t>20.05.2001</t>
  </si>
  <si>
    <t>Напольский Александр</t>
  </si>
  <si>
    <t>Наравцевич Михаил</t>
  </si>
  <si>
    <t>08.10.2001</t>
  </si>
  <si>
    <t>05.03.2001</t>
  </si>
  <si>
    <t>Насибли Ниджат</t>
  </si>
  <si>
    <t>Насыбуллин Данис</t>
  </si>
  <si>
    <t>Науменко Андрей</t>
  </si>
  <si>
    <t>15.12.2003</t>
  </si>
  <si>
    <t>Наумов Александр</t>
  </si>
  <si>
    <t>27.08.2001</t>
  </si>
  <si>
    <t>Наумов Алексей</t>
  </si>
  <si>
    <t>Наумов Владимир</t>
  </si>
  <si>
    <t>Начесный Денис</t>
  </si>
  <si>
    <t>Нашивочников Илья</t>
  </si>
  <si>
    <t>Небоянов Александр</t>
  </si>
  <si>
    <t>24.07.1998</t>
  </si>
  <si>
    <t>Староминская  Кр.Кр</t>
  </si>
  <si>
    <t>Неведров Илья</t>
  </si>
  <si>
    <t>Недорубов Александр</t>
  </si>
  <si>
    <t>Некрасов Александр</t>
  </si>
  <si>
    <t>10.09.1983</t>
  </si>
  <si>
    <t>08.03.1993</t>
  </si>
  <si>
    <t>Нелаев Андрей</t>
  </si>
  <si>
    <t>Нелюбов Ростислав</t>
  </si>
  <si>
    <t>23.05.1998</t>
  </si>
  <si>
    <t>Немолчев Артем</t>
  </si>
  <si>
    <t>17.09.1997</t>
  </si>
  <si>
    <t>Нескин Павел</t>
  </si>
  <si>
    <t>30.11.2003</t>
  </si>
  <si>
    <t>Нестеров Роман</t>
  </si>
  <si>
    <t>Нефедов Владимир</t>
  </si>
  <si>
    <t>30.09.2001</t>
  </si>
  <si>
    <t>Нигматулин Денис</t>
  </si>
  <si>
    <t>Низовских Тимофей</t>
  </si>
  <si>
    <t>01.12.2004</t>
  </si>
  <si>
    <t>Никитенко Александр</t>
  </si>
  <si>
    <t>Никитин Георгий</t>
  </si>
  <si>
    <t>Никитин Иван</t>
  </si>
  <si>
    <t>Никитин Игнат</t>
  </si>
  <si>
    <t>Никитин Максим</t>
  </si>
  <si>
    <t>Никитин Матвей</t>
  </si>
  <si>
    <t>Никитин Николай</t>
  </si>
  <si>
    <t>12.03.1990</t>
  </si>
  <si>
    <t>Никифоров Андрей</t>
  </si>
  <si>
    <t>Николаев Александр</t>
  </si>
  <si>
    <t>Николаев Евгений</t>
  </si>
  <si>
    <t>Николаенко Антон</t>
  </si>
  <si>
    <t>Никулин Олег</t>
  </si>
  <si>
    <t>Новиков Арсений</t>
  </si>
  <si>
    <t>Новиков Иван</t>
  </si>
  <si>
    <t>29.08.2004</t>
  </si>
  <si>
    <t>Касимов  Ряз.о.</t>
  </si>
  <si>
    <t>Новиков Олег</t>
  </si>
  <si>
    <t>Новичков Владимир</t>
  </si>
  <si>
    <t>22.04.1969</t>
  </si>
  <si>
    <t>Новокшонов Вячеслав</t>
  </si>
  <si>
    <t>Новокшонов Ярослав</t>
  </si>
  <si>
    <t>Новолат Александр</t>
  </si>
  <si>
    <t>13.08.1992</t>
  </si>
  <si>
    <t>Новосельский Роман</t>
  </si>
  <si>
    <t>Новосельцев Дмитрий</t>
  </si>
  <si>
    <t>15.10.1996</t>
  </si>
  <si>
    <t>Ноздрачев Юрий</t>
  </si>
  <si>
    <t>Носко Никита</t>
  </si>
  <si>
    <t>Носов Константин</t>
  </si>
  <si>
    <t>10.08.1997</t>
  </si>
  <si>
    <t>18.11.2000</t>
  </si>
  <si>
    <t>Носов Станислав</t>
  </si>
  <si>
    <t>04.02.1993</t>
  </si>
  <si>
    <t>Нугаев Данил</t>
  </si>
  <si>
    <t>НУГАЙ Нурдаулет</t>
  </si>
  <si>
    <t>Нурмухаметов Аскар</t>
  </si>
  <si>
    <t>Нырков Андрей</t>
  </si>
  <si>
    <t>02.05.1972</t>
  </si>
  <si>
    <t>Нырков Иван</t>
  </si>
  <si>
    <t>25.11.1988</t>
  </si>
  <si>
    <t>Нюхин Никита</t>
  </si>
  <si>
    <t>Обидин Вячеслав</t>
  </si>
  <si>
    <t>06.02.1996</t>
  </si>
  <si>
    <t>Обновленный Андрей</t>
  </si>
  <si>
    <t>03.11.1987</t>
  </si>
  <si>
    <t>Оборин Александр</t>
  </si>
  <si>
    <t>06.04.1994</t>
  </si>
  <si>
    <t>Обухов Добрыня</t>
  </si>
  <si>
    <t>19.06.2002</t>
  </si>
  <si>
    <t>Овечкин Илья</t>
  </si>
  <si>
    <t>Овсянников Константин</t>
  </si>
  <si>
    <t>12.09.2002</t>
  </si>
  <si>
    <t>Овчаров Дмитрий</t>
  </si>
  <si>
    <t>Овчинников Аркадий</t>
  </si>
  <si>
    <t>10.05.1962</t>
  </si>
  <si>
    <t>Оганесян Аксель</t>
  </si>
  <si>
    <t>29.10.1985</t>
  </si>
  <si>
    <t>Оглодков Вадим</t>
  </si>
  <si>
    <t>Одинцов Данила</t>
  </si>
  <si>
    <t>Озеров Юрий</t>
  </si>
  <si>
    <t>15.12.1976</t>
  </si>
  <si>
    <t>Олейник Александр</t>
  </si>
  <si>
    <t>Олейник Роман</t>
  </si>
  <si>
    <t>15.09.1987</t>
  </si>
  <si>
    <t>Олькин Виталий</t>
  </si>
  <si>
    <t>18.12.2000</t>
  </si>
  <si>
    <t>Ольмезов Артем</t>
  </si>
  <si>
    <t>31.08.2001</t>
  </si>
  <si>
    <t>Ольхин Данил</t>
  </si>
  <si>
    <t>21.05.2001</t>
  </si>
  <si>
    <t>Орехов Павел</t>
  </si>
  <si>
    <t>29.12.1978</t>
  </si>
  <si>
    <t>17.03.2001</t>
  </si>
  <si>
    <t>Орлов Данил</t>
  </si>
  <si>
    <t>Орлов Дмитрий</t>
  </si>
  <si>
    <t>02.05.2002</t>
  </si>
  <si>
    <t>Озеры  Мо</t>
  </si>
  <si>
    <t>Орловский Сергей</t>
  </si>
  <si>
    <t>Осадчий Михаил</t>
  </si>
  <si>
    <t>Осинин Лев</t>
  </si>
  <si>
    <t>Осипов Алексей</t>
  </si>
  <si>
    <t>24.06.2003</t>
  </si>
  <si>
    <t>Оскорбин Алексей</t>
  </si>
  <si>
    <t>Ослин Артем</t>
  </si>
  <si>
    <t>28.10.2003</t>
  </si>
  <si>
    <t>Османов Роман</t>
  </si>
  <si>
    <t>06.01.1960</t>
  </si>
  <si>
    <t>Остапук Даниил</t>
  </si>
  <si>
    <t>Осташевский Ярослав</t>
  </si>
  <si>
    <t>Островерхов Семен</t>
  </si>
  <si>
    <t>16.07.2005</t>
  </si>
  <si>
    <t>Павлик Илья</t>
  </si>
  <si>
    <t>24.01.1976</t>
  </si>
  <si>
    <t>Павловичев Вадим</t>
  </si>
  <si>
    <t>02.07.2004</t>
  </si>
  <si>
    <t>Павловский Александр</t>
  </si>
  <si>
    <t>21.02.2001</t>
  </si>
  <si>
    <t>03.12.2001</t>
  </si>
  <si>
    <t>Пак Андрей</t>
  </si>
  <si>
    <t>Памшев Никита</t>
  </si>
  <si>
    <t>09.06.1992</t>
  </si>
  <si>
    <t>Паничкин Иван</t>
  </si>
  <si>
    <t>28.03.2004</t>
  </si>
  <si>
    <t>Панков Иван</t>
  </si>
  <si>
    <t>Панкратов Егор</t>
  </si>
  <si>
    <t>14.09.2003</t>
  </si>
  <si>
    <t>Панферьев Илья</t>
  </si>
  <si>
    <t>26.07.1995</t>
  </si>
  <si>
    <t>Кировград  Св.обл.</t>
  </si>
  <si>
    <t>Папенков Владимир</t>
  </si>
  <si>
    <t>03.09.2001</t>
  </si>
  <si>
    <t>Папко Григорий</t>
  </si>
  <si>
    <t>06.08.2002</t>
  </si>
  <si>
    <t>Парамонов Иван</t>
  </si>
  <si>
    <t>Парамошкин Данила</t>
  </si>
  <si>
    <t>Патрушев Илья</t>
  </si>
  <si>
    <t>17.10.1997</t>
  </si>
  <si>
    <t>Пахолков Алексей</t>
  </si>
  <si>
    <t>01.12.1989</t>
  </si>
  <si>
    <t>Пачганов Андрей</t>
  </si>
  <si>
    <t>Пашков Михаил</t>
  </si>
  <si>
    <t>Пащенко Даниил</t>
  </si>
  <si>
    <t>18.10.2002</t>
  </si>
  <si>
    <t>Певин Александр</t>
  </si>
  <si>
    <t>Певин Вячеслав</t>
  </si>
  <si>
    <t>Певнер Александр</t>
  </si>
  <si>
    <t>Пелих Владислав</t>
  </si>
  <si>
    <t>Первушин Олег</t>
  </si>
  <si>
    <t>22.10.1970</t>
  </si>
  <si>
    <t>Перевозчиков Илья</t>
  </si>
  <si>
    <t>24.01.2000</t>
  </si>
  <si>
    <t>Перенчук Вадим</t>
  </si>
  <si>
    <t>Перепелица Александр</t>
  </si>
  <si>
    <t>03.05.1950</t>
  </si>
  <si>
    <t>Пермяков Андрей</t>
  </si>
  <si>
    <t>14.04.1969</t>
  </si>
  <si>
    <t>Пермяков Максим</t>
  </si>
  <si>
    <t>23.11.2004</t>
  </si>
  <si>
    <t>Петров Данил</t>
  </si>
  <si>
    <t>25.08.1996</t>
  </si>
  <si>
    <t>Петров Станислав</t>
  </si>
  <si>
    <t>11.10.1998</t>
  </si>
  <si>
    <t>Петровский Владимир</t>
  </si>
  <si>
    <t>Петрунин Степан</t>
  </si>
  <si>
    <t>29.12.1998</t>
  </si>
  <si>
    <t>Петрушин Игорь</t>
  </si>
  <si>
    <t>08.03.1997</t>
  </si>
  <si>
    <t>Печерица Никита</t>
  </si>
  <si>
    <t>13.06.2004</t>
  </si>
  <si>
    <t>20.04.2000</t>
  </si>
  <si>
    <t>Пикулев Иван</t>
  </si>
  <si>
    <t>29.12.2001</t>
  </si>
  <si>
    <t>Пиняскин Владислав</t>
  </si>
  <si>
    <t>31.05.1993</t>
  </si>
  <si>
    <t>Пирогов Илья</t>
  </si>
  <si>
    <t>Пируев Максим</t>
  </si>
  <si>
    <t>Писарев Егор</t>
  </si>
  <si>
    <t>31.03.2003</t>
  </si>
  <si>
    <t>Пиуновский Андрей</t>
  </si>
  <si>
    <t>25.03.2000</t>
  </si>
  <si>
    <t>Пихтерев Андрей</t>
  </si>
  <si>
    <t>Пичушкин Андрей</t>
  </si>
  <si>
    <t>Плахтюрин Павел</t>
  </si>
  <si>
    <t>Плескачев Демьян</t>
  </si>
  <si>
    <t>30.03.1988</t>
  </si>
  <si>
    <t>Плетнев Никита</t>
  </si>
  <si>
    <t>06.03.2003</t>
  </si>
  <si>
    <t>Плеханов Вячеслав</t>
  </si>
  <si>
    <t>20.10.2002</t>
  </si>
  <si>
    <t>Плешков Никита</t>
  </si>
  <si>
    <t>21.09.2003</t>
  </si>
  <si>
    <t>Пловецкий Даниил</t>
  </si>
  <si>
    <t>Плотников Сергей</t>
  </si>
  <si>
    <t>Плохов Иван</t>
  </si>
  <si>
    <t>25.01.2001</t>
  </si>
  <si>
    <t>Поваляев Владислав</t>
  </si>
  <si>
    <t>26.06.2001</t>
  </si>
  <si>
    <t>Повстяный Петр</t>
  </si>
  <si>
    <t>26.08.1994</t>
  </si>
  <si>
    <t>Погорелов Иван</t>
  </si>
  <si>
    <t>Погребняк Федор</t>
  </si>
  <si>
    <t>05.08.2004</t>
  </si>
  <si>
    <t>Погуляев Игорь</t>
  </si>
  <si>
    <t>07.02.1980</t>
  </si>
  <si>
    <t>Подгорнов Михаил</t>
  </si>
  <si>
    <t>01.04.1982</t>
  </si>
  <si>
    <t>Московская обл.</t>
  </si>
  <si>
    <t>Подкопаев Никита</t>
  </si>
  <si>
    <t>13.11.2003</t>
  </si>
  <si>
    <t>Подшивалов Ярослав</t>
  </si>
  <si>
    <t>Новосергиевка  Орен.обл.</t>
  </si>
  <si>
    <t>Подъяков Сергей</t>
  </si>
  <si>
    <t>10.09.1966</t>
  </si>
  <si>
    <t>Поздняков Евгений</t>
  </si>
  <si>
    <t>01.05.2002</t>
  </si>
  <si>
    <t>07.06.2015</t>
  </si>
  <si>
    <t>Политыкин Павел</t>
  </si>
  <si>
    <t>Полищук Максим</t>
  </si>
  <si>
    <t>Полозов Илья</t>
  </si>
  <si>
    <t>Полонеев Евгений</t>
  </si>
  <si>
    <t>07.01.1970</t>
  </si>
  <si>
    <t>Полюдов Иван</t>
  </si>
  <si>
    <t>Поляков Виктор</t>
  </si>
  <si>
    <t>27.07.1993</t>
  </si>
  <si>
    <t>Поляков Денис</t>
  </si>
  <si>
    <t>16.12.2001</t>
  </si>
  <si>
    <t>Пономарев Алексей</t>
  </si>
  <si>
    <t>04.11.1985</t>
  </si>
  <si>
    <t>Пономарев Анатолий</t>
  </si>
  <si>
    <t>Пономарев Вадим</t>
  </si>
  <si>
    <t>Понятых Руслан</t>
  </si>
  <si>
    <t>25.01.1998</t>
  </si>
  <si>
    <t>Попадюк Максим</t>
  </si>
  <si>
    <t>09.03.2002</t>
  </si>
  <si>
    <t>Попов Александр</t>
  </si>
  <si>
    <t>13.07.2003</t>
  </si>
  <si>
    <t>Попов Артем</t>
  </si>
  <si>
    <t>Порошин Денис</t>
  </si>
  <si>
    <t>Порфиридис Христос</t>
  </si>
  <si>
    <t>Посаженников Алексей</t>
  </si>
  <si>
    <t>Посаженников Максим</t>
  </si>
  <si>
    <t>Посторов Михаил</t>
  </si>
  <si>
    <t>03.09.1973</t>
  </si>
  <si>
    <t>Потапенко Александр</t>
  </si>
  <si>
    <t>Потапов Валерий</t>
  </si>
  <si>
    <t>Потапов Даниил</t>
  </si>
  <si>
    <t>ПОШОЛЧЕНКО Антон</t>
  </si>
  <si>
    <t>Прасад Роман</t>
  </si>
  <si>
    <t>Присницкий Александр</t>
  </si>
  <si>
    <t>Приходков Никита</t>
  </si>
  <si>
    <t>21.07.2000</t>
  </si>
  <si>
    <t>Причина Егор</t>
  </si>
  <si>
    <t>Прокопенко Богдан</t>
  </si>
  <si>
    <t>Прокофьев Михаил</t>
  </si>
  <si>
    <t>26.04.2001</t>
  </si>
  <si>
    <t>Просвирнин Максим</t>
  </si>
  <si>
    <t>30.05.2004</t>
  </si>
  <si>
    <t>Проскуряков Артур</t>
  </si>
  <si>
    <t>Проскуряков Иван</t>
  </si>
  <si>
    <t>Протасевич Федор</t>
  </si>
  <si>
    <t>Пряничкин Максим</t>
  </si>
  <si>
    <t>Птицын Леонид</t>
  </si>
  <si>
    <t>Пугач Иван</t>
  </si>
  <si>
    <t>Пудиков Никита</t>
  </si>
  <si>
    <t>Пудовкин Вадим</t>
  </si>
  <si>
    <t>Пулькин Леонид</t>
  </si>
  <si>
    <t>10.03.2000</t>
  </si>
  <si>
    <t>Пунтиков Максим</t>
  </si>
  <si>
    <t>04.01.1998</t>
  </si>
  <si>
    <t>Пустарнаков Константин</t>
  </si>
  <si>
    <t>Пушкарев Кирилл</t>
  </si>
  <si>
    <t>Пшенин Игорь</t>
  </si>
  <si>
    <t>07.11.1999</t>
  </si>
  <si>
    <t>Пшенников Никита</t>
  </si>
  <si>
    <t>16.08.2004</t>
  </si>
  <si>
    <t>Пыльнов Дмитрий</t>
  </si>
  <si>
    <t>Пяточкин Никита</t>
  </si>
  <si>
    <t>Раджабаев Зарух</t>
  </si>
  <si>
    <t>Радюшин Илья</t>
  </si>
  <si>
    <t>Размашкин Денис</t>
  </si>
  <si>
    <t>17.12.2001</t>
  </si>
  <si>
    <t>Разуев Дмитрий</t>
  </si>
  <si>
    <t>Раймов Роман</t>
  </si>
  <si>
    <t>Раков Максим</t>
  </si>
  <si>
    <t>Распопин Вадим</t>
  </si>
  <si>
    <t>Расторгуев Тимофей</t>
  </si>
  <si>
    <t>Рачев Вячеслав</t>
  </si>
  <si>
    <t>Ревин Евгений</t>
  </si>
  <si>
    <t>15.05.1987</t>
  </si>
  <si>
    <t>Репецкий Даниил</t>
  </si>
  <si>
    <t>Репин Александр</t>
  </si>
  <si>
    <t>29.06.1999</t>
  </si>
  <si>
    <t>Реутов Сергей</t>
  </si>
  <si>
    <t>Решетилов Илья</t>
  </si>
  <si>
    <t>Родин Кирилл</t>
  </si>
  <si>
    <t>Розанов Кирилл</t>
  </si>
  <si>
    <t>Романов Егор</t>
  </si>
  <si>
    <t>20.03.2000</t>
  </si>
  <si>
    <t>Романов Семен</t>
  </si>
  <si>
    <t>18.04.1997</t>
  </si>
  <si>
    <t>Романовский Александр</t>
  </si>
  <si>
    <t>Романычев Степан</t>
  </si>
  <si>
    <t>Ростовцев Григорий</t>
  </si>
  <si>
    <t>Рубанский Лакис</t>
  </si>
  <si>
    <t>Рубинчик Матвей</t>
  </si>
  <si>
    <t>Рубинштейн Георгий</t>
  </si>
  <si>
    <t>Рубцов Евгений</t>
  </si>
  <si>
    <t>16.07.2000</t>
  </si>
  <si>
    <t>Казанка  Ам.обл.</t>
  </si>
  <si>
    <t>Рубцов Игорь</t>
  </si>
  <si>
    <t>04.05.1980</t>
  </si>
  <si>
    <t>Рулевский Никита</t>
  </si>
  <si>
    <t>Румянцев Олег</t>
  </si>
  <si>
    <t>Рустамов Эльдар</t>
  </si>
  <si>
    <t>25.02.1998</t>
  </si>
  <si>
    <t>Русу Аурел</t>
  </si>
  <si>
    <t>17.02.1978</t>
  </si>
  <si>
    <t>Рыбаков Артур</t>
  </si>
  <si>
    <t>Рыбалкин Олег</t>
  </si>
  <si>
    <t>02.03.1997</t>
  </si>
  <si>
    <t>Архангельское  Тул.обл.</t>
  </si>
  <si>
    <t>Рыжков Артем</t>
  </si>
  <si>
    <t>18.10.2001</t>
  </si>
  <si>
    <t>Рыжов Юрий</t>
  </si>
  <si>
    <t>13.02.1975</t>
  </si>
  <si>
    <t>Рыськов Евгений</t>
  </si>
  <si>
    <t>Рычков Данил</t>
  </si>
  <si>
    <t>Рычков Юрий</t>
  </si>
  <si>
    <t>Рябиков Дмитрий</t>
  </si>
  <si>
    <t>Рядский Денис</t>
  </si>
  <si>
    <t>05.05.2000</t>
  </si>
  <si>
    <t>Рязанцев Павел</t>
  </si>
  <si>
    <t>18.08.1995</t>
  </si>
  <si>
    <t>30.06.1999</t>
  </si>
  <si>
    <t>Сабанов Роман</t>
  </si>
  <si>
    <t>Сабельников Иван</t>
  </si>
  <si>
    <t>Сабиров Дмитрий</t>
  </si>
  <si>
    <t>24.05.1981</t>
  </si>
  <si>
    <t>Савельев Игорь</t>
  </si>
  <si>
    <t>24.02.1964</t>
  </si>
  <si>
    <t>Савельев Ильяс</t>
  </si>
  <si>
    <t>Савельев Павел</t>
  </si>
  <si>
    <t>Савенко Александр</t>
  </si>
  <si>
    <t>17.10.1954</t>
  </si>
  <si>
    <t>Савин Антон</t>
  </si>
  <si>
    <t>Савин Матвей</t>
  </si>
  <si>
    <t>04.10.2000</t>
  </si>
  <si>
    <t>Савинский Дмитрий</t>
  </si>
  <si>
    <t>Савченко Александр</t>
  </si>
  <si>
    <t>05.11.1993</t>
  </si>
  <si>
    <t>Савченко Алексей</t>
  </si>
  <si>
    <t>03.09.1979</t>
  </si>
  <si>
    <t>Савченко Иван</t>
  </si>
  <si>
    <t>03.09.2003</t>
  </si>
  <si>
    <t>Савчук Михаил</t>
  </si>
  <si>
    <t>Сагалаков Константин</t>
  </si>
  <si>
    <t>11.01.2004</t>
  </si>
  <si>
    <t>Сагалов Леонид</t>
  </si>
  <si>
    <t>23.05.1999</t>
  </si>
  <si>
    <t>Садовский Никита</t>
  </si>
  <si>
    <t>Садыков Руслан</t>
  </si>
  <si>
    <t>Сазонов Александр</t>
  </si>
  <si>
    <t>31.07.1996</t>
  </si>
  <si>
    <t>Сактоев Чингис</t>
  </si>
  <si>
    <t>Салахутдинов Родион</t>
  </si>
  <si>
    <t>Салимзянов Алексей</t>
  </si>
  <si>
    <t>Салимьянов Руслан</t>
  </si>
  <si>
    <t>Салягутдинов Дмитрий</t>
  </si>
  <si>
    <t>13.09.1987</t>
  </si>
  <si>
    <t>Самарин Денис</t>
  </si>
  <si>
    <t>30.04.2002</t>
  </si>
  <si>
    <t>Самарский Игорь</t>
  </si>
  <si>
    <t>28.01.1997</t>
  </si>
  <si>
    <t>Самигуллин Наиль</t>
  </si>
  <si>
    <t>27.03.2003</t>
  </si>
  <si>
    <t>Самородин Владислав</t>
  </si>
  <si>
    <t>25.03.2003</t>
  </si>
  <si>
    <t>Самофалов Николай</t>
  </si>
  <si>
    <t>Самохвалов Евгений</t>
  </si>
  <si>
    <t>17.06.1996</t>
  </si>
  <si>
    <t>Самохвалов Иван</t>
  </si>
  <si>
    <t>Самсонов Евгений</t>
  </si>
  <si>
    <t>03.08.2002</t>
  </si>
  <si>
    <t>Санжаровский Никита</t>
  </si>
  <si>
    <t>15.07.1998</t>
  </si>
  <si>
    <t>Санжиев Владимир</t>
  </si>
  <si>
    <t>23.02.1986</t>
  </si>
  <si>
    <t>Сапиташ Николай</t>
  </si>
  <si>
    <t>Сапронов Владислав</t>
  </si>
  <si>
    <t>Саранча Александр</t>
  </si>
  <si>
    <t>Саськов Кирилл</t>
  </si>
  <si>
    <t>Оса  Ирк.обл.</t>
  </si>
  <si>
    <t>Сафатов Дмитрий</t>
  </si>
  <si>
    <t>Сафин Егор</t>
  </si>
  <si>
    <t>Сафиуллин Артем</t>
  </si>
  <si>
    <t>04.11.2004</t>
  </si>
  <si>
    <t>Сафонов Даниил</t>
  </si>
  <si>
    <t>03.10.2004</t>
  </si>
  <si>
    <t>Сафронов Роман</t>
  </si>
  <si>
    <t>Сафронов Сергей</t>
  </si>
  <si>
    <t>17.03.1975</t>
  </si>
  <si>
    <t>Сафьянников Андрей</t>
  </si>
  <si>
    <t>Сахапов Рустам</t>
  </si>
  <si>
    <t>Сахно Константин</t>
  </si>
  <si>
    <t>23.04.1999</t>
  </si>
  <si>
    <t>Саянов Артем</t>
  </si>
  <si>
    <t>Светличный Иван</t>
  </si>
  <si>
    <t>Светличный Никодим</t>
  </si>
  <si>
    <t>Седлов Никита</t>
  </si>
  <si>
    <t>Углич  Яр.о.</t>
  </si>
  <si>
    <t>Сейдибаталов Салим</t>
  </si>
  <si>
    <t>Селюков Илья</t>
  </si>
  <si>
    <t>21.06.2000</t>
  </si>
  <si>
    <t>Селюнин Роман</t>
  </si>
  <si>
    <t>Селюнин Сергей</t>
  </si>
  <si>
    <t>16.02.1995</t>
  </si>
  <si>
    <t>Семенов Василий</t>
  </si>
  <si>
    <t>Семенов Владислав</t>
  </si>
  <si>
    <t>Семенов Иван</t>
  </si>
  <si>
    <t>04.08.2002</t>
  </si>
  <si>
    <t>09.10.2000</t>
  </si>
  <si>
    <t>Семеняк Илья</t>
  </si>
  <si>
    <t>Семин Иван</t>
  </si>
  <si>
    <t>Семухин Виктор</t>
  </si>
  <si>
    <t>Семушин Артем</t>
  </si>
  <si>
    <t>15.06.2000</t>
  </si>
  <si>
    <t>Апатиты  Мурм.обл.</t>
  </si>
  <si>
    <t>Сенченко Владислав</t>
  </si>
  <si>
    <t>Сергеев Александр</t>
  </si>
  <si>
    <t>Намцы  Якут.</t>
  </si>
  <si>
    <t>Сергеев Алексей</t>
  </si>
  <si>
    <t>Сергеев Константин</t>
  </si>
  <si>
    <t>26.05.1976</t>
  </si>
  <si>
    <t>Серебров Григорий</t>
  </si>
  <si>
    <t>Серегин Николай</t>
  </si>
  <si>
    <t>07.07.1990</t>
  </si>
  <si>
    <t>Серов Андрей</t>
  </si>
  <si>
    <t>Серов Олег</t>
  </si>
  <si>
    <t>Серый Дмитрий</t>
  </si>
  <si>
    <t>24.01.1996</t>
  </si>
  <si>
    <t>Сивцов Роман</t>
  </si>
  <si>
    <t>Сидоренко Владислав</t>
  </si>
  <si>
    <t>Сидоров Владимир</t>
  </si>
  <si>
    <t>14.08.2002</t>
  </si>
  <si>
    <t>13.12.2001</t>
  </si>
  <si>
    <t>Силин Глеб</t>
  </si>
  <si>
    <t>Симанов Данил</t>
  </si>
  <si>
    <t>Симбирцев Дмитрий</t>
  </si>
  <si>
    <t>Симерджи Максим</t>
  </si>
  <si>
    <t>Синельников Никита</t>
  </si>
  <si>
    <t>02.11.1994</t>
  </si>
  <si>
    <t>Синицкий Семен</t>
  </si>
  <si>
    <t>15.02.2003</t>
  </si>
  <si>
    <t>Синицын Дмитрий</t>
  </si>
  <si>
    <t>18.04.2002</t>
  </si>
  <si>
    <t>Синченко Виталий</t>
  </si>
  <si>
    <t>05.01.1984</t>
  </si>
  <si>
    <t>Синченко Максим</t>
  </si>
  <si>
    <t>27.08.2003</t>
  </si>
  <si>
    <t>Сиротинин Артем</t>
  </si>
  <si>
    <t>Сироткин Максим</t>
  </si>
  <si>
    <t>Скалихин Вадим</t>
  </si>
  <si>
    <t>09.03.1993</t>
  </si>
  <si>
    <t>Скворцов Илья</t>
  </si>
  <si>
    <t>Скиба Григорий</t>
  </si>
  <si>
    <t>Скирта Денис</t>
  </si>
  <si>
    <t>Скрипин Василий</t>
  </si>
  <si>
    <t>23.06.1977</t>
  </si>
  <si>
    <t>Скрынников Матвей</t>
  </si>
  <si>
    <t>Рассказово  Тамб.обл.</t>
  </si>
  <si>
    <t>Случевский Евгений</t>
  </si>
  <si>
    <t>23.02.1973</t>
  </si>
  <si>
    <t>СМАЛЬ Никита</t>
  </si>
  <si>
    <t>Сметана Максим</t>
  </si>
  <si>
    <t>Сметанников Сергей</t>
  </si>
  <si>
    <t>28.06.2002</t>
  </si>
  <si>
    <t>Смирнов Андрей</t>
  </si>
  <si>
    <t>Смирнов Валентин</t>
  </si>
  <si>
    <t>04.01.1971</t>
  </si>
  <si>
    <t>Смирнов Дмитрий</t>
  </si>
  <si>
    <t>10.09.1979</t>
  </si>
  <si>
    <t>Смирнов Феликс</t>
  </si>
  <si>
    <t>24.05.2003</t>
  </si>
  <si>
    <t>Смолин Артем</t>
  </si>
  <si>
    <t>04.08.1995</t>
  </si>
  <si>
    <t>Смольяков Андрей</t>
  </si>
  <si>
    <t>15.12.2000</t>
  </si>
  <si>
    <t>Смоляков Никита</t>
  </si>
  <si>
    <t>21.03.2001</t>
  </si>
  <si>
    <t>Снеговских Дмитрий</t>
  </si>
  <si>
    <t>Снигирев Клим</t>
  </si>
  <si>
    <t>17.06.1997</t>
  </si>
  <si>
    <t>Соболевский Артем</t>
  </si>
  <si>
    <t>Совбанов Дмитрий</t>
  </si>
  <si>
    <t>Соколиков Артем</t>
  </si>
  <si>
    <t>14.12.1983</t>
  </si>
  <si>
    <t>15.05.1978</t>
  </si>
  <si>
    <t>Соколов Роман</t>
  </si>
  <si>
    <t>23.02.1990</t>
  </si>
  <si>
    <t>Соколовский Вадим</t>
  </si>
  <si>
    <t>17.04.1998</t>
  </si>
  <si>
    <t>Соколовский Сергей</t>
  </si>
  <si>
    <t>08.01.1976</t>
  </si>
  <si>
    <t>Солнцев Роман</t>
  </si>
  <si>
    <t>Соловьев Павел</t>
  </si>
  <si>
    <t>Солодовников Евгений</t>
  </si>
  <si>
    <t>Соломатников Артем</t>
  </si>
  <si>
    <t>Соломенников Александр</t>
  </si>
  <si>
    <t>13.11.1994</t>
  </si>
  <si>
    <t>Сонько Василий</t>
  </si>
  <si>
    <t>Сопешко Алексей</t>
  </si>
  <si>
    <t>Сопко Павел</t>
  </si>
  <si>
    <t>29.06.2002</t>
  </si>
  <si>
    <t>Сорокин Евгений</t>
  </si>
  <si>
    <t>18.01.2000</t>
  </si>
  <si>
    <t>Сорокин Кирилл</t>
  </si>
  <si>
    <t>Сорочинский Владислав</t>
  </si>
  <si>
    <t>Сосницкий Владимир</t>
  </si>
  <si>
    <t>14.12.1975</t>
  </si>
  <si>
    <t>Видное</t>
  </si>
  <si>
    <t>Спасов Вадим</t>
  </si>
  <si>
    <t>17.07.1995</t>
  </si>
  <si>
    <t>Спасов Иван</t>
  </si>
  <si>
    <t>Спектарук Илья</t>
  </si>
  <si>
    <t>10.07.2003</t>
  </si>
  <si>
    <t>Спириденко Вячеслав</t>
  </si>
  <si>
    <t>Спиридонов Николай</t>
  </si>
  <si>
    <t>Спиридонов Сергей</t>
  </si>
  <si>
    <t>Спирин Владимир</t>
  </si>
  <si>
    <t>16.10.1982</t>
  </si>
  <si>
    <t>Ставчук Михаил</t>
  </si>
  <si>
    <t>07.05.1999</t>
  </si>
  <si>
    <t>Старицын Алексей</t>
  </si>
  <si>
    <t>Стариченков Дмитрий</t>
  </si>
  <si>
    <t>08.03.2004</t>
  </si>
  <si>
    <t>Старновский Геннадий</t>
  </si>
  <si>
    <t>15.08.2003</t>
  </si>
  <si>
    <t>Стародубцев Яков</t>
  </si>
  <si>
    <t>12.12.2000</t>
  </si>
  <si>
    <t>Стати Михаил</t>
  </si>
  <si>
    <t>11.01.1997</t>
  </si>
  <si>
    <t>Степаненко Илья</t>
  </si>
  <si>
    <t>Степанов Александр</t>
  </si>
  <si>
    <t>10.09.1997</t>
  </si>
  <si>
    <t>Степанов Давид</t>
  </si>
  <si>
    <t>Степанов Дмитрий</t>
  </si>
  <si>
    <t>09.06.1979</t>
  </si>
  <si>
    <t>Степанов Илья</t>
  </si>
  <si>
    <t>Столяров Роман</t>
  </si>
  <si>
    <t>Субботин Денис</t>
  </si>
  <si>
    <t>15.08.1985</t>
  </si>
  <si>
    <t>12.07.1991</t>
  </si>
  <si>
    <t>Суворов Алексей</t>
  </si>
  <si>
    <t>СУЛТАНГАЛИЕВ Мади</t>
  </si>
  <si>
    <t>Сунгатуллин Руфиль</t>
  </si>
  <si>
    <t>Суриков Алексей</t>
  </si>
  <si>
    <t>Сухов Александр</t>
  </si>
  <si>
    <t>04.06.1997</t>
  </si>
  <si>
    <t>Сухов Олег</t>
  </si>
  <si>
    <t>Сухоруков Никита</t>
  </si>
  <si>
    <t>Сушин Кирилл</t>
  </si>
  <si>
    <t>Сыпченко Даниил</t>
  </si>
  <si>
    <t>11.11.1999</t>
  </si>
  <si>
    <t>12.05.1999</t>
  </si>
  <si>
    <t>Сычев Дмитрий</t>
  </si>
  <si>
    <t>Таипов Альмир</t>
  </si>
  <si>
    <t>Таипов Инсаф</t>
  </si>
  <si>
    <t>Талах Илья</t>
  </si>
  <si>
    <t>24.02.1995</t>
  </si>
  <si>
    <t>Талызин Даниил</t>
  </si>
  <si>
    <t>13.12.1984</t>
  </si>
  <si>
    <t>ТАРАНОВ Кирилл</t>
  </si>
  <si>
    <t>Тарасенко Иван</t>
  </si>
  <si>
    <t>Тарсин Матвей</t>
  </si>
  <si>
    <t>Таршинаев Чамзырин</t>
  </si>
  <si>
    <t>11.05.2002</t>
  </si>
  <si>
    <t>республика Тыва</t>
  </si>
  <si>
    <t>Татаринцев Андрей</t>
  </si>
  <si>
    <t>Тачалов Антон</t>
  </si>
  <si>
    <t>13.12.1979</t>
  </si>
  <si>
    <t>Твердовский Илья</t>
  </si>
  <si>
    <t>Тегелидиз Пантелей</t>
  </si>
  <si>
    <t>Телегин Данил</t>
  </si>
  <si>
    <t>22.03.1985</t>
  </si>
  <si>
    <t>Телешев Максим</t>
  </si>
  <si>
    <t>Темирканов Заур</t>
  </si>
  <si>
    <t>Темнов Тимур</t>
  </si>
  <si>
    <t>Терентьев Артем</t>
  </si>
  <si>
    <t>07.02.1994</t>
  </si>
  <si>
    <t>Терехов Андрей</t>
  </si>
  <si>
    <t>08.03.1975</t>
  </si>
  <si>
    <t>Терещенко Виталий</t>
  </si>
  <si>
    <t>Терещенко Матвей</t>
  </si>
  <si>
    <t>Теркулов Раис</t>
  </si>
  <si>
    <t>16.12.1996</t>
  </si>
  <si>
    <t>Терсенов Алексей</t>
  </si>
  <si>
    <t>30.08.1997</t>
  </si>
  <si>
    <t>Тестов Денис</t>
  </si>
  <si>
    <t>26.09.2000</t>
  </si>
  <si>
    <t>Тефанов Никита</t>
  </si>
  <si>
    <t>14.04.2003</t>
  </si>
  <si>
    <t>Тимерханов Руслан</t>
  </si>
  <si>
    <t>01.12.1993</t>
  </si>
  <si>
    <t>Тимин Егор</t>
  </si>
  <si>
    <t>09.03.1994</t>
  </si>
  <si>
    <t>Тимиров Игорь</t>
  </si>
  <si>
    <t>Тимофеев Михаил</t>
  </si>
  <si>
    <t>29.09.1984</t>
  </si>
  <si>
    <t>Титенко Дмитрий</t>
  </si>
  <si>
    <t>Титов Алексей</t>
  </si>
  <si>
    <t>02.07.1982</t>
  </si>
  <si>
    <t>Тихомиров Владимир</t>
  </si>
  <si>
    <t>16.11.1989</t>
  </si>
  <si>
    <t>Тихомиров Сергей</t>
  </si>
  <si>
    <t>23.02.1988</t>
  </si>
  <si>
    <t>Тихомолов Алексей</t>
  </si>
  <si>
    <t>Тихонов Виталий</t>
  </si>
  <si>
    <t>24.12.1985</t>
  </si>
  <si>
    <t>Тихонов Игорь</t>
  </si>
  <si>
    <t>Тишков Владислав</t>
  </si>
  <si>
    <t>Тищенко Виталий</t>
  </si>
  <si>
    <t>Ткач Дмитрий</t>
  </si>
  <si>
    <t>Ткаченко Дмитрий</t>
  </si>
  <si>
    <t>25.04.2001</t>
  </si>
  <si>
    <t>Ткаченко Никита</t>
  </si>
  <si>
    <t>Тогушаев Самат</t>
  </si>
  <si>
    <t>Толкунов Егор</t>
  </si>
  <si>
    <t>04.07.1999</t>
  </si>
  <si>
    <t>Толмачев Станислав</t>
  </si>
  <si>
    <t>28.07.2003</t>
  </si>
  <si>
    <t>Толочко Константин</t>
  </si>
  <si>
    <t>Толстоноженко Максим</t>
  </si>
  <si>
    <t>Томилов Александр</t>
  </si>
  <si>
    <t>Топчан Александр</t>
  </si>
  <si>
    <t>Торопченков Кирилл</t>
  </si>
  <si>
    <t>07.05.1997</t>
  </si>
  <si>
    <t>Трачук Николай</t>
  </si>
  <si>
    <t>23.08.1979</t>
  </si>
  <si>
    <t>Тремель Евгений</t>
  </si>
  <si>
    <t>Трефилов Артем</t>
  </si>
  <si>
    <t>Трикин Алексей</t>
  </si>
  <si>
    <t>Троицкий Александр</t>
  </si>
  <si>
    <t>25.10.2002</t>
  </si>
  <si>
    <t>Тронин Геннадий</t>
  </si>
  <si>
    <t>Кез  Удмуртия</t>
  </si>
  <si>
    <t>Трофимов Роман</t>
  </si>
  <si>
    <t>Троценко Виктор</t>
  </si>
  <si>
    <t>Трошкеев Данил</t>
  </si>
  <si>
    <t>Трубников Егор</t>
  </si>
  <si>
    <t>Трусов Влад</t>
  </si>
  <si>
    <t>19.01.2003</t>
  </si>
  <si>
    <t>Трыкин Алексей</t>
  </si>
  <si>
    <t>Тузов Алексей</t>
  </si>
  <si>
    <t>14.12.2001</t>
  </si>
  <si>
    <t>Туманов Никита</t>
  </si>
  <si>
    <t>Еманжелинск  Чел.о.</t>
  </si>
  <si>
    <t>Тумашевский Антон</t>
  </si>
  <si>
    <t>Тыганов Андрей</t>
  </si>
  <si>
    <t>20.08.1994</t>
  </si>
  <si>
    <t>Тюкавин Никита</t>
  </si>
  <si>
    <t>Тюлюш Дамба-Доржу</t>
  </si>
  <si>
    <t>Тютюкин Ростислав</t>
  </si>
  <si>
    <t>Тяпухин Даниил</t>
  </si>
  <si>
    <t>Увижев Ислам</t>
  </si>
  <si>
    <t>Углов Артем</t>
  </si>
  <si>
    <t>Угольков Антон</t>
  </si>
  <si>
    <t>Удоратин Андрей</t>
  </si>
  <si>
    <t>17.07.1976</t>
  </si>
  <si>
    <t>Уколов Евгений</t>
  </si>
  <si>
    <t>Уколов Яков</t>
  </si>
  <si>
    <t>18.04.1986</t>
  </si>
  <si>
    <t>Умняшкин Кирилл</t>
  </si>
  <si>
    <t>Унатлоков Амин</t>
  </si>
  <si>
    <t>Уразаков Ролан</t>
  </si>
  <si>
    <t>08.08.1991</t>
  </si>
  <si>
    <t>Уржунцев Денис</t>
  </si>
  <si>
    <t>03.01.2002</t>
  </si>
  <si>
    <t>Уринов Данат</t>
  </si>
  <si>
    <t>Новотроицк  Оренб.о.</t>
  </si>
  <si>
    <t>Усачев Илья</t>
  </si>
  <si>
    <t>Устинов Антон</t>
  </si>
  <si>
    <t>Устинский Андрей</t>
  </si>
  <si>
    <t>24.10.1996</t>
  </si>
  <si>
    <t>Утешев Тимур</t>
  </si>
  <si>
    <t>Уткин Дмитрий</t>
  </si>
  <si>
    <t>Учаев Даниил</t>
  </si>
  <si>
    <t>Файзуллин Азат</t>
  </si>
  <si>
    <t>Фараджев Ярослав</t>
  </si>
  <si>
    <t>15.07.1981</t>
  </si>
  <si>
    <t>Фарафонов Никита</t>
  </si>
  <si>
    <t>Фатуев Кирилл</t>
  </si>
  <si>
    <t>Фахрутдинов Идель</t>
  </si>
  <si>
    <t>Федин Дмитрий</t>
  </si>
  <si>
    <t>18.09.1993</t>
  </si>
  <si>
    <t>02.04.1994</t>
  </si>
  <si>
    <t>Федоров Иван</t>
  </si>
  <si>
    <t>03.12.1997</t>
  </si>
  <si>
    <t>26.02.1997</t>
  </si>
  <si>
    <t>Федоров Станислав</t>
  </si>
  <si>
    <t>28.04.1977</t>
  </si>
  <si>
    <t>Федосеев Алексей</t>
  </si>
  <si>
    <t>Федосов Руслан</t>
  </si>
  <si>
    <t>Федотов Андрей</t>
  </si>
  <si>
    <t>Федяев Дмитрий</t>
  </si>
  <si>
    <t>Феоктистов Алексей</t>
  </si>
  <si>
    <t>12.06.2001</t>
  </si>
  <si>
    <t>Феофанов Сергей</t>
  </si>
  <si>
    <t>08.01.1998</t>
  </si>
  <si>
    <t>Фидлер Илья</t>
  </si>
  <si>
    <t>Барышево  Новосиб.обл.</t>
  </si>
  <si>
    <t>Филатов Денис</t>
  </si>
  <si>
    <t>Филимонов Артем</t>
  </si>
  <si>
    <t>Филимонов Данила</t>
  </si>
  <si>
    <t>Филиппов Вячеслав</t>
  </si>
  <si>
    <t>25.05.1990</t>
  </si>
  <si>
    <t>Филиппов Иван</t>
  </si>
  <si>
    <t>Филоненко Алексей</t>
  </si>
  <si>
    <t>Флягин Владимир</t>
  </si>
  <si>
    <t>Фогель Данил</t>
  </si>
  <si>
    <t>18.09.1999</t>
  </si>
  <si>
    <t>Фомин Анатолий</t>
  </si>
  <si>
    <t>Фомин Семен</t>
  </si>
  <si>
    <t>15.08.1973</t>
  </si>
  <si>
    <t>Фомичев Алексей</t>
  </si>
  <si>
    <t>Фомичев Кирилл</t>
  </si>
  <si>
    <t>Форманчук Александр</t>
  </si>
  <si>
    <t>20.08.1969</t>
  </si>
  <si>
    <t>Франкфурт Станислав</t>
  </si>
  <si>
    <t>27.08.1982</t>
  </si>
  <si>
    <t>Фролов Михаил</t>
  </si>
  <si>
    <t>Фролов-Буканов Виктор</t>
  </si>
  <si>
    <t>27.12.2004</t>
  </si>
  <si>
    <t>Фуртаев Никита</t>
  </si>
  <si>
    <t>ХАБИБУЛЛИН Равиль</t>
  </si>
  <si>
    <t>Хажнагоев Исмаил</t>
  </si>
  <si>
    <t>Хажыт Субудай</t>
  </si>
  <si>
    <t>27.01.2002</t>
  </si>
  <si>
    <t>Хайбуллин Данила</t>
  </si>
  <si>
    <t>Хайдяров Марат</t>
  </si>
  <si>
    <t>Хайртдинов Карим</t>
  </si>
  <si>
    <t>Хакимов Артем</t>
  </si>
  <si>
    <t>Халиулин Никита</t>
  </si>
  <si>
    <t>Хальпин Дмитрий</t>
  </si>
  <si>
    <t>14.02.1977</t>
  </si>
  <si>
    <t>Халявин Артур</t>
  </si>
  <si>
    <t>Хамдамбоев Артем</t>
  </si>
  <si>
    <t>Харев Павел</t>
  </si>
  <si>
    <t>Харитонов Никита</t>
  </si>
  <si>
    <t>Харитонов Сергей</t>
  </si>
  <si>
    <t>Харламов Руслан</t>
  </si>
  <si>
    <t>28.06.1991</t>
  </si>
  <si>
    <t>Харламов Станислав</t>
  </si>
  <si>
    <t>12.04.2003</t>
  </si>
  <si>
    <t>Харченко Игорь</t>
  </si>
  <si>
    <t>01.09.1970</t>
  </si>
  <si>
    <t>Харчук Дмитрий</t>
  </si>
  <si>
    <t>07.10.2002</t>
  </si>
  <si>
    <t>30.10.2000</t>
  </si>
  <si>
    <t>Хаткевич Тимофей</t>
  </si>
  <si>
    <t>Хафизов Камил</t>
  </si>
  <si>
    <t>Хахалин Никита</t>
  </si>
  <si>
    <t>26.04.2002</t>
  </si>
  <si>
    <t>Бежецк  Тв.о.</t>
  </si>
  <si>
    <t>Хачатурян Эрнест</t>
  </si>
  <si>
    <t>Хвостиков Илья</t>
  </si>
  <si>
    <t>10.11.2004</t>
  </si>
  <si>
    <t>Хен Дмитрий</t>
  </si>
  <si>
    <t>ХИЖНЯК Никита</t>
  </si>
  <si>
    <t>Хмелевский Егор</t>
  </si>
  <si>
    <t>Хорьков Юрий</t>
  </si>
  <si>
    <t>03.08.1971</t>
  </si>
  <si>
    <t>Хохлов Данил</t>
  </si>
  <si>
    <t>08.12.2002</t>
  </si>
  <si>
    <t>Хохряков Владимир</t>
  </si>
  <si>
    <t>Храпов Александр</t>
  </si>
  <si>
    <t>Хренов Александр</t>
  </si>
  <si>
    <t>04.06.1998</t>
  </si>
  <si>
    <t>Белогорск Амур.обл.</t>
  </si>
  <si>
    <t>Хритоненков Игорь</t>
  </si>
  <si>
    <t>Хряпинский Игорь</t>
  </si>
  <si>
    <t>Хузин Камиль</t>
  </si>
  <si>
    <t>29.05.2004</t>
  </si>
  <si>
    <t>Цаллагов Хаджи-Мурат</t>
  </si>
  <si>
    <t>03.02.1999</t>
  </si>
  <si>
    <t>Цветов Никитиа</t>
  </si>
  <si>
    <t>Цвигун Дмитрий</t>
  </si>
  <si>
    <t>Цебаев Артур</t>
  </si>
  <si>
    <t>26.07.1998</t>
  </si>
  <si>
    <t>Цепляев Артем</t>
  </si>
  <si>
    <t>Цехмистро Максим</t>
  </si>
  <si>
    <t>16.04.2002</t>
  </si>
  <si>
    <t>Цибанов Никита</t>
  </si>
  <si>
    <t>12.04.2000</t>
  </si>
  <si>
    <t>Циклин Вячеслав</t>
  </si>
  <si>
    <t>22.01.2005</t>
  </si>
  <si>
    <t>Цопа Артур</t>
  </si>
  <si>
    <t>Цпин Павел</t>
  </si>
  <si>
    <t>28.08.1995</t>
  </si>
  <si>
    <t>Цховребадзе Важа</t>
  </si>
  <si>
    <t>10.08.1961</t>
  </si>
  <si>
    <t>Цыбиков Жаргал</t>
  </si>
  <si>
    <t>04.05.1992</t>
  </si>
  <si>
    <t>Цыбин Андрей</t>
  </si>
  <si>
    <t>14.10.1993</t>
  </si>
  <si>
    <t>Цыбульский Давид</t>
  </si>
  <si>
    <t>18.05.2004</t>
  </si>
  <si>
    <t>10.01.2001</t>
  </si>
  <si>
    <t>Цыплин Олег</t>
  </si>
  <si>
    <t>04.04.2000</t>
  </si>
  <si>
    <t>Цыренжапов Булат</t>
  </si>
  <si>
    <t>04.12.1997</t>
  </si>
  <si>
    <t>Чабан Тимофей</t>
  </si>
  <si>
    <t>Чакаев Заурбек</t>
  </si>
  <si>
    <t>18.06.1965</t>
  </si>
  <si>
    <t>Чанчиков Дмитрий</t>
  </si>
  <si>
    <t>Чаплян Константин</t>
  </si>
  <si>
    <t>Чапурин Анатолий</t>
  </si>
  <si>
    <t>06.11.1949</t>
  </si>
  <si>
    <t>Чеваков Олег</t>
  </si>
  <si>
    <t>02.10.1997</t>
  </si>
  <si>
    <t>Чежегов Глеб</t>
  </si>
  <si>
    <t>18.12.1999</t>
  </si>
  <si>
    <t>Челпанов Глеб</t>
  </si>
  <si>
    <t>Чепрасов Александр</t>
  </si>
  <si>
    <t>Чередниченко Сергей</t>
  </si>
  <si>
    <t>25.03.1968</t>
  </si>
  <si>
    <t>Черепанов Михаил</t>
  </si>
  <si>
    <t>Черепей Богдан</t>
  </si>
  <si>
    <t>Черепнев Александр</t>
  </si>
  <si>
    <t>26.11.1996</t>
  </si>
  <si>
    <t>Чернов Артем</t>
  </si>
  <si>
    <t>Чернов Даниил</t>
  </si>
  <si>
    <t>07.02.1999</t>
  </si>
  <si>
    <t>Чернушенко Максим</t>
  </si>
  <si>
    <t>Черняев Иван</t>
  </si>
  <si>
    <t>Черняев Михаил</t>
  </si>
  <si>
    <t>22.02.2000</t>
  </si>
  <si>
    <t>Чехлов Артем</t>
  </si>
  <si>
    <t>29.12.2002</t>
  </si>
  <si>
    <t>Чириканов Даниил</t>
  </si>
  <si>
    <t>Чистяков Андрей</t>
  </si>
  <si>
    <t>Чмыхало Артем</t>
  </si>
  <si>
    <t>Городок  Краснояр.кр.</t>
  </si>
  <si>
    <t>Чубиркин Александр</t>
  </si>
  <si>
    <t>24.03.2001</t>
  </si>
  <si>
    <t>Чугунов Матвей</t>
  </si>
  <si>
    <t>Чудиновских Владимир</t>
  </si>
  <si>
    <t>05.08.2001</t>
  </si>
  <si>
    <t>Чупров Сергей</t>
  </si>
  <si>
    <t>Чураков Артур</t>
  </si>
  <si>
    <t>17.04.2002</t>
  </si>
  <si>
    <t>Чурилов Никита</t>
  </si>
  <si>
    <t>25.05.2002</t>
  </si>
  <si>
    <t>Чухарев Иван</t>
  </si>
  <si>
    <t>Шабанов Дмитрий</t>
  </si>
  <si>
    <t>10.07.1991</t>
  </si>
  <si>
    <t>Шаблей Александр</t>
  </si>
  <si>
    <t>25.12.1982</t>
  </si>
  <si>
    <t>Шабунин Артем</t>
  </si>
  <si>
    <t>Шаврин Евгений</t>
  </si>
  <si>
    <t>Шагдарон Бато</t>
  </si>
  <si>
    <t>Шадрин Артем</t>
  </si>
  <si>
    <t>Шакиров Ленар</t>
  </si>
  <si>
    <t>19.01.1997</t>
  </si>
  <si>
    <t>Шалимов Виктор</t>
  </si>
  <si>
    <t>16.03.1989</t>
  </si>
  <si>
    <t>Шандрин Максим</t>
  </si>
  <si>
    <t>Шапкин Денис</t>
  </si>
  <si>
    <t>Шаповалов Дмитрий</t>
  </si>
  <si>
    <t>12.11.2004</t>
  </si>
  <si>
    <t>Шарапудинов Шапи</t>
  </si>
  <si>
    <t>Шарипов Амир</t>
  </si>
  <si>
    <t>Шаталкин Максим</t>
  </si>
  <si>
    <t>27.08.1994</t>
  </si>
  <si>
    <t>Шаталов Егор</t>
  </si>
  <si>
    <t>28.05.2002</t>
  </si>
  <si>
    <t>Шаталов Тимофей</t>
  </si>
  <si>
    <t>Шатинскийй Григорий</t>
  </si>
  <si>
    <t>Шатров Михаил</t>
  </si>
  <si>
    <t>Шатруков Евгений</t>
  </si>
  <si>
    <t>Шашков Тимофей</t>
  </si>
  <si>
    <t>12.10.2002</t>
  </si>
  <si>
    <t>Швицгебель Александр</t>
  </si>
  <si>
    <t>Шевердяков Олег</t>
  </si>
  <si>
    <t>Шевцов Алексей</t>
  </si>
  <si>
    <t>Шевцов Борис</t>
  </si>
  <si>
    <t>Шевченко Василий</t>
  </si>
  <si>
    <t>29.08.1969</t>
  </si>
  <si>
    <t>Шевченко Сергей</t>
  </si>
  <si>
    <t>Шеляг Алексей</t>
  </si>
  <si>
    <t>Шеметов Денис</t>
  </si>
  <si>
    <t>20.05.1985</t>
  </si>
  <si>
    <t>Шемякин Андрей</t>
  </si>
  <si>
    <t>Шикин Сергей</t>
  </si>
  <si>
    <t>Шипов Алексей</t>
  </si>
  <si>
    <t>08.02.1996</t>
  </si>
  <si>
    <t>Широков Владимир</t>
  </si>
  <si>
    <t>04.07.1991</t>
  </si>
  <si>
    <t>Ширшов Дмитрий</t>
  </si>
  <si>
    <t>Шихуцкий Андрей</t>
  </si>
  <si>
    <t>26.05.2003</t>
  </si>
  <si>
    <t>Шишин Кирилл</t>
  </si>
  <si>
    <t>Шишкин Иван</t>
  </si>
  <si>
    <t>Шишлин Александр</t>
  </si>
  <si>
    <t>03.06.2003</t>
  </si>
  <si>
    <t>Шишов Николай</t>
  </si>
  <si>
    <t>Шкарин Павел</t>
  </si>
  <si>
    <t>14.09.2000</t>
  </si>
  <si>
    <t>Шкуринский Максим</t>
  </si>
  <si>
    <t>23.08.2002</t>
  </si>
  <si>
    <t>Шкуров Сергей</t>
  </si>
  <si>
    <t>Шлемин Кирилл</t>
  </si>
  <si>
    <t>Шлындров Арсентий</t>
  </si>
  <si>
    <t>Шляпин Максим</t>
  </si>
  <si>
    <t>17.04.1999</t>
  </si>
  <si>
    <t>Шляпников Даниил</t>
  </si>
  <si>
    <t>Шмаков Александр</t>
  </si>
  <si>
    <t>Шмаков Кирилл</t>
  </si>
  <si>
    <t>Шогенов Алим</t>
  </si>
  <si>
    <t>Шойжилов Денис</t>
  </si>
  <si>
    <t>06.01.1993</t>
  </si>
  <si>
    <t>Шонкус Никита</t>
  </si>
  <si>
    <t>Шоть Олег</t>
  </si>
  <si>
    <t>18.12.1997</t>
  </si>
  <si>
    <t>Штепа Егор</t>
  </si>
  <si>
    <t>Штро Андрей</t>
  </si>
  <si>
    <t>20.01.1987</t>
  </si>
  <si>
    <t>Шубат Кирилл</t>
  </si>
  <si>
    <t>Шуваев Алексей</t>
  </si>
  <si>
    <t>17.04.1997</t>
  </si>
  <si>
    <t>Шуваев Арсентий</t>
  </si>
  <si>
    <t>04.12.1972</t>
  </si>
  <si>
    <t>Шуваев Данила</t>
  </si>
  <si>
    <t>Шудегов Виталий</t>
  </si>
  <si>
    <t>17.09.1980</t>
  </si>
  <si>
    <t>Шульц Александр</t>
  </si>
  <si>
    <t>24.03.1999</t>
  </si>
  <si>
    <t>Шумейко Александр</t>
  </si>
  <si>
    <t>24.04.1987</t>
  </si>
  <si>
    <t>Шустов Иван</t>
  </si>
  <si>
    <t>Шутов Артем</t>
  </si>
  <si>
    <t>25.02.1985</t>
  </si>
  <si>
    <t>Шуть Алексей</t>
  </si>
  <si>
    <t>Щеголев Денис</t>
  </si>
  <si>
    <t>17.09.1992</t>
  </si>
  <si>
    <t>Щеголь Павел</t>
  </si>
  <si>
    <t>Щекотов Арсений</t>
  </si>
  <si>
    <t>Красноуральск  Св.обл.</t>
  </si>
  <si>
    <t>Щербак Александр</t>
  </si>
  <si>
    <t>Щербаков Дмитрий</t>
  </si>
  <si>
    <t>Щетинкин Дмитрий</t>
  </si>
  <si>
    <t>Щукин Алексей</t>
  </si>
  <si>
    <t>Эм Владислав</t>
  </si>
  <si>
    <t>Эрендженов Дамир</t>
  </si>
  <si>
    <t>Эртюков Михаил</t>
  </si>
  <si>
    <t>с. Кыйы  Саха</t>
  </si>
  <si>
    <t>Эсаулов Александр</t>
  </si>
  <si>
    <t>28.04.1985</t>
  </si>
  <si>
    <t>Юдин Валерий</t>
  </si>
  <si>
    <t>Юрков Николай</t>
  </si>
  <si>
    <t>05.02.1998</t>
  </si>
  <si>
    <t>Юсипов Тимофей</t>
  </si>
  <si>
    <t>Юсуфов Магомед</t>
  </si>
  <si>
    <t>29.09.2001</t>
  </si>
  <si>
    <t>Юшков Антон</t>
  </si>
  <si>
    <t>04.09.1974</t>
  </si>
  <si>
    <t>Явсин Евгений</t>
  </si>
  <si>
    <t>02.03.1994</t>
  </si>
  <si>
    <t>Якобнюк Леонид</t>
  </si>
  <si>
    <t>Яковлев Алексей</t>
  </si>
  <si>
    <t>Яковлев Михаил</t>
  </si>
  <si>
    <t>14.02.1989</t>
  </si>
  <si>
    <t>Якуба Владимир</t>
  </si>
  <si>
    <t>Якунин Иван</t>
  </si>
  <si>
    <t>Ян Цзый</t>
  </si>
  <si>
    <t>Янов Илья</t>
  </si>
  <si>
    <t>Ярославский Владимир</t>
  </si>
  <si>
    <t>Ярославцев Евгений</t>
  </si>
  <si>
    <t>Ястребцев Дмитрий</t>
  </si>
  <si>
    <t>03.07.1988</t>
  </si>
  <si>
    <t>Ясюкевич Иван</t>
  </si>
  <si>
    <t>Яценко Данила</t>
  </si>
  <si>
    <t xml:space="preserve">протокол </t>
  </si>
  <si>
    <t xml:space="preserve">группа №   </t>
  </si>
  <si>
    <t xml:space="preserve">встреча   </t>
  </si>
  <si>
    <t>4-8</t>
  </si>
  <si>
    <t>3-5</t>
  </si>
  <si>
    <t>2-6</t>
  </si>
  <si>
    <t>встречу выиграл</t>
  </si>
  <si>
    <t>счет встречи</t>
  </si>
  <si>
    <t>1-7</t>
  </si>
  <si>
    <t>4-6</t>
  </si>
  <si>
    <t>3-7</t>
  </si>
  <si>
    <t>2-8</t>
  </si>
  <si>
    <t>1-5</t>
  </si>
  <si>
    <t>6-8</t>
  </si>
  <si>
    <t>5-7</t>
  </si>
  <si>
    <t>2-4</t>
  </si>
  <si>
    <t>1-3</t>
  </si>
  <si>
    <t>Групповой этап</t>
  </si>
  <si>
    <t>5-2</t>
  </si>
  <si>
    <t>6-1</t>
  </si>
  <si>
    <t>8-3</t>
  </si>
  <si>
    <t>7-4</t>
  </si>
  <si>
    <t>8-1</t>
  </si>
  <si>
    <t>5-4</t>
  </si>
  <si>
    <t>7-2</t>
  </si>
  <si>
    <t>6-3</t>
  </si>
  <si>
    <t>4-1</t>
  </si>
  <si>
    <t>3-2</t>
  </si>
  <si>
    <t>7-6</t>
  </si>
  <si>
    <t>8-5</t>
  </si>
  <si>
    <t>Финалы</t>
  </si>
  <si>
    <t>финалы</t>
  </si>
  <si>
    <t>1 группа (полуфинал)</t>
  </si>
  <si>
    <t>2 группа (полуфинал)</t>
  </si>
  <si>
    <t>3 группа (полуфинал)</t>
  </si>
  <si>
    <t>4 группа (полуфинал)</t>
  </si>
  <si>
    <t>В.А. Коваль</t>
  </si>
  <si>
    <t>А.С. Рожкова</t>
  </si>
  <si>
    <t>АНДРОНОВ Федор</t>
  </si>
  <si>
    <t>Игнатова О.А.</t>
  </si>
  <si>
    <t>КОБЗЕВ Прохор</t>
  </si>
  <si>
    <t>Власов Ю.К.</t>
  </si>
  <si>
    <t>КЛЕСТОВ Евгений</t>
  </si>
  <si>
    <t>Смирнов Г.А.</t>
  </si>
  <si>
    <t>ВАСИКОВ Евгений</t>
  </si>
  <si>
    <t>3ю</t>
  </si>
  <si>
    <t>МАНЦУРОВ Тихон</t>
  </si>
  <si>
    <t>Потыльчак И.В., Выборнов Ю.В.</t>
  </si>
  <si>
    <t>ЗОЛОТКОВ Максим</t>
  </si>
  <si>
    <t>Бортников Р.В.</t>
  </si>
  <si>
    <t>СИТНИКОВ Кирилл</t>
  </si>
  <si>
    <t>Ситникова И.Е., Ситников А.В.</t>
  </si>
  <si>
    <t>ГРИЦЕВИЧ Станислав</t>
  </si>
  <si>
    <t>КАРТАВЦЕВ Михаил</t>
  </si>
  <si>
    <t>1ю</t>
  </si>
  <si>
    <t>ЛУЗАНОВ Даниил</t>
  </si>
  <si>
    <t>Гамаюнов Ю.В.., Толкачев В.Л.</t>
  </si>
  <si>
    <t>РЕКУТИН Вадим</t>
  </si>
  <si>
    <t>Боков А.В.. Бокова Е.В.</t>
  </si>
  <si>
    <t>ШКРЕД Илья</t>
  </si>
  <si>
    <t>Бокова Е.В.</t>
  </si>
  <si>
    <t>ШУКЛИН Александр</t>
  </si>
  <si>
    <t>Боков А.В.</t>
  </si>
  <si>
    <t>ШИЛОВ Владимир</t>
  </si>
  <si>
    <t>НАСИРОВ Федор</t>
  </si>
  <si>
    <t>МАСЛАКОВ Антон</t>
  </si>
  <si>
    <t>ОДЕРКОВ Марк</t>
  </si>
  <si>
    <t>Гамаюнов И.В.</t>
  </si>
  <si>
    <t>СТАРОСТИН Максим</t>
  </si>
  <si>
    <t>Каменев А.Ю.</t>
  </si>
  <si>
    <t>РАМС Сергей</t>
  </si>
  <si>
    <t>Ремизов В.Н.</t>
  </si>
  <si>
    <t>ПЕРФИЛЬЕВ Алексей</t>
  </si>
  <si>
    <t>Гущин В.В.. Коваль Г.В., Онучин Н.В.</t>
  </si>
  <si>
    <t>ВОЛЫНКИН Александр</t>
  </si>
  <si>
    <t>Абрамов Е.А.</t>
  </si>
  <si>
    <t>СУЛТАНОВ Артур</t>
  </si>
  <si>
    <t>Брайловский</t>
  </si>
  <si>
    <t>Мельник Г.Н.</t>
  </si>
  <si>
    <t>Эдель Н.Н.</t>
  </si>
  <si>
    <t>Тимофеева Р.А.</t>
  </si>
  <si>
    <t>Родионова М.Б.</t>
  </si>
  <si>
    <t>МИРОНОВ Егор</t>
  </si>
  <si>
    <t>КАЛИМУЛЛИН Камиль</t>
  </si>
  <si>
    <t>БУРГАСОВ Владимир</t>
  </si>
  <si>
    <t>КУРОЧКИН Егор</t>
  </si>
  <si>
    <t>САВИЧЕВ Дмитрий</t>
  </si>
  <si>
    <t>ПИВОВАРОВ Иван</t>
  </si>
  <si>
    <t>Спиридонов В.В.</t>
  </si>
  <si>
    <t>МОСПАНОВ Илья</t>
  </si>
  <si>
    <t>ЛАЗАРЕВ Василий</t>
  </si>
  <si>
    <t>Фрог А.М.</t>
  </si>
  <si>
    <t>ДИНИСЕНКО Тимофей</t>
  </si>
  <si>
    <t>Барсукова Н.А.</t>
  </si>
  <si>
    <t>СВИРЩЕВСКИЙ Юрий</t>
  </si>
  <si>
    <t>НАЗАРКИН Максим</t>
  </si>
  <si>
    <t>КОРОЛЬ Владислав</t>
  </si>
  <si>
    <t>Дроздова Н.В.</t>
  </si>
  <si>
    <t>НИКИШАЕВ Матвей</t>
  </si>
  <si>
    <t>РОСТОШИНСКИЙ Иван</t>
  </si>
  <si>
    <t>ПОДЛАЗОВ Владислав</t>
  </si>
  <si>
    <t>ПОПОВ Данила</t>
  </si>
  <si>
    <t>2ю</t>
  </si>
  <si>
    <t>ТИХОНОВ Евгений</t>
  </si>
  <si>
    <t>ПЛАХОТНИК Александр</t>
  </si>
  <si>
    <t>МУКОВ Руслан</t>
  </si>
  <si>
    <t>Битюцкая И.И.</t>
  </si>
  <si>
    <t>КМС</t>
  </si>
  <si>
    <t>Ступаченко Л.Н.</t>
  </si>
  <si>
    <t>БОЖЕНКОВ Евгений</t>
  </si>
  <si>
    <t>Оноприенко В.Ю.</t>
  </si>
  <si>
    <t>СУЧКОВ Артемий</t>
  </si>
  <si>
    <t>ЗАЙЦЕВ Сергей</t>
  </si>
  <si>
    <t>БАТАЛОВ Анатолий</t>
  </si>
  <si>
    <t>УШКАРЕВ Максим</t>
  </si>
  <si>
    <t>Мулдагалиев  С.А., Калустов К.С.</t>
  </si>
  <si>
    <t>САТДАРОВ Артем</t>
  </si>
  <si>
    <t>Савинов Ю.Н.. Биткина В.В.. Сорин М.Б.</t>
  </si>
  <si>
    <t>СОДЫЛЬ Максим</t>
  </si>
  <si>
    <t>САВЕЛЬЕВ Никита</t>
  </si>
  <si>
    <t>ПОРТНОВ Фадей</t>
  </si>
  <si>
    <t>ЛЕДНЕВ Даниил</t>
  </si>
  <si>
    <t>АВЕРИН Денис</t>
  </si>
  <si>
    <t>Антонова Т.В., Антонов ВА.</t>
  </si>
  <si>
    <t>ПОПОВ Максим</t>
  </si>
  <si>
    <t>СОБАКИН Юрий</t>
  </si>
  <si>
    <t>Чичинев а.в.</t>
  </si>
  <si>
    <t>ЖИЛОВ Кристиан</t>
  </si>
  <si>
    <t>КОРОТКОВ Степан</t>
  </si>
  <si>
    <t>МИШУКОВ Михаил</t>
  </si>
  <si>
    <t>МАЛОВ Илья</t>
  </si>
  <si>
    <t>МЕДВЕДЕВ Матвей</t>
  </si>
  <si>
    <t>Чичинев а.в., Вепринский И.А.</t>
  </si>
  <si>
    <t>ЛЕОНИДОВ Александр</t>
  </si>
  <si>
    <t>Чиченев В.А., Чиченев А.В.</t>
  </si>
  <si>
    <t>СУРОВЦЕВ Денис</t>
  </si>
  <si>
    <t>Мейснер О.Л.</t>
  </si>
  <si>
    <t>КУРИЛОВИЧ Ярослав</t>
  </si>
  <si>
    <t>Иванов Л.В.</t>
  </si>
  <si>
    <t>ЧЕРНОВ Артемий</t>
  </si>
  <si>
    <t>АКЕНТЬЕВ Алексей</t>
  </si>
  <si>
    <t>Болотников А.Ю.</t>
  </si>
  <si>
    <t>ПЕТРОВ Егор</t>
  </si>
  <si>
    <t>Дмский р-н, Мос о.</t>
  </si>
  <si>
    <t>Морозов Б.В.</t>
  </si>
  <si>
    <t>ОСМОЛОВСКИЙ Никита</t>
  </si>
  <si>
    <t>ТАДЖИБАЕВ Артур</t>
  </si>
  <si>
    <t>РЫЖОВ Петр</t>
  </si>
  <si>
    <t>МАКАРОВ Никита</t>
  </si>
  <si>
    <t>МАКЕЕВ Александр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</si>
  <si>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</si>
  <si>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</si>
  <si>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</si>
  <si>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</si>
  <si>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</si>
  <si>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</si>
  <si>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</si>
  <si>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</si>
  <si>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</si>
  <si>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</si>
  <si>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</si>
  <si>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ПРОХОРОВ Кирилл</t>
  </si>
  <si>
    <t>Домнин В.В.</t>
  </si>
  <si>
    <t>ПЕТУХОВ Антон</t>
  </si>
  <si>
    <t>Домнин В.В., Костеневич Л.М.</t>
  </si>
  <si>
    <t>ПРИЗЕНКО Артем</t>
  </si>
  <si>
    <t>КОРОЛЬКОВ Егор</t>
  </si>
  <si>
    <t>Чуев А.Н.</t>
  </si>
  <si>
    <t>БАНДУРИН Михаил</t>
  </si>
  <si>
    <t>ЧИКИН Александр</t>
  </si>
  <si>
    <t>Кузичкин В.В.</t>
  </si>
  <si>
    <t>ЮНУСОВ Михаил</t>
  </si>
  <si>
    <t>МАЛЫК Никита</t>
  </si>
  <si>
    <t>Гамаюнов Ю.В., Толкачев В.Л.</t>
  </si>
  <si>
    <t>СТАШКОВСКИЙ Глеб</t>
  </si>
  <si>
    <t>Лошкарева Н.Г.</t>
  </si>
  <si>
    <t>ГИНОСЯН Геворг</t>
  </si>
  <si>
    <t>Наумов А.В., Корнева Т.М.</t>
  </si>
  <si>
    <t>АВЕРИН Владимир</t>
  </si>
  <si>
    <t>РОТНОВ Егор</t>
  </si>
  <si>
    <t>ЛОМАКИН Павел</t>
  </si>
  <si>
    <t>Костеневич Л.М.. Галузинский С.П.</t>
  </si>
  <si>
    <t>КРАСНОЖОН Михаил</t>
  </si>
  <si>
    <t>Костеневич Л.М..</t>
  </si>
  <si>
    <t>РЯБОШАПКА Федор</t>
  </si>
  <si>
    <t>БУЛАВИН Михаил</t>
  </si>
  <si>
    <t>ДУБРОВСКИЙ Иван</t>
  </si>
  <si>
    <t>Вдовенко И.В.</t>
  </si>
  <si>
    <t>КОМИССАРОВ Даниил</t>
  </si>
  <si>
    <t>ДЯГЕЛЕВ Артем</t>
  </si>
  <si>
    <t>ПОПОВ Павел</t>
  </si>
  <si>
    <t>ОСТАШОВ Артем</t>
  </si>
  <si>
    <t>ДЕРНИКОВ Ефим</t>
  </si>
  <si>
    <t>МАРКИН Иван</t>
  </si>
  <si>
    <t>ПАНФИЛОВ Федор</t>
  </si>
  <si>
    <t>АВЕРИН Тимофей</t>
  </si>
  <si>
    <t>РОДИОНОВ Всеволод</t>
  </si>
  <si>
    <t>ПОЛЯКОВ Василий</t>
  </si>
  <si>
    <t>Нассыров К.М.. Мазунов А.В.</t>
  </si>
  <si>
    <t>Шулимова Т.В.. Лаврентьев А.А.</t>
  </si>
  <si>
    <t>Калустов К.С.</t>
  </si>
  <si>
    <t>АКИНЬЩИКОВ Станислав</t>
  </si>
  <si>
    <t>АКИНьЩИКОВ Ярослав</t>
  </si>
  <si>
    <t>СОРОКИН Николай</t>
  </si>
  <si>
    <t>БАКШИНСКИЙ Илья</t>
  </si>
  <si>
    <t>ЦЫГАНКОВ Вадим</t>
  </si>
  <si>
    <t>ЦЫГАНКОВ Егор</t>
  </si>
  <si>
    <t>АМУРСКИЙ Василий</t>
  </si>
  <si>
    <t>АРИСТОВ Александр</t>
  </si>
  <si>
    <t>НОВИКОВ Кирилл</t>
  </si>
  <si>
    <t>ЕЛИСЕЕВ Илья</t>
  </si>
  <si>
    <t>ФЕДОРЕНКО Александр</t>
  </si>
  <si>
    <t>Савостина А.Ю.</t>
  </si>
  <si>
    <t>НОВОСЕЛОВ Марк</t>
  </si>
  <si>
    <t>Насыров К.М., Мазунов А.В.</t>
  </si>
  <si>
    <t>КУЧЕРЕНКО Иван</t>
  </si>
  <si>
    <t>W</t>
  </si>
  <si>
    <t>L</t>
  </si>
  <si>
    <t>:</t>
  </si>
  <si>
    <t>БОКОВ Максим</t>
  </si>
  <si>
    <t>полуфнал</t>
  </si>
  <si>
    <t>59/50</t>
  </si>
  <si>
    <t>58/60</t>
  </si>
  <si>
    <t>51/58</t>
  </si>
  <si>
    <t>10.08,2002</t>
  </si>
  <si>
    <t>КАРТАВЦЕВ Михаил Вячеславович</t>
  </si>
  <si>
    <t>ЛУЗАНОВ Даниил Геннадьевич</t>
  </si>
  <si>
    <t>25,02,2005</t>
  </si>
  <si>
    <t>16,09,2005</t>
  </si>
  <si>
    <t>25,10,2004</t>
  </si>
  <si>
    <t>09,10,2003</t>
  </si>
  <si>
    <t>БОКОВ Максим Андреевич</t>
  </si>
  <si>
    <t>АНДРОНОВ Федор Алексеевич</t>
  </si>
  <si>
    <t>РЕКУТИН Вадим Евгеньевич</t>
  </si>
  <si>
    <t>ШКРЕД Илья Евгеньевич</t>
  </si>
  <si>
    <t>ШУКЛИН Александр Александрович</t>
  </si>
  <si>
    <t>ШИЛОВ Владимир Владимирович</t>
  </si>
  <si>
    <t>НАСИРОВ Федор Имамвердиевич</t>
  </si>
  <si>
    <t>МАСЛАКОВ Антон Сергеевич</t>
  </si>
  <si>
    <t>СИТНИКОВ Кирилл Александрович</t>
  </si>
  <si>
    <t xml:space="preserve">КОРОЛЬКОВ Егор </t>
  </si>
  <si>
    <t>КОРОТКОВ Степа</t>
  </si>
  <si>
    <t>БАНДУРИНМихаил</t>
  </si>
  <si>
    <t xml:space="preserve">СУЛТАНОВ Артур </t>
  </si>
  <si>
    <t>СТАШКОВСКИЙ Глеб Олегович</t>
  </si>
  <si>
    <t>ПОРТНОВ Фадей Владиславович</t>
  </si>
  <si>
    <t>САТДАРОВ Артем Тимурович</t>
  </si>
  <si>
    <t>СОДЫЛЬ Максим Евгеньевич</t>
  </si>
  <si>
    <t>САВЕЛЬЕВ Никита Владимирович</t>
  </si>
  <si>
    <t>ЛЕДНЕВ Даниил Иванович</t>
  </si>
  <si>
    <t>КОБЗЕВ Прохор Евгеньевич</t>
  </si>
  <si>
    <t>КЛЕСТОВ Евгений Дмитриевич</t>
  </si>
  <si>
    <t>ВАСИКОВ Евгений Николаевич</t>
  </si>
  <si>
    <t>ЗАЙЦЕВ Сергей Николаевич</t>
  </si>
  <si>
    <t>СУЧКОВ Артемий Алексеевич</t>
  </si>
  <si>
    <t>БОЖЕНКОВ Евгений Алексеевич</t>
  </si>
  <si>
    <t>ПЕРФИЛЬЕВ Алексей Алексеевич</t>
  </si>
  <si>
    <t>ВОЛЫНКИН Александр Евгеньевич</t>
  </si>
  <si>
    <t>ОДЕРКОВ Марк Владимирович</t>
  </si>
  <si>
    <t>РОТНОВ Егор Андреевич</t>
  </si>
  <si>
    <t>ПРОХОРОВ Кирилл Вячеславович</t>
  </si>
  <si>
    <t>ПЕТУХОВ Антон Михайлович</t>
  </si>
  <si>
    <t>ГИНОСЯН Геворг Арменович</t>
  </si>
  <si>
    <t>АВЕРИН Владимир Сергеевич</t>
  </si>
  <si>
    <t>ГРИЦЕВИЧ Станислав Борисович</t>
  </si>
  <si>
    <t>МАНЦУРОВ Тихон Романович</t>
  </si>
  <si>
    <t>ЛОМАКИН Павел Алексеевич</t>
  </si>
  <si>
    <t>КРАСНОЖОН МихаилАлександрович</t>
  </si>
  <si>
    <t>РЯБОШАПКА Федор Владимирович</t>
  </si>
  <si>
    <t>БУЛАВИН Михаил Владимирович</t>
  </si>
  <si>
    <t>ДУБРОВСКИЙ Иван Денисович</t>
  </si>
  <si>
    <t>ПЛАХОТНИК Александр Сергеевич</t>
  </si>
  <si>
    <t>МАКАРОВ Никита Олегович</t>
  </si>
  <si>
    <t xml:space="preserve">МИШУКОВ Михаил </t>
  </si>
  <si>
    <t>МАКЕЕВ Александр Антонович</t>
  </si>
  <si>
    <t>МИРОНОВ Егор Андреевич</t>
  </si>
  <si>
    <t>КАЛИМУЛЛИН Камиль Наильевич</t>
  </si>
  <si>
    <t>БУРГАСОВ ВладимирВладимирович</t>
  </si>
  <si>
    <t>КУРОЧКИН Егор Владимирович</t>
  </si>
  <si>
    <t>САВИЧЕВ Дмитрий Александрович</t>
  </si>
  <si>
    <t>ПИВОВАРОВ Иван Павлович</t>
  </si>
  <si>
    <t>МОСПАНОВ Илья Владимрович</t>
  </si>
  <si>
    <t>ЛАЗАРЕВ Василий Сергеевич</t>
  </si>
  <si>
    <t>ДИНИСЕНКО Тимофей Денисович</t>
  </si>
  <si>
    <t>СВИРЩЕВСКИЙ Юрий Аркадьевич</t>
  </si>
  <si>
    <t>НАЗАРКИН Максим Александрович</t>
  </si>
  <si>
    <t>КОРОЛЬ Владислав Сергеевич</t>
  </si>
  <si>
    <t>НИКИШАЕВ Матвей Евгеньевич</t>
  </si>
  <si>
    <t>РОСТОШИНСКИЙ Иван Александрович</t>
  </si>
  <si>
    <t>ПОДЛАЗОВ Владислав Игоревич</t>
  </si>
  <si>
    <t>ПОПОВ Данила Сергеевич</t>
  </si>
  <si>
    <t>ТИХОНОВ Евгений Андреевич</t>
  </si>
  <si>
    <t>БАТАЛОВ Анатолий Вадимович</t>
  </si>
  <si>
    <t>АКИНЬЩИКОВ Станислав Денисович</t>
  </si>
  <si>
    <t>АКИНьЩИКОВ Ярослав Денисович</t>
  </si>
  <si>
    <t>РАМС Сергей Никитич</t>
  </si>
  <si>
    <t>СУРОВЦЕВ Денис Антонович</t>
  </si>
  <si>
    <t>СОРОКИН Николай Алексеевич</t>
  </si>
  <si>
    <t>КОМИССАРОВ Даниил Сергеевич</t>
  </si>
  <si>
    <t>ДЯГЕЛЕВ Артем Игоревич</t>
  </si>
  <si>
    <t>ПОПОВ Павел Александрович</t>
  </si>
  <si>
    <t>АРИСТОВ Александр Иванович</t>
  </si>
  <si>
    <t>ОСТАШОВ Артем Владимирович</t>
  </si>
  <si>
    <t>ДЕРНИКОВ Ефим Игоревич</t>
  </si>
  <si>
    <t>МАРКИН Иван Алексеевич</t>
  </si>
  <si>
    <t>БАКШИНСКИЙ Илья Олегович</t>
  </si>
  <si>
    <t>НОВИКОВ Кирилл Алексеевич</t>
  </si>
  <si>
    <t>АМУРСКИЙ Василий Андреевич</t>
  </si>
  <si>
    <t>ПАНФИЛОВ Федор Сергеевич</t>
  </si>
  <si>
    <t>АВЕРИН Тимофей Сергеевич</t>
  </si>
  <si>
    <t>РОДИОНОВ Всеволод Николаевич</t>
  </si>
  <si>
    <t>ПОЛЯКОВ Василий Григорьевич</t>
  </si>
  <si>
    <t>НОВОСЕЛОВ Марк Сергеевич</t>
  </si>
  <si>
    <t>ОСМОЛОВСКИЙ Никита Алексеевич</t>
  </si>
  <si>
    <t>ТАДЖИБАЕВ Артур Абдурахмонович</t>
  </si>
  <si>
    <t>АВЕРИН Денис Юрьевич</t>
  </si>
  <si>
    <t>ПОПОВ Максим Алексеевич</t>
  </si>
  <si>
    <t>АКЕНТЬЕВ Алексей Александрович</t>
  </si>
  <si>
    <t>ПЕТРОВ Егор Александрович</t>
  </si>
  <si>
    <t>МУКОВ Руслан Аликович</t>
  </si>
  <si>
    <t>ЗОЛОТКОВ Максим Игоревич</t>
  </si>
  <si>
    <t>СУЛТАНОВ Артур Вадимович</t>
  </si>
  <si>
    <t>БАНДУРИН Михаил Михайлович</t>
  </si>
  <si>
    <t>КОРОЛЬКОВ Егор Романович</t>
  </si>
  <si>
    <t>МАЛЫК Никита Валерьевич</t>
  </si>
  <si>
    <t>ЧИКИН Александр Станиславович</t>
  </si>
  <si>
    <t>ЮНУСОВ Михаил Эрнестович</t>
  </si>
  <si>
    <t>КУРИЛОВИЧ Ярослав Алексеевич</t>
  </si>
  <si>
    <t>СОБАКИН ЮрийАлексеевич</t>
  </si>
  <si>
    <t>УШКАРЕВ Максим Андреевич</t>
  </si>
  <si>
    <t>А</t>
  </si>
  <si>
    <t>Д</t>
  </si>
  <si>
    <t>В</t>
  </si>
  <si>
    <t>Г</t>
  </si>
  <si>
    <t>Б</t>
  </si>
  <si>
    <t>W-L</t>
  </si>
  <si>
    <t>Лист 4.</t>
  </si>
  <si>
    <t>65 место</t>
  </si>
  <si>
    <t>66 место</t>
  </si>
  <si>
    <t>67 место</t>
  </si>
  <si>
    <t>68 место</t>
  </si>
  <si>
    <t>69 место</t>
  </si>
  <si>
    <t>-91</t>
  </si>
  <si>
    <t>-92</t>
  </si>
  <si>
    <t>-93</t>
  </si>
  <si>
    <t>-94</t>
  </si>
  <si>
    <t>-95</t>
  </si>
  <si>
    <t>-96</t>
  </si>
  <si>
    <t>-97</t>
  </si>
  <si>
    <t>-98</t>
  </si>
  <si>
    <t>ЖИЛОВ Кристиан  Александрович</t>
  </si>
  <si>
    <t>КОРОТКОВ Степан Николаевич</t>
  </si>
  <si>
    <t>КУЧЕРЕНКО Иван Андреевич</t>
  </si>
  <si>
    <t>ЛЕОНИДОВ Александр Денисович</t>
  </si>
  <si>
    <t>МЕДВЕДЕВ Матвей Павлович</t>
  </si>
  <si>
    <t>24,10,2002</t>
  </si>
  <si>
    <t>ЧЕРНОВ Артемий Вячеславович</t>
  </si>
  <si>
    <t>ЦЫГАНКОВ Вадим Николаевич</t>
  </si>
  <si>
    <t>ЦЫГАНКОВ Егор Николаевич</t>
  </si>
  <si>
    <t>МАЛОВ Илья Максимович</t>
  </si>
  <si>
    <t>ПРИЗЕНКО Артем  Vb[fqkjdbx</t>
  </si>
  <si>
    <t>СТАРОСТИН Максим Анатольевич</t>
  </si>
  <si>
    <t>Реутов, Мос. Обл.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</si>
</sst>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6" x14ac:knownFonts="1">
    <font>
      <sz val="10"/>
      <name val="Times New Roman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i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u/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family val="1"/>
      <charset val="204"/>
    </font>
    <font>
      <i/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8"/>
      <name val="Times New Roman Cyr"/>
      <family val="1"/>
      <charset val="204"/>
    </font>
    <font>
      <b/>
      <sz val="8"/>
      <name val="Times New Roman Cyr"/>
      <charset val="204"/>
    </font>
    <font>
      <sz val="8"/>
      <name val="Times New Roman Cyr"/>
      <family val="1"/>
      <charset val="204"/>
    </font>
    <font>
      <b/>
      <i/>
      <sz val="9"/>
      <name val="Times New Roman Cyr"/>
      <family val="1"/>
      <charset val="204"/>
    </font>
    <font>
      <b/>
      <i/>
      <u/>
      <sz val="10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 Cyr"/>
      <charset val="204"/>
    </font>
    <font>
      <b/>
      <u/>
      <sz val="10"/>
      <name val="Times New Roman"/>
      <family val="1"/>
      <charset val="204"/>
    </font>
    <font>
      <i/>
      <sz val="12"/>
      <name val="Times New Roman CYR"/>
      <charset val="204"/>
    </font>
    <font>
      <b/>
      <sz val="8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name val="Arial Cyr"/>
      <charset val="204"/>
    </font>
    <font>
      <sz val="8"/>
      <name val="Times New Roman Cyr"/>
      <charset val="204"/>
    </font>
    <font>
      <i/>
      <sz val="9"/>
      <name val="Times New Roman Cyr"/>
      <family val="1"/>
      <charset val="204"/>
    </font>
    <font>
      <b/>
      <u/>
      <sz val="10"/>
      <name val="Times New Roman Cyr"/>
      <family val="1"/>
      <charset val="204"/>
    </font>
    <font>
      <i/>
      <sz val="9"/>
      <name val="Times New Roman CYR"/>
      <charset val="204"/>
    </font>
    <font>
      <i/>
      <sz val="8"/>
      <name val="Times New Roman CYR"/>
      <charset val="204"/>
    </font>
    <font>
      <sz val="10"/>
      <name val="Arial Narrow"/>
      <family val="2"/>
      <charset val="204"/>
    </font>
    <font>
      <i/>
      <sz val="8"/>
      <name val="Arial Narrow"/>
      <family val="2"/>
      <charset val="204"/>
    </font>
    <font>
      <b/>
      <sz val="8"/>
      <name val="Arial Narrow"/>
      <family val="2"/>
      <charset val="204"/>
    </font>
    <font>
      <b/>
      <sz val="7"/>
      <name val="Arial Narrow"/>
      <family val="2"/>
      <charset val="204"/>
    </font>
    <font>
      <b/>
      <u/>
      <sz val="8"/>
      <name val="Times New Roman Cyr"/>
      <family val="1"/>
      <charset val="204"/>
    </font>
    <font>
      <b/>
      <sz val="9"/>
      <name val="Times New Roman CYR"/>
      <family val="1"/>
      <charset val="204"/>
    </font>
    <font>
      <sz val="8"/>
      <name val="Arial Narrow"/>
      <family val="2"/>
      <charset val="204"/>
    </font>
    <font>
      <i/>
      <sz val="9"/>
      <name val="Arial Narrow"/>
      <family val="2"/>
      <charset val="204"/>
    </font>
    <font>
      <b/>
      <sz val="10"/>
      <name val="Arial Narrow"/>
      <family val="2"/>
      <charset val="204"/>
    </font>
    <font>
      <b/>
      <u/>
      <sz val="10"/>
      <name val="Arial Cyr"/>
      <charset val="204"/>
    </font>
    <font>
      <b/>
      <sz val="10"/>
      <name val="Arial Cyr"/>
      <charset val="204"/>
    </font>
    <font>
      <b/>
      <sz val="12"/>
      <name val="Times New Roman CYR"/>
      <family val="1"/>
      <charset val="204"/>
    </font>
    <font>
      <i/>
      <sz val="10"/>
      <name val="Arial Cyr"/>
      <charset val="204"/>
    </font>
    <font>
      <i/>
      <sz val="8"/>
      <name val="Arial Cyr"/>
      <charset val="204"/>
    </font>
    <font>
      <b/>
      <sz val="9"/>
      <name val="Times New Roman CYR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i/>
      <sz val="8"/>
      <name val="Times New Roman"/>
      <family val="1"/>
      <charset val="204"/>
    </font>
    <font>
      <b/>
      <i/>
      <sz val="8"/>
      <name val="Times New Roman CYR"/>
      <charset val="204"/>
    </font>
    <font>
      <b/>
      <sz val="12"/>
      <name val="Arial Narrow"/>
      <family val="2"/>
      <charset val="204"/>
    </font>
    <font>
      <i/>
      <sz val="18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2"/>
      <name val="Arial Cyr"/>
      <charset val="204"/>
    </font>
    <font>
      <sz val="18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Arial Cyr"/>
      <charset val="204"/>
    </font>
    <font>
      <sz val="12"/>
      <name val="Times New Roman CYR"/>
      <charset val="204"/>
    </font>
    <font>
      <sz val="11"/>
      <name val="Times New Roman CYR"/>
      <family val="1"/>
      <charset val="204"/>
    </font>
    <font>
      <sz val="12"/>
      <name val="Times New Roman Cyr"/>
      <family val="1"/>
      <charset val="204"/>
    </font>
    <font>
      <b/>
      <i/>
      <sz val="8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9"/>
      <name val="Times New Roman"/>
      <family val="1"/>
      <charset val="204"/>
    </font>
    <font>
      <b/>
      <i/>
      <sz val="12"/>
      <name val="Times New Roman CYR"/>
      <charset val="204"/>
    </font>
    <font>
      <b/>
      <sz val="12"/>
      <name val="Times New Roman CYR"/>
      <charset val="204"/>
    </font>
    <font>
      <b/>
      <u/>
      <sz val="12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i/>
      <sz val="14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b/>
      <i/>
      <sz val="14"/>
      <color theme="1"/>
      <name val="Baskerville Old Face"/>
      <family val="1"/>
    </font>
    <font>
      <i/>
      <u/>
      <sz val="10"/>
      <name val="Times New Roman CYR"/>
      <charset val="204"/>
    </font>
    <font>
      <u/>
      <sz val="10"/>
      <name val="Times New Roman CYR"/>
      <charset val="204"/>
    </font>
    <font>
      <sz val="12"/>
      <color rgb="FFFF0000"/>
      <name val="Times New Roman"/>
      <family val="1"/>
      <charset val="204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1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ashDotDot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ashDotDot">
        <color indexed="64"/>
      </right>
      <top/>
      <bottom/>
      <diagonal/>
    </border>
    <border>
      <left/>
      <right/>
      <top/>
      <bottom style="dashDotDot">
        <color indexed="64"/>
      </bottom>
      <diagonal/>
    </border>
    <border>
      <left/>
      <right style="dashDotDot">
        <color indexed="64"/>
      </right>
      <top/>
      <bottom style="dashDotDot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ashDotDot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ashDotDot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ashDotDot">
        <color indexed="64"/>
      </right>
      <top style="double">
        <color indexed="64"/>
      </top>
      <bottom/>
      <diagonal/>
    </border>
    <border>
      <left/>
      <right style="dashDotDot">
        <color indexed="64"/>
      </right>
      <top/>
      <bottom style="thin">
        <color indexed="64"/>
      </bottom>
      <diagonal/>
    </border>
    <border>
      <left/>
      <right style="dashDotDot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ashDotDot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ashDotDot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</borders>
  <cellStyleXfs count="51">
    <xf numFmtId="0" fontId="0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3" fillId="7" borderId="1" applyNumberFormat="0" applyAlignment="0" applyProtection="0"/>
    <xf numFmtId="0" fontId="34" fillId="20" borderId="2" applyNumberFormat="0" applyAlignment="0" applyProtection="0"/>
    <xf numFmtId="0" fontId="35" fillId="20" borderId="1" applyNumberFormat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6" applyNumberFormat="0" applyFill="0" applyAlignment="0" applyProtection="0"/>
    <xf numFmtId="0" fontId="40" fillId="21" borderId="7" applyNumberFormat="0" applyAlignment="0" applyProtection="0"/>
    <xf numFmtId="0" fontId="41" fillId="0" borderId="0" applyNumberFormat="0" applyFill="0" applyBorder="0" applyAlignment="0" applyProtection="0"/>
    <xf numFmtId="0" fontId="42" fillId="22" borderId="0" applyNumberFormat="0" applyBorder="0" applyAlignment="0" applyProtection="0"/>
    <xf numFmtId="0" fontId="8" fillId="0" borderId="0"/>
    <xf numFmtId="0" fontId="9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43" fillId="3" borderId="0" applyNumberFormat="0" applyBorder="0" applyAlignment="0" applyProtection="0"/>
    <xf numFmtId="0" fontId="44" fillId="0" borderId="0" applyNumberFormat="0" applyFill="0" applyBorder="0" applyAlignment="0" applyProtection="0"/>
    <xf numFmtId="0" fontId="8" fillId="23" borderId="8" applyNumberFormat="0" applyFont="0" applyAlignment="0" applyProtection="0"/>
    <xf numFmtId="0" fontId="45" fillId="0" borderId="9" applyNumberFormat="0" applyFill="0" applyAlignment="0" applyProtection="0"/>
    <xf numFmtId="0" fontId="8" fillId="0" borderId="10"/>
    <xf numFmtId="0" fontId="46" fillId="0" borderId="0" applyNumberFormat="0" applyFill="0" applyBorder="0" applyAlignment="0" applyProtection="0"/>
    <xf numFmtId="0" fontId="47" fillId="4" borderId="0" applyNumberFormat="0" applyBorder="0" applyAlignment="0" applyProtection="0"/>
    <xf numFmtId="0" fontId="5" fillId="0" borderId="0"/>
  </cellStyleXfs>
  <cellXfs count="1460">
    <xf numFmtId="0" fontId="0" fillId="0" borderId="0" xfId="0"/>
    <xf numFmtId="0" fontId="48" fillId="0" borderId="0" xfId="40" applyFont="1" applyAlignment="1">
      <alignment vertical="center"/>
    </xf>
    <xf numFmtId="0" fontId="27" fillId="0" borderId="0" xfId="40" applyAlignment="1">
      <alignment vertical="center"/>
    </xf>
    <xf numFmtId="49" fontId="49" fillId="0" borderId="0" xfId="40" applyNumberFormat="1" applyFont="1" applyAlignment="1">
      <alignment horizontal="right" vertical="center"/>
    </xf>
    <xf numFmtId="14" fontId="28" fillId="0" borderId="0" xfId="40" applyNumberFormat="1" applyFont="1" applyAlignment="1">
      <alignment horizontal="center" vertical="center"/>
    </xf>
    <xf numFmtId="0" fontId="30" fillId="0" borderId="0" xfId="40" applyFont="1" applyAlignment="1">
      <alignment vertical="center"/>
    </xf>
    <xf numFmtId="49" fontId="21" fillId="0" borderId="0" xfId="40" applyNumberFormat="1" applyFont="1" applyAlignment="1">
      <alignment horizontal="left" vertical="center"/>
    </xf>
    <xf numFmtId="0" fontId="21" fillId="24" borderId="0" xfId="40" applyNumberFormat="1" applyFont="1" applyFill="1" applyAlignment="1">
      <alignment horizontal="left" vertical="center"/>
    </xf>
    <xf numFmtId="49" fontId="50" fillId="0" borderId="0" xfId="40" applyNumberFormat="1" applyFont="1" applyAlignment="1">
      <alignment vertical="center"/>
    </xf>
    <xf numFmtId="49" fontId="21" fillId="0" borderId="0" xfId="40" applyNumberFormat="1" applyFont="1" applyAlignment="1">
      <alignment horizontal="center" vertical="center"/>
    </xf>
    <xf numFmtId="49" fontId="21" fillId="0" borderId="0" xfId="40" applyNumberFormat="1" applyFont="1" applyAlignment="1">
      <alignment vertical="center"/>
    </xf>
    <xf numFmtId="49" fontId="21" fillId="0" borderId="0" xfId="40" applyNumberFormat="1" applyFont="1" applyFill="1" applyAlignment="1">
      <alignment vertical="center"/>
    </xf>
    <xf numFmtId="49" fontId="51" fillId="0" borderId="0" xfId="40" applyNumberFormat="1" applyFont="1" applyAlignment="1">
      <alignment vertical="center"/>
    </xf>
    <xf numFmtId="49" fontId="51" fillId="0" borderId="0" xfId="40" applyNumberFormat="1" applyFont="1" applyFill="1" applyAlignment="1">
      <alignment vertical="center"/>
    </xf>
    <xf numFmtId="49" fontId="21" fillId="0" borderId="0" xfId="40" applyNumberFormat="1" applyFont="1" applyAlignment="1">
      <alignment horizontal="right" vertical="center"/>
    </xf>
    <xf numFmtId="49" fontId="22" fillId="0" borderId="0" xfId="40" applyNumberFormat="1" applyFont="1" applyFill="1" applyAlignment="1">
      <alignment horizontal="left" vertical="center"/>
    </xf>
    <xf numFmtId="49" fontId="22" fillId="0" borderId="0" xfId="40" applyNumberFormat="1" applyFont="1" applyAlignment="1">
      <alignment horizontal="left" vertical="center"/>
    </xf>
    <xf numFmtId="49" fontId="21" fillId="0" borderId="11" xfId="40" applyNumberFormat="1" applyFont="1" applyBorder="1" applyAlignment="1">
      <alignment horizontal="left" vertical="center"/>
    </xf>
    <xf numFmtId="0" fontId="21" fillId="25" borderId="0" xfId="40" applyNumberFormat="1" applyFont="1" applyFill="1" applyAlignment="1">
      <alignment vertical="center"/>
    </xf>
    <xf numFmtId="49" fontId="50" fillId="0" borderId="0" xfId="40" applyNumberFormat="1" applyFont="1" applyAlignment="1">
      <alignment horizontal="left" vertical="center"/>
    </xf>
    <xf numFmtId="49" fontId="24" fillId="0" borderId="0" xfId="40" applyNumberFormat="1" applyFont="1" applyAlignment="1">
      <alignment vertical="center"/>
    </xf>
    <xf numFmtId="49" fontId="21" fillId="0" borderId="11" xfId="40" applyNumberFormat="1" applyFont="1" applyBorder="1" applyAlignment="1">
      <alignment vertical="center"/>
    </xf>
    <xf numFmtId="49" fontId="21" fillId="0" borderId="12" xfId="40" applyNumberFormat="1" applyFont="1" applyBorder="1" applyAlignment="1">
      <alignment vertical="center"/>
    </xf>
    <xf numFmtId="49" fontId="22" fillId="0" borderId="12" xfId="40" applyNumberFormat="1" applyFont="1" applyFill="1" applyBorder="1" applyAlignment="1">
      <alignment horizontal="left" vertical="center"/>
    </xf>
    <xf numFmtId="49" fontId="21" fillId="0" borderId="13" xfId="40" applyNumberFormat="1" applyFont="1" applyBorder="1" applyAlignment="1">
      <alignment horizontal="left" vertical="center"/>
    </xf>
    <xf numFmtId="0" fontId="21" fillId="24" borderId="13" xfId="40" applyNumberFormat="1" applyFont="1" applyFill="1" applyBorder="1" applyAlignment="1">
      <alignment horizontal="left" vertical="center"/>
    </xf>
    <xf numFmtId="49" fontId="21" fillId="0" borderId="14" xfId="40" applyNumberFormat="1" applyFont="1" applyBorder="1" applyAlignment="1">
      <alignment horizontal="center" vertical="center"/>
    </xf>
    <xf numFmtId="49" fontId="21" fillId="0" borderId="12" xfId="40" applyNumberFormat="1" applyFont="1" applyFill="1" applyBorder="1" applyAlignment="1">
      <alignment vertical="center"/>
    </xf>
    <xf numFmtId="0" fontId="21" fillId="25" borderId="0" xfId="40" applyNumberFormat="1" applyFont="1" applyFill="1" applyBorder="1" applyAlignment="1">
      <alignment horizontal="right" vertical="center"/>
    </xf>
    <xf numFmtId="49" fontId="21" fillId="0" borderId="0" xfId="40" applyNumberFormat="1" applyFont="1" applyBorder="1" applyAlignment="1">
      <alignment horizontal="left" vertical="center"/>
    </xf>
    <xf numFmtId="49" fontId="21" fillId="0" borderId="0" xfId="40" applyNumberFormat="1" applyFont="1" applyBorder="1" applyAlignment="1">
      <alignment vertical="center"/>
    </xf>
    <xf numFmtId="49" fontId="22" fillId="0" borderId="15" xfId="40" applyNumberFormat="1" applyFont="1" applyFill="1" applyBorder="1" applyAlignment="1">
      <alignment horizontal="left" vertical="center"/>
    </xf>
    <xf numFmtId="49" fontId="21" fillId="0" borderId="0" xfId="40" applyNumberFormat="1" applyFont="1" applyBorder="1" applyAlignment="1">
      <alignment horizontal="center" vertical="center"/>
    </xf>
    <xf numFmtId="49" fontId="50" fillId="0" borderId="0" xfId="40" applyNumberFormat="1" applyFont="1" applyFill="1" applyAlignment="1">
      <alignment horizontal="center" vertical="center"/>
    </xf>
    <xf numFmtId="49" fontId="50" fillId="0" borderId="0" xfId="40" applyNumberFormat="1" applyFont="1" applyAlignment="1">
      <alignment horizontal="center" vertical="center"/>
    </xf>
    <xf numFmtId="0" fontId="21" fillId="25" borderId="13" xfId="40" applyNumberFormat="1" applyFont="1" applyFill="1" applyBorder="1" applyAlignment="1">
      <alignment horizontal="left" vertical="center"/>
    </xf>
    <xf numFmtId="49" fontId="21" fillId="0" borderId="14" xfId="40" applyNumberFormat="1" applyFont="1" applyFill="1" applyBorder="1" applyAlignment="1">
      <alignment horizontal="center" vertical="center"/>
    </xf>
    <xf numFmtId="49" fontId="21" fillId="0" borderId="16" xfId="40" applyNumberFormat="1" applyFont="1" applyBorder="1" applyAlignment="1">
      <alignment horizontal="center" vertical="center"/>
    </xf>
    <xf numFmtId="49" fontId="21" fillId="0" borderId="12" xfId="40" applyNumberFormat="1" applyFont="1" applyBorder="1" applyAlignment="1">
      <alignment horizontal="left" vertical="center"/>
    </xf>
    <xf numFmtId="49" fontId="21" fillId="0" borderId="11" xfId="40" applyNumberFormat="1" applyFont="1" applyBorder="1" applyAlignment="1">
      <alignment horizontal="right" vertical="center"/>
    </xf>
    <xf numFmtId="0" fontId="22" fillId="25" borderId="0" xfId="40" applyNumberFormat="1" applyFont="1" applyFill="1" applyAlignment="1">
      <alignment horizontal="left" vertical="center"/>
    </xf>
    <xf numFmtId="49" fontId="21" fillId="0" borderId="14" xfId="40" applyNumberFormat="1" applyFont="1" applyBorder="1" applyAlignment="1">
      <alignment horizontal="left" vertical="center"/>
    </xf>
    <xf numFmtId="49" fontId="21" fillId="0" borderId="14" xfId="40" applyNumberFormat="1" applyFont="1" applyBorder="1" applyAlignment="1">
      <alignment horizontal="right" vertical="center"/>
    </xf>
    <xf numFmtId="49" fontId="21" fillId="0" borderId="0" xfId="40" applyNumberFormat="1" applyFont="1" applyBorder="1" applyAlignment="1">
      <alignment horizontal="right" vertical="center"/>
    </xf>
    <xf numFmtId="49" fontId="21" fillId="0" borderId="15" xfId="40" applyNumberFormat="1" applyFont="1" applyBorder="1" applyAlignment="1">
      <alignment horizontal="left" vertical="center"/>
    </xf>
    <xf numFmtId="0" fontId="21" fillId="25" borderId="13" xfId="40" applyNumberFormat="1" applyFont="1" applyFill="1" applyBorder="1" applyAlignment="1">
      <alignment vertical="center"/>
    </xf>
    <xf numFmtId="49" fontId="21" fillId="0" borderId="14" xfId="40" applyNumberFormat="1" applyFont="1" applyFill="1" applyBorder="1" applyAlignment="1">
      <alignment vertical="center"/>
    </xf>
    <xf numFmtId="49" fontId="21" fillId="0" borderId="15" xfId="40" applyNumberFormat="1" applyFont="1" applyFill="1" applyBorder="1" applyAlignment="1">
      <alignment vertical="center"/>
    </xf>
    <xf numFmtId="49" fontId="21" fillId="0" borderId="15" xfId="40" applyNumberFormat="1" applyFont="1" applyBorder="1" applyAlignment="1">
      <alignment horizontal="right" vertical="center"/>
    </xf>
    <xf numFmtId="49" fontId="21" fillId="0" borderId="0" xfId="40" applyNumberFormat="1" applyFont="1" applyFill="1" applyBorder="1" applyAlignment="1">
      <alignment vertical="center"/>
    </xf>
    <xf numFmtId="49" fontId="49" fillId="0" borderId="0" xfId="40" applyNumberFormat="1" applyFont="1" applyAlignment="1">
      <alignment horizontal="center" vertical="center"/>
    </xf>
    <xf numFmtId="0" fontId="21" fillId="25" borderId="16" xfId="40" applyNumberFormat="1" applyFont="1" applyFill="1" applyBorder="1" applyAlignment="1">
      <alignment horizontal="right" vertical="center"/>
    </xf>
    <xf numFmtId="49" fontId="22" fillId="0" borderId="14" xfId="40" applyNumberFormat="1" applyFont="1" applyFill="1" applyBorder="1" applyAlignment="1">
      <alignment horizontal="left" vertical="center"/>
    </xf>
    <xf numFmtId="0" fontId="21" fillId="25" borderId="0" xfId="40" applyNumberFormat="1" applyFont="1" applyFill="1" applyBorder="1" applyAlignment="1">
      <alignment vertical="center"/>
    </xf>
    <xf numFmtId="49" fontId="21" fillId="0" borderId="16" xfId="40" applyNumberFormat="1" applyFont="1" applyBorder="1" applyAlignment="1">
      <alignment horizontal="right" vertical="center"/>
    </xf>
    <xf numFmtId="0" fontId="21" fillId="25" borderId="13" xfId="40" applyNumberFormat="1" applyFont="1" applyFill="1" applyBorder="1" applyAlignment="1">
      <alignment horizontal="right" vertical="center"/>
    </xf>
    <xf numFmtId="49" fontId="49" fillId="0" borderId="15" xfId="40" applyNumberFormat="1" applyFont="1" applyBorder="1" applyAlignment="1">
      <alignment horizontal="center" vertical="center"/>
    </xf>
    <xf numFmtId="49" fontId="50" fillId="0" borderId="14" xfId="40" applyNumberFormat="1" applyFont="1" applyFill="1" applyBorder="1" applyAlignment="1">
      <alignment horizontal="center" vertical="center"/>
    </xf>
    <xf numFmtId="49" fontId="50" fillId="0" borderId="0" xfId="40" applyNumberFormat="1" applyFont="1" applyBorder="1" applyAlignment="1">
      <alignment horizontal="center" vertical="center"/>
    </xf>
    <xf numFmtId="0" fontId="22" fillId="0" borderId="0" xfId="40" applyNumberFormat="1" applyFont="1" applyFill="1" applyAlignment="1">
      <alignment horizontal="left" vertical="center"/>
    </xf>
    <xf numFmtId="49" fontId="59" fillId="0" borderId="0" xfId="40" applyNumberFormat="1" applyFont="1" applyAlignment="1">
      <alignment horizontal="right" vertical="center"/>
    </xf>
    <xf numFmtId="0" fontId="21" fillId="0" borderId="0" xfId="40" applyNumberFormat="1" applyFont="1" applyFill="1" applyAlignment="1">
      <alignment vertical="center"/>
    </xf>
    <xf numFmtId="0" fontId="21" fillId="24" borderId="0" xfId="40" applyNumberFormat="1" applyFont="1" applyFill="1" applyAlignment="1">
      <alignment vertical="center"/>
    </xf>
    <xf numFmtId="49" fontId="21" fillId="0" borderId="11" xfId="40" applyNumberFormat="1" applyFont="1" applyBorder="1" applyAlignment="1">
      <alignment horizontal="center" vertical="center"/>
    </xf>
    <xf numFmtId="49" fontId="50" fillId="0" borderId="0" xfId="40" applyNumberFormat="1" applyFont="1" applyFill="1" applyAlignment="1">
      <alignment horizontal="left" vertical="center"/>
    </xf>
    <xf numFmtId="49" fontId="50" fillId="0" borderId="14" xfId="40" applyNumberFormat="1" applyFont="1" applyFill="1" applyBorder="1" applyAlignment="1">
      <alignment horizontal="left" vertical="center"/>
    </xf>
    <xf numFmtId="49" fontId="50" fillId="0" borderId="16" xfId="40" applyNumberFormat="1" applyFont="1" applyBorder="1" applyAlignment="1">
      <alignment horizontal="left" vertical="center"/>
    </xf>
    <xf numFmtId="0" fontId="21" fillId="25" borderId="0" xfId="40" applyNumberFormat="1" applyFont="1" applyFill="1" applyAlignment="1">
      <alignment horizontal="right" vertical="center"/>
    </xf>
    <xf numFmtId="49" fontId="50" fillId="0" borderId="15" xfId="40" applyNumberFormat="1" applyFont="1" applyBorder="1" applyAlignment="1">
      <alignment horizontal="center" vertical="center"/>
    </xf>
    <xf numFmtId="49" fontId="21" fillId="0" borderId="13" xfId="40" applyNumberFormat="1" applyFont="1" applyBorder="1" applyAlignment="1">
      <alignment horizontal="center" vertical="center"/>
    </xf>
    <xf numFmtId="49" fontId="21" fillId="0" borderId="12" xfId="40" applyNumberFormat="1" applyFont="1" applyFill="1" applyBorder="1" applyAlignment="1">
      <alignment horizontal="center" vertical="center"/>
    </xf>
    <xf numFmtId="49" fontId="21" fillId="0" borderId="0" xfId="40" applyNumberFormat="1" applyFont="1" applyFill="1" applyAlignment="1">
      <alignment horizontal="center" vertical="center"/>
    </xf>
    <xf numFmtId="0" fontId="22" fillId="24" borderId="0" xfId="40" applyNumberFormat="1" applyFont="1" applyFill="1" applyAlignment="1">
      <alignment horizontal="left" vertical="center"/>
    </xf>
    <xf numFmtId="49" fontId="50" fillId="0" borderId="0" xfId="40" applyNumberFormat="1" applyFont="1" applyFill="1" applyAlignment="1">
      <alignment vertical="center"/>
    </xf>
    <xf numFmtId="49" fontId="50" fillId="0" borderId="16" xfId="40" applyNumberFormat="1" applyFont="1" applyBorder="1" applyAlignment="1">
      <alignment vertical="center"/>
    </xf>
    <xf numFmtId="49" fontId="23" fillId="0" borderId="0" xfId="40" applyNumberFormat="1" applyFont="1" applyAlignment="1">
      <alignment vertical="center"/>
    </xf>
    <xf numFmtId="49" fontId="17" fillId="0" borderId="0" xfId="40" applyNumberFormat="1" applyFont="1" applyAlignment="1">
      <alignment vertical="center"/>
    </xf>
    <xf numFmtId="49" fontId="22" fillId="0" borderId="0" xfId="40" applyNumberFormat="1" applyFont="1" applyAlignment="1">
      <alignment horizontal="center" vertical="center"/>
    </xf>
    <xf numFmtId="49" fontId="21" fillId="0" borderId="14" xfId="40" applyNumberFormat="1" applyFont="1" applyBorder="1" applyAlignment="1">
      <alignment vertical="center"/>
    </xf>
    <xf numFmtId="0" fontId="21" fillId="0" borderId="11" xfId="40" applyNumberFormat="1" applyFont="1" applyFill="1" applyBorder="1" applyAlignment="1">
      <alignment horizontal="left" vertical="center"/>
    </xf>
    <xf numFmtId="49" fontId="21" fillId="0" borderId="13" xfId="40" applyNumberFormat="1" applyFont="1" applyBorder="1" applyAlignment="1">
      <alignment vertical="center"/>
    </xf>
    <xf numFmtId="0" fontId="21" fillId="24" borderId="13" xfId="40" applyNumberFormat="1" applyFont="1" applyFill="1" applyBorder="1" applyAlignment="1">
      <alignment vertical="center"/>
    </xf>
    <xf numFmtId="49" fontId="17" fillId="0" borderId="0" xfId="40" applyNumberFormat="1" applyFont="1" applyAlignment="1">
      <alignment horizontal="center" vertical="center"/>
    </xf>
    <xf numFmtId="49" fontId="50" fillId="0" borderId="0" xfId="40" applyNumberFormat="1" applyFont="1" applyFill="1" applyBorder="1" applyAlignment="1">
      <alignment horizontal="left" vertical="center"/>
    </xf>
    <xf numFmtId="49" fontId="50" fillId="0" borderId="0" xfId="40" applyNumberFormat="1" applyFont="1" applyBorder="1" applyAlignment="1">
      <alignment vertical="center"/>
    </xf>
    <xf numFmtId="0" fontId="21" fillId="0" borderId="0" xfId="40" applyFont="1" applyAlignment="1">
      <alignment vertical="center"/>
    </xf>
    <xf numFmtId="0" fontId="21" fillId="0" borderId="0" xfId="40" applyFont="1" applyFill="1" applyAlignment="1">
      <alignment vertical="center"/>
    </xf>
    <xf numFmtId="0" fontId="21" fillId="0" borderId="13" xfId="40" applyFont="1" applyBorder="1" applyAlignment="1">
      <alignment vertical="center"/>
    </xf>
    <xf numFmtId="0" fontId="27" fillId="0" borderId="0" xfId="40" applyAlignment="1">
      <alignment horizontal="center" vertical="center"/>
    </xf>
    <xf numFmtId="0" fontId="27" fillId="0" borderId="0" xfId="40" applyFill="1" applyAlignment="1">
      <alignment vertical="center"/>
    </xf>
    <xf numFmtId="0" fontId="30" fillId="0" borderId="0" xfId="40" applyFont="1" applyFill="1" applyAlignment="1">
      <alignment vertical="center"/>
    </xf>
    <xf numFmtId="0" fontId="8" fillId="0" borderId="0" xfId="36"/>
    <xf numFmtId="0" fontId="9" fillId="0" borderId="0" xfId="36" applyFont="1" applyAlignment="1">
      <alignment horizontal="center"/>
    </xf>
    <xf numFmtId="14" fontId="8" fillId="0" borderId="0" xfId="36" applyNumberFormat="1"/>
    <xf numFmtId="0" fontId="8" fillId="0" borderId="0" xfId="36" applyAlignment="1">
      <alignment horizontal="center"/>
    </xf>
    <xf numFmtId="49" fontId="29" fillId="26" borderId="17" xfId="36" applyNumberFormat="1" applyFont="1" applyFill="1" applyBorder="1" applyAlignment="1">
      <alignment horizontal="center" vertical="center" wrapText="1"/>
    </xf>
    <xf numFmtId="49" fontId="29" fillId="26" borderId="18" xfId="36" applyNumberFormat="1" applyFont="1" applyFill="1" applyBorder="1" applyAlignment="1">
      <alignment horizontal="center" vertical="center" wrapText="1"/>
    </xf>
    <xf numFmtId="14" fontId="29" fillId="26" borderId="17" xfId="36" applyNumberFormat="1" applyFont="1" applyFill="1" applyBorder="1" applyAlignment="1">
      <alignment horizontal="center" vertical="center" wrapText="1"/>
    </xf>
    <xf numFmtId="49" fontId="29" fillId="26" borderId="19" xfId="36" applyNumberFormat="1" applyFont="1" applyFill="1" applyBorder="1" applyAlignment="1">
      <alignment horizontal="center" vertical="center" wrapText="1"/>
    </xf>
    <xf numFmtId="0" fontId="9" fillId="25" borderId="20" xfId="36" applyFont="1" applyFill="1" applyBorder="1" applyAlignment="1">
      <alignment horizontal="center"/>
    </xf>
    <xf numFmtId="0" fontId="10" fillId="0" borderId="21" xfId="36" applyNumberFormat="1" applyFont="1" applyBorder="1" applyAlignment="1">
      <alignment horizontal="left" vertical="center"/>
    </xf>
    <xf numFmtId="14" fontId="10" fillId="0" borderId="22" xfId="36" applyNumberFormat="1" applyFont="1" applyBorder="1" applyAlignment="1">
      <alignment horizontal="center" vertical="center"/>
    </xf>
    <xf numFmtId="0" fontId="10" fillId="0" borderId="23" xfId="36" applyNumberFormat="1" applyFont="1" applyBorder="1" applyAlignment="1">
      <alignment horizontal="center" vertical="center"/>
    </xf>
    <xf numFmtId="0" fontId="16" fillId="0" borderId="22" xfId="36" applyNumberFormat="1" applyFont="1" applyBorder="1" applyAlignment="1">
      <alignment horizontal="center" vertical="center"/>
    </xf>
    <xf numFmtId="0" fontId="8" fillId="25" borderId="0" xfId="36" applyNumberFormat="1" applyFill="1"/>
    <xf numFmtId="0" fontId="10" fillId="0" borderId="21" xfId="36" applyFont="1" applyFill="1" applyBorder="1"/>
    <xf numFmtId="0" fontId="16" fillId="0" borderId="24" xfId="36" applyNumberFormat="1" applyFont="1" applyBorder="1" applyAlignment="1">
      <alignment horizontal="center" vertical="center"/>
    </xf>
    <xf numFmtId="0" fontId="10" fillId="0" borderId="21" xfId="36" applyFont="1" applyBorder="1"/>
    <xf numFmtId="0" fontId="16" fillId="0" borderId="25" xfId="36" applyNumberFormat="1" applyFont="1" applyBorder="1" applyAlignment="1">
      <alignment horizontal="center" vertical="center"/>
    </xf>
    <xf numFmtId="0" fontId="16" fillId="0" borderId="21" xfId="36" applyNumberFormat="1" applyFont="1" applyBorder="1" applyAlignment="1">
      <alignment horizontal="center" vertical="center"/>
    </xf>
    <xf numFmtId="0" fontId="7" fillId="0" borderId="0" xfId="36" applyFont="1" applyFill="1" applyBorder="1"/>
    <xf numFmtId="0" fontId="7" fillId="0" borderId="0" xfId="36" applyFont="1" applyAlignment="1">
      <alignment horizontal="right"/>
    </xf>
    <xf numFmtId="0" fontId="7" fillId="0" borderId="0" xfId="36" applyFont="1"/>
    <xf numFmtId="0" fontId="0" fillId="0" borderId="0" xfId="0" applyBorder="1"/>
    <xf numFmtId="0" fontId="94" fillId="0" borderId="0" xfId="37"/>
    <xf numFmtId="49" fontId="19" fillId="0" borderId="26" xfId="36" applyNumberFormat="1" applyFont="1" applyFill="1" applyBorder="1" applyAlignment="1">
      <alignment horizontal="center" vertical="center" wrapText="1"/>
    </xf>
    <xf numFmtId="49" fontId="19" fillId="0" borderId="27" xfId="36" applyNumberFormat="1" applyFont="1" applyFill="1" applyBorder="1" applyAlignment="1">
      <alignment horizontal="center" vertical="center" wrapText="1"/>
    </xf>
    <xf numFmtId="0" fontId="10" fillId="0" borderId="22" xfId="36" applyNumberFormat="1" applyFont="1" applyBorder="1" applyAlignment="1">
      <alignment horizontal="center" vertical="center"/>
    </xf>
    <xf numFmtId="0" fontId="8" fillId="25" borderId="26" xfId="36" applyNumberFormat="1" applyFill="1" applyBorder="1"/>
    <xf numFmtId="0" fontId="8" fillId="25" borderId="13" xfId="36" applyNumberFormat="1" applyFill="1" applyBorder="1"/>
    <xf numFmtId="0" fontId="8" fillId="25" borderId="27" xfId="36" applyNumberFormat="1" applyFill="1" applyBorder="1"/>
    <xf numFmtId="0" fontId="8" fillId="25" borderId="20" xfId="36" applyNumberFormat="1" applyFill="1" applyBorder="1"/>
    <xf numFmtId="0" fontId="26" fillId="28" borderId="17" xfId="0" applyFont="1" applyFill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0" fillId="0" borderId="0" xfId="36" applyNumberFormat="1" applyFont="1" applyBorder="1" applyAlignment="1">
      <alignment horizontal="center" vertical="center"/>
    </xf>
    <xf numFmtId="0" fontId="64" fillId="0" borderId="10" xfId="40" applyFont="1" applyBorder="1" applyAlignment="1">
      <alignment vertical="center"/>
    </xf>
    <xf numFmtId="0" fontId="66" fillId="0" borderId="10" xfId="40" applyNumberFormat="1" applyFont="1" applyBorder="1" applyAlignment="1">
      <alignment vertical="center"/>
    </xf>
    <xf numFmtId="0" fontId="64" fillId="0" borderId="10" xfId="40" applyFont="1" applyBorder="1" applyAlignment="1">
      <alignment horizontal="center" vertical="center"/>
    </xf>
    <xf numFmtId="0" fontId="27" fillId="0" borderId="0" xfId="40" applyNumberFormat="1" applyAlignment="1">
      <alignment vertical="center"/>
    </xf>
    <xf numFmtId="0" fontId="66" fillId="0" borderId="0" xfId="40" applyFont="1" applyAlignment="1">
      <alignment vertical="center"/>
    </xf>
    <xf numFmtId="0" fontId="64" fillId="0" borderId="0" xfId="40" applyFont="1" applyAlignment="1">
      <alignment horizontal="center" vertical="center"/>
    </xf>
    <xf numFmtId="0" fontId="67" fillId="0" borderId="0" xfId="40" applyFont="1" applyAlignment="1">
      <alignment vertical="center"/>
    </xf>
    <xf numFmtId="0" fontId="27" fillId="0" borderId="0" xfId="40"/>
    <xf numFmtId="0" fontId="27" fillId="0" borderId="0" xfId="40" applyNumberFormat="1"/>
    <xf numFmtId="0" fontId="27" fillId="0" borderId="0" xfId="40" applyAlignment="1">
      <alignment horizontal="center"/>
    </xf>
    <xf numFmtId="0" fontId="94" fillId="0" borderId="0" xfId="37"/>
    <xf numFmtId="0" fontId="95" fillId="0" borderId="10" xfId="37" applyFont="1" applyBorder="1" applyAlignment="1">
      <alignment horizontal="center" vertical="center"/>
    </xf>
    <xf numFmtId="0" fontId="95" fillId="0" borderId="29" xfId="37" applyFont="1" applyBorder="1" applyAlignment="1">
      <alignment horizontal="center" vertical="center"/>
    </xf>
    <xf numFmtId="0" fontId="95" fillId="0" borderId="30" xfId="37" applyFont="1" applyBorder="1" applyAlignment="1">
      <alignment horizontal="center" vertical="center"/>
    </xf>
    <xf numFmtId="0" fontId="95" fillId="0" borderId="10" xfId="37" applyFont="1" applyBorder="1"/>
    <xf numFmtId="0" fontId="96" fillId="0" borderId="31" xfId="37" applyFont="1" applyBorder="1"/>
    <xf numFmtId="0" fontId="97" fillId="0" borderId="32" xfId="37" applyFont="1" applyBorder="1"/>
    <xf numFmtId="0" fontId="98" fillId="0" borderId="29" xfId="37" applyFont="1" applyBorder="1"/>
    <xf numFmtId="0" fontId="98" fillId="0" borderId="20" xfId="37" applyFont="1" applyBorder="1" applyAlignment="1">
      <alignment horizontal="center"/>
    </xf>
    <xf numFmtId="0" fontId="98" fillId="0" borderId="33" xfId="37" applyFont="1" applyBorder="1"/>
    <xf numFmtId="0" fontId="98" fillId="0" borderId="34" xfId="37" applyFont="1" applyBorder="1" applyProtection="1"/>
    <xf numFmtId="0" fontId="98" fillId="0" borderId="20" xfId="37" applyFont="1" applyBorder="1" applyAlignment="1" applyProtection="1">
      <alignment horizontal="center"/>
    </xf>
    <xf numFmtId="0" fontId="98" fillId="0" borderId="14" xfId="37" applyFont="1" applyBorder="1" applyAlignment="1" applyProtection="1">
      <alignment horizontal="left"/>
    </xf>
    <xf numFmtId="0" fontId="98" fillId="0" borderId="34" xfId="37" applyFont="1" applyBorder="1"/>
    <xf numFmtId="0" fontId="98" fillId="0" borderId="14" xfId="37" applyFont="1" applyBorder="1" applyAlignment="1">
      <alignment horizontal="left"/>
    </xf>
    <xf numFmtId="0" fontId="99" fillId="0" borderId="0" xfId="37" applyFont="1"/>
    <xf numFmtId="0" fontId="8" fillId="0" borderId="10" xfId="36" applyBorder="1" applyAlignment="1">
      <alignment horizontal="center"/>
    </xf>
    <xf numFmtId="0" fontId="8" fillId="0" borderId="10" xfId="36" applyBorder="1"/>
    <xf numFmtId="0" fontId="8" fillId="0" borderId="35" xfId="36" applyBorder="1" applyAlignment="1">
      <alignment horizontal="center"/>
    </xf>
    <xf numFmtId="0" fontId="16" fillId="0" borderId="35" xfId="36" applyFont="1" applyBorder="1" applyAlignment="1">
      <alignment horizontal="center" vertical="center"/>
    </xf>
    <xf numFmtId="0" fontId="8" fillId="0" borderId="35" xfId="36" applyBorder="1"/>
    <xf numFmtId="0" fontId="8" fillId="29" borderId="32" xfId="36" applyFill="1" applyBorder="1"/>
    <xf numFmtId="0" fontId="8" fillId="0" borderId="32" xfId="36" applyNumberFormat="1" applyBorder="1" applyAlignment="1">
      <alignment horizontal="center" vertical="center"/>
    </xf>
    <xf numFmtId="0" fontId="8" fillId="0" borderId="32" xfId="36" applyNumberFormat="1" applyFont="1" applyBorder="1" applyAlignment="1">
      <alignment horizontal="center" vertical="center"/>
    </xf>
    <xf numFmtId="0" fontId="9" fillId="0" borderId="34" xfId="36" applyNumberFormat="1" applyFont="1" applyBorder="1" applyAlignment="1">
      <alignment horizontal="center"/>
    </xf>
    <xf numFmtId="0" fontId="9" fillId="0" borderId="13" xfId="36" applyNumberFormat="1" applyFont="1" applyBorder="1" applyAlignment="1">
      <alignment horizontal="center"/>
    </xf>
    <xf numFmtId="0" fontId="9" fillId="0" borderId="14" xfId="36" applyNumberFormat="1" applyFont="1" applyBorder="1" applyAlignment="1">
      <alignment horizontal="center"/>
    </xf>
    <xf numFmtId="0" fontId="8" fillId="0" borderId="32" xfId="36" applyBorder="1" applyAlignment="1">
      <alignment horizontal="center" vertical="center"/>
    </xf>
    <xf numFmtId="0" fontId="69" fillId="0" borderId="10" xfId="36" applyFont="1" applyBorder="1" applyAlignment="1">
      <alignment horizontal="center" vertical="center"/>
    </xf>
    <xf numFmtId="0" fontId="8" fillId="29" borderId="10" xfId="36" applyFill="1" applyBorder="1"/>
    <xf numFmtId="0" fontId="9" fillId="0" borderId="10" xfId="36" applyNumberFormat="1" applyFont="1" applyBorder="1" applyAlignment="1">
      <alignment horizontal="center" vertical="center"/>
    </xf>
    <xf numFmtId="0" fontId="9" fillId="0" borderId="10" xfId="36" applyNumberFormat="1" applyFont="1" applyFill="1" applyBorder="1" applyAlignment="1">
      <alignment horizontal="center" vertical="center"/>
    </xf>
    <xf numFmtId="0" fontId="9" fillId="0" borderId="29" xfId="36" applyNumberFormat="1" applyFont="1" applyBorder="1" applyAlignment="1">
      <alignment horizontal="center"/>
    </xf>
    <xf numFmtId="0" fontId="9" fillId="0" borderId="20" xfId="36" applyNumberFormat="1" applyFont="1" applyBorder="1" applyAlignment="1">
      <alignment horizontal="center"/>
    </xf>
    <xf numFmtId="0" fontId="9" fillId="0" borderId="33" xfId="36" applyNumberFormat="1" applyFont="1" applyBorder="1" applyAlignment="1">
      <alignment horizontal="center"/>
    </xf>
    <xf numFmtId="0" fontId="8" fillId="0" borderId="10" xfId="36" applyBorder="1" applyAlignment="1">
      <alignment horizontal="center" vertical="center"/>
    </xf>
    <xf numFmtId="0" fontId="8" fillId="0" borderId="0" xfId="36" applyBorder="1"/>
    <xf numFmtId="0" fontId="9" fillId="0" borderId="10" xfId="36" applyFont="1" applyBorder="1" applyAlignment="1">
      <alignment horizontal="center" vertical="center"/>
    </xf>
    <xf numFmtId="0" fontId="8" fillId="0" borderId="20" xfId="36" applyBorder="1"/>
    <xf numFmtId="0" fontId="8" fillId="0" borderId="33" xfId="36" applyBorder="1"/>
    <xf numFmtId="0" fontId="9" fillId="0" borderId="29" xfId="36" applyFont="1" applyBorder="1" applyAlignment="1">
      <alignment horizontal="center" vertical="center"/>
    </xf>
    <xf numFmtId="0" fontId="9" fillId="0" borderId="20" xfId="36" applyNumberFormat="1" applyFont="1" applyBorder="1" applyAlignment="1">
      <alignment horizontal="center" vertical="center"/>
    </xf>
    <xf numFmtId="0" fontId="9" fillId="0" borderId="33" xfId="36" applyNumberFormat="1" applyFont="1" applyBorder="1" applyAlignment="1">
      <alignment horizontal="center" vertical="center"/>
    </xf>
    <xf numFmtId="0" fontId="9" fillId="0" borderId="33" xfId="36" applyFont="1" applyBorder="1" applyAlignment="1">
      <alignment horizontal="center" vertical="center"/>
    </xf>
    <xf numFmtId="0" fontId="69" fillId="0" borderId="34" xfId="36" applyFont="1" applyBorder="1" applyAlignment="1">
      <alignment horizontal="center" vertical="center"/>
    </xf>
    <xf numFmtId="0" fontId="69" fillId="0" borderId="29" xfId="36" applyFont="1" applyBorder="1" applyAlignment="1">
      <alignment horizontal="center" vertical="center"/>
    </xf>
    <xf numFmtId="0" fontId="9" fillId="28" borderId="19" xfId="36" applyFont="1" applyFill="1" applyBorder="1" applyAlignment="1">
      <alignment horizontal="center" vertical="center" wrapText="1"/>
    </xf>
    <xf numFmtId="0" fontId="9" fillId="28" borderId="17" xfId="36" applyFont="1" applyFill="1" applyBorder="1" applyAlignment="1">
      <alignment horizontal="center" vertical="center" wrapText="1"/>
    </xf>
    <xf numFmtId="0" fontId="9" fillId="28" borderId="17" xfId="36" applyFont="1" applyFill="1" applyBorder="1" applyAlignment="1">
      <alignment horizontal="center" vertical="center" textRotation="90" wrapText="1"/>
    </xf>
    <xf numFmtId="49" fontId="19" fillId="0" borderId="26" xfId="36" applyNumberFormat="1" applyFont="1" applyBorder="1" applyAlignment="1">
      <alignment horizontal="center" vertical="center" wrapText="1"/>
    </xf>
    <xf numFmtId="0" fontId="8" fillId="0" borderId="32" xfId="36" applyNumberFormat="1" applyFill="1" applyBorder="1"/>
    <xf numFmtId="0" fontId="16" fillId="0" borderId="32" xfId="36" applyNumberFormat="1" applyFont="1" applyFill="1" applyBorder="1"/>
    <xf numFmtId="0" fontId="8" fillId="0" borderId="10" xfId="36" applyNumberFormat="1" applyFill="1" applyBorder="1"/>
    <xf numFmtId="0" fontId="16" fillId="0" borderId="36" xfId="36" applyNumberFormat="1" applyFont="1" applyBorder="1" applyAlignment="1">
      <alignment horizontal="center" vertical="center"/>
    </xf>
    <xf numFmtId="0" fontId="8" fillId="0" borderId="0" xfId="36" applyNumberFormat="1" applyFill="1" applyBorder="1"/>
    <xf numFmtId="0" fontId="0" fillId="0" borderId="22" xfId="0" applyBorder="1"/>
    <xf numFmtId="0" fontId="9" fillId="0" borderId="0" xfId="36" applyFont="1" applyFill="1" applyBorder="1" applyAlignment="1">
      <alignment horizontal="center"/>
    </xf>
    <xf numFmtId="49" fontId="19" fillId="0" borderId="0" xfId="36" applyNumberFormat="1" applyFont="1" applyFill="1" applyBorder="1" applyAlignment="1">
      <alignment horizontal="center" vertical="center" wrapText="1"/>
    </xf>
    <xf numFmtId="0" fontId="100" fillId="0" borderId="0" xfId="37" applyFont="1" applyAlignment="1">
      <alignment horizontal="center" vertical="center"/>
    </xf>
    <xf numFmtId="0" fontId="95" fillId="0" borderId="33" xfId="37" applyFont="1" applyBorder="1" applyAlignment="1">
      <alignment horizontal="center"/>
    </xf>
    <xf numFmtId="0" fontId="70" fillId="0" borderId="37" xfId="36" applyFont="1" applyBorder="1" applyAlignment="1">
      <alignment vertical="center"/>
    </xf>
    <xf numFmtId="0" fontId="70" fillId="0" borderId="37" xfId="36" applyFont="1" applyBorder="1" applyAlignment="1">
      <alignment horizontal="right" vertical="center"/>
    </xf>
    <xf numFmtId="0" fontId="10" fillId="0" borderId="21" xfId="36" applyNumberFormat="1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36" xfId="36" applyNumberFormat="1" applyFont="1" applyBorder="1" applyAlignment="1">
      <alignment horizontal="center" vertical="center"/>
    </xf>
    <xf numFmtId="0" fontId="11" fillId="0" borderId="0" xfId="36" applyFont="1" applyBorder="1" applyAlignment="1">
      <alignment horizontal="center" vertical="center"/>
    </xf>
    <xf numFmtId="0" fontId="95" fillId="0" borderId="33" xfId="37" applyFont="1" applyBorder="1" applyAlignment="1">
      <alignment horizontal="center"/>
    </xf>
    <xf numFmtId="0" fontId="100" fillId="0" borderId="0" xfId="37" applyFont="1" applyAlignment="1">
      <alignment horizontal="center" vertical="center"/>
    </xf>
    <xf numFmtId="0" fontId="21" fillId="0" borderId="0" xfId="40" applyNumberFormat="1" applyFont="1" applyAlignment="1">
      <alignment horizontal="left" vertical="center"/>
    </xf>
    <xf numFmtId="0" fontId="21" fillId="0" borderId="11" xfId="40" applyNumberFormat="1" applyFont="1" applyBorder="1" applyAlignment="1">
      <alignment horizontal="left" vertical="center"/>
    </xf>
    <xf numFmtId="0" fontId="21" fillId="0" borderId="0" xfId="40" applyNumberFormat="1" applyFont="1" applyAlignment="1">
      <alignment horizontal="center" vertical="center"/>
    </xf>
    <xf numFmtId="0" fontId="8" fillId="0" borderId="20" xfId="36" applyBorder="1" applyAlignment="1">
      <alignment horizontal="center"/>
    </xf>
    <xf numFmtId="0" fontId="9" fillId="0" borderId="32" xfId="36" applyNumberFormat="1" applyFont="1" applyBorder="1" applyAlignment="1">
      <alignment horizontal="center" vertical="center"/>
    </xf>
    <xf numFmtId="0" fontId="8" fillId="30" borderId="32" xfId="36" applyFill="1" applyBorder="1"/>
    <xf numFmtId="0" fontId="8" fillId="30" borderId="10" xfId="36" applyFill="1" applyBorder="1"/>
    <xf numFmtId="0" fontId="9" fillId="0" borderId="20" xfId="36" applyFont="1" applyBorder="1" applyAlignment="1">
      <alignment horizontal="center" vertical="center"/>
    </xf>
    <xf numFmtId="0" fontId="8" fillId="29" borderId="38" xfId="36" applyFill="1" applyBorder="1"/>
    <xf numFmtId="0" fontId="8" fillId="29" borderId="39" xfId="36" applyFill="1" applyBorder="1"/>
    <xf numFmtId="0" fontId="16" fillId="0" borderId="0" xfId="36" applyFont="1" applyBorder="1" applyAlignment="1">
      <alignment horizontal="center" vertical="center"/>
    </xf>
    <xf numFmtId="0" fontId="15" fillId="0" borderId="0" xfId="36" applyFont="1" applyBorder="1" applyAlignment="1">
      <alignment horizontal="right" vertical="center"/>
    </xf>
    <xf numFmtId="0" fontId="25" fillId="0" borderId="0" xfId="36" applyFont="1" applyAlignment="1">
      <alignment horizontal="center" vertical="center"/>
    </xf>
    <xf numFmtId="0" fontId="8" fillId="0" borderId="0" xfId="36" applyAlignment="1">
      <alignment vertical="center"/>
    </xf>
    <xf numFmtId="49" fontId="52" fillId="0" borderId="0" xfId="40" applyNumberFormat="1" applyFont="1" applyAlignment="1">
      <alignment horizontal="left" vertical="center"/>
    </xf>
    <xf numFmtId="49" fontId="21" fillId="0" borderId="12" xfId="40" applyNumberFormat="1" applyFont="1" applyBorder="1" applyAlignment="1">
      <alignment horizontal="center" vertical="center"/>
    </xf>
    <xf numFmtId="0" fontId="54" fillId="0" borderId="0" xfId="36" applyFont="1" applyAlignment="1">
      <alignment vertical="center"/>
    </xf>
    <xf numFmtId="49" fontId="50" fillId="0" borderId="13" xfId="40" applyNumberFormat="1" applyFont="1" applyBorder="1" applyAlignment="1">
      <alignment vertical="center"/>
    </xf>
    <xf numFmtId="0" fontId="21" fillId="0" borderId="11" xfId="40" applyNumberFormat="1" applyFont="1" applyBorder="1" applyAlignment="1">
      <alignment vertical="center"/>
    </xf>
    <xf numFmtId="49" fontId="21" fillId="0" borderId="0" xfId="36" applyNumberFormat="1" applyFont="1" applyAlignment="1">
      <alignment horizontal="left" vertical="center"/>
    </xf>
    <xf numFmtId="0" fontId="21" fillId="25" borderId="0" xfId="36" applyNumberFormat="1" applyFont="1" applyFill="1" applyAlignment="1">
      <alignment horizontal="left" vertical="center"/>
    </xf>
    <xf numFmtId="0" fontId="52" fillId="0" borderId="0" xfId="36" applyNumberFormat="1" applyFont="1" applyAlignment="1">
      <alignment vertical="center"/>
    </xf>
    <xf numFmtId="0" fontId="55" fillId="0" borderId="0" xfId="36" applyNumberFormat="1" applyFont="1" applyAlignment="1">
      <alignment vertical="center"/>
    </xf>
    <xf numFmtId="49" fontId="50" fillId="0" borderId="0" xfId="36" applyNumberFormat="1" applyFont="1" applyAlignment="1">
      <alignment vertical="center"/>
    </xf>
    <xf numFmtId="49" fontId="23" fillId="0" borderId="0" xfId="36" applyNumberFormat="1" applyFont="1" applyAlignment="1">
      <alignment vertical="center"/>
    </xf>
    <xf numFmtId="49" fontId="51" fillId="0" borderId="0" xfId="36" applyNumberFormat="1" applyFont="1" applyAlignment="1">
      <alignment vertical="center"/>
    </xf>
    <xf numFmtId="49" fontId="17" fillId="0" borderId="0" xfId="36" applyNumberFormat="1" applyFont="1" applyAlignment="1">
      <alignment vertical="center"/>
    </xf>
    <xf numFmtId="0" fontId="21" fillId="0" borderId="12" xfId="40" applyNumberFormat="1" applyFont="1" applyFill="1" applyBorder="1" applyAlignment="1">
      <alignment horizontal="right" vertical="center"/>
    </xf>
    <xf numFmtId="49" fontId="21" fillId="0" borderId="11" xfId="36" applyNumberFormat="1" applyFont="1" applyBorder="1" applyAlignment="1">
      <alignment horizontal="left" vertical="center"/>
    </xf>
    <xf numFmtId="49" fontId="56" fillId="0" borderId="12" xfId="36" applyNumberFormat="1" applyFont="1" applyBorder="1" applyAlignment="1">
      <alignment horizontal="right" vertical="center"/>
    </xf>
    <xf numFmtId="0" fontId="21" fillId="25" borderId="0" xfId="36" applyNumberFormat="1" applyFont="1" applyFill="1" applyBorder="1" applyAlignment="1">
      <alignment horizontal="right" vertical="center"/>
    </xf>
    <xf numFmtId="49" fontId="50" fillId="0" borderId="0" xfId="36" applyNumberFormat="1" applyFont="1" applyAlignment="1">
      <alignment horizontal="center" vertical="center"/>
    </xf>
    <xf numFmtId="49" fontId="24" fillId="0" borderId="0" xfId="36" applyNumberFormat="1" applyFont="1" applyAlignment="1">
      <alignment vertical="center"/>
    </xf>
    <xf numFmtId="49" fontId="52" fillId="0" borderId="13" xfId="40" applyNumberFormat="1" applyFont="1" applyBorder="1" applyAlignment="1">
      <alignment horizontal="left" vertical="center"/>
    </xf>
    <xf numFmtId="49" fontId="21" fillId="0" borderId="13" xfId="36" applyNumberFormat="1" applyFont="1" applyBorder="1" applyAlignment="1">
      <alignment horizontal="left" vertical="center"/>
    </xf>
    <xf numFmtId="0" fontId="21" fillId="25" borderId="13" xfId="36" applyNumberFormat="1" applyFont="1" applyFill="1" applyBorder="1" applyAlignment="1">
      <alignment horizontal="left" vertical="center"/>
    </xf>
    <xf numFmtId="49" fontId="52" fillId="0" borderId="13" xfId="36" applyNumberFormat="1" applyFont="1" applyBorder="1" applyAlignment="1">
      <alignment vertical="center"/>
    </xf>
    <xf numFmtId="49" fontId="55" fillId="0" borderId="14" xfId="36" applyNumberFormat="1" applyFont="1" applyBorder="1" applyAlignment="1">
      <alignment vertical="center"/>
    </xf>
    <xf numFmtId="49" fontId="50" fillId="0" borderId="0" xfId="36" applyNumberFormat="1" applyFont="1" applyBorder="1" applyAlignment="1">
      <alignment vertical="center"/>
    </xf>
    <xf numFmtId="0" fontId="21" fillId="0" borderId="11" xfId="36" applyNumberFormat="1" applyFont="1" applyBorder="1" applyAlignment="1">
      <alignment vertical="center"/>
    </xf>
    <xf numFmtId="49" fontId="21" fillId="0" borderId="12" xfId="36" applyNumberFormat="1" applyFont="1" applyBorder="1" applyAlignment="1">
      <alignment horizontal="center" vertical="center"/>
    </xf>
    <xf numFmtId="49" fontId="21" fillId="0" borderId="0" xfId="36" applyNumberFormat="1" applyFont="1" applyBorder="1" applyAlignment="1">
      <alignment horizontal="center" vertical="center"/>
    </xf>
    <xf numFmtId="49" fontId="21" fillId="0" borderId="0" xfId="36" applyNumberFormat="1" applyFont="1" applyAlignment="1">
      <alignment vertical="center"/>
    </xf>
    <xf numFmtId="49" fontId="50" fillId="0" borderId="13" xfId="40" applyNumberFormat="1" applyFont="1" applyBorder="1" applyAlignment="1">
      <alignment horizontal="left" vertical="center"/>
    </xf>
    <xf numFmtId="49" fontId="56" fillId="0" borderId="0" xfId="36" applyNumberFormat="1" applyFont="1" applyAlignment="1">
      <alignment vertical="center"/>
    </xf>
    <xf numFmtId="49" fontId="21" fillId="0" borderId="15" xfId="36" applyNumberFormat="1" applyFont="1" applyBorder="1" applyAlignment="1">
      <alignment horizontal="center" vertical="center"/>
    </xf>
    <xf numFmtId="0" fontId="21" fillId="25" borderId="0" xfId="36" applyNumberFormat="1" applyFont="1" applyFill="1" applyBorder="1" applyAlignment="1">
      <alignment vertical="center"/>
    </xf>
    <xf numFmtId="49" fontId="52" fillId="0" borderId="0" xfId="36" applyNumberFormat="1" applyFont="1" applyAlignment="1">
      <alignment vertical="center"/>
    </xf>
    <xf numFmtId="49" fontId="55" fillId="0" borderId="0" xfId="36" applyNumberFormat="1" applyFont="1" applyAlignment="1">
      <alignment vertical="center"/>
    </xf>
    <xf numFmtId="49" fontId="21" fillId="0" borderId="0" xfId="36" applyNumberFormat="1" applyFont="1" applyBorder="1" applyAlignment="1">
      <alignment horizontal="right" vertical="center"/>
    </xf>
    <xf numFmtId="49" fontId="68" fillId="0" borderId="0" xfId="40" applyNumberFormat="1" applyFont="1" applyAlignment="1">
      <alignment horizontal="center" vertical="center"/>
    </xf>
    <xf numFmtId="0" fontId="52" fillId="0" borderId="13" xfId="36" applyNumberFormat="1" applyFont="1" applyBorder="1" applyAlignment="1">
      <alignment vertical="center"/>
    </xf>
    <xf numFmtId="49" fontId="50" fillId="0" borderId="14" xfId="36" applyNumberFormat="1" applyFont="1" applyBorder="1" applyAlignment="1">
      <alignment horizontal="center" vertical="center"/>
    </xf>
    <xf numFmtId="49" fontId="50" fillId="0" borderId="0" xfId="36" applyNumberFormat="1" applyFont="1" applyBorder="1" applyAlignment="1">
      <alignment horizontal="center" vertical="center"/>
    </xf>
    <xf numFmtId="49" fontId="21" fillId="0" borderId="0" xfId="36" applyNumberFormat="1" applyFont="1" applyBorder="1" applyAlignment="1">
      <alignment vertical="center"/>
    </xf>
    <xf numFmtId="49" fontId="21" fillId="0" borderId="15" xfId="36" applyNumberFormat="1" applyFont="1" applyBorder="1" applyAlignment="1">
      <alignment vertical="center"/>
    </xf>
    <xf numFmtId="0" fontId="21" fillId="0" borderId="0" xfId="36" applyNumberFormat="1" applyFont="1" applyAlignment="1">
      <alignment vertical="center"/>
    </xf>
    <xf numFmtId="49" fontId="21" fillId="0" borderId="0" xfId="36" applyNumberFormat="1" applyFont="1" applyAlignment="1">
      <alignment horizontal="center" vertical="center"/>
    </xf>
    <xf numFmtId="49" fontId="68" fillId="0" borderId="14" xfId="40" applyNumberFormat="1" applyFont="1" applyBorder="1" applyAlignment="1">
      <alignment horizontal="left" vertical="center"/>
    </xf>
    <xf numFmtId="0" fontId="21" fillId="0" borderId="0" xfId="40" applyNumberFormat="1" applyFont="1" applyAlignment="1">
      <alignment vertical="center"/>
    </xf>
    <xf numFmtId="0" fontId="21" fillId="25" borderId="16" xfId="36" applyNumberFormat="1" applyFont="1" applyFill="1" applyBorder="1" applyAlignment="1">
      <alignment vertical="center"/>
    </xf>
    <xf numFmtId="49" fontId="52" fillId="0" borderId="14" xfId="40" applyNumberFormat="1" applyFont="1" applyBorder="1" applyAlignment="1">
      <alignment horizontal="left" vertical="center"/>
    </xf>
    <xf numFmtId="0" fontId="56" fillId="0" borderId="0" xfId="40" applyNumberFormat="1" applyFont="1" applyAlignment="1">
      <alignment horizontal="left" vertical="center"/>
    </xf>
    <xf numFmtId="0" fontId="21" fillId="0" borderId="12" xfId="40" applyNumberFormat="1" applyFont="1" applyFill="1" applyBorder="1" applyAlignment="1">
      <alignment vertical="center"/>
    </xf>
    <xf numFmtId="0" fontId="52" fillId="0" borderId="13" xfId="40" applyNumberFormat="1" applyFont="1" applyBorder="1" applyAlignment="1">
      <alignment horizontal="left" vertical="center"/>
    </xf>
    <xf numFmtId="49" fontId="68" fillId="0" borderId="13" xfId="40" applyNumberFormat="1" applyFont="1" applyBorder="1" applyAlignment="1">
      <alignment horizontal="center" vertical="center"/>
    </xf>
    <xf numFmtId="49" fontId="58" fillId="0" borderId="0" xfId="36" applyNumberFormat="1" applyFont="1" applyAlignment="1">
      <alignment horizontal="center" vertical="center"/>
    </xf>
    <xf numFmtId="0" fontId="49" fillId="0" borderId="0" xfId="40" applyNumberFormat="1" applyFont="1" applyAlignment="1">
      <alignment horizontal="center" vertical="center"/>
    </xf>
    <xf numFmtId="0" fontId="22" fillId="0" borderId="12" xfId="40" applyNumberFormat="1" applyFont="1" applyFill="1" applyBorder="1" applyAlignment="1">
      <alignment horizontal="left" vertical="center"/>
    </xf>
    <xf numFmtId="0" fontId="21" fillId="0" borderId="11" xfId="40" applyNumberFormat="1" applyFont="1" applyBorder="1" applyAlignment="1">
      <alignment horizontal="center" vertical="center"/>
    </xf>
    <xf numFmtId="49" fontId="60" fillId="0" borderId="0" xfId="36" applyNumberFormat="1" applyFont="1" applyAlignment="1">
      <alignment vertical="center"/>
    </xf>
    <xf numFmtId="49" fontId="23" fillId="0" borderId="0" xfId="36" applyNumberFormat="1" applyFont="1" applyAlignment="1">
      <alignment horizontal="center" vertical="center"/>
    </xf>
    <xf numFmtId="49" fontId="23" fillId="0" borderId="0" xfId="36" applyNumberFormat="1" applyFont="1" applyBorder="1" applyAlignment="1">
      <alignment vertical="center"/>
    </xf>
    <xf numFmtId="0" fontId="68" fillId="0" borderId="0" xfId="40" applyNumberFormat="1" applyFont="1" applyAlignment="1">
      <alignment horizontal="center" vertical="center"/>
    </xf>
    <xf numFmtId="49" fontId="21" fillId="0" borderId="16" xfId="36" applyNumberFormat="1" applyFont="1" applyBorder="1" applyAlignment="1">
      <alignment horizontal="right" vertical="center"/>
    </xf>
    <xf numFmtId="49" fontId="23" fillId="0" borderId="15" xfId="36" applyNumberFormat="1" applyFont="1" applyBorder="1" applyAlignment="1">
      <alignment vertical="center"/>
    </xf>
    <xf numFmtId="0" fontId="21" fillId="0" borderId="0" xfId="40" applyNumberFormat="1" applyFont="1" applyBorder="1" applyAlignment="1">
      <alignment vertical="center"/>
    </xf>
    <xf numFmtId="49" fontId="61" fillId="0" borderId="0" xfId="36" applyNumberFormat="1" applyFont="1" applyAlignment="1">
      <alignment vertical="center"/>
    </xf>
    <xf numFmtId="49" fontId="68" fillId="0" borderId="0" xfId="40" applyNumberFormat="1" applyFont="1" applyAlignment="1">
      <alignment horizontal="left" vertical="center"/>
    </xf>
    <xf numFmtId="49" fontId="68" fillId="0" borderId="13" xfId="40" applyNumberFormat="1" applyFont="1" applyBorder="1" applyAlignment="1">
      <alignment horizontal="left" vertical="center"/>
    </xf>
    <xf numFmtId="0" fontId="21" fillId="24" borderId="0" xfId="36" applyNumberFormat="1" applyFont="1" applyFill="1" applyAlignment="1">
      <alignment vertical="center"/>
    </xf>
    <xf numFmtId="49" fontId="17" fillId="0" borderId="11" xfId="36" applyNumberFormat="1" applyFont="1" applyBorder="1" applyAlignment="1">
      <alignment vertical="center"/>
    </xf>
    <xf numFmtId="49" fontId="17" fillId="0" borderId="0" xfId="36" applyNumberFormat="1" applyFont="1" applyBorder="1" applyAlignment="1">
      <alignment vertical="center"/>
    </xf>
    <xf numFmtId="49" fontId="18" fillId="0" borderId="0" xfId="36" applyNumberFormat="1" applyFont="1" applyBorder="1" applyAlignment="1">
      <alignment horizontal="left" vertical="center"/>
    </xf>
    <xf numFmtId="49" fontId="62" fillId="0" borderId="11" xfId="36" applyNumberFormat="1" applyFont="1" applyBorder="1" applyAlignment="1">
      <alignment vertical="center"/>
    </xf>
    <xf numFmtId="49" fontId="18" fillId="0" borderId="0" xfId="36" applyNumberFormat="1" applyFont="1" applyBorder="1" applyAlignment="1">
      <alignment vertical="center"/>
    </xf>
    <xf numFmtId="49" fontId="18" fillId="0" borderId="0" xfId="36" applyNumberFormat="1" applyFont="1" applyAlignment="1">
      <alignment vertical="center"/>
    </xf>
    <xf numFmtId="49" fontId="56" fillId="0" borderId="11" xfId="40" applyNumberFormat="1" applyFont="1" applyBorder="1" applyAlignment="1">
      <alignment horizontal="left" vertical="center"/>
    </xf>
    <xf numFmtId="49" fontId="21" fillId="0" borderId="12" xfId="40" applyNumberFormat="1" applyFont="1" applyBorder="1" applyAlignment="1">
      <alignment horizontal="right" vertical="center" shrinkToFit="1"/>
    </xf>
    <xf numFmtId="49" fontId="21" fillId="0" borderId="11" xfId="36" applyNumberFormat="1" applyFont="1" applyBorder="1" applyAlignment="1">
      <alignment vertical="center"/>
    </xf>
    <xf numFmtId="14" fontId="21" fillId="25" borderId="0" xfId="36" applyNumberFormat="1" applyFont="1" applyFill="1" applyBorder="1" applyAlignment="1">
      <alignment horizontal="right" vertical="center"/>
    </xf>
    <xf numFmtId="49" fontId="21" fillId="25" borderId="0" xfId="36" applyNumberFormat="1" applyFont="1" applyFill="1" applyBorder="1" applyAlignment="1">
      <alignment horizontal="right" vertical="center"/>
    </xf>
    <xf numFmtId="49" fontId="21" fillId="0" borderId="0" xfId="40" applyNumberFormat="1" applyFont="1" applyAlignment="1">
      <alignment horizontal="right" vertical="center" shrinkToFit="1"/>
    </xf>
    <xf numFmtId="49" fontId="21" fillId="25" borderId="0" xfId="36" applyNumberFormat="1" applyFont="1" applyFill="1" applyBorder="1" applyAlignment="1">
      <alignment vertical="center"/>
    </xf>
    <xf numFmtId="49" fontId="56" fillId="0" borderId="0" xfId="40" applyNumberFormat="1" applyFont="1" applyAlignment="1">
      <alignment horizontal="left" vertical="center"/>
    </xf>
    <xf numFmtId="49" fontId="22" fillId="25" borderId="0" xfId="36" applyNumberFormat="1" applyFont="1" applyFill="1" applyBorder="1" applyAlignment="1">
      <alignment vertical="center"/>
    </xf>
    <xf numFmtId="49" fontId="57" fillId="0" borderId="11" xfId="40" applyNumberFormat="1" applyFont="1" applyBorder="1" applyAlignment="1">
      <alignment horizontal="left" vertical="center"/>
    </xf>
    <xf numFmtId="49" fontId="22" fillId="0" borderId="11" xfId="36" applyNumberFormat="1" applyFont="1" applyBorder="1" applyAlignment="1">
      <alignment vertical="center"/>
    </xf>
    <xf numFmtId="49" fontId="21" fillId="25" borderId="16" xfId="36" applyNumberFormat="1" applyFont="1" applyFill="1" applyBorder="1" applyAlignment="1">
      <alignment horizontal="right" vertical="center"/>
    </xf>
    <xf numFmtId="49" fontId="53" fillId="0" borderId="11" xfId="36" applyNumberFormat="1" applyFont="1" applyFill="1" applyBorder="1" applyAlignment="1">
      <alignment horizontal="center" vertical="center"/>
    </xf>
    <xf numFmtId="0" fontId="73" fillId="0" borderId="0" xfId="36" applyFont="1" applyBorder="1" applyAlignment="1">
      <alignment horizontal="center" vertical="center"/>
    </xf>
    <xf numFmtId="0" fontId="8" fillId="0" borderId="0" xfId="36" applyBorder="1" applyAlignment="1">
      <alignment horizontal="center" vertical="center"/>
    </xf>
    <xf numFmtId="0" fontId="21" fillId="24" borderId="0" xfId="36" applyNumberFormat="1" applyFont="1" applyFill="1" applyAlignment="1">
      <alignment horizontal="left" vertical="center"/>
    </xf>
    <xf numFmtId="49" fontId="53" fillId="0" borderId="11" xfId="36" applyNumberFormat="1" applyFont="1" applyBorder="1" applyAlignment="1">
      <alignment horizontal="center" vertical="center"/>
    </xf>
    <xf numFmtId="49" fontId="53" fillId="0" borderId="11" xfId="36" applyNumberFormat="1" applyFont="1" applyBorder="1" applyAlignment="1">
      <alignment vertical="center"/>
    </xf>
    <xf numFmtId="49" fontId="50" fillId="0" borderId="0" xfId="36" applyNumberFormat="1" applyFont="1" applyAlignment="1">
      <alignment horizontal="left" vertical="center"/>
    </xf>
    <xf numFmtId="0" fontId="21" fillId="24" borderId="13" xfId="36" applyNumberFormat="1" applyFont="1" applyFill="1" applyBorder="1" applyAlignment="1">
      <alignment horizontal="left" vertical="center"/>
    </xf>
    <xf numFmtId="49" fontId="61" fillId="0" borderId="14" xfId="36" applyNumberFormat="1" applyFont="1" applyBorder="1" applyAlignment="1">
      <alignment vertical="center"/>
    </xf>
    <xf numFmtId="0" fontId="21" fillId="25" borderId="0" xfId="36" applyNumberFormat="1" applyFont="1" applyFill="1" applyBorder="1" applyAlignment="1">
      <alignment horizontal="center" vertical="center"/>
    </xf>
    <xf numFmtId="0" fontId="55" fillId="0" borderId="14" xfId="36" applyNumberFormat="1" applyFont="1" applyBorder="1" applyAlignment="1">
      <alignment vertical="center"/>
    </xf>
    <xf numFmtId="49" fontId="21" fillId="0" borderId="11" xfId="36" applyNumberFormat="1" applyFont="1" applyBorder="1" applyAlignment="1">
      <alignment horizontal="right" vertical="center"/>
    </xf>
    <xf numFmtId="49" fontId="21" fillId="0" borderId="12" xfId="36" applyNumberFormat="1" applyFont="1" applyBorder="1" applyAlignment="1">
      <alignment horizontal="right" vertical="center"/>
    </xf>
    <xf numFmtId="49" fontId="53" fillId="0" borderId="0" xfId="36" applyNumberFormat="1" applyFont="1" applyBorder="1" applyAlignment="1">
      <alignment vertical="center"/>
    </xf>
    <xf numFmtId="49" fontId="50" fillId="0" borderId="14" xfId="36" applyNumberFormat="1" applyFont="1" applyBorder="1" applyAlignment="1">
      <alignment horizontal="left" vertical="center"/>
    </xf>
    <xf numFmtId="49" fontId="50" fillId="0" borderId="0" xfId="36" applyNumberFormat="1" applyFont="1" applyBorder="1" applyAlignment="1">
      <alignment horizontal="left" vertical="center"/>
    </xf>
    <xf numFmtId="49" fontId="21" fillId="0" borderId="11" xfId="36" applyNumberFormat="1" applyFont="1" applyBorder="1" applyAlignment="1">
      <alignment horizontal="center" vertical="center"/>
    </xf>
    <xf numFmtId="0" fontId="21" fillId="0" borderId="11" xfId="36" applyNumberFormat="1" applyFont="1" applyFill="1" applyBorder="1" applyAlignment="1">
      <alignment horizontal="left" vertical="center"/>
    </xf>
    <xf numFmtId="49" fontId="52" fillId="0" borderId="11" xfId="36" applyNumberFormat="1" applyFont="1" applyBorder="1" applyAlignment="1">
      <alignment vertical="center"/>
    </xf>
    <xf numFmtId="49" fontId="21" fillId="0" borderId="14" xfId="36" applyNumberFormat="1" applyFont="1" applyBorder="1" applyAlignment="1">
      <alignment vertical="center"/>
    </xf>
    <xf numFmtId="49" fontId="21" fillId="0" borderId="13" xfId="36" applyNumberFormat="1" applyFont="1" applyBorder="1" applyAlignment="1">
      <alignment vertical="center"/>
    </xf>
    <xf numFmtId="49" fontId="21" fillId="0" borderId="0" xfId="36" applyNumberFormat="1" applyFont="1" applyFill="1" applyBorder="1" applyAlignment="1">
      <alignment horizontal="left" vertical="center"/>
    </xf>
    <xf numFmtId="0" fontId="21" fillId="0" borderId="0" xfId="36" applyNumberFormat="1" applyFont="1" applyFill="1" applyBorder="1" applyAlignment="1">
      <alignment horizontal="left" vertical="center"/>
    </xf>
    <xf numFmtId="49" fontId="21" fillId="0" borderId="0" xfId="36" applyNumberFormat="1" applyFont="1" applyBorder="1" applyAlignment="1">
      <alignment horizontal="left" vertical="center"/>
    </xf>
    <xf numFmtId="0" fontId="21" fillId="24" borderId="0" xfId="36" applyNumberFormat="1" applyFont="1" applyFill="1" applyBorder="1" applyAlignment="1">
      <alignment horizontal="left" vertical="center"/>
    </xf>
    <xf numFmtId="0" fontId="21" fillId="25" borderId="0" xfId="36" applyNumberFormat="1" applyFont="1" applyFill="1" applyBorder="1" applyAlignment="1">
      <alignment horizontal="left" vertical="center"/>
    </xf>
    <xf numFmtId="49" fontId="21" fillId="0" borderId="14" xfId="36" applyNumberFormat="1" applyFont="1" applyBorder="1" applyAlignment="1">
      <alignment horizontal="center" vertical="center"/>
    </xf>
    <xf numFmtId="49" fontId="58" fillId="0" borderId="0" xfId="36" applyNumberFormat="1" applyFont="1" applyBorder="1" applyAlignment="1">
      <alignment horizontal="center" vertical="center"/>
    </xf>
    <xf numFmtId="49" fontId="21" fillId="0" borderId="13" xfId="36" applyNumberFormat="1" applyFont="1" applyBorder="1" applyAlignment="1">
      <alignment horizontal="right" vertical="center"/>
    </xf>
    <xf numFmtId="0" fontId="21" fillId="24" borderId="0" xfId="36" applyNumberFormat="1" applyFont="1" applyFill="1" applyBorder="1" applyAlignment="1">
      <alignment horizontal="right" vertical="center"/>
    </xf>
    <xf numFmtId="0" fontId="8" fillId="0" borderId="0" xfId="36" applyBorder="1" applyAlignment="1">
      <alignment vertical="center"/>
    </xf>
    <xf numFmtId="49" fontId="52" fillId="0" borderId="0" xfId="36" applyNumberFormat="1" applyFont="1" applyBorder="1" applyAlignment="1">
      <alignment vertical="center"/>
    </xf>
    <xf numFmtId="49" fontId="61" fillId="0" borderId="0" xfId="36" applyNumberFormat="1" applyFont="1" applyBorder="1" applyAlignment="1">
      <alignment vertical="center"/>
    </xf>
    <xf numFmtId="0" fontId="52" fillId="0" borderId="16" xfId="36" applyNumberFormat="1" applyFont="1" applyBorder="1" applyAlignment="1">
      <alignment vertical="center"/>
    </xf>
    <xf numFmtId="49" fontId="53" fillId="0" borderId="0" xfId="36" applyNumberFormat="1" applyFont="1" applyBorder="1" applyAlignment="1">
      <alignment horizontal="right" vertical="center"/>
    </xf>
    <xf numFmtId="49" fontId="21" fillId="0" borderId="13" xfId="36" applyNumberFormat="1" applyFont="1" applyBorder="1" applyAlignment="1">
      <alignment horizontal="center" vertical="center"/>
    </xf>
    <xf numFmtId="0" fontId="21" fillId="24" borderId="13" xfId="36" applyNumberFormat="1" applyFont="1" applyFill="1" applyBorder="1" applyAlignment="1">
      <alignment horizontal="center" vertical="center"/>
    </xf>
    <xf numFmtId="0" fontId="14" fillId="0" borderId="0" xfId="36" applyFont="1" applyAlignment="1">
      <alignment horizontal="center" vertical="center"/>
    </xf>
    <xf numFmtId="0" fontId="8" fillId="24" borderId="0" xfId="36" applyFill="1" applyAlignment="1">
      <alignment vertical="center"/>
    </xf>
    <xf numFmtId="0" fontId="8" fillId="30" borderId="40" xfId="36" applyFill="1" applyBorder="1"/>
    <xf numFmtId="0" fontId="8" fillId="0" borderId="40" xfId="36" applyBorder="1"/>
    <xf numFmtId="0" fontId="8" fillId="29" borderId="40" xfId="36" applyFill="1" applyBorder="1"/>
    <xf numFmtId="0" fontId="9" fillId="0" borderId="40" xfId="36" applyNumberFormat="1" applyFont="1" applyBorder="1" applyAlignment="1">
      <alignment horizontal="center" vertical="center"/>
    </xf>
    <xf numFmtId="0" fontId="9" fillId="0" borderId="40" xfId="36" applyFont="1" applyBorder="1" applyAlignment="1">
      <alignment horizontal="center" vertical="center"/>
    </xf>
    <xf numFmtId="0" fontId="9" fillId="0" borderId="41" xfId="36" applyFont="1" applyBorder="1" applyAlignment="1">
      <alignment horizontal="center" vertical="center"/>
    </xf>
    <xf numFmtId="0" fontId="9" fillId="0" borderId="42" xfId="36" applyFont="1" applyBorder="1" applyAlignment="1">
      <alignment horizontal="center" vertical="center"/>
    </xf>
    <xf numFmtId="0" fontId="9" fillId="0" borderId="43" xfId="36" applyFont="1" applyBorder="1" applyAlignment="1">
      <alignment horizontal="center" vertical="center"/>
    </xf>
    <xf numFmtId="0" fontId="8" fillId="30" borderId="35" xfId="36" applyFill="1" applyBorder="1"/>
    <xf numFmtId="0" fontId="8" fillId="29" borderId="35" xfId="36" applyFill="1" applyBorder="1"/>
    <xf numFmtId="0" fontId="9" fillId="0" borderId="35" xfId="36" applyNumberFormat="1" applyFont="1" applyBorder="1" applyAlignment="1">
      <alignment horizontal="center" vertical="center"/>
    </xf>
    <xf numFmtId="0" fontId="9" fillId="0" borderId="35" xfId="36" applyFont="1" applyBorder="1" applyAlignment="1">
      <alignment horizontal="center" vertical="center"/>
    </xf>
    <xf numFmtId="0" fontId="9" fillId="0" borderId="44" xfId="36" applyFont="1" applyBorder="1" applyAlignment="1">
      <alignment horizontal="center" vertical="center"/>
    </xf>
    <xf numFmtId="0" fontId="9" fillId="0" borderId="45" xfId="36" applyFont="1" applyBorder="1" applyAlignment="1">
      <alignment horizontal="center" vertical="center"/>
    </xf>
    <xf numFmtId="0" fontId="9" fillId="0" borderId="46" xfId="36" applyFont="1" applyBorder="1" applyAlignment="1">
      <alignment horizontal="center" vertical="center"/>
    </xf>
    <xf numFmtId="0" fontId="9" fillId="0" borderId="41" xfId="36" applyNumberFormat="1" applyFont="1" applyBorder="1" applyAlignment="1">
      <alignment horizontal="center"/>
    </xf>
    <xf numFmtId="0" fontId="9" fillId="0" borderId="42" xfId="36" applyNumberFormat="1" applyFont="1" applyBorder="1" applyAlignment="1">
      <alignment horizontal="center"/>
    </xf>
    <xf numFmtId="0" fontId="9" fillId="0" borderId="43" xfId="36" applyNumberFormat="1" applyFont="1" applyBorder="1" applyAlignment="1">
      <alignment horizontal="center"/>
    </xf>
    <xf numFmtId="0" fontId="69" fillId="0" borderId="47" xfId="36" applyFont="1" applyBorder="1" applyAlignment="1">
      <alignment horizontal="center" vertical="center"/>
    </xf>
    <xf numFmtId="0" fontId="8" fillId="0" borderId="43" xfId="36" applyBorder="1"/>
    <xf numFmtId="0" fontId="8" fillId="0" borderId="40" xfId="36" applyNumberFormat="1" applyBorder="1" applyAlignment="1">
      <alignment horizontal="center" vertical="center"/>
    </xf>
    <xf numFmtId="0" fontId="8" fillId="0" borderId="40" xfId="36" applyNumberFormat="1" applyFont="1" applyBorder="1" applyAlignment="1">
      <alignment horizontal="center" vertical="center"/>
    </xf>
    <xf numFmtId="0" fontId="69" fillId="0" borderId="48" xfId="36" applyFont="1" applyBorder="1" applyAlignment="1">
      <alignment horizontal="center" vertical="center"/>
    </xf>
    <xf numFmtId="0" fontId="69" fillId="0" borderId="49" xfId="36" applyFont="1" applyBorder="1" applyAlignment="1">
      <alignment horizontal="center" vertical="center"/>
    </xf>
    <xf numFmtId="0" fontId="8" fillId="0" borderId="46" xfId="36" applyBorder="1"/>
    <xf numFmtId="0" fontId="9" fillId="0" borderId="44" xfId="36" applyNumberFormat="1" applyFont="1" applyBorder="1" applyAlignment="1">
      <alignment horizontal="center"/>
    </xf>
    <xf numFmtId="0" fontId="9" fillId="0" borderId="45" xfId="36" applyNumberFormat="1" applyFont="1" applyBorder="1" applyAlignment="1">
      <alignment horizontal="center"/>
    </xf>
    <xf numFmtId="0" fontId="9" fillId="0" borderId="46" xfId="36" applyNumberFormat="1" applyFont="1" applyBorder="1" applyAlignment="1">
      <alignment horizontal="center"/>
    </xf>
    <xf numFmtId="0" fontId="8" fillId="30" borderId="50" xfId="36" applyFill="1" applyBorder="1"/>
    <xf numFmtId="0" fontId="9" fillId="0" borderId="50" xfId="36" applyNumberFormat="1" applyFont="1" applyBorder="1" applyAlignment="1">
      <alignment horizontal="center" vertical="center"/>
    </xf>
    <xf numFmtId="0" fontId="9" fillId="0" borderId="50" xfId="36" applyFont="1" applyBorder="1" applyAlignment="1">
      <alignment horizontal="center" vertical="center"/>
    </xf>
    <xf numFmtId="0" fontId="9" fillId="0" borderId="51" xfId="36" applyFont="1" applyBorder="1" applyAlignment="1">
      <alignment horizontal="center" vertical="center"/>
    </xf>
    <xf numFmtId="0" fontId="9" fillId="0" borderId="52" xfId="36" applyFont="1" applyBorder="1" applyAlignment="1">
      <alignment horizontal="center" vertical="center"/>
    </xf>
    <xf numFmtId="0" fontId="9" fillId="0" borderId="53" xfId="36" applyFont="1" applyBorder="1" applyAlignment="1">
      <alignment horizontal="center" vertical="center"/>
    </xf>
    <xf numFmtId="0" fontId="8" fillId="0" borderId="54" xfId="36" applyNumberFormat="1" applyBorder="1" applyAlignment="1">
      <alignment horizontal="center" vertical="center"/>
    </xf>
    <xf numFmtId="0" fontId="8" fillId="0" borderId="55" xfId="36" applyNumberFormat="1" applyBorder="1" applyAlignment="1">
      <alignment horizontal="center" vertical="center"/>
    </xf>
    <xf numFmtId="0" fontId="8" fillId="0" borderId="56" xfId="36" applyNumberFormat="1" applyBorder="1" applyAlignment="1">
      <alignment horizontal="center" vertical="center"/>
    </xf>
    <xf numFmtId="0" fontId="8" fillId="0" borderId="57" xfId="36" applyNumberFormat="1" applyBorder="1" applyAlignment="1">
      <alignment horizontal="center" vertical="center"/>
    </xf>
    <xf numFmtId="0" fontId="8" fillId="30" borderId="58" xfId="36" applyFill="1" applyBorder="1"/>
    <xf numFmtId="0" fontId="8" fillId="0" borderId="58" xfId="36" applyBorder="1"/>
    <xf numFmtId="0" fontId="8" fillId="29" borderId="58" xfId="36" applyFill="1" applyBorder="1"/>
    <xf numFmtId="0" fontId="9" fillId="0" borderId="58" xfId="36" applyNumberFormat="1" applyFont="1" applyBorder="1" applyAlignment="1">
      <alignment horizontal="center" vertical="center"/>
    </xf>
    <xf numFmtId="0" fontId="9" fillId="0" borderId="58" xfId="36" applyFont="1" applyBorder="1" applyAlignment="1">
      <alignment horizontal="center" vertical="center"/>
    </xf>
    <xf numFmtId="0" fontId="9" fillId="0" borderId="59" xfId="36" applyFont="1" applyBorder="1" applyAlignment="1">
      <alignment horizontal="center" vertical="center"/>
    </xf>
    <xf numFmtId="0" fontId="9" fillId="0" borderId="60" xfId="36" applyFont="1" applyBorder="1" applyAlignment="1">
      <alignment horizontal="center" vertical="center"/>
    </xf>
    <xf numFmtId="0" fontId="9" fillId="0" borderId="61" xfId="36" applyFont="1" applyBorder="1" applyAlignment="1">
      <alignment horizontal="center" vertical="center"/>
    </xf>
    <xf numFmtId="0" fontId="8" fillId="0" borderId="62" xfId="36" applyNumberFormat="1" applyBorder="1" applyAlignment="1">
      <alignment horizontal="center" vertical="center"/>
    </xf>
    <xf numFmtId="0" fontId="9" fillId="31" borderId="58" xfId="36" applyFont="1" applyFill="1" applyBorder="1"/>
    <xf numFmtId="0" fontId="69" fillId="0" borderId="63" xfId="36" applyFont="1" applyBorder="1" applyAlignment="1">
      <alignment horizontal="center" vertical="center"/>
    </xf>
    <xf numFmtId="0" fontId="8" fillId="0" borderId="64" xfId="36" applyBorder="1"/>
    <xf numFmtId="0" fontId="8" fillId="0" borderId="65" xfId="36" applyBorder="1"/>
    <xf numFmtId="0" fontId="8" fillId="0" borderId="66" xfId="36" applyBorder="1"/>
    <xf numFmtId="0" fontId="8" fillId="30" borderId="67" xfId="36" applyFill="1" applyBorder="1"/>
    <xf numFmtId="0" fontId="8" fillId="0" borderId="54" xfId="36" applyBorder="1"/>
    <xf numFmtId="0" fontId="8" fillId="30" borderId="68" xfId="36" applyFill="1" applyBorder="1"/>
    <xf numFmtId="0" fontId="8" fillId="0" borderId="55" xfId="36" applyBorder="1"/>
    <xf numFmtId="0" fontId="8" fillId="30" borderId="69" xfId="36" applyFill="1" applyBorder="1"/>
    <xf numFmtId="0" fontId="8" fillId="0" borderId="56" xfId="36" applyBorder="1"/>
    <xf numFmtId="0" fontId="8" fillId="30" borderId="70" xfId="36" applyFill="1" applyBorder="1"/>
    <xf numFmtId="0" fontId="8" fillId="0" borderId="57" xfId="36" applyBorder="1"/>
    <xf numFmtId="0" fontId="8" fillId="29" borderId="67" xfId="36" applyFill="1" applyBorder="1"/>
    <xf numFmtId="0" fontId="8" fillId="29" borderId="68" xfId="36" applyFill="1" applyBorder="1"/>
    <xf numFmtId="0" fontId="8" fillId="29" borderId="69" xfId="36" applyFill="1" applyBorder="1"/>
    <xf numFmtId="0" fontId="8" fillId="30" borderId="71" xfId="36" applyFill="1" applyBorder="1"/>
    <xf numFmtId="0" fontId="8" fillId="0" borderId="62" xfId="36" applyBorder="1"/>
    <xf numFmtId="0" fontId="8" fillId="0" borderId="45" xfId="36" applyBorder="1" applyAlignment="1">
      <alignment horizontal="center"/>
    </xf>
    <xf numFmtId="0" fontId="8" fillId="31" borderId="42" xfId="36" applyFill="1" applyBorder="1"/>
    <xf numFmtId="0" fontId="8" fillId="31" borderId="20" xfId="36" applyFill="1" applyBorder="1"/>
    <xf numFmtId="0" fontId="8" fillId="31" borderId="13" xfId="36" applyFill="1" applyBorder="1"/>
    <xf numFmtId="0" fontId="8" fillId="31" borderId="45" xfId="36" applyFill="1" applyBorder="1"/>
    <xf numFmtId="0" fontId="8" fillId="31" borderId="52" xfId="36" applyFill="1" applyBorder="1"/>
    <xf numFmtId="0" fontId="8" fillId="31" borderId="60" xfId="36" applyFill="1" applyBorder="1"/>
    <xf numFmtId="0" fontId="9" fillId="31" borderId="67" xfId="36" applyFont="1" applyFill="1" applyBorder="1"/>
    <xf numFmtId="0" fontId="9" fillId="31" borderId="68" xfId="36" applyFont="1" applyFill="1" applyBorder="1"/>
    <xf numFmtId="0" fontId="9" fillId="31" borderId="69" xfId="36" applyFont="1" applyFill="1" applyBorder="1"/>
    <xf numFmtId="0" fontId="9" fillId="31" borderId="70" xfId="36" applyFont="1" applyFill="1" applyBorder="1"/>
    <xf numFmtId="0" fontId="9" fillId="31" borderId="71" xfId="36" applyFont="1" applyFill="1" applyBorder="1"/>
    <xf numFmtId="0" fontId="21" fillId="0" borderId="11" xfId="36" applyNumberFormat="1" applyFont="1" applyBorder="1" applyAlignment="1">
      <alignment horizontal="center" vertical="center"/>
    </xf>
    <xf numFmtId="0" fontId="8" fillId="30" borderId="67" xfId="36" applyNumberFormat="1" applyFill="1" applyBorder="1"/>
    <xf numFmtId="0" fontId="8" fillId="30" borderId="40" xfId="36" applyNumberFormat="1" applyFill="1" applyBorder="1"/>
    <xf numFmtId="0" fontId="8" fillId="0" borderId="54" xfId="36" applyNumberFormat="1" applyBorder="1"/>
    <xf numFmtId="0" fontId="8" fillId="31" borderId="42" xfId="36" applyNumberFormat="1" applyFill="1" applyBorder="1"/>
    <xf numFmtId="0" fontId="9" fillId="31" borderId="67" xfId="36" applyNumberFormat="1" applyFont="1" applyFill="1" applyBorder="1"/>
    <xf numFmtId="0" fontId="9" fillId="0" borderId="41" xfId="36" applyNumberFormat="1" applyFont="1" applyBorder="1" applyAlignment="1">
      <alignment horizontal="center" vertical="center"/>
    </xf>
    <xf numFmtId="0" fontId="9" fillId="0" borderId="42" xfId="36" applyNumberFormat="1" applyFont="1" applyBorder="1" applyAlignment="1">
      <alignment horizontal="center" vertical="center"/>
    </xf>
    <xf numFmtId="0" fontId="9" fillId="0" borderId="43" xfId="36" applyNumberFormat="1" applyFont="1" applyBorder="1" applyAlignment="1">
      <alignment horizontal="center" vertical="center"/>
    </xf>
    <xf numFmtId="0" fontId="8" fillId="30" borderId="69" xfId="36" applyNumberFormat="1" applyFill="1" applyBorder="1"/>
    <xf numFmtId="0" fontId="8" fillId="30" borderId="35" xfId="36" applyNumberFormat="1" applyFill="1" applyBorder="1"/>
    <xf numFmtId="0" fontId="8" fillId="0" borderId="56" xfId="36" applyNumberFormat="1" applyBorder="1"/>
    <xf numFmtId="0" fontId="8" fillId="31" borderId="45" xfId="36" applyNumberFormat="1" applyFill="1" applyBorder="1"/>
    <xf numFmtId="0" fontId="9" fillId="31" borderId="69" xfId="36" applyNumberFormat="1" applyFont="1" applyFill="1" applyBorder="1"/>
    <xf numFmtId="0" fontId="9" fillId="0" borderId="44" xfId="36" applyNumberFormat="1" applyFont="1" applyBorder="1" applyAlignment="1">
      <alignment horizontal="center" vertical="center"/>
    </xf>
    <xf numFmtId="0" fontId="9" fillId="0" borderId="45" xfId="36" applyNumberFormat="1" applyFont="1" applyBorder="1" applyAlignment="1">
      <alignment horizontal="center" vertical="center"/>
    </xf>
    <xf numFmtId="0" fontId="9" fillId="0" borderId="46" xfId="36" applyNumberFormat="1" applyFont="1" applyBorder="1" applyAlignment="1">
      <alignment horizontal="center" vertical="center"/>
    </xf>
    <xf numFmtId="0" fontId="8" fillId="29" borderId="67" xfId="36" applyNumberFormat="1" applyFill="1" applyBorder="1"/>
    <xf numFmtId="0" fontId="8" fillId="29" borderId="68" xfId="36" applyNumberFormat="1" applyFill="1" applyBorder="1"/>
    <xf numFmtId="0" fontId="8" fillId="29" borderId="69" xfId="36" applyNumberFormat="1" applyFill="1" applyBorder="1"/>
    <xf numFmtId="0" fontId="8" fillId="0" borderId="55" xfId="36" applyNumberFormat="1" applyBorder="1"/>
    <xf numFmtId="0" fontId="8" fillId="0" borderId="62" xfId="36" applyNumberFormat="1" applyBorder="1"/>
    <xf numFmtId="0" fontId="8" fillId="31" borderId="72" xfId="36" applyFill="1" applyBorder="1"/>
    <xf numFmtId="0" fontId="9" fillId="0" borderId="58" xfId="36" applyNumberFormat="1" applyFont="1" applyFill="1" applyBorder="1" applyAlignment="1">
      <alignment horizontal="center" vertical="center"/>
    </xf>
    <xf numFmtId="0" fontId="8" fillId="0" borderId="58" xfId="36" applyNumberFormat="1" applyBorder="1"/>
    <xf numFmtId="0" fontId="8" fillId="0" borderId="38" xfId="36" applyBorder="1"/>
    <xf numFmtId="0" fontId="8" fillId="0" borderId="38" xfId="36" applyNumberFormat="1" applyBorder="1"/>
    <xf numFmtId="0" fontId="8" fillId="31" borderId="0" xfId="36" applyFill="1" applyBorder="1"/>
    <xf numFmtId="0" fontId="9" fillId="31" borderId="38" xfId="36" applyFont="1" applyFill="1" applyBorder="1"/>
    <xf numFmtId="0" fontId="9" fillId="0" borderId="38" xfId="36" applyNumberFormat="1" applyFont="1" applyBorder="1" applyAlignment="1">
      <alignment horizontal="center" vertical="center"/>
    </xf>
    <xf numFmtId="0" fontId="9" fillId="0" borderId="38" xfId="36" applyFont="1" applyBorder="1" applyAlignment="1">
      <alignment horizontal="center" vertical="center"/>
    </xf>
    <xf numFmtId="0" fontId="9" fillId="0" borderId="37" xfId="36" applyFont="1" applyBorder="1" applyAlignment="1">
      <alignment horizontal="center" vertical="center"/>
    </xf>
    <xf numFmtId="0" fontId="9" fillId="0" borderId="73" xfId="36" applyFont="1" applyBorder="1" applyAlignment="1">
      <alignment horizontal="center" vertical="center"/>
    </xf>
    <xf numFmtId="0" fontId="8" fillId="0" borderId="74" xfId="36" applyNumberFormat="1" applyBorder="1" applyAlignment="1">
      <alignment horizontal="center" vertical="center"/>
    </xf>
    <xf numFmtId="0" fontId="8" fillId="29" borderId="71" xfId="36" applyFill="1" applyBorder="1"/>
    <xf numFmtId="0" fontId="16" fillId="0" borderId="0" xfId="36" applyFont="1"/>
    <xf numFmtId="0" fontId="101" fillId="0" borderId="33" xfId="37" applyFont="1" applyBorder="1" applyAlignment="1">
      <alignment horizontal="center"/>
    </xf>
    <xf numFmtId="0" fontId="101" fillId="0" borderId="10" xfId="37" applyFont="1" applyBorder="1"/>
    <xf numFmtId="0" fontId="102" fillId="0" borderId="31" xfId="37" applyFont="1" applyBorder="1"/>
    <xf numFmtId="0" fontId="103" fillId="0" borderId="32" xfId="37" applyFont="1" applyBorder="1"/>
    <xf numFmtId="0" fontId="94" fillId="0" borderId="29" xfId="37" applyFont="1" applyBorder="1" applyAlignment="1">
      <alignment vertical="center"/>
    </xf>
    <xf numFmtId="0" fontId="94" fillId="0" borderId="20" xfId="37" applyFont="1" applyBorder="1" applyAlignment="1">
      <alignment horizontal="center" vertical="center"/>
    </xf>
    <xf numFmtId="0" fontId="94" fillId="0" borderId="33" xfId="37" applyFont="1" applyBorder="1" applyAlignment="1">
      <alignment vertical="center"/>
    </xf>
    <xf numFmtId="0" fontId="94" fillId="0" borderId="34" xfId="37" applyFont="1" applyBorder="1" applyAlignment="1" applyProtection="1">
      <alignment vertical="center"/>
    </xf>
    <xf numFmtId="0" fontId="94" fillId="0" borderId="20" xfId="37" applyFont="1" applyBorder="1" applyAlignment="1" applyProtection="1">
      <alignment horizontal="center" vertical="center"/>
    </xf>
    <xf numFmtId="0" fontId="94" fillId="0" borderId="14" xfId="37" applyFont="1" applyBorder="1" applyAlignment="1" applyProtection="1">
      <alignment horizontal="left" vertical="center"/>
    </xf>
    <xf numFmtId="0" fontId="94" fillId="0" borderId="34" xfId="37" applyFont="1" applyBorder="1" applyAlignment="1">
      <alignment vertical="center"/>
    </xf>
    <xf numFmtId="0" fontId="94" fillId="0" borderId="14" xfId="37" applyFont="1" applyBorder="1" applyAlignment="1">
      <alignment horizontal="left" vertical="center"/>
    </xf>
    <xf numFmtId="0" fontId="104" fillId="0" borderId="0" xfId="37" applyFont="1"/>
    <xf numFmtId="0" fontId="104" fillId="0" borderId="0" xfId="37" applyFont="1" applyAlignment="1">
      <alignment horizontal="left"/>
    </xf>
    <xf numFmtId="0" fontId="10" fillId="0" borderId="0" xfId="36" applyFont="1"/>
    <xf numFmtId="0" fontId="9" fillId="0" borderId="35" xfId="36" applyNumberFormat="1" applyFont="1" applyFill="1" applyBorder="1" applyAlignment="1">
      <alignment horizontal="center" vertical="center"/>
    </xf>
    <xf numFmtId="0" fontId="21" fillId="0" borderId="11" xfId="36" applyNumberFormat="1" applyFont="1" applyBorder="1" applyAlignment="1">
      <alignment horizontal="left" vertical="center"/>
    </xf>
    <xf numFmtId="0" fontId="8" fillId="29" borderId="70" xfId="36" applyFill="1" applyBorder="1"/>
    <xf numFmtId="0" fontId="8" fillId="0" borderId="50" xfId="36" applyBorder="1"/>
    <xf numFmtId="0" fontId="8" fillId="29" borderId="50" xfId="36" applyFill="1" applyBorder="1"/>
    <xf numFmtId="0" fontId="8" fillId="0" borderId="57" xfId="36" applyNumberFormat="1" applyBorder="1"/>
    <xf numFmtId="0" fontId="69" fillId="0" borderId="0" xfId="36" applyFont="1" applyFill="1" applyBorder="1" applyAlignment="1">
      <alignment horizontal="center" vertical="center"/>
    </xf>
    <xf numFmtId="0" fontId="8" fillId="0" borderId="0" xfId="36" applyFill="1" applyBorder="1"/>
    <xf numFmtId="0" fontId="9" fillId="0" borderId="0" xfId="36" applyFont="1" applyFill="1" applyBorder="1"/>
    <xf numFmtId="0" fontId="9" fillId="0" borderId="0" xfId="36" applyNumberFormat="1" applyFont="1" applyFill="1" applyBorder="1" applyAlignment="1">
      <alignment horizontal="center" vertical="center"/>
    </xf>
    <xf numFmtId="0" fontId="9" fillId="0" borderId="0" xfId="36" applyFont="1" applyFill="1" applyBorder="1" applyAlignment="1">
      <alignment horizontal="center" vertical="center"/>
    </xf>
    <xf numFmtId="0" fontId="8" fillId="0" borderId="0" xfId="36" applyNumberFormat="1" applyFill="1" applyBorder="1" applyAlignment="1">
      <alignment horizontal="center" vertical="center"/>
    </xf>
    <xf numFmtId="0" fontId="69" fillId="0" borderId="37" xfId="36" applyFont="1" applyFill="1" applyBorder="1" applyAlignment="1">
      <alignment horizontal="center" vertical="center"/>
    </xf>
    <xf numFmtId="0" fontId="8" fillId="0" borderId="37" xfId="36" applyFill="1" applyBorder="1"/>
    <xf numFmtId="0" fontId="8" fillId="0" borderId="37" xfId="36" applyNumberFormat="1" applyFill="1" applyBorder="1"/>
    <xf numFmtId="0" fontId="9" fillId="0" borderId="37" xfId="36" applyFont="1" applyFill="1" applyBorder="1"/>
    <xf numFmtId="0" fontId="9" fillId="0" borderId="37" xfId="36" applyNumberFormat="1" applyFont="1" applyFill="1" applyBorder="1" applyAlignment="1">
      <alignment horizontal="center" vertical="center"/>
    </xf>
    <xf numFmtId="0" fontId="9" fillId="0" borderId="37" xfId="36" applyFont="1" applyFill="1" applyBorder="1" applyAlignment="1">
      <alignment horizontal="center" vertical="center"/>
    </xf>
    <xf numFmtId="0" fontId="8" fillId="0" borderId="37" xfId="36" applyNumberFormat="1" applyFill="1" applyBorder="1" applyAlignment="1">
      <alignment horizontal="center" vertical="center"/>
    </xf>
    <xf numFmtId="0" fontId="26" fillId="0" borderId="0" xfId="36" applyFont="1" applyAlignment="1">
      <alignment horizontal="center" vertical="center"/>
    </xf>
    <xf numFmtId="0" fontId="8" fillId="0" borderId="75" xfId="36" applyBorder="1"/>
    <xf numFmtId="0" fontId="8" fillId="0" borderId="76" xfId="36" applyBorder="1"/>
    <xf numFmtId="0" fontId="9" fillId="28" borderId="19" xfId="36" applyFont="1" applyFill="1" applyBorder="1" applyAlignment="1">
      <alignment horizontal="center" vertical="center" textRotation="90" wrapText="1"/>
    </xf>
    <xf numFmtId="0" fontId="16" fillId="0" borderId="32" xfId="36" applyFont="1" applyBorder="1"/>
    <xf numFmtId="0" fontId="9" fillId="0" borderId="32" xfId="36" applyFont="1" applyBorder="1" applyAlignment="1">
      <alignment horizontal="right" vertical="center"/>
    </xf>
    <xf numFmtId="0" fontId="75" fillId="0" borderId="0" xfId="36" applyFont="1"/>
    <xf numFmtId="0" fontId="105" fillId="0" borderId="38" xfId="37" applyFont="1" applyBorder="1" applyAlignment="1">
      <alignment vertical="center" textRotation="90"/>
    </xf>
    <xf numFmtId="49" fontId="94" fillId="0" borderId="32" xfId="37" applyNumberFormat="1" applyBorder="1" applyAlignment="1">
      <alignment horizontal="center" vertical="center"/>
    </xf>
    <xf numFmtId="0" fontId="94" fillId="30" borderId="10" xfId="37" applyFill="1" applyBorder="1"/>
    <xf numFmtId="0" fontId="94" fillId="30" borderId="32" xfId="37" applyFill="1" applyBorder="1"/>
    <xf numFmtId="0" fontId="94" fillId="0" borderId="10" xfId="37" applyBorder="1" applyAlignment="1">
      <alignment horizontal="center" vertical="center"/>
    </xf>
    <xf numFmtId="0" fontId="106" fillId="0" borderId="39" xfId="37" applyFont="1" applyBorder="1" applyAlignment="1">
      <alignment vertical="center" textRotation="90"/>
    </xf>
    <xf numFmtId="49" fontId="94" fillId="0" borderId="10" xfId="37" applyNumberFormat="1" applyBorder="1" applyAlignment="1">
      <alignment horizontal="center" vertical="center"/>
    </xf>
    <xf numFmtId="0" fontId="96" fillId="0" borderId="39" xfId="37" applyFont="1" applyBorder="1" applyAlignment="1">
      <alignment vertical="center" textRotation="90"/>
    </xf>
    <xf numFmtId="49" fontId="94" fillId="0" borderId="31" xfId="37" applyNumberFormat="1" applyBorder="1" applyAlignment="1">
      <alignment horizontal="center" vertical="center"/>
    </xf>
    <xf numFmtId="0" fontId="94" fillId="30" borderId="31" xfId="37" applyFill="1" applyBorder="1"/>
    <xf numFmtId="0" fontId="106" fillId="0" borderId="50" xfId="37" applyFont="1" applyBorder="1" applyAlignment="1">
      <alignment vertical="center" textRotation="90"/>
    </xf>
    <xf numFmtId="49" fontId="94" fillId="0" borderId="35" xfId="37" applyNumberFormat="1" applyBorder="1" applyAlignment="1">
      <alignment horizontal="center" vertical="center"/>
    </xf>
    <xf numFmtId="0" fontId="94" fillId="30" borderId="35" xfId="37" applyFill="1" applyBorder="1"/>
    <xf numFmtId="0" fontId="106" fillId="0" borderId="38" xfId="37" applyFont="1" applyBorder="1" applyAlignment="1">
      <alignment vertical="center" textRotation="90"/>
    </xf>
    <xf numFmtId="0" fontId="105" fillId="0" borderId="39" xfId="37" applyFont="1" applyBorder="1" applyAlignment="1">
      <alignment vertical="center" textRotation="90"/>
    </xf>
    <xf numFmtId="0" fontId="105" fillId="0" borderId="32" xfId="37" applyFont="1" applyBorder="1" applyAlignment="1">
      <alignment vertical="center" textRotation="90"/>
    </xf>
    <xf numFmtId="0" fontId="105" fillId="0" borderId="31" xfId="37" applyFont="1" applyBorder="1" applyAlignment="1">
      <alignment vertical="center" textRotation="90"/>
    </xf>
    <xf numFmtId="0" fontId="96" fillId="0" borderId="31" xfId="37" applyFont="1" applyBorder="1" applyAlignment="1">
      <alignment vertical="center" textRotation="90"/>
    </xf>
    <xf numFmtId="0" fontId="105" fillId="0" borderId="50" xfId="37" applyFont="1" applyBorder="1" applyAlignment="1">
      <alignment vertical="center" textRotation="90"/>
    </xf>
    <xf numFmtId="0" fontId="107" fillId="0" borderId="39" xfId="37" applyFont="1" applyBorder="1" applyAlignment="1">
      <alignment vertical="center" textRotation="90"/>
    </xf>
    <xf numFmtId="0" fontId="108" fillId="0" borderId="0" xfId="37" applyFont="1"/>
    <xf numFmtId="0" fontId="108" fillId="0" borderId="77" xfId="37" applyFont="1" applyBorder="1"/>
    <xf numFmtId="0" fontId="108" fillId="0" borderId="78" xfId="37" applyFont="1" applyBorder="1"/>
    <xf numFmtId="0" fontId="108" fillId="0" borderId="79" xfId="37" applyFont="1" applyBorder="1" applyAlignment="1">
      <alignment horizontal="center" vertical="center"/>
    </xf>
    <xf numFmtId="0" fontId="109" fillId="0" borderId="0" xfId="37" applyFont="1" applyAlignment="1">
      <alignment horizontal="center"/>
    </xf>
    <xf numFmtId="0" fontId="108" fillId="0" borderId="80" xfId="37" applyFont="1" applyBorder="1" applyAlignment="1">
      <alignment horizontal="center" vertical="center"/>
    </xf>
    <xf numFmtId="0" fontId="108" fillId="0" borderId="81" xfId="37" applyFont="1" applyBorder="1"/>
    <xf numFmtId="0" fontId="109" fillId="0" borderId="82" xfId="37" applyFont="1" applyBorder="1" applyAlignment="1">
      <alignment horizontal="center" vertical="center"/>
    </xf>
    <xf numFmtId="0" fontId="94" fillId="0" borderId="83" xfId="37" applyBorder="1"/>
    <xf numFmtId="0" fontId="94" fillId="0" borderId="0" xfId="37" applyBorder="1"/>
    <xf numFmtId="0" fontId="10" fillId="0" borderId="10" xfId="41" applyFont="1" applyBorder="1" applyAlignment="1">
      <alignment horizontal="center" vertical="center"/>
    </xf>
    <xf numFmtId="0" fontId="10" fillId="26" borderId="10" xfId="41" applyFont="1" applyFill="1" applyBorder="1" applyAlignment="1">
      <alignment horizontal="center" vertical="center"/>
    </xf>
    <xf numFmtId="0" fontId="76" fillId="27" borderId="84" xfId="41" applyFont="1" applyFill="1" applyBorder="1" applyAlignment="1">
      <alignment horizontal="center" vertical="center"/>
    </xf>
    <xf numFmtId="0" fontId="77" fillId="0" borderId="10" xfId="41" applyFont="1" applyBorder="1" applyAlignment="1">
      <alignment vertical="center" wrapText="1"/>
    </xf>
    <xf numFmtId="0" fontId="78" fillId="0" borderId="10" xfId="41" applyFont="1" applyBorder="1" applyAlignment="1">
      <alignment vertical="center" wrapText="1"/>
    </xf>
    <xf numFmtId="0" fontId="11" fillId="0" borderId="10" xfId="41" applyFont="1" applyBorder="1" applyAlignment="1">
      <alignment horizontal="center" vertical="center"/>
    </xf>
    <xf numFmtId="0" fontId="27" fillId="0" borderId="10" xfId="41" applyFill="1" applyBorder="1" applyAlignment="1">
      <alignment horizontal="center"/>
    </xf>
    <xf numFmtId="0" fontId="78" fillId="0" borderId="10" xfId="41" applyFont="1" applyBorder="1" applyAlignment="1">
      <alignment vertical="center"/>
    </xf>
    <xf numFmtId="0" fontId="78" fillId="26" borderId="10" xfId="41" applyFont="1" applyFill="1" applyBorder="1" applyAlignment="1">
      <alignment vertical="center"/>
    </xf>
    <xf numFmtId="0" fontId="11" fillId="0" borderId="85" xfId="41" applyFont="1" applyBorder="1" applyAlignment="1">
      <alignment horizontal="center" vertical="center"/>
    </xf>
    <xf numFmtId="0" fontId="27" fillId="0" borderId="85" xfId="41" applyFill="1" applyBorder="1" applyAlignment="1"/>
    <xf numFmtId="0" fontId="78" fillId="0" borderId="85" xfId="41" applyFont="1" applyBorder="1" applyAlignment="1">
      <alignment vertical="center"/>
    </xf>
    <xf numFmtId="0" fontId="78" fillId="26" borderId="85" xfId="41" applyFont="1" applyFill="1" applyBorder="1" applyAlignment="1">
      <alignment vertical="center"/>
    </xf>
    <xf numFmtId="0" fontId="27" fillId="26" borderId="85" xfId="41" applyFill="1" applyBorder="1" applyAlignment="1"/>
    <xf numFmtId="0" fontId="94" fillId="0" borderId="86" xfId="37" applyBorder="1"/>
    <xf numFmtId="0" fontId="94" fillId="0" borderId="87" xfId="37" applyBorder="1"/>
    <xf numFmtId="0" fontId="94" fillId="0" borderId="88" xfId="37" applyBorder="1"/>
    <xf numFmtId="49" fontId="18" fillId="0" borderId="0" xfId="38" applyNumberFormat="1" applyFont="1" applyBorder="1" applyAlignment="1" applyProtection="1">
      <alignment horizontal="center" vertical="center"/>
      <protection locked="0"/>
    </xf>
    <xf numFmtId="49" fontId="17" fillId="0" borderId="0" xfId="38" applyNumberFormat="1" applyFont="1" applyBorder="1" applyAlignment="1" applyProtection="1">
      <alignment horizontal="center" vertical="center"/>
      <protection locked="0"/>
    </xf>
    <xf numFmtId="0" fontId="27" fillId="0" borderId="0" xfId="38" applyFont="1" applyBorder="1" applyAlignment="1">
      <alignment vertical="center"/>
    </xf>
    <xf numFmtId="0" fontId="27" fillId="0" borderId="0" xfId="38" applyFont="1" applyBorder="1" applyAlignment="1" applyProtection="1">
      <alignment vertical="center"/>
      <protection locked="0"/>
    </xf>
    <xf numFmtId="49" fontId="18" fillId="0" borderId="0" xfId="38" applyNumberFormat="1" applyFont="1" applyBorder="1" applyAlignment="1" applyProtection="1">
      <alignment horizontal="center" vertical="center"/>
    </xf>
    <xf numFmtId="49" fontId="19" fillId="0" borderId="0" xfId="38" applyNumberFormat="1" applyFont="1" applyBorder="1" applyAlignment="1" applyProtection="1">
      <alignment horizontal="center" vertical="center"/>
    </xf>
    <xf numFmtId="49" fontId="17" fillId="0" borderId="0" xfId="38" applyNumberFormat="1" applyFont="1" applyAlignment="1" applyProtection="1">
      <alignment horizontal="center" vertical="center"/>
      <protection locked="0"/>
    </xf>
    <xf numFmtId="49" fontId="18" fillId="0" borderId="0" xfId="38" applyNumberFormat="1" applyFont="1" applyAlignment="1" applyProtection="1">
      <alignment horizontal="center" vertical="center"/>
      <protection locked="0"/>
    </xf>
    <xf numFmtId="49" fontId="17" fillId="0" borderId="0" xfId="38" applyNumberFormat="1" applyFont="1" applyBorder="1" applyAlignment="1" applyProtection="1">
      <alignment horizontal="left" vertical="center"/>
      <protection locked="0"/>
    </xf>
    <xf numFmtId="0" fontId="18" fillId="0" borderId="13" xfId="38" applyNumberFormat="1" applyFont="1" applyBorder="1" applyAlignment="1" applyProtection="1">
      <alignment horizontal="center" vertical="center"/>
    </xf>
    <xf numFmtId="0" fontId="18" fillId="32" borderId="13" xfId="38" applyNumberFormat="1" applyFont="1" applyFill="1" applyBorder="1" applyAlignment="1" applyProtection="1">
      <alignment horizontal="center" vertical="center"/>
    </xf>
    <xf numFmtId="0" fontId="81" fillId="0" borderId="13" xfId="38" applyNumberFormat="1" applyFont="1" applyBorder="1" applyAlignment="1" applyProtection="1">
      <alignment horizontal="left" vertical="center"/>
      <protection locked="0"/>
    </xf>
    <xf numFmtId="49" fontId="17" fillId="0" borderId="0" xfId="38" applyNumberFormat="1" applyFont="1" applyAlignment="1" applyProtection="1">
      <alignment horizontal="left" vertical="center"/>
      <protection locked="0"/>
    </xf>
    <xf numFmtId="49" fontId="65" fillId="0" borderId="0" xfId="38" applyNumberFormat="1" applyFont="1" applyAlignment="1" applyProtection="1">
      <alignment horizontal="center" vertical="center"/>
      <protection locked="0"/>
    </xf>
    <xf numFmtId="0" fontId="17" fillId="0" borderId="0" xfId="38" applyNumberFormat="1" applyFont="1" applyBorder="1" applyAlignment="1" applyProtection="1">
      <alignment horizontal="left" vertical="center"/>
      <protection locked="0"/>
    </xf>
    <xf numFmtId="0" fontId="18" fillId="0" borderId="0" xfId="38" applyNumberFormat="1" applyFont="1" applyAlignment="1" applyProtection="1">
      <alignment horizontal="center" vertical="center"/>
      <protection locked="0"/>
    </xf>
    <xf numFmtId="49" fontId="81" fillId="0" borderId="11" xfId="38" applyNumberFormat="1" applyFont="1" applyBorder="1" applyAlignment="1" applyProtection="1">
      <alignment horizontal="center" vertical="center"/>
      <protection locked="0"/>
    </xf>
    <xf numFmtId="49" fontId="18" fillId="0" borderId="12" xfId="38" applyNumberFormat="1" applyFont="1" applyBorder="1" applyAlignment="1" applyProtection="1">
      <alignment horizontal="center" vertical="center"/>
    </xf>
    <xf numFmtId="0" fontId="17" fillId="33" borderId="13" xfId="38" applyNumberFormat="1" applyFont="1" applyFill="1" applyBorder="1" applyAlignment="1" applyProtection="1">
      <alignment horizontal="left" vertical="center"/>
      <protection locked="0"/>
    </xf>
    <xf numFmtId="0" fontId="82" fillId="0" borderId="13" xfId="38" applyNumberFormat="1" applyFont="1" applyBorder="1" applyAlignment="1" applyProtection="1">
      <alignment horizontal="left" vertical="center"/>
      <protection locked="0"/>
    </xf>
    <xf numFmtId="49" fontId="17" fillId="0" borderId="13" xfId="38" applyNumberFormat="1" applyFont="1" applyBorder="1" applyAlignment="1" applyProtection="1">
      <alignment horizontal="center" vertical="center"/>
      <protection locked="0"/>
    </xf>
    <xf numFmtId="49" fontId="18" fillId="0" borderId="13" xfId="38" applyNumberFormat="1" applyFont="1" applyBorder="1" applyAlignment="1" applyProtection="1">
      <alignment horizontal="center" vertical="center"/>
    </xf>
    <xf numFmtId="49" fontId="17" fillId="0" borderId="14" xfId="38" applyNumberFormat="1" applyFont="1" applyBorder="1" applyAlignment="1" applyProtection="1">
      <alignment horizontal="center" vertical="center"/>
      <protection locked="0"/>
    </xf>
    <xf numFmtId="49" fontId="82" fillId="0" borderId="0" xfId="38" applyNumberFormat="1" applyFont="1" applyBorder="1" applyAlignment="1" applyProtection="1">
      <alignment horizontal="center" vertical="center"/>
      <protection locked="0"/>
    </xf>
    <xf numFmtId="49" fontId="17" fillId="0" borderId="12" xfId="38" applyNumberFormat="1" applyFont="1" applyBorder="1" applyAlignment="1" applyProtection="1">
      <alignment horizontal="center" vertical="center"/>
      <protection locked="0"/>
    </xf>
    <xf numFmtId="0" fontId="81" fillId="0" borderId="0" xfId="38" applyNumberFormat="1" applyFont="1" applyAlignment="1" applyProtection="1">
      <alignment horizontal="center" vertical="center"/>
      <protection locked="0"/>
    </xf>
    <xf numFmtId="0" fontId="18" fillId="0" borderId="15" xfId="38" applyNumberFormat="1" applyFont="1" applyBorder="1" applyAlignment="1" applyProtection="1">
      <alignment horizontal="center" vertical="center"/>
    </xf>
    <xf numFmtId="49" fontId="17" fillId="0" borderId="15" xfId="38" applyNumberFormat="1" applyFont="1" applyBorder="1" applyAlignment="1" applyProtection="1">
      <alignment horizontal="center" vertical="center"/>
      <protection locked="0"/>
    </xf>
    <xf numFmtId="49" fontId="18" fillId="0" borderId="15" xfId="38" applyNumberFormat="1" applyFont="1" applyBorder="1" applyAlignment="1" applyProtection="1">
      <alignment horizontal="center" vertical="center"/>
    </xf>
    <xf numFmtId="0" fontId="27" fillId="0" borderId="0" xfId="38"/>
    <xf numFmtId="0" fontId="18" fillId="33" borderId="34" xfId="38" applyNumberFormat="1" applyFont="1" applyFill="1" applyBorder="1" applyAlignment="1" applyProtection="1">
      <alignment horizontal="center" vertical="center"/>
    </xf>
    <xf numFmtId="0" fontId="17" fillId="0" borderId="0" xfId="38" applyNumberFormat="1" applyFont="1" applyBorder="1" applyAlignment="1" applyProtection="1">
      <alignment horizontal="center" vertical="center"/>
    </xf>
    <xf numFmtId="0" fontId="82" fillId="0" borderId="0" xfId="38" applyNumberFormat="1" applyFont="1" applyBorder="1" applyAlignment="1" applyProtection="1">
      <alignment horizontal="center" vertical="center"/>
      <protection locked="0"/>
    </xf>
    <xf numFmtId="0" fontId="18" fillId="30" borderId="13" xfId="38" applyNumberFormat="1" applyFont="1" applyFill="1" applyBorder="1" applyAlignment="1" applyProtection="1">
      <alignment horizontal="center" vertical="center"/>
      <protection locked="0"/>
    </xf>
    <xf numFmtId="0" fontId="82" fillId="0" borderId="13" xfId="38" applyNumberFormat="1" applyFont="1" applyBorder="1" applyAlignment="1" applyProtection="1">
      <alignment horizontal="left" vertical="center"/>
    </xf>
    <xf numFmtId="0" fontId="17" fillId="0" borderId="0" xfId="38" applyNumberFormat="1" applyFont="1" applyBorder="1" applyAlignment="1" applyProtection="1">
      <alignment horizontal="left" vertical="center"/>
    </xf>
    <xf numFmtId="0" fontId="18" fillId="30" borderId="13" xfId="38" applyNumberFormat="1" applyFont="1" applyFill="1" applyBorder="1" applyAlignment="1" applyProtection="1">
      <alignment horizontal="center" vertical="center"/>
    </xf>
    <xf numFmtId="49" fontId="18" fillId="30" borderId="13" xfId="38" applyNumberFormat="1" applyFont="1" applyFill="1" applyBorder="1" applyAlignment="1" applyProtection="1">
      <alignment horizontal="center" vertical="center"/>
    </xf>
    <xf numFmtId="0" fontId="17" fillId="33" borderId="13" xfId="38" applyNumberFormat="1" applyFont="1" applyFill="1" applyBorder="1" applyAlignment="1" applyProtection="1">
      <alignment horizontal="center" vertical="center"/>
      <protection locked="0"/>
    </xf>
    <xf numFmtId="0" fontId="18" fillId="33" borderId="0" xfId="38" applyNumberFormat="1" applyFont="1" applyFill="1" applyBorder="1" applyAlignment="1" applyProtection="1">
      <alignment horizontal="center" vertical="center"/>
    </xf>
    <xf numFmtId="0" fontId="18" fillId="30" borderId="0" xfId="38" applyNumberFormat="1" applyFont="1" applyFill="1" applyAlignment="1" applyProtection="1">
      <alignment horizontal="center" vertical="center"/>
      <protection locked="0"/>
    </xf>
    <xf numFmtId="49" fontId="17" fillId="0" borderId="20" xfId="38" applyNumberFormat="1" applyFont="1" applyBorder="1" applyAlignment="1" applyProtection="1">
      <alignment horizontal="center" vertical="center"/>
      <protection locked="0"/>
    </xf>
    <xf numFmtId="0" fontId="17" fillId="0" borderId="0" xfId="38" applyNumberFormat="1" applyFont="1" applyBorder="1" applyAlignment="1" applyProtection="1">
      <alignment horizontal="center" vertical="center"/>
      <protection locked="0"/>
    </xf>
    <xf numFmtId="0" fontId="17" fillId="33" borderId="13" xfId="38" applyNumberFormat="1" applyFont="1" applyFill="1" applyBorder="1" applyAlignment="1" applyProtection="1">
      <alignment vertical="center"/>
      <protection locked="0"/>
    </xf>
    <xf numFmtId="49" fontId="82" fillId="0" borderId="0" xfId="38" applyNumberFormat="1" applyFont="1" applyAlignment="1" applyProtection="1">
      <alignment horizontal="left" vertical="center"/>
      <protection locked="0"/>
    </xf>
    <xf numFmtId="49" fontId="18" fillId="0" borderId="0" xfId="38" applyNumberFormat="1" applyFont="1" applyBorder="1" applyAlignment="1" applyProtection="1">
      <alignment horizontal="left" vertical="center"/>
      <protection locked="0"/>
    </xf>
    <xf numFmtId="49" fontId="65" fillId="0" borderId="0" xfId="38" applyNumberFormat="1" applyFont="1" applyBorder="1" applyAlignment="1" applyProtection="1">
      <alignment horizontal="left" vertical="center"/>
      <protection locked="0"/>
    </xf>
    <xf numFmtId="0" fontId="8" fillId="0" borderId="0" xfId="38" applyFont="1"/>
    <xf numFmtId="0" fontId="8" fillId="0" borderId="0" xfId="38" applyFont="1" applyAlignment="1">
      <alignment horizontal="center"/>
    </xf>
    <xf numFmtId="49" fontId="8" fillId="0" borderId="0" xfId="38" applyNumberFormat="1" applyFont="1"/>
    <xf numFmtId="49" fontId="9" fillId="0" borderId="0" xfId="38" applyNumberFormat="1" applyFont="1"/>
    <xf numFmtId="49" fontId="14" fillId="0" borderId="0" xfId="38" applyNumberFormat="1" applyFont="1"/>
    <xf numFmtId="49" fontId="14" fillId="0" borderId="0" xfId="38" applyNumberFormat="1" applyFont="1" applyBorder="1"/>
    <xf numFmtId="0" fontId="71" fillId="0" borderId="0" xfId="38" applyFont="1"/>
    <xf numFmtId="49" fontId="26" fillId="0" borderId="13" xfId="38" applyNumberFormat="1" applyFont="1" applyBorder="1" applyAlignment="1"/>
    <xf numFmtId="49" fontId="83" fillId="0" borderId="13" xfId="38" applyNumberFormat="1" applyFont="1" applyBorder="1" applyAlignment="1">
      <alignment horizontal="center" vertical="center"/>
    </xf>
    <xf numFmtId="0" fontId="14" fillId="30" borderId="0" xfId="36" applyNumberFormat="1" applyFont="1" applyFill="1" applyAlignment="1">
      <alignment horizontal="center" vertical="center"/>
    </xf>
    <xf numFmtId="0" fontId="84" fillId="0" borderId="13" xfId="36" applyNumberFormat="1" applyFont="1" applyBorder="1" applyAlignment="1">
      <alignment horizontal="left" vertical="center"/>
    </xf>
    <xf numFmtId="0" fontId="84" fillId="0" borderId="0" xfId="36" applyNumberFormat="1" applyFont="1" applyBorder="1" applyAlignment="1">
      <alignment horizontal="left" vertical="center"/>
    </xf>
    <xf numFmtId="49" fontId="15" fillId="0" borderId="11" xfId="38" applyNumberFormat="1" applyFont="1" applyBorder="1" applyAlignment="1"/>
    <xf numFmtId="49" fontId="14" fillId="0" borderId="13" xfId="38" applyNumberFormat="1" applyFont="1" applyBorder="1" applyAlignment="1">
      <alignment horizontal="center"/>
    </xf>
    <xf numFmtId="49" fontId="14" fillId="0" borderId="11" xfId="38" applyNumberFormat="1" applyFont="1" applyBorder="1"/>
    <xf numFmtId="49" fontId="14" fillId="0" borderId="12" xfId="38" applyNumberFormat="1" applyFont="1" applyBorder="1"/>
    <xf numFmtId="49" fontId="69" fillId="0" borderId="0" xfId="38" applyNumberFormat="1" applyFont="1" applyBorder="1" applyAlignment="1"/>
    <xf numFmtId="49" fontId="14" fillId="0" borderId="15" xfId="38" applyNumberFormat="1" applyFont="1" applyBorder="1" applyAlignment="1">
      <alignment horizontal="right"/>
    </xf>
    <xf numFmtId="0" fontId="14" fillId="34" borderId="0" xfId="38" applyNumberFormat="1" applyFont="1" applyFill="1" applyAlignment="1">
      <alignment horizontal="center" vertical="center"/>
    </xf>
    <xf numFmtId="49" fontId="72" fillId="0" borderId="0" xfId="42" applyNumberFormat="1" applyFont="1" applyAlignment="1">
      <alignment horizontal="left"/>
    </xf>
    <xf numFmtId="49" fontId="14" fillId="0" borderId="15" xfId="38" applyNumberFormat="1" applyFont="1" applyBorder="1" applyAlignment="1">
      <alignment horizontal="center" vertical="center"/>
    </xf>
    <xf numFmtId="0" fontId="14" fillId="34" borderId="0" xfId="38" applyNumberFormat="1" applyFont="1" applyFill="1"/>
    <xf numFmtId="49" fontId="26" fillId="0" borderId="0" xfId="38" applyNumberFormat="1" applyFont="1" applyBorder="1" applyAlignment="1">
      <alignment horizontal="center"/>
    </xf>
    <xf numFmtId="49" fontId="15" fillId="0" borderId="0" xfId="38" applyNumberFormat="1" applyFont="1" applyBorder="1" applyAlignment="1"/>
    <xf numFmtId="49" fontId="14" fillId="0" borderId="11" xfId="38" applyNumberFormat="1" applyFont="1" applyBorder="1" applyAlignment="1">
      <alignment horizontal="right"/>
    </xf>
    <xf numFmtId="0" fontId="14" fillId="0" borderId="12" xfId="38" applyNumberFormat="1" applyFont="1" applyFill="1" applyBorder="1" applyAlignment="1">
      <alignment horizontal="right"/>
    </xf>
    <xf numFmtId="0" fontId="14" fillId="34" borderId="13" xfId="38" applyNumberFormat="1" applyFont="1" applyFill="1" applyBorder="1" applyAlignment="1">
      <alignment horizontal="center" vertical="center"/>
    </xf>
    <xf numFmtId="0" fontId="84" fillId="0" borderId="14" xfId="36" applyNumberFormat="1" applyFont="1" applyBorder="1" applyAlignment="1">
      <alignment horizontal="left" vertical="center"/>
    </xf>
    <xf numFmtId="49" fontId="14" fillId="0" borderId="11" xfId="38" applyNumberFormat="1" applyFont="1" applyBorder="1" applyAlignment="1">
      <alignment horizontal="center" vertical="center"/>
    </xf>
    <xf numFmtId="49" fontId="22" fillId="0" borderId="12" xfId="42" applyNumberFormat="1" applyFont="1" applyBorder="1" applyAlignment="1">
      <alignment horizontal="center"/>
    </xf>
    <xf numFmtId="49" fontId="14" fillId="0" borderId="0" xfId="38" applyNumberFormat="1" applyFont="1" applyBorder="1" applyAlignment="1">
      <alignment horizontal="right"/>
    </xf>
    <xf numFmtId="49" fontId="22" fillId="0" borderId="11" xfId="42" applyNumberFormat="1" applyFont="1" applyBorder="1" applyAlignment="1">
      <alignment horizontal="center"/>
    </xf>
    <xf numFmtId="49" fontId="14" fillId="0" borderId="0" xfId="38" applyNumberFormat="1" applyFont="1" applyBorder="1" applyAlignment="1">
      <alignment horizontal="center"/>
    </xf>
    <xf numFmtId="0" fontId="71" fillId="0" borderId="0" xfId="38" applyFont="1" applyAlignment="1">
      <alignment horizontal="center"/>
    </xf>
    <xf numFmtId="0" fontId="8" fillId="0" borderId="0" xfId="38" applyFont="1" applyBorder="1" applyAlignment="1">
      <alignment horizontal="center"/>
    </xf>
    <xf numFmtId="49" fontId="14" fillId="0" borderId="13" xfId="38" applyNumberFormat="1" applyFont="1" applyBorder="1"/>
    <xf numFmtId="49" fontId="14" fillId="0" borderId="0" xfId="38" applyNumberFormat="1" applyFont="1" applyAlignment="1">
      <alignment horizontal="center" vertical="center"/>
    </xf>
    <xf numFmtId="49" fontId="22" fillId="0" borderId="0" xfId="42" applyNumberFormat="1" applyFont="1" applyBorder="1" applyAlignment="1">
      <alignment horizontal="center"/>
    </xf>
    <xf numFmtId="49" fontId="14" fillId="0" borderId="0" xfId="38" applyNumberFormat="1" applyFont="1" applyBorder="1" applyAlignment="1">
      <alignment horizontal="center" vertical="center"/>
    </xf>
    <xf numFmtId="49" fontId="14" fillId="0" borderId="15" xfId="38" applyNumberFormat="1" applyFont="1" applyBorder="1" applyAlignment="1">
      <alignment horizontal="right" vertical="center"/>
    </xf>
    <xf numFmtId="0" fontId="14" fillId="34" borderId="13" xfId="38" applyNumberFormat="1" applyFont="1" applyFill="1" applyBorder="1"/>
    <xf numFmtId="49" fontId="14" fillId="0" borderId="15" xfId="38" applyNumberFormat="1" applyFont="1" applyBorder="1"/>
    <xf numFmtId="0" fontId="9" fillId="0" borderId="0" xfId="38" applyFont="1"/>
    <xf numFmtId="49" fontId="14" fillId="0" borderId="0" xfId="38" applyNumberFormat="1" applyFont="1" applyAlignment="1">
      <alignment horizontal="center"/>
    </xf>
    <xf numFmtId="49" fontId="83" fillId="0" borderId="0" xfId="38" applyNumberFormat="1" applyFont="1" applyBorder="1" applyAlignment="1">
      <alignment horizontal="right"/>
    </xf>
    <xf numFmtId="49" fontId="83" fillId="0" borderId="20" xfId="38" applyNumberFormat="1" applyFont="1" applyBorder="1" applyAlignment="1">
      <alignment horizontal="center"/>
    </xf>
    <xf numFmtId="0" fontId="27" fillId="0" borderId="0" xfId="38" applyBorder="1"/>
    <xf numFmtId="0" fontId="71" fillId="0" borderId="0" xfId="38" applyFont="1" applyAlignment="1">
      <alignment horizontal="left"/>
    </xf>
    <xf numFmtId="0" fontId="71" fillId="34" borderId="0" xfId="38" applyFont="1" applyFill="1" applyAlignment="1">
      <alignment horizontal="left"/>
    </xf>
    <xf numFmtId="0" fontId="85" fillId="0" borderId="13" xfId="36" applyNumberFormat="1" applyFont="1" applyBorder="1" applyAlignment="1">
      <alignment horizontal="left" vertical="center"/>
    </xf>
    <xf numFmtId="0" fontId="15" fillId="0" borderId="0" xfId="38" applyFont="1"/>
    <xf numFmtId="0" fontId="15" fillId="0" borderId="0" xfId="38" applyFont="1" applyBorder="1"/>
    <xf numFmtId="0" fontId="84" fillId="0" borderId="20" xfId="36" applyNumberFormat="1" applyFont="1" applyBorder="1" applyAlignment="1">
      <alignment horizontal="left" vertical="center"/>
    </xf>
    <xf numFmtId="49" fontId="72" fillId="0" borderId="14" xfId="42" applyNumberFormat="1" applyFont="1" applyBorder="1" applyAlignment="1">
      <alignment horizontal="left"/>
    </xf>
    <xf numFmtId="49" fontId="14" fillId="0" borderId="0" xfId="38" applyNumberFormat="1" applyFont="1" applyAlignment="1">
      <alignment horizontal="right"/>
    </xf>
    <xf numFmtId="49" fontId="9" fillId="0" borderId="0" xfId="38" applyNumberFormat="1" applyFont="1" applyBorder="1" applyAlignment="1">
      <alignment horizontal="center"/>
    </xf>
    <xf numFmtId="49" fontId="9" fillId="0" borderId="0" xfId="38" applyNumberFormat="1" applyFont="1" applyBorder="1" applyAlignment="1"/>
    <xf numFmtId="0" fontId="71" fillId="0" borderId="11" xfId="38" applyFont="1" applyBorder="1" applyAlignment="1">
      <alignment horizontal="left"/>
    </xf>
    <xf numFmtId="0" fontId="14" fillId="0" borderId="0" xfId="38" applyFont="1" applyBorder="1"/>
    <xf numFmtId="0" fontId="14" fillId="0" borderId="12" xfId="38" applyFont="1" applyBorder="1"/>
    <xf numFmtId="0" fontId="26" fillId="34" borderId="13" xfId="38" applyNumberFormat="1" applyFont="1" applyFill="1" applyBorder="1" applyAlignment="1">
      <alignment horizontal="center"/>
    </xf>
    <xf numFmtId="0" fontId="85" fillId="0" borderId="0" xfId="36" applyNumberFormat="1" applyFont="1" applyBorder="1" applyAlignment="1">
      <alignment horizontal="left" vertical="center"/>
    </xf>
    <xf numFmtId="0" fontId="71" fillId="0" borderId="13" xfId="38" applyFont="1" applyBorder="1" applyAlignment="1">
      <alignment horizontal="left"/>
    </xf>
    <xf numFmtId="0" fontId="71" fillId="34" borderId="13" xfId="38" applyFont="1" applyFill="1" applyBorder="1" applyAlignment="1">
      <alignment horizontal="left"/>
    </xf>
    <xf numFmtId="49" fontId="14" fillId="0" borderId="11" xfId="38" applyNumberFormat="1" applyFont="1" applyBorder="1" applyAlignment="1">
      <alignment horizontal="center"/>
    </xf>
    <xf numFmtId="49" fontId="83" fillId="0" borderId="13" xfId="38" applyNumberFormat="1" applyFont="1" applyBorder="1" applyAlignment="1">
      <alignment horizontal="left" vertical="center"/>
    </xf>
    <xf numFmtId="49" fontId="27" fillId="0" borderId="0" xfId="38" applyNumberFormat="1"/>
    <xf numFmtId="0" fontId="14" fillId="0" borderId="0" xfId="38" applyFont="1"/>
    <xf numFmtId="0" fontId="26" fillId="34" borderId="34" xfId="38" applyNumberFormat="1" applyFont="1" applyFill="1" applyBorder="1" applyAlignment="1">
      <alignment horizontal="center"/>
    </xf>
    <xf numFmtId="49" fontId="83" fillId="0" borderId="0" xfId="38" applyNumberFormat="1" applyFont="1" applyAlignment="1">
      <alignment horizontal="right"/>
    </xf>
    <xf numFmtId="49" fontId="14" fillId="0" borderId="12" xfId="38" applyNumberFormat="1" applyFont="1" applyBorder="1" applyAlignment="1">
      <alignment horizontal="right"/>
    </xf>
    <xf numFmtId="0" fontId="8" fillId="0" borderId="15" xfId="38" applyFont="1" applyBorder="1"/>
    <xf numFmtId="0" fontId="14" fillId="0" borderId="11" xfId="38" applyFont="1" applyBorder="1"/>
    <xf numFmtId="0" fontId="26" fillId="34" borderId="0" xfId="38" applyNumberFormat="1" applyFont="1" applyFill="1" applyAlignment="1">
      <alignment horizontal="center"/>
    </xf>
    <xf numFmtId="49" fontId="83" fillId="0" borderId="0" xfId="38" applyNumberFormat="1" applyFont="1"/>
    <xf numFmtId="49" fontId="26" fillId="0" borderId="0" xfId="38" applyNumberFormat="1" applyFont="1" applyBorder="1" applyAlignment="1">
      <alignment horizontal="left"/>
    </xf>
    <xf numFmtId="0" fontId="14" fillId="34" borderId="13" xfId="38" applyNumberFormat="1" applyFont="1" applyFill="1" applyBorder="1" applyAlignment="1">
      <alignment horizontal="right"/>
    </xf>
    <xf numFmtId="49" fontId="14" fillId="0" borderId="12" xfId="38" applyNumberFormat="1" applyFont="1" applyFill="1" applyBorder="1" applyAlignment="1">
      <alignment horizontal="right"/>
    </xf>
    <xf numFmtId="0" fontId="14" fillId="34" borderId="34" xfId="38" applyNumberFormat="1" applyFont="1" applyFill="1" applyBorder="1"/>
    <xf numFmtId="49" fontId="72" fillId="0" borderId="14" xfId="42" applyNumberFormat="1" applyFont="1" applyBorder="1" applyAlignment="1">
      <alignment horizontal="center"/>
    </xf>
    <xf numFmtId="0" fontId="85" fillId="0" borderId="0" xfId="36" applyNumberFormat="1" applyFont="1" applyBorder="1" applyAlignment="1">
      <alignment horizontal="center" vertical="center"/>
    </xf>
    <xf numFmtId="49" fontId="72" fillId="0" borderId="0" xfId="42" applyNumberFormat="1" applyFont="1" applyBorder="1" applyAlignment="1">
      <alignment horizontal="left"/>
    </xf>
    <xf numFmtId="49" fontId="14" fillId="0" borderId="30" xfId="38" applyNumberFormat="1" applyFont="1" applyBorder="1"/>
    <xf numFmtId="49" fontId="83" fillId="0" borderId="0" xfId="38" applyNumberFormat="1" applyFont="1" applyAlignment="1">
      <alignment horizontal="center" vertical="center"/>
    </xf>
    <xf numFmtId="49" fontId="22" fillId="0" borderId="15" xfId="42" applyNumberFormat="1" applyFont="1" applyBorder="1" applyAlignment="1">
      <alignment horizontal="center"/>
    </xf>
    <xf numFmtId="49" fontId="72" fillId="0" borderId="0" xfId="42" applyNumberFormat="1" applyFont="1" applyBorder="1" applyAlignment="1">
      <alignment horizontal="center"/>
    </xf>
    <xf numFmtId="0" fontId="26" fillId="0" borderId="0" xfId="38" applyFont="1" applyAlignment="1">
      <alignment horizontal="left"/>
    </xf>
    <xf numFmtId="0" fontId="88" fillId="0" borderId="0" xfId="38" applyFont="1"/>
    <xf numFmtId="49" fontId="15" fillId="0" borderId="0" xfId="38" applyNumberFormat="1" applyFont="1"/>
    <xf numFmtId="49" fontId="15" fillId="0" borderId="0" xfId="38" applyNumberFormat="1" applyFont="1" applyBorder="1"/>
    <xf numFmtId="49" fontId="83" fillId="0" borderId="0" xfId="38" applyNumberFormat="1" applyFont="1" applyAlignment="1">
      <alignment horizontal="right" vertical="center"/>
    </xf>
    <xf numFmtId="49" fontId="89" fillId="0" borderId="13" xfId="38" applyNumberFormat="1" applyFont="1" applyFill="1" applyBorder="1" applyAlignment="1"/>
    <xf numFmtId="49" fontId="11" fillId="0" borderId="13" xfId="38" applyNumberFormat="1" applyFont="1" applyFill="1" applyBorder="1" applyAlignment="1"/>
    <xf numFmtId="0" fontId="11" fillId="0" borderId="13" xfId="38" applyNumberFormat="1" applyFont="1" applyFill="1" applyBorder="1" applyAlignment="1"/>
    <xf numFmtId="0" fontId="26" fillId="0" borderId="0" xfId="38" applyFont="1" applyBorder="1" applyAlignment="1">
      <alignment horizontal="center"/>
    </xf>
    <xf numFmtId="0" fontId="11" fillId="0" borderId="0" xfId="38" applyFont="1"/>
    <xf numFmtId="0" fontId="89" fillId="0" borderId="13" xfId="38" applyFont="1" applyFill="1" applyBorder="1" applyAlignment="1"/>
    <xf numFmtId="0" fontId="10" fillId="0" borderId="13" xfId="38" applyFont="1" applyFill="1" applyBorder="1" applyAlignment="1"/>
    <xf numFmtId="0" fontId="11" fillId="0" borderId="13" xfId="38" applyFont="1" applyFill="1" applyBorder="1" applyAlignment="1"/>
    <xf numFmtId="0" fontId="8" fillId="0" borderId="0" xfId="38" applyFont="1" applyBorder="1"/>
    <xf numFmtId="0" fontId="9" fillId="0" borderId="0" xfId="38" applyFont="1" applyBorder="1"/>
    <xf numFmtId="0" fontId="94" fillId="0" borderId="32" xfId="37" applyBorder="1" applyAlignment="1">
      <alignment horizontal="center" vertical="center"/>
    </xf>
    <xf numFmtId="0" fontId="94" fillId="0" borderId="32" xfId="37" applyBorder="1"/>
    <xf numFmtId="0" fontId="19" fillId="33" borderId="26" xfId="36" applyNumberFormat="1" applyFont="1" applyFill="1" applyBorder="1" applyAlignment="1">
      <alignment horizontal="center" vertical="center" wrapText="1"/>
    </xf>
    <xf numFmtId="0" fontId="110" fillId="0" borderId="37" xfId="37" applyFont="1" applyBorder="1"/>
    <xf numFmtId="0" fontId="26" fillId="0" borderId="40" xfId="0" applyFont="1" applyBorder="1" applyAlignment="1">
      <alignment vertical="center"/>
    </xf>
    <xf numFmtId="0" fontId="110" fillId="0" borderId="45" xfId="37" applyFont="1" applyBorder="1"/>
    <xf numFmtId="0" fontId="26" fillId="0" borderId="35" xfId="0" applyFont="1" applyBorder="1" applyAlignment="1">
      <alignment vertical="center"/>
    </xf>
    <xf numFmtId="0" fontId="26" fillId="0" borderId="0" xfId="0" applyFont="1" applyAlignment="1">
      <alignment horizontal="center" vertical="center"/>
    </xf>
    <xf numFmtId="0" fontId="26" fillId="0" borderId="52" xfId="0" applyFont="1" applyBorder="1" applyAlignment="1"/>
    <xf numFmtId="0" fontId="26" fillId="0" borderId="52" xfId="0" applyFont="1" applyBorder="1" applyAlignment="1">
      <alignment vertical="center"/>
    </xf>
    <xf numFmtId="0" fontId="94" fillId="0" borderId="31" xfId="37" applyBorder="1" applyAlignment="1">
      <alignment horizontal="center" vertical="center"/>
    </xf>
    <xf numFmtId="0" fontId="94" fillId="0" borderId="32" xfId="37" applyBorder="1" applyAlignment="1">
      <alignment horizontal="center" vertical="center"/>
    </xf>
    <xf numFmtId="0" fontId="94" fillId="0" borderId="32" xfId="37" applyBorder="1"/>
    <xf numFmtId="0" fontId="11" fillId="0" borderId="52" xfId="36" applyFont="1" applyBorder="1" applyAlignment="1">
      <alignment vertical="center"/>
    </xf>
    <xf numFmtId="0" fontId="26" fillId="0" borderId="52" xfId="36" applyFont="1" applyBorder="1" applyAlignment="1">
      <alignment vertical="center"/>
    </xf>
    <xf numFmtId="0" fontId="94" fillId="0" borderId="32" xfId="37" applyBorder="1" applyAlignment="1">
      <alignment horizontal="center" vertical="center"/>
    </xf>
    <xf numFmtId="0" fontId="100" fillId="0" borderId="0" xfId="37" applyFont="1" applyAlignment="1">
      <alignment horizontal="right" vertical="center"/>
    </xf>
    <xf numFmtId="0" fontId="10" fillId="0" borderId="0" xfId="36" applyFont="1" applyAlignment="1"/>
    <xf numFmtId="0" fontId="94" fillId="0" borderId="32" xfId="37" applyBorder="1"/>
    <xf numFmtId="0" fontId="100" fillId="0" borderId="0" xfId="37" applyFont="1" applyAlignment="1">
      <alignment horizontal="center"/>
    </xf>
    <xf numFmtId="0" fontId="94" fillId="0" borderId="37" xfId="37" applyBorder="1"/>
    <xf numFmtId="0" fontId="94" fillId="0" borderId="45" xfId="37" applyBorder="1"/>
    <xf numFmtId="0" fontId="94" fillId="0" borderId="45" xfId="37" applyBorder="1" applyAlignment="1">
      <alignment horizontal="center" vertical="center"/>
    </xf>
    <xf numFmtId="0" fontId="111" fillId="0" borderId="90" xfId="37" applyFont="1" applyBorder="1" applyAlignment="1">
      <alignment horizontal="center" vertical="center"/>
    </xf>
    <xf numFmtId="0" fontId="111" fillId="0" borderId="91" xfId="37" applyFont="1" applyBorder="1" applyAlignment="1">
      <alignment horizontal="center" vertical="center"/>
    </xf>
    <xf numFmtId="0" fontId="94" fillId="0" borderId="35" xfId="37" applyBorder="1"/>
    <xf numFmtId="0" fontId="94" fillId="0" borderId="35" xfId="37" applyBorder="1" applyAlignment="1">
      <alignment horizontal="center" vertical="center"/>
    </xf>
    <xf numFmtId="0" fontId="94" fillId="0" borderId="32" xfId="37" applyBorder="1" applyAlignment="1">
      <alignment horizontal="center" vertical="center"/>
    </xf>
    <xf numFmtId="0" fontId="94" fillId="0" borderId="32" xfId="37" applyBorder="1"/>
    <xf numFmtId="0" fontId="90" fillId="0" borderId="0" xfId="40" applyFont="1" applyAlignment="1">
      <alignment vertical="center"/>
    </xf>
    <xf numFmtId="49" fontId="80" fillId="0" borderId="0" xfId="40" applyNumberFormat="1" applyFont="1" applyAlignment="1">
      <alignment horizontal="center" vertical="center"/>
    </xf>
    <xf numFmtId="49" fontId="80" fillId="0" borderId="0" xfId="40" applyNumberFormat="1" applyFont="1" applyAlignment="1">
      <alignment vertical="center"/>
    </xf>
    <xf numFmtId="49" fontId="91" fillId="0" borderId="0" xfId="40" applyNumberFormat="1" applyFont="1" applyFill="1" applyAlignment="1">
      <alignment vertical="center"/>
    </xf>
    <xf numFmtId="49" fontId="91" fillId="0" borderId="0" xfId="40" applyNumberFormat="1" applyFont="1" applyAlignment="1">
      <alignment vertical="center"/>
    </xf>
    <xf numFmtId="0" fontId="90" fillId="0" borderId="0" xfId="40" applyNumberFormat="1" applyFont="1" applyAlignment="1">
      <alignment vertical="center"/>
    </xf>
    <xf numFmtId="0" fontId="80" fillId="0" borderId="0" xfId="40" applyFont="1" applyAlignment="1">
      <alignment horizontal="center" vertical="center"/>
    </xf>
    <xf numFmtId="0" fontId="80" fillId="0" borderId="0" xfId="40" applyFont="1" applyAlignment="1">
      <alignment vertical="center"/>
    </xf>
    <xf numFmtId="0" fontId="91" fillId="0" borderId="0" xfId="40" applyFont="1" applyFill="1" applyAlignment="1">
      <alignment vertical="center"/>
    </xf>
    <xf numFmtId="0" fontId="91" fillId="0" borderId="0" xfId="40" applyFont="1" applyAlignment="1">
      <alignment vertical="center"/>
    </xf>
    <xf numFmtId="0" fontId="90" fillId="0" borderId="0" xfId="40" applyFont="1" applyAlignment="1">
      <alignment horizontal="left" vertical="center"/>
    </xf>
    <xf numFmtId="49" fontId="29" fillId="0" borderId="0" xfId="40" applyNumberFormat="1" applyFont="1" applyAlignment="1">
      <alignment horizontal="left" vertical="center"/>
    </xf>
    <xf numFmtId="49" fontId="90" fillId="0" borderId="0" xfId="40" applyNumberFormat="1" applyFont="1" applyAlignment="1">
      <alignment vertical="center"/>
    </xf>
    <xf numFmtId="49" fontId="82" fillId="0" borderId="0" xfId="40" applyNumberFormat="1" applyFont="1" applyAlignment="1">
      <alignment vertical="center"/>
    </xf>
    <xf numFmtId="49" fontId="65" fillId="0" borderId="0" xfId="40" applyNumberFormat="1" applyFont="1" applyAlignment="1">
      <alignment vertical="center"/>
    </xf>
    <xf numFmtId="0" fontId="10" fillId="0" borderId="0" xfId="36" applyFont="1" applyAlignment="1">
      <alignment vertical="center"/>
    </xf>
    <xf numFmtId="0" fontId="82" fillId="0" borderId="0" xfId="40" applyFont="1" applyAlignment="1">
      <alignment vertical="center"/>
    </xf>
    <xf numFmtId="0" fontId="65" fillId="0" borderId="0" xfId="40" applyFont="1" applyAlignment="1">
      <alignment vertical="center"/>
    </xf>
    <xf numFmtId="49" fontId="91" fillId="0" borderId="0" xfId="36" applyNumberFormat="1" applyFont="1" applyBorder="1" applyAlignment="1">
      <alignment horizontal="right" vertical="center"/>
    </xf>
    <xf numFmtId="0" fontId="11" fillId="0" borderId="0" xfId="36" applyFont="1" applyBorder="1" applyAlignment="1">
      <alignment vertical="center"/>
    </xf>
    <xf numFmtId="0" fontId="92" fillId="0" borderId="0" xfId="36" applyFont="1" applyBorder="1" applyAlignment="1">
      <alignment vertical="center"/>
    </xf>
    <xf numFmtId="0" fontId="100" fillId="0" borderId="0" xfId="37" applyFont="1" applyAlignment="1">
      <alignment horizontal="right"/>
    </xf>
    <xf numFmtId="0" fontId="65" fillId="25" borderId="10" xfId="36" applyNumberFormat="1" applyFont="1" applyFill="1" applyBorder="1" applyAlignment="1">
      <alignment horizontal="center" vertical="center"/>
    </xf>
    <xf numFmtId="0" fontId="66" fillId="0" borderId="29" xfId="40" applyNumberFormat="1" applyFont="1" applyBorder="1" applyAlignment="1">
      <alignment vertical="center"/>
    </xf>
    <xf numFmtId="0" fontId="10" fillId="0" borderId="0" xfId="38" applyFont="1"/>
    <xf numFmtId="14" fontId="75" fillId="0" borderId="0" xfId="38" applyNumberFormat="1" applyFont="1" applyBorder="1" applyAlignment="1"/>
    <xf numFmtId="0" fontId="10" fillId="0" borderId="43" xfId="0" applyFont="1" applyBorder="1" applyAlignment="1">
      <alignment vertical="center"/>
    </xf>
    <xf numFmtId="0" fontId="10" fillId="0" borderId="46" xfId="0" applyFont="1" applyBorder="1" applyAlignment="1">
      <alignment vertical="center"/>
    </xf>
    <xf numFmtId="0" fontId="94" fillId="0" borderId="50" xfId="37" applyBorder="1"/>
    <xf numFmtId="0" fontId="94" fillId="30" borderId="50" xfId="37" applyFill="1" applyBorder="1"/>
    <xf numFmtId="0" fontId="112" fillId="0" borderId="35" xfId="37" applyFont="1" applyBorder="1" applyAlignment="1">
      <alignment horizontal="center" vertical="center"/>
    </xf>
    <xf numFmtId="0" fontId="105" fillId="0" borderId="0" xfId="37" applyFont="1" applyBorder="1" applyAlignment="1">
      <alignment vertical="center" textRotation="90"/>
    </xf>
    <xf numFmtId="0" fontId="96" fillId="0" borderId="0" xfId="37" applyFont="1" applyBorder="1" applyAlignment="1">
      <alignment vertical="center" textRotation="90"/>
    </xf>
    <xf numFmtId="0" fontId="105" fillId="0" borderId="15" xfId="37" applyFont="1" applyBorder="1" applyAlignment="1">
      <alignment vertical="center" textRotation="90"/>
    </xf>
    <xf numFmtId="0" fontId="105" fillId="0" borderId="52" xfId="37" applyFont="1" applyBorder="1" applyAlignment="1">
      <alignment vertical="center" textRotation="90"/>
    </xf>
    <xf numFmtId="0" fontId="105" fillId="0" borderId="37" xfId="37" applyFont="1" applyBorder="1" applyAlignment="1">
      <alignment vertical="center" textRotation="90"/>
    </xf>
    <xf numFmtId="0" fontId="113" fillId="0" borderId="10" xfId="37" applyFont="1" applyBorder="1" applyAlignment="1">
      <alignment horizontal="center" vertical="center"/>
    </xf>
    <xf numFmtId="0" fontId="104" fillId="0" borderId="10" xfId="37" applyNumberFormat="1" applyFont="1" applyBorder="1" applyAlignment="1">
      <alignment horizontal="center" vertical="center"/>
    </xf>
    <xf numFmtId="0" fontId="113" fillId="0" borderId="35" xfId="37" applyFont="1" applyBorder="1" applyAlignment="1">
      <alignment horizontal="center" vertical="center"/>
    </xf>
    <xf numFmtId="0" fontId="104" fillId="0" borderId="35" xfId="37" applyNumberFormat="1" applyFont="1" applyBorder="1" applyAlignment="1">
      <alignment horizontal="center" vertical="center"/>
    </xf>
    <xf numFmtId="0" fontId="113" fillId="0" borderId="32" xfId="37" applyFont="1" applyBorder="1" applyAlignment="1">
      <alignment horizontal="center" vertical="center"/>
    </xf>
    <xf numFmtId="0" fontId="104" fillId="0" borderId="32" xfId="37" applyNumberFormat="1" applyFont="1" applyBorder="1" applyAlignment="1">
      <alignment horizontal="center" vertical="center"/>
    </xf>
    <xf numFmtId="0" fontId="114" fillId="0" borderId="35" xfId="37" applyNumberFormat="1" applyFont="1" applyBorder="1" applyAlignment="1">
      <alignment horizontal="center" vertical="center"/>
    </xf>
    <xf numFmtId="0" fontId="104" fillId="0" borderId="31" xfId="37" applyNumberFormat="1" applyFont="1" applyBorder="1" applyAlignment="1">
      <alignment horizontal="center" vertical="center"/>
    </xf>
    <xf numFmtId="0" fontId="104" fillId="0" borderId="50" xfId="37" applyNumberFormat="1" applyFont="1" applyBorder="1" applyAlignment="1">
      <alignment horizontal="center" vertical="center"/>
    </xf>
    <xf numFmtId="0" fontId="109" fillId="0" borderId="82" xfId="37" applyFont="1" applyFill="1" applyBorder="1" applyAlignment="1">
      <alignment horizontal="center" vertical="center"/>
    </xf>
    <xf numFmtId="0" fontId="108" fillId="0" borderId="0" xfId="37" applyFont="1" applyAlignment="1">
      <alignment horizontal="center"/>
    </xf>
    <xf numFmtId="0" fontId="0" fillId="0" borderId="10" xfId="0" applyBorder="1"/>
    <xf numFmtId="0" fontId="27" fillId="0" borderId="0" xfId="41" applyBorder="1" applyAlignment="1">
      <alignment horizontal="center"/>
    </xf>
    <xf numFmtId="0" fontId="11" fillId="0" borderId="78" xfId="41" applyFont="1" applyBorder="1" applyAlignment="1">
      <alignment vertical="center"/>
    </xf>
    <xf numFmtId="0" fontId="11" fillId="0" borderId="92" xfId="41" applyFont="1" applyBorder="1" applyAlignment="1">
      <alignment vertical="center"/>
    </xf>
    <xf numFmtId="0" fontId="108" fillId="0" borderId="92" xfId="37" applyFont="1" applyBorder="1" applyAlignment="1">
      <alignment horizontal="center"/>
    </xf>
    <xf numFmtId="0" fontId="108" fillId="0" borderId="93" xfId="37" applyFont="1" applyBorder="1"/>
    <xf numFmtId="0" fontId="109" fillId="0" borderId="19" xfId="37" applyFont="1" applyBorder="1" applyAlignment="1">
      <alignment horizontal="center" vertical="center"/>
    </xf>
    <xf numFmtId="0" fontId="109" fillId="0" borderId="92" xfId="37" applyFont="1" applyBorder="1" applyAlignment="1">
      <alignment horizontal="center"/>
    </xf>
    <xf numFmtId="0" fontId="108" fillId="0" borderId="93" xfId="37" applyNumberFormat="1" applyFont="1" applyBorder="1" applyAlignment="1">
      <alignment horizontal="center" vertical="center"/>
    </xf>
    <xf numFmtId="0" fontId="108" fillId="0" borderId="17" xfId="37" applyFont="1" applyBorder="1" applyAlignment="1">
      <alignment horizontal="center" vertical="center"/>
    </xf>
    <xf numFmtId="0" fontId="108" fillId="0" borderId="19" xfId="37" applyFont="1" applyBorder="1"/>
    <xf numFmtId="0" fontId="78" fillId="26" borderId="94" xfId="41" applyFont="1" applyFill="1" applyBorder="1" applyAlignment="1">
      <alignment vertical="center"/>
    </xf>
    <xf numFmtId="0" fontId="27" fillId="26" borderId="94" xfId="41" applyFill="1" applyBorder="1" applyAlignment="1"/>
    <xf numFmtId="0" fontId="78" fillId="0" borderId="39" xfId="41" applyFont="1" applyBorder="1" applyAlignment="1">
      <alignment vertical="center"/>
    </xf>
    <xf numFmtId="0" fontId="78" fillId="26" borderId="39" xfId="41" applyFont="1" applyFill="1" applyBorder="1" applyAlignment="1">
      <alignment vertical="center"/>
    </xf>
    <xf numFmtId="0" fontId="27" fillId="26" borderId="39" xfId="41" applyFill="1" applyBorder="1" applyAlignment="1"/>
    <xf numFmtId="0" fontId="108" fillId="0" borderId="92" xfId="37" applyFont="1" applyBorder="1"/>
    <xf numFmtId="0" fontId="94" fillId="0" borderId="13" xfId="37" applyBorder="1"/>
    <xf numFmtId="0" fontId="108" fillId="0" borderId="95" xfId="37" applyFont="1" applyBorder="1"/>
    <xf numFmtId="0" fontId="108" fillId="0" borderId="76" xfId="37" applyFont="1" applyBorder="1"/>
    <xf numFmtId="0" fontId="108" fillId="0" borderId="96" xfId="37" applyFont="1" applyBorder="1" applyAlignment="1">
      <alignment horizontal="center" vertical="center"/>
    </xf>
    <xf numFmtId="0" fontId="108" fillId="0" borderId="95" xfId="37" applyNumberFormat="1" applyFont="1" applyBorder="1" applyAlignment="1">
      <alignment horizontal="center" vertical="center"/>
    </xf>
    <xf numFmtId="0" fontId="94" fillId="0" borderId="92" xfId="37" applyBorder="1"/>
    <xf numFmtId="0" fontId="78" fillId="0" borderId="31" xfId="41" applyFont="1" applyBorder="1" applyAlignment="1">
      <alignment vertical="center"/>
    </xf>
    <xf numFmtId="0" fontId="78" fillId="26" borderId="31" xfId="41" applyFont="1" applyFill="1" applyBorder="1" applyAlignment="1">
      <alignment vertical="center"/>
    </xf>
    <xf numFmtId="0" fontId="27" fillId="26" borderId="31" xfId="41" applyFill="1" applyBorder="1" applyAlignment="1"/>
    <xf numFmtId="0" fontId="76" fillId="27" borderId="97" xfId="41" applyFont="1" applyFill="1" applyBorder="1" applyAlignment="1">
      <alignment horizontal="center" vertical="center"/>
    </xf>
    <xf numFmtId="0" fontId="108" fillId="0" borderId="92" xfId="37" applyFont="1" applyBorder="1" applyAlignment="1">
      <alignment horizontal="center" vertical="center"/>
    </xf>
    <xf numFmtId="0" fontId="108" fillId="0" borderId="98" xfId="37" applyFont="1" applyBorder="1"/>
    <xf numFmtId="0" fontId="77" fillId="0" borderId="85" xfId="41" applyFont="1" applyBorder="1" applyAlignment="1">
      <alignment vertical="center" wrapText="1"/>
    </xf>
    <xf numFmtId="0" fontId="78" fillId="0" borderId="85" xfId="41" applyFont="1" applyBorder="1" applyAlignment="1">
      <alignment vertical="center" wrapText="1"/>
    </xf>
    <xf numFmtId="0" fontId="94" fillId="0" borderId="99" xfId="37" applyBorder="1"/>
    <xf numFmtId="0" fontId="108" fillId="29" borderId="77" xfId="37" applyNumberFormat="1" applyFont="1" applyFill="1" applyBorder="1" applyAlignment="1" applyProtection="1">
      <alignment horizontal="center" vertical="center"/>
      <protection locked="0"/>
    </xf>
    <xf numFmtId="0" fontId="8" fillId="0" borderId="0" xfId="36" applyBorder="1" applyAlignment="1"/>
    <xf numFmtId="49" fontId="8" fillId="0" borderId="0" xfId="36" applyNumberFormat="1" applyBorder="1" applyAlignment="1">
      <alignment horizontal="center" vertical="center"/>
    </xf>
    <xf numFmtId="49" fontId="8" fillId="0" borderId="0" xfId="36" applyNumberFormat="1" applyBorder="1"/>
    <xf numFmtId="0" fontId="8" fillId="0" borderId="0" xfId="36" applyNumberFormat="1" applyBorder="1"/>
    <xf numFmtId="0" fontId="93" fillId="0" borderId="0" xfId="36" applyFont="1" applyAlignment="1">
      <alignment horizontal="center" vertical="center"/>
    </xf>
    <xf numFmtId="14" fontId="95" fillId="0" borderId="0" xfId="37" applyNumberFormat="1" applyFont="1" applyAlignment="1">
      <alignment horizontal="center"/>
    </xf>
    <xf numFmtId="0" fontId="25" fillId="0" borderId="0" xfId="36" applyFont="1" applyAlignment="1">
      <alignment vertical="center"/>
    </xf>
    <xf numFmtId="14" fontId="25" fillId="0" borderId="0" xfId="36" applyNumberFormat="1" applyFont="1" applyAlignment="1">
      <alignment vertical="center"/>
    </xf>
    <xf numFmtId="0" fontId="25" fillId="0" borderId="0" xfId="36" applyFont="1" applyAlignment="1">
      <alignment horizontal="right" vertical="center"/>
    </xf>
    <xf numFmtId="49" fontId="21" fillId="0" borderId="0" xfId="36" applyNumberFormat="1" applyFont="1" applyAlignment="1">
      <alignment horizontal="right" vertical="center"/>
    </xf>
    <xf numFmtId="0" fontId="25" fillId="0" borderId="0" xfId="36" applyFont="1" applyAlignment="1">
      <alignment horizontal="left" vertical="center"/>
    </xf>
    <xf numFmtId="14" fontId="11" fillId="0" borderId="0" xfId="36" applyNumberFormat="1" applyFont="1" applyBorder="1" applyAlignment="1">
      <alignment horizontal="left" vertical="center"/>
    </xf>
    <xf numFmtId="0" fontId="26" fillId="0" borderId="52" xfId="0" applyFont="1" applyBorder="1" applyAlignment="1">
      <alignment horizontal="right"/>
    </xf>
    <xf numFmtId="0" fontId="10" fillId="0" borderId="0" xfId="0" applyFont="1"/>
    <xf numFmtId="14" fontId="0" fillId="0" borderId="0" xfId="0" applyNumberFormat="1" applyAlignment="1">
      <alignment horizontal="center"/>
    </xf>
    <xf numFmtId="0" fontId="10" fillId="0" borderId="21" xfId="36" applyNumberFormat="1" applyFont="1" applyFill="1" applyBorder="1" applyAlignment="1">
      <alignment horizontal="left" vertical="center"/>
    </xf>
    <xf numFmtId="0" fontId="10" fillId="0" borderId="36" xfId="0" applyFont="1" applyBorder="1" applyAlignment="1">
      <alignment horizontal="center" vertical="center"/>
    </xf>
    <xf numFmtId="0" fontId="69" fillId="0" borderId="52" xfId="36" applyFont="1" applyBorder="1" applyAlignment="1">
      <alignment vertical="center"/>
    </xf>
    <xf numFmtId="0" fontId="99" fillId="0" borderId="0" xfId="37" applyFont="1" applyAlignment="1">
      <alignment horizontal="left"/>
    </xf>
    <xf numFmtId="0" fontId="111" fillId="0" borderId="0" xfId="37" applyFont="1"/>
    <xf numFmtId="0" fontId="116" fillId="0" borderId="0" xfId="37" applyFont="1" applyAlignment="1">
      <alignment horizontal="center" vertical="center"/>
    </xf>
    <xf numFmtId="0" fontId="104" fillId="0" borderId="0" xfId="37" applyFont="1" applyAlignment="1">
      <alignment horizontal="left" vertical="center"/>
    </xf>
    <xf numFmtId="0" fontId="104" fillId="33" borderId="0" xfId="37" applyFont="1" applyFill="1" applyAlignment="1">
      <alignment horizontal="left" vertical="center"/>
    </xf>
    <xf numFmtId="0" fontId="100" fillId="0" borderId="0" xfId="37" applyFont="1"/>
    <xf numFmtId="0" fontId="104" fillId="0" borderId="11" xfId="37" applyFont="1" applyBorder="1" applyAlignment="1">
      <alignment horizontal="left" vertical="center"/>
    </xf>
    <xf numFmtId="0" fontId="99" fillId="0" borderId="11" xfId="37" applyFont="1" applyBorder="1" applyAlignment="1">
      <alignment vertical="top"/>
    </xf>
    <xf numFmtId="0" fontId="94" fillId="0" borderId="12" xfId="37" applyBorder="1"/>
    <xf numFmtId="0" fontId="94" fillId="33" borderId="0" xfId="37" applyFill="1" applyBorder="1"/>
    <xf numFmtId="0" fontId="104" fillId="0" borderId="13" xfId="37" applyFont="1" applyBorder="1" applyAlignment="1">
      <alignment horizontal="left" vertical="center"/>
    </xf>
    <xf numFmtId="0" fontId="104" fillId="33" borderId="13" xfId="37" applyFont="1" applyFill="1" applyBorder="1" applyAlignment="1">
      <alignment horizontal="left" vertical="center"/>
    </xf>
    <xf numFmtId="0" fontId="100" fillId="0" borderId="13" xfId="37" applyFont="1" applyBorder="1"/>
    <xf numFmtId="0" fontId="94" fillId="0" borderId="14" xfId="37" applyBorder="1"/>
    <xf numFmtId="0" fontId="99" fillId="0" borderId="0" xfId="37" applyFont="1" applyFill="1" applyBorder="1" applyAlignment="1">
      <alignment vertical="top"/>
    </xf>
    <xf numFmtId="0" fontId="94" fillId="0" borderId="11" xfId="37" applyBorder="1"/>
    <xf numFmtId="0" fontId="104" fillId="0" borderId="15" xfId="37" applyFont="1" applyBorder="1"/>
    <xf numFmtId="0" fontId="104" fillId="33" borderId="0" xfId="37" applyFont="1" applyFill="1" applyBorder="1"/>
    <xf numFmtId="0" fontId="94" fillId="0" borderId="15" xfId="37" applyBorder="1"/>
    <xf numFmtId="0" fontId="99" fillId="0" borderId="30" xfId="37" applyNumberFormat="1" applyFont="1" applyBorder="1" applyAlignment="1">
      <alignment horizontal="center" vertical="center"/>
    </xf>
    <xf numFmtId="0" fontId="99" fillId="0" borderId="34" xfId="37" applyFont="1" applyBorder="1"/>
    <xf numFmtId="49" fontId="99" fillId="0" borderId="0" xfId="37" applyNumberFormat="1" applyFont="1" applyAlignment="1">
      <alignment horizontal="center" vertical="center"/>
    </xf>
    <xf numFmtId="0" fontId="99" fillId="0" borderId="0" xfId="37" applyFont="1" applyAlignment="1">
      <alignment vertical="top"/>
    </xf>
    <xf numFmtId="0" fontId="94" fillId="30" borderId="13" xfId="37" applyFill="1" applyBorder="1"/>
    <xf numFmtId="0" fontId="108" fillId="0" borderId="13" xfId="37" applyFont="1" applyBorder="1"/>
    <xf numFmtId="0" fontId="99" fillId="0" borderId="0" xfId="37" applyFont="1" applyAlignment="1">
      <alignment horizontal="center" vertical="center"/>
    </xf>
    <xf numFmtId="0" fontId="94" fillId="0" borderId="13" xfId="37" applyBorder="1" applyAlignment="1">
      <alignment horizontal="left"/>
    </xf>
    <xf numFmtId="0" fontId="94" fillId="30" borderId="13" xfId="37" applyFill="1" applyBorder="1" applyAlignment="1">
      <alignment horizontal="left"/>
    </xf>
    <xf numFmtId="0" fontId="99" fillId="0" borderId="13" xfId="37" applyFont="1" applyBorder="1"/>
    <xf numFmtId="0" fontId="94" fillId="0" borderId="0" xfId="37" applyBorder="1" applyAlignment="1">
      <alignment horizontal="left"/>
    </xf>
    <xf numFmtId="0" fontId="99" fillId="0" borderId="0" xfId="37" applyFont="1" applyBorder="1"/>
    <xf numFmtId="0" fontId="104" fillId="0" borderId="12" xfId="37" applyFont="1" applyBorder="1"/>
    <xf numFmtId="0" fontId="100" fillId="0" borderId="34" xfId="37" applyFont="1" applyBorder="1"/>
    <xf numFmtId="0" fontId="99" fillId="0" borderId="0" xfId="37" applyNumberFormat="1" applyFont="1" applyAlignment="1">
      <alignment horizontal="center" vertical="center"/>
    </xf>
    <xf numFmtId="0" fontId="99" fillId="0" borderId="0" xfId="37" applyFont="1" applyAlignment="1">
      <alignment horizontal="right"/>
    </xf>
    <xf numFmtId="14" fontId="116" fillId="0" borderId="0" xfId="37" applyNumberFormat="1" applyFont="1" applyAlignment="1">
      <alignment horizontal="center" vertical="center"/>
    </xf>
    <xf numFmtId="0" fontId="17" fillId="0" borderId="0" xfId="36" applyNumberFormat="1" applyFont="1" applyAlignment="1">
      <alignment vertical="center"/>
    </xf>
    <xf numFmtId="0" fontId="17" fillId="0" borderId="11" xfId="36" applyNumberFormat="1" applyFont="1" applyBorder="1" applyAlignment="1">
      <alignment vertical="center"/>
    </xf>
    <xf numFmtId="17" fontId="84" fillId="35" borderId="90" xfId="36" applyNumberFormat="1" applyFont="1" applyFill="1" applyBorder="1" applyAlignment="1">
      <alignment horizontal="center" vertical="center"/>
    </xf>
    <xf numFmtId="0" fontId="84" fillId="0" borderId="90" xfId="36" applyNumberFormat="1" applyFont="1" applyBorder="1" applyAlignment="1">
      <alignment horizontal="center" vertical="center"/>
    </xf>
    <xf numFmtId="0" fontId="84" fillId="0" borderId="101" xfId="36" applyNumberFormat="1" applyFont="1" applyBorder="1" applyAlignment="1">
      <alignment horizontal="center" vertical="center"/>
    </xf>
    <xf numFmtId="0" fontId="84" fillId="0" borderId="102" xfId="36" applyNumberFormat="1" applyFont="1" applyBorder="1" applyAlignment="1">
      <alignment horizontal="center" vertical="center"/>
    </xf>
    <xf numFmtId="17" fontId="84" fillId="0" borderId="32" xfId="36" applyNumberFormat="1" applyFont="1" applyBorder="1" applyAlignment="1">
      <alignment horizontal="center" vertical="center"/>
    </xf>
    <xf numFmtId="0" fontId="84" fillId="0" borderId="10" xfId="36" applyFont="1" applyBorder="1" applyAlignment="1">
      <alignment horizontal="center" vertical="center"/>
    </xf>
    <xf numFmtId="0" fontId="8" fillId="0" borderId="0" xfId="36" applyBorder="1" applyAlignment="1">
      <alignment horizontal="center"/>
    </xf>
    <xf numFmtId="0" fontId="95" fillId="0" borderId="29" xfId="37" applyFont="1" applyBorder="1" applyAlignment="1">
      <alignment horizontal="center" vertical="center"/>
    </xf>
    <xf numFmtId="0" fontId="101" fillId="0" borderId="33" xfId="37" applyFont="1" applyBorder="1" applyAlignment="1">
      <alignment horizontal="center"/>
    </xf>
    <xf numFmtId="0" fontId="95" fillId="0" borderId="29" xfId="37" applyFont="1" applyBorder="1" applyAlignment="1">
      <alignment horizontal="center" vertical="center"/>
    </xf>
    <xf numFmtId="0" fontId="101" fillId="0" borderId="33" xfId="37" applyFont="1" applyBorder="1" applyAlignment="1">
      <alignment horizontal="center"/>
    </xf>
    <xf numFmtId="0" fontId="10" fillId="0" borderId="89" xfId="36" applyNumberFormat="1" applyFont="1" applyBorder="1" applyAlignment="1">
      <alignment horizontal="center" vertical="center"/>
    </xf>
    <xf numFmtId="0" fontId="10" fillId="0" borderId="130" xfId="0" applyFont="1" applyBorder="1" applyAlignment="1">
      <alignment horizontal="center" vertical="center"/>
    </xf>
    <xf numFmtId="0" fontId="10" fillId="0" borderId="10" xfId="36" applyNumberFormat="1" applyFont="1" applyBorder="1" applyAlignment="1">
      <alignment horizontal="center" vertical="center"/>
    </xf>
    <xf numFmtId="0" fontId="8" fillId="25" borderId="10" xfId="36" applyNumberFormat="1" applyFill="1" applyBorder="1"/>
    <xf numFmtId="0" fontId="19" fillId="33" borderId="117" xfId="36" applyNumberFormat="1" applyFont="1" applyFill="1" applyBorder="1" applyAlignment="1">
      <alignment horizontal="center" vertical="center" wrapText="1"/>
    </xf>
    <xf numFmtId="0" fontId="8" fillId="0" borderId="31" xfId="36" applyNumberFormat="1" applyFill="1" applyBorder="1"/>
    <xf numFmtId="0" fontId="16" fillId="0" borderId="39" xfId="36" applyNumberFormat="1" applyFont="1" applyFill="1" applyBorder="1"/>
    <xf numFmtId="0" fontId="16" fillId="0" borderId="39" xfId="36" applyFont="1" applyBorder="1"/>
    <xf numFmtId="0" fontId="9" fillId="0" borderId="39" xfId="36" applyFont="1" applyBorder="1" applyAlignment="1">
      <alignment horizontal="right" vertical="center"/>
    </xf>
    <xf numFmtId="0" fontId="19" fillId="33" borderId="10" xfId="36" applyNumberFormat="1" applyFont="1" applyFill="1" applyBorder="1" applyAlignment="1">
      <alignment horizontal="center" vertical="center" wrapText="1"/>
    </xf>
    <xf numFmtId="0" fontId="16" fillId="0" borderId="10" xfId="36" applyNumberFormat="1" applyFont="1" applyFill="1" applyBorder="1"/>
    <xf numFmtId="0" fontId="16" fillId="0" borderId="10" xfId="36" applyFont="1" applyBorder="1"/>
    <xf numFmtId="0" fontId="9" fillId="0" borderId="10" xfId="36" applyFont="1" applyBorder="1" applyAlignment="1">
      <alignment horizontal="right" vertical="center"/>
    </xf>
    <xf numFmtId="0" fontId="0" fillId="0" borderId="33" xfId="0" applyBorder="1"/>
    <xf numFmtId="0" fontId="19" fillId="33" borderId="31" xfId="36" applyNumberFormat="1" applyFont="1" applyFill="1" applyBorder="1" applyAlignment="1">
      <alignment horizontal="center" vertical="center" wrapText="1"/>
    </xf>
    <xf numFmtId="0" fontId="10" fillId="0" borderId="31" xfId="36" applyNumberFormat="1" applyFont="1" applyBorder="1" applyAlignment="1">
      <alignment horizontal="center" vertical="center"/>
    </xf>
    <xf numFmtId="0" fontId="8" fillId="25" borderId="31" xfId="36" applyNumberFormat="1" applyFill="1" applyBorder="1"/>
    <xf numFmtId="0" fontId="16" fillId="0" borderId="31" xfId="36" applyNumberFormat="1" applyFont="1" applyFill="1" applyBorder="1"/>
    <xf numFmtId="0" fontId="16" fillId="0" borderId="31" xfId="36" applyFont="1" applyBorder="1"/>
    <xf numFmtId="0" fontId="9" fillId="0" borderId="31" xfId="36" applyFont="1" applyBorder="1" applyAlignment="1">
      <alignment horizontal="right" vertical="center"/>
    </xf>
    <xf numFmtId="0" fontId="8" fillId="25" borderId="0" xfId="36" applyNumberFormat="1" applyFill="1" applyBorder="1"/>
    <xf numFmtId="0" fontId="58" fillId="0" borderId="0" xfId="36" applyNumberFormat="1" applyFont="1" applyAlignment="1">
      <alignment horizontal="center" vertical="center"/>
    </xf>
    <xf numFmtId="0" fontId="58" fillId="0" borderId="0" xfId="40" applyNumberFormat="1" applyFont="1" applyAlignment="1">
      <alignment horizontal="center" vertical="center"/>
    </xf>
    <xf numFmtId="0" fontId="58" fillId="0" borderId="15" xfId="40" applyNumberFormat="1" applyFont="1" applyBorder="1" applyAlignment="1">
      <alignment horizontal="center" vertical="center"/>
    </xf>
    <xf numFmtId="0" fontId="10" fillId="0" borderId="89" xfId="36" applyFont="1" applyFill="1" applyBorder="1"/>
    <xf numFmtId="0" fontId="10" fillId="0" borderId="33" xfId="36" applyNumberFormat="1" applyFont="1" applyBorder="1" applyAlignment="1">
      <alignment horizontal="center" vertical="center"/>
    </xf>
    <xf numFmtId="0" fontId="10" fillId="0" borderId="13" xfId="36" applyNumberFormat="1" applyFont="1" applyBorder="1" applyAlignment="1">
      <alignment horizontal="center" vertical="center"/>
    </xf>
    <xf numFmtId="49" fontId="19" fillId="0" borderId="10" xfId="36" applyNumberFormat="1" applyFont="1" applyFill="1" applyBorder="1" applyAlignment="1">
      <alignment horizontal="center" vertical="center" wrapText="1"/>
    </xf>
    <xf numFmtId="0" fontId="8" fillId="25" borderId="33" xfId="36" applyNumberFormat="1" applyFill="1" applyBorder="1"/>
    <xf numFmtId="0" fontId="16" fillId="0" borderId="129" xfId="36" applyNumberFormat="1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93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0" fillId="0" borderId="25" xfId="36" applyFont="1" applyFill="1" applyBorder="1"/>
    <xf numFmtId="0" fontId="10" fillId="0" borderId="24" xfId="36" applyFont="1" applyFill="1" applyBorder="1"/>
    <xf numFmtId="49" fontId="19" fillId="0" borderId="21" xfId="36" applyNumberFormat="1" applyFont="1" applyFill="1" applyBorder="1" applyAlignment="1">
      <alignment horizontal="center" vertical="center" wrapText="1"/>
    </xf>
    <xf numFmtId="49" fontId="19" fillId="0" borderId="23" xfId="36" applyNumberFormat="1" applyFont="1" applyFill="1" applyBorder="1" applyAlignment="1">
      <alignment horizontal="center" vertical="center" wrapText="1"/>
    </xf>
    <xf numFmtId="0" fontId="17" fillId="0" borderId="0" xfId="38" applyNumberFormat="1" applyFont="1" applyAlignment="1" applyProtection="1">
      <alignment horizontal="center" vertical="center"/>
      <protection locked="0"/>
    </xf>
    <xf numFmtId="49" fontId="26" fillId="0" borderId="13" xfId="38" applyNumberFormat="1" applyFont="1" applyBorder="1" applyAlignment="1">
      <alignment horizontal="center"/>
    </xf>
    <xf numFmtId="0" fontId="64" fillId="0" borderId="0" xfId="40" applyFont="1" applyFill="1" applyBorder="1" applyAlignment="1">
      <alignment vertical="center"/>
    </xf>
    <xf numFmtId="0" fontId="64" fillId="0" borderId="0" xfId="40" applyFont="1" applyFill="1" applyBorder="1" applyAlignment="1">
      <alignment horizontal="center" vertical="center"/>
    </xf>
    <xf numFmtId="0" fontId="65" fillId="0" borderId="0" xfId="36" applyNumberFormat="1" applyFont="1" applyFill="1" applyBorder="1" applyAlignment="1">
      <alignment horizontal="center" vertical="center"/>
    </xf>
    <xf numFmtId="0" fontId="66" fillId="0" borderId="0" xfId="40" applyNumberFormat="1" applyFont="1" applyFill="1" applyBorder="1" applyAlignment="1">
      <alignment vertical="center"/>
    </xf>
    <xf numFmtId="0" fontId="10" fillId="0" borderId="24" xfId="36" applyNumberFormat="1" applyFont="1" applyBorder="1" applyAlignment="1">
      <alignment horizontal="left" vertical="center"/>
    </xf>
    <xf numFmtId="0" fontId="10" fillId="0" borderId="21" xfId="0" applyFont="1" applyBorder="1" applyAlignment="1">
      <alignment horizontal="center" vertical="center"/>
    </xf>
    <xf numFmtId="49" fontId="6" fillId="0" borderId="30" xfId="37" applyNumberFormat="1" applyFont="1" applyBorder="1" applyAlignment="1">
      <alignment horizontal="center" vertical="center"/>
    </xf>
    <xf numFmtId="49" fontId="6" fillId="0" borderId="0" xfId="37" applyNumberFormat="1" applyFont="1" applyAlignment="1">
      <alignment horizontal="center" vertical="center"/>
    </xf>
    <xf numFmtId="49" fontId="123" fillId="0" borderId="0" xfId="38" applyNumberFormat="1" applyFont="1" applyBorder="1" applyAlignment="1" applyProtection="1">
      <alignment horizontal="right" vertical="center"/>
      <protection locked="0"/>
    </xf>
    <xf numFmtId="49" fontId="124" fillId="0" borderId="0" xfId="38" applyNumberFormat="1" applyFont="1" applyAlignment="1" applyProtection="1">
      <alignment horizontal="center" vertical="center"/>
      <protection locked="0"/>
    </xf>
    <xf numFmtId="49" fontId="124" fillId="0" borderId="0" xfId="38" applyNumberFormat="1" applyFont="1" applyBorder="1" applyAlignment="1" applyProtection="1">
      <alignment horizontal="center" vertical="center"/>
      <protection locked="0"/>
    </xf>
    <xf numFmtId="49" fontId="124" fillId="0" borderId="0" xfId="38" applyNumberFormat="1" applyFont="1" applyBorder="1" applyAlignment="1" applyProtection="1">
      <alignment horizontal="left" vertical="center"/>
      <protection locked="0"/>
    </xf>
    <xf numFmtId="0" fontId="18" fillId="0" borderId="13" xfId="38" applyNumberFormat="1" applyFont="1" applyBorder="1" applyAlignment="1" applyProtection="1">
      <alignment horizontal="right" vertical="center"/>
    </xf>
    <xf numFmtId="49" fontId="26" fillId="0" borderId="13" xfId="38" applyNumberFormat="1" applyFont="1" applyBorder="1" applyAlignment="1">
      <alignment horizontal="right"/>
    </xf>
    <xf numFmtId="0" fontId="85" fillId="0" borderId="14" xfId="36" applyNumberFormat="1" applyFont="1" applyBorder="1" applyAlignment="1">
      <alignment horizontal="left" vertical="center"/>
    </xf>
    <xf numFmtId="0" fontId="26" fillId="0" borderId="13" xfId="38" applyNumberFormat="1" applyFont="1" applyFill="1" applyBorder="1" applyAlignment="1">
      <alignment horizontal="center"/>
    </xf>
    <xf numFmtId="0" fontId="9" fillId="0" borderId="13" xfId="38" applyNumberFormat="1" applyFont="1" applyBorder="1" applyAlignment="1">
      <alignment horizontal="center"/>
    </xf>
    <xf numFmtId="0" fontId="9" fillId="0" borderId="0" xfId="38" applyNumberFormat="1" applyFont="1" applyBorder="1" applyAlignment="1">
      <alignment horizontal="center"/>
    </xf>
    <xf numFmtId="0" fontId="9" fillId="0" borderId="11" xfId="38" applyNumberFormat="1" applyFont="1" applyBorder="1" applyAlignment="1">
      <alignment horizontal="center"/>
    </xf>
    <xf numFmtId="0" fontId="9" fillId="0" borderId="0" xfId="38" applyNumberFormat="1" applyFont="1"/>
    <xf numFmtId="0" fontId="9" fillId="0" borderId="11" xfId="38" applyNumberFormat="1" applyFont="1" applyBorder="1"/>
    <xf numFmtId="0" fontId="9" fillId="0" borderId="0" xfId="38" applyNumberFormat="1" applyFont="1" applyAlignment="1">
      <alignment horizontal="center"/>
    </xf>
    <xf numFmtId="0" fontId="9" fillId="0" borderId="0" xfId="38" applyNumberFormat="1" applyFont="1" applyBorder="1"/>
    <xf numFmtId="0" fontId="68" fillId="0" borderId="13" xfId="42" applyNumberFormat="1" applyFont="1" applyBorder="1" applyAlignment="1">
      <alignment horizontal="left"/>
    </xf>
    <xf numFmtId="0" fontId="68" fillId="0" borderId="0" xfId="42" applyNumberFormat="1" applyFont="1" applyBorder="1" applyAlignment="1">
      <alignment horizontal="center"/>
    </xf>
    <xf numFmtId="0" fontId="86" fillId="0" borderId="0" xfId="38" applyNumberFormat="1" applyFont="1"/>
    <xf numFmtId="0" fontId="87" fillId="0" borderId="0" xfId="38" applyNumberFormat="1" applyFont="1"/>
    <xf numFmtId="0" fontId="68" fillId="0" borderId="13" xfId="42" applyNumberFormat="1" applyFont="1" applyBorder="1" applyAlignment="1"/>
    <xf numFmtId="0" fontId="86" fillId="0" borderId="0" xfId="38" applyNumberFormat="1" applyFont="1" applyBorder="1"/>
    <xf numFmtId="0" fontId="68" fillId="0" borderId="13" xfId="42" applyNumberFormat="1" applyFont="1" applyBorder="1" applyAlignment="1">
      <alignment horizontal="center"/>
    </xf>
    <xf numFmtId="0" fontId="115" fillId="0" borderId="20" xfId="37" applyFont="1" applyBorder="1" applyAlignment="1">
      <alignment horizontal="center" vertical="center"/>
    </xf>
    <xf numFmtId="0" fontId="94" fillId="0" borderId="32" xfId="37" applyBorder="1" applyAlignment="1">
      <alignment horizontal="center" vertical="center"/>
    </xf>
    <xf numFmtId="0" fontId="94" fillId="32" borderId="30" xfId="37" applyNumberFormat="1" applyFill="1" applyBorder="1" applyAlignment="1">
      <alignment horizontal="center" vertical="center"/>
    </xf>
    <xf numFmtId="0" fontId="95" fillId="0" borderId="29" xfId="37" applyFont="1" applyBorder="1" applyAlignment="1">
      <alignment horizontal="center" vertical="center"/>
    </xf>
    <xf numFmtId="0" fontId="101" fillId="0" borderId="33" xfId="37" applyFont="1" applyBorder="1" applyAlignment="1">
      <alignment horizontal="center"/>
    </xf>
    <xf numFmtId="0" fontId="0" fillId="0" borderId="0" xfId="0" applyAlignment="1">
      <alignment horizontal="center"/>
    </xf>
    <xf numFmtId="0" fontId="115" fillId="0" borderId="29" xfId="37" applyFont="1" applyBorder="1" applyAlignment="1">
      <alignment horizontal="center" vertical="center"/>
    </xf>
    <xf numFmtId="0" fontId="0" fillId="37" borderId="0" xfId="0" applyFill="1" applyAlignment="1">
      <alignment horizontal="center"/>
    </xf>
    <xf numFmtId="0" fontId="125" fillId="0" borderId="0" xfId="36" applyFont="1" applyAlignment="1">
      <alignment horizontal="center" vertical="center"/>
    </xf>
    <xf numFmtId="0" fontId="95" fillId="0" borderId="10" xfId="50" applyFont="1" applyBorder="1" applyAlignment="1">
      <alignment horizontal="center" vertical="center"/>
    </xf>
    <xf numFmtId="0" fontId="95" fillId="0" borderId="29" xfId="50" applyFont="1" applyBorder="1" applyAlignment="1">
      <alignment horizontal="center" vertical="center"/>
    </xf>
    <xf numFmtId="0" fontId="115" fillId="0" borderId="30" xfId="50" applyFont="1" applyBorder="1" applyAlignment="1">
      <alignment vertical="center"/>
    </xf>
    <xf numFmtId="0" fontId="117" fillId="0" borderId="31" xfId="50" applyFont="1" applyBorder="1" applyAlignment="1">
      <alignment vertical="center"/>
    </xf>
    <xf numFmtId="0" fontId="104" fillId="0" borderId="122" xfId="50" applyFont="1" applyBorder="1" applyAlignment="1">
      <alignment vertical="center"/>
    </xf>
    <xf numFmtId="0" fontId="117" fillId="0" borderId="94" xfId="50" applyFont="1" applyBorder="1" applyAlignment="1">
      <alignment vertical="center"/>
    </xf>
    <xf numFmtId="0" fontId="115" fillId="0" borderId="39" xfId="50" applyFont="1" applyBorder="1" applyAlignment="1">
      <alignment vertical="center"/>
    </xf>
    <xf numFmtId="0" fontId="117" fillId="0" borderId="39" xfId="50" applyFont="1" applyBorder="1" applyAlignment="1">
      <alignment vertical="center"/>
    </xf>
    <xf numFmtId="0" fontId="104" fillId="0" borderId="94" xfId="50" applyFont="1" applyBorder="1" applyAlignment="1">
      <alignment vertical="center"/>
    </xf>
    <xf numFmtId="0" fontId="103" fillId="0" borderId="94" xfId="50" applyFont="1" applyBorder="1" applyAlignment="1">
      <alignment vertical="center"/>
    </xf>
    <xf numFmtId="0" fontId="95" fillId="0" borderId="0" xfId="37" applyFont="1" applyAlignment="1">
      <alignment horizontal="center"/>
    </xf>
    <xf numFmtId="0" fontId="100" fillId="0" borderId="131" xfId="0" applyFont="1" applyBorder="1" applyAlignment="1">
      <alignment horizontal="center"/>
    </xf>
    <xf numFmtId="0" fontId="100" fillId="0" borderId="0" xfId="0" applyFont="1" applyAlignment="1">
      <alignment horizontal="center"/>
    </xf>
    <xf numFmtId="0" fontId="100" fillId="0" borderId="0" xfId="0" applyFont="1" applyAlignment="1">
      <alignment horizontal="right"/>
    </xf>
    <xf numFmtId="0" fontId="100" fillId="0" borderId="0" xfId="0" applyFont="1" applyAlignment="1">
      <alignment horizontal="left"/>
    </xf>
    <xf numFmtId="49" fontId="100" fillId="0" borderId="0" xfId="0" applyNumberFormat="1" applyFont="1"/>
    <xf numFmtId="0" fontId="78" fillId="0" borderId="0" xfId="0" applyFont="1"/>
    <xf numFmtId="0" fontId="78" fillId="0" borderId="131" xfId="0" applyFont="1" applyBorder="1"/>
    <xf numFmtId="0" fontId="78" fillId="0" borderId="131" xfId="0" applyFont="1" applyBorder="1" applyAlignment="1">
      <alignment horizontal="left"/>
    </xf>
    <xf numFmtId="0" fontId="78" fillId="0" borderId="0" xfId="0" applyFont="1" applyAlignment="1">
      <alignment horizontal="left"/>
    </xf>
    <xf numFmtId="49" fontId="78" fillId="0" borderId="131" xfId="0" applyNumberFormat="1" applyFont="1" applyBorder="1"/>
    <xf numFmtId="49" fontId="78" fillId="0" borderId="0" xfId="0" applyNumberFormat="1" applyFont="1"/>
    <xf numFmtId="0" fontId="78" fillId="0" borderId="0" xfId="0" applyFont="1" applyBorder="1"/>
    <xf numFmtId="0" fontId="78" fillId="0" borderId="10" xfId="0" applyFont="1" applyBorder="1"/>
    <xf numFmtId="0" fontId="78" fillId="0" borderId="132" xfId="0" applyFont="1" applyBorder="1"/>
    <xf numFmtId="0" fontId="78" fillId="0" borderId="15" xfId="0" applyFont="1" applyBorder="1"/>
    <xf numFmtId="0" fontId="78" fillId="0" borderId="0" xfId="0" applyFont="1" applyAlignment="1">
      <alignment horizontal="center"/>
    </xf>
    <xf numFmtId="0" fontId="78" fillId="0" borderId="13" xfId="0" applyFont="1" applyBorder="1"/>
    <xf numFmtId="0" fontId="78" fillId="0" borderId="133" xfId="0" applyFont="1" applyBorder="1"/>
    <xf numFmtId="0" fontId="78" fillId="0" borderId="134" xfId="0" applyFont="1" applyBorder="1"/>
    <xf numFmtId="0" fontId="78" fillId="0" borderId="135" xfId="0" applyFont="1" applyBorder="1"/>
    <xf numFmtId="0" fontId="100" fillId="0" borderId="0" xfId="0" applyNumberFormat="1" applyFont="1" applyAlignment="1">
      <alignment horizontal="left"/>
    </xf>
    <xf numFmtId="0" fontId="10" fillId="0" borderId="0" xfId="36" applyFont="1" applyAlignment="1"/>
    <xf numFmtId="0" fontId="10" fillId="39" borderId="21" xfId="36" applyNumberFormat="1" applyFont="1" applyFill="1" applyBorder="1" applyAlignment="1">
      <alignment horizontal="left" vertical="center"/>
    </xf>
    <xf numFmtId="0" fontId="10" fillId="39" borderId="21" xfId="36" applyFont="1" applyFill="1" applyBorder="1"/>
    <xf numFmtId="0" fontId="10" fillId="0" borderId="24" xfId="36" applyNumberFormat="1" applyFont="1" applyFill="1" applyBorder="1" applyAlignment="1">
      <alignment horizontal="left" vertical="center"/>
    </xf>
    <xf numFmtId="0" fontId="10" fillId="39" borderId="24" xfId="36" applyFont="1" applyFill="1" applyBorder="1"/>
    <xf numFmtId="0" fontId="10" fillId="39" borderId="89" xfId="36" applyNumberFormat="1" applyFont="1" applyFill="1" applyBorder="1" applyAlignment="1">
      <alignment horizontal="left" vertical="center"/>
    </xf>
    <xf numFmtId="0" fontId="10" fillId="0" borderId="130" xfId="36" applyNumberFormat="1" applyFont="1" applyBorder="1" applyAlignment="1">
      <alignment horizontal="center" vertical="center"/>
    </xf>
    <xf numFmtId="0" fontId="16" fillId="0" borderId="22" xfId="36" applyFont="1" applyBorder="1" applyAlignment="1">
      <alignment horizontal="center" vertical="center"/>
    </xf>
    <xf numFmtId="0" fontId="9" fillId="25" borderId="20" xfId="36" applyNumberFormat="1" applyFont="1" applyFill="1" applyBorder="1" applyAlignment="1">
      <alignment horizontal="center"/>
    </xf>
    <xf numFmtId="0" fontId="10" fillId="0" borderId="100" xfId="36" applyFont="1" applyFill="1" applyBorder="1"/>
    <xf numFmtId="0" fontId="10" fillId="39" borderId="21" xfId="36" applyNumberFormat="1" applyFont="1" applyFill="1" applyBorder="1" applyAlignment="1">
      <alignment horizontal="center" vertical="center"/>
    </xf>
    <xf numFmtId="0" fontId="10" fillId="0" borderId="0" xfId="36" applyFont="1" applyFill="1" applyBorder="1"/>
    <xf numFmtId="0" fontId="0" fillId="0" borderId="75" xfId="0" applyBorder="1"/>
    <xf numFmtId="0" fontId="8" fillId="25" borderId="29" xfId="36" applyNumberFormat="1" applyFill="1" applyBorder="1"/>
    <xf numFmtId="0" fontId="11" fillId="0" borderId="17" xfId="0" applyFont="1" applyBorder="1" applyAlignment="1">
      <alignment horizontal="center" vertical="center"/>
    </xf>
    <xf numFmtId="0" fontId="11" fillId="0" borderId="125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/>
    </xf>
    <xf numFmtId="0" fontId="0" fillId="0" borderId="20" xfId="0" applyBorder="1"/>
    <xf numFmtId="0" fontId="10" fillId="0" borderId="80" xfId="36" applyFont="1" applyFill="1" applyBorder="1"/>
    <xf numFmtId="0" fontId="0" fillId="0" borderId="0" xfId="0" applyBorder="1" applyAlignment="1">
      <alignment horizontal="center"/>
    </xf>
    <xf numFmtId="0" fontId="0" fillId="0" borderId="21" xfId="0" applyBorder="1" applyAlignment="1">
      <alignment horizontal="center"/>
    </xf>
    <xf numFmtId="0" fontId="10" fillId="39" borderId="23" xfId="36" applyNumberFormat="1" applyFont="1" applyFill="1" applyBorder="1" applyAlignment="1">
      <alignment horizontal="center" vertical="center"/>
    </xf>
    <xf numFmtId="0" fontId="4" fillId="0" borderId="29" xfId="37" applyFont="1" applyBorder="1" applyAlignment="1">
      <alignment vertical="center"/>
    </xf>
    <xf numFmtId="0" fontId="4" fillId="0" borderId="33" xfId="37" applyFont="1" applyBorder="1" applyAlignment="1">
      <alignment vertical="center"/>
    </xf>
    <xf numFmtId="0" fontId="10" fillId="0" borderId="27" xfId="36" applyNumberFormat="1" applyFont="1" applyFill="1" applyBorder="1" applyAlignment="1">
      <alignment horizontal="left" vertical="center"/>
    </xf>
    <xf numFmtId="0" fontId="10" fillId="0" borderId="27" xfId="36" applyNumberFormat="1" applyFont="1" applyBorder="1" applyAlignment="1">
      <alignment horizontal="left" vertical="center"/>
    </xf>
    <xf numFmtId="0" fontId="10" fillId="0" borderId="27" xfId="36" applyFont="1" applyFill="1" applyBorder="1"/>
    <xf numFmtId="0" fontId="10" fillId="39" borderId="27" xfId="36" applyFont="1" applyFill="1" applyBorder="1"/>
    <xf numFmtId="0" fontId="10" fillId="39" borderId="27" xfId="36" applyNumberFormat="1" applyFont="1" applyFill="1" applyBorder="1" applyAlignment="1">
      <alignment horizontal="left" vertical="center"/>
    </xf>
    <xf numFmtId="0" fontId="10" fillId="0" borderId="27" xfId="36" applyFont="1" applyBorder="1"/>
    <xf numFmtId="0" fontId="10" fillId="39" borderId="20" xfId="36" applyFont="1" applyFill="1" applyBorder="1"/>
    <xf numFmtId="0" fontId="10" fillId="0" borderId="11" xfId="36" applyFont="1" applyFill="1" applyBorder="1"/>
    <xf numFmtId="0" fontId="10" fillId="0" borderId="20" xfId="36" applyFont="1" applyFill="1" applyBorder="1"/>
    <xf numFmtId="0" fontId="10" fillId="0" borderId="20" xfId="36" applyNumberFormat="1" applyFont="1" applyBorder="1" applyAlignment="1">
      <alignment horizontal="left" vertical="center"/>
    </xf>
    <xf numFmtId="0" fontId="10" fillId="0" borderId="137" xfId="36" applyFont="1" applyFill="1" applyBorder="1"/>
    <xf numFmtId="0" fontId="10" fillId="0" borderId="23" xfId="36" applyNumberFormat="1" applyFont="1" applyFill="1" applyBorder="1" applyAlignment="1">
      <alignment horizontal="left" vertical="center"/>
    </xf>
    <xf numFmtId="0" fontId="10" fillId="0" borderId="23" xfId="36" applyNumberFormat="1" applyFont="1" applyBorder="1" applyAlignment="1">
      <alignment horizontal="left" vertical="center"/>
    </xf>
    <xf numFmtId="0" fontId="10" fillId="0" borderId="23" xfId="36" applyFont="1" applyFill="1" applyBorder="1"/>
    <xf numFmtId="0" fontId="10" fillId="39" borderId="23" xfId="36" applyFont="1" applyFill="1" applyBorder="1"/>
    <xf numFmtId="0" fontId="10" fillId="39" borderId="23" xfId="36" applyNumberFormat="1" applyFont="1" applyFill="1" applyBorder="1" applyAlignment="1">
      <alignment horizontal="left" vertical="center"/>
    </xf>
    <xf numFmtId="0" fontId="10" fillId="0" borderId="23" xfId="36" applyFont="1" applyBorder="1"/>
    <xf numFmtId="14" fontId="10" fillId="0" borderId="22" xfId="0" applyNumberFormat="1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82" xfId="36" applyNumberFormat="1" applyFont="1" applyBorder="1" applyAlignment="1">
      <alignment horizontal="center" vertical="center"/>
    </xf>
    <xf numFmtId="0" fontId="10" fillId="0" borderId="23" xfId="0" applyFont="1" applyBorder="1" applyAlignment="1">
      <alignment horizontal="center"/>
    </xf>
    <xf numFmtId="0" fontId="10" fillId="0" borderId="20" xfId="36" applyNumberFormat="1" applyFont="1" applyBorder="1" applyAlignment="1">
      <alignment horizontal="center" vertical="center"/>
    </xf>
    <xf numFmtId="0" fontId="10" fillId="0" borderId="100" xfId="36" applyNumberFormat="1" applyFont="1" applyBorder="1" applyAlignment="1">
      <alignment horizontal="center" vertical="center"/>
    </xf>
    <xf numFmtId="0" fontId="10" fillId="0" borderId="80" xfId="36" applyNumberFormat="1" applyFont="1" applyBorder="1" applyAlignment="1">
      <alignment horizontal="center" vertical="center"/>
    </xf>
    <xf numFmtId="0" fontId="10" fillId="0" borderId="36" xfId="0" applyFont="1" applyBorder="1" applyAlignment="1">
      <alignment horizontal="center"/>
    </xf>
    <xf numFmtId="0" fontId="10" fillId="0" borderId="27" xfId="0" applyFont="1" applyBorder="1" applyAlignment="1">
      <alignment horizontal="center" vertical="center"/>
    </xf>
    <xf numFmtId="0" fontId="0" fillId="0" borderId="36" xfId="0" applyBorder="1" applyAlignment="1">
      <alignment horizontal="center"/>
    </xf>
    <xf numFmtId="0" fontId="10" fillId="0" borderId="75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/>
    </xf>
    <xf numFmtId="0" fontId="16" fillId="0" borderId="33" xfId="36" applyNumberFormat="1" applyFont="1" applyBorder="1" applyAlignment="1">
      <alignment horizontal="center" vertical="center"/>
    </xf>
    <xf numFmtId="0" fontId="16" fillId="0" borderId="24" xfId="36" applyNumberFormat="1" applyFont="1" applyFill="1" applyBorder="1" applyAlignment="1">
      <alignment horizontal="center" vertical="center"/>
    </xf>
    <xf numFmtId="0" fontId="16" fillId="0" borderId="84" xfId="36" applyNumberFormat="1" applyFont="1" applyBorder="1" applyAlignment="1">
      <alignment horizontal="center" vertical="center"/>
    </xf>
    <xf numFmtId="0" fontId="16" fillId="0" borderId="125" xfId="36" applyNumberFormat="1" applyFont="1" applyBorder="1" applyAlignment="1">
      <alignment horizontal="center" vertical="center"/>
    </xf>
    <xf numFmtId="0" fontId="16" fillId="0" borderId="136" xfId="36" applyNumberFormat="1" applyFont="1" applyBorder="1" applyAlignment="1">
      <alignment horizontal="center" vertical="center"/>
    </xf>
    <xf numFmtId="0" fontId="4" fillId="0" borderId="20" xfId="37" applyFont="1" applyBorder="1" applyAlignment="1">
      <alignment horizontal="center" vertical="center"/>
    </xf>
    <xf numFmtId="0" fontId="10" fillId="0" borderId="117" xfId="36" applyFont="1" applyFill="1" applyBorder="1"/>
    <xf numFmtId="0" fontId="16" fillId="0" borderId="22" xfId="36" applyNumberFormat="1" applyFont="1" applyFill="1" applyBorder="1" applyAlignment="1">
      <alignment horizontal="center" vertical="center"/>
    </xf>
    <xf numFmtId="0" fontId="10" fillId="0" borderId="138" xfId="36" applyNumberFormat="1" applyFont="1" applyBorder="1" applyAlignment="1">
      <alignment horizontal="left" vertical="center"/>
    </xf>
    <xf numFmtId="0" fontId="3" fillId="0" borderId="34" xfId="37" applyFont="1" applyBorder="1" applyAlignment="1">
      <alignment vertical="center"/>
    </xf>
    <xf numFmtId="0" fontId="3" fillId="0" borderId="20" xfId="37" applyFont="1" applyBorder="1" applyAlignment="1">
      <alignment horizontal="center" vertical="center"/>
    </xf>
    <xf numFmtId="0" fontId="3" fillId="0" borderId="14" xfId="37" applyFont="1" applyBorder="1" applyAlignment="1">
      <alignment horizontal="left" vertical="center"/>
    </xf>
    <xf numFmtId="0" fontId="8" fillId="0" borderId="0" xfId="36" applyBorder="1" applyAlignment="1">
      <alignment horizontal="center" vertical="center"/>
    </xf>
    <xf numFmtId="0" fontId="25" fillId="0" borderId="0" xfId="36" applyFont="1" applyAlignment="1">
      <alignment horizontal="center" vertical="center"/>
    </xf>
    <xf numFmtId="49" fontId="53" fillId="0" borderId="0" xfId="36" applyNumberFormat="1" applyFont="1" applyBorder="1" applyAlignment="1">
      <alignment horizontal="right" vertical="center"/>
    </xf>
    <xf numFmtId="49" fontId="10" fillId="0" borderId="22" xfId="36" applyNumberFormat="1" applyFont="1" applyBorder="1" applyAlignment="1">
      <alignment horizontal="center" vertical="center"/>
    </xf>
    <xf numFmtId="49" fontId="10" fillId="0" borderId="21" xfId="36" applyNumberFormat="1" applyFont="1" applyBorder="1" applyAlignment="1">
      <alignment horizontal="center" vertical="center"/>
    </xf>
    <xf numFmtId="49" fontId="10" fillId="0" borderId="23" xfId="36" applyNumberFormat="1" applyFont="1" applyBorder="1" applyAlignment="1">
      <alignment horizontal="center" vertical="center"/>
    </xf>
    <xf numFmtId="49" fontId="0" fillId="0" borderId="22" xfId="0" applyNumberFormat="1" applyBorder="1"/>
    <xf numFmtId="49" fontId="10" fillId="0" borderId="22" xfId="0" applyNumberFormat="1" applyFont="1" applyBorder="1" applyAlignment="1">
      <alignment horizontal="center" vertical="center"/>
    </xf>
    <xf numFmtId="49" fontId="16" fillId="0" borderId="22" xfId="36" applyNumberFormat="1" applyFont="1" applyBorder="1" applyAlignment="1">
      <alignment horizontal="center" vertical="center"/>
    </xf>
    <xf numFmtId="49" fontId="10" fillId="39" borderId="23" xfId="36" applyNumberFormat="1" applyFont="1" applyFill="1" applyBorder="1" applyAlignment="1">
      <alignment horizontal="center" vertical="center"/>
    </xf>
    <xf numFmtId="49" fontId="10" fillId="0" borderId="22" xfId="0" applyNumberFormat="1" applyFont="1" applyBorder="1" applyAlignment="1">
      <alignment horizontal="center"/>
    </xf>
    <xf numFmtId="49" fontId="10" fillId="0" borderId="21" xfId="0" applyNumberFormat="1" applyFont="1" applyBorder="1" applyAlignment="1">
      <alignment horizontal="center"/>
    </xf>
    <xf numFmtId="49" fontId="10" fillId="0" borderId="23" xfId="0" applyNumberFormat="1" applyFont="1" applyBorder="1" applyAlignment="1">
      <alignment horizontal="center"/>
    </xf>
    <xf numFmtId="49" fontId="16" fillId="0" borderId="22" xfId="36" applyNumberFormat="1" applyFont="1" applyFill="1" applyBorder="1" applyAlignment="1">
      <alignment horizontal="center" vertical="center"/>
    </xf>
    <xf numFmtId="49" fontId="16" fillId="0" borderId="24" xfId="36" applyNumberFormat="1" applyFont="1" applyBorder="1" applyAlignment="1">
      <alignment horizontal="center" vertical="center"/>
    </xf>
    <xf numFmtId="49" fontId="10" fillId="39" borderId="21" xfId="36" applyNumberFormat="1" applyFont="1" applyFill="1" applyBorder="1" applyAlignment="1">
      <alignment horizontal="center" vertical="center"/>
    </xf>
    <xf numFmtId="49" fontId="10" fillId="0" borderId="100" xfId="36" applyNumberFormat="1" applyFont="1" applyBorder="1" applyAlignment="1">
      <alignment horizontal="center" vertical="center"/>
    </xf>
    <xf numFmtId="49" fontId="16" fillId="0" borderId="25" xfId="36" applyNumberFormat="1" applyFont="1" applyBorder="1" applyAlignment="1">
      <alignment horizontal="center" vertical="center"/>
    </xf>
    <xf numFmtId="49" fontId="16" fillId="0" borderId="21" xfId="36" applyNumberFormat="1" applyFont="1" applyBorder="1" applyAlignment="1">
      <alignment horizontal="center" vertical="center"/>
    </xf>
    <xf numFmtId="49" fontId="0" fillId="0" borderId="13" xfId="0" applyNumberFormat="1" applyBorder="1"/>
    <xf numFmtId="49" fontId="10" fillId="0" borderId="13" xfId="0" applyNumberFormat="1" applyFont="1" applyBorder="1" applyAlignment="1">
      <alignment horizontal="center" vertical="center"/>
    </xf>
    <xf numFmtId="49" fontId="16" fillId="0" borderId="36" xfId="36" applyNumberFormat="1" applyFont="1" applyBorder="1" applyAlignment="1">
      <alignment horizontal="center" vertical="center"/>
    </xf>
    <xf numFmtId="49" fontId="0" fillId="0" borderId="21" xfId="0" applyNumberFormat="1" applyBorder="1" applyAlignment="1">
      <alignment horizontal="center"/>
    </xf>
    <xf numFmtId="49" fontId="0" fillId="0" borderId="22" xfId="0" applyNumberFormat="1" applyBorder="1" applyAlignment="1">
      <alignment horizontal="center"/>
    </xf>
    <xf numFmtId="49" fontId="16" fillId="0" borderId="24" xfId="36" applyNumberFormat="1" applyFont="1" applyFill="1" applyBorder="1" applyAlignment="1">
      <alignment horizontal="center" vertical="center"/>
    </xf>
    <xf numFmtId="49" fontId="0" fillId="0" borderId="24" xfId="0" applyNumberFormat="1" applyBorder="1" applyAlignment="1">
      <alignment horizontal="center"/>
    </xf>
    <xf numFmtId="49" fontId="0" fillId="0" borderId="0" xfId="0" applyNumberFormat="1" applyBorder="1"/>
    <xf numFmtId="49" fontId="10" fillId="0" borderId="36" xfId="0" applyNumberFormat="1" applyFont="1" applyBorder="1" applyAlignment="1">
      <alignment horizontal="center" vertical="center"/>
    </xf>
    <xf numFmtId="49" fontId="10" fillId="0" borderId="0" xfId="36" applyNumberFormat="1" applyFont="1" applyBorder="1" applyAlignment="1">
      <alignment horizontal="center" vertical="center"/>
    </xf>
    <xf numFmtId="49" fontId="10" fillId="0" borderId="36" xfId="36" applyNumberFormat="1" applyFont="1" applyBorder="1" applyAlignment="1">
      <alignment horizontal="center" vertical="center"/>
    </xf>
    <xf numFmtId="49" fontId="0" fillId="0" borderId="0" xfId="0" applyNumberFormat="1" applyBorder="1" applyAlignment="1">
      <alignment horizontal="center"/>
    </xf>
    <xf numFmtId="49" fontId="0" fillId="0" borderId="36" xfId="0" applyNumberFormat="1" applyBorder="1" applyAlignment="1">
      <alignment horizontal="center"/>
    </xf>
    <xf numFmtId="49" fontId="10" fillId="0" borderId="130" xfId="0" applyNumberFormat="1" applyFont="1" applyBorder="1" applyAlignment="1">
      <alignment horizontal="center" vertical="center"/>
    </xf>
    <xf numFmtId="49" fontId="16" fillId="0" borderId="129" xfId="36" applyNumberFormat="1" applyFont="1" applyBorder="1" applyAlignment="1">
      <alignment horizontal="center" vertical="center"/>
    </xf>
    <xf numFmtId="49" fontId="0" fillId="0" borderId="33" xfId="0" applyNumberFormat="1" applyBorder="1"/>
    <xf numFmtId="49" fontId="10" fillId="0" borderId="33" xfId="36" applyNumberFormat="1" applyFont="1" applyBorder="1" applyAlignment="1">
      <alignment horizontal="center" vertical="center"/>
    </xf>
    <xf numFmtId="49" fontId="10" fillId="0" borderId="130" xfId="36" applyNumberFormat="1" applyFont="1" applyBorder="1" applyAlignment="1">
      <alignment horizontal="center" vertical="center"/>
    </xf>
    <xf numFmtId="49" fontId="10" fillId="0" borderId="36" xfId="0" applyNumberFormat="1" applyFont="1" applyBorder="1" applyAlignment="1">
      <alignment horizontal="center"/>
    </xf>
    <xf numFmtId="49" fontId="8" fillId="0" borderId="21" xfId="0" applyNumberFormat="1" applyFont="1" applyBorder="1" applyAlignment="1">
      <alignment horizontal="center"/>
    </xf>
    <xf numFmtId="49" fontId="10" fillId="0" borderId="24" xfId="36" applyNumberFormat="1" applyFont="1" applyBorder="1" applyAlignment="1">
      <alignment horizontal="center" vertical="center"/>
    </xf>
    <xf numFmtId="49" fontId="10" fillId="0" borderId="20" xfId="36" applyNumberFormat="1" applyFont="1" applyBorder="1" applyAlignment="1">
      <alignment horizontal="center" vertical="center"/>
    </xf>
    <xf numFmtId="49" fontId="0" fillId="0" borderId="20" xfId="0" applyNumberFormat="1" applyBorder="1"/>
    <xf numFmtId="49" fontId="10" fillId="0" borderId="27" xfId="0" applyNumberFormat="1" applyFont="1" applyBorder="1" applyAlignment="1">
      <alignment horizontal="center" vertical="center"/>
    </xf>
    <xf numFmtId="49" fontId="16" fillId="0" borderId="84" xfId="36" applyNumberFormat="1" applyFont="1" applyBorder="1" applyAlignment="1">
      <alignment horizontal="center" vertical="center"/>
    </xf>
    <xf numFmtId="49" fontId="10" fillId="0" borderId="21" xfId="0" applyNumberFormat="1" applyFont="1" applyBorder="1" applyAlignment="1">
      <alignment horizontal="center" vertical="center"/>
    </xf>
    <xf numFmtId="49" fontId="16" fillId="0" borderId="33" xfId="36" applyNumberFormat="1" applyFont="1" applyBorder="1" applyAlignment="1">
      <alignment horizontal="center" vertical="center"/>
    </xf>
    <xf numFmtId="49" fontId="16" fillId="0" borderId="20" xfId="36" applyNumberFormat="1" applyFont="1" applyBorder="1" applyAlignment="1">
      <alignment horizontal="center" vertical="center"/>
    </xf>
    <xf numFmtId="49" fontId="10" fillId="0" borderId="34" xfId="36" applyNumberFormat="1" applyFont="1" applyBorder="1" applyAlignment="1">
      <alignment horizontal="center" vertical="center"/>
    </xf>
    <xf numFmtId="49" fontId="16" fillId="0" borderId="125" xfId="36" applyNumberFormat="1" applyFont="1" applyBorder="1" applyAlignment="1">
      <alignment horizontal="center" vertical="center"/>
    </xf>
    <xf numFmtId="49" fontId="10" fillId="0" borderId="139" xfId="36" applyNumberFormat="1" applyFont="1" applyBorder="1" applyAlignment="1">
      <alignment horizontal="center" vertical="center"/>
    </xf>
    <xf numFmtId="49" fontId="10" fillId="0" borderId="82" xfId="36" applyNumberFormat="1" applyFont="1" applyBorder="1" applyAlignment="1">
      <alignment horizontal="center" vertical="center"/>
    </xf>
    <xf numFmtId="49" fontId="10" fillId="0" borderId="80" xfId="36" applyNumberFormat="1" applyFont="1" applyBorder="1" applyAlignment="1">
      <alignment horizontal="center" vertical="center"/>
    </xf>
    <xf numFmtId="49" fontId="0" fillId="0" borderId="75" xfId="0" applyNumberFormat="1" applyBorder="1"/>
    <xf numFmtId="49" fontId="10" fillId="0" borderId="75" xfId="0" applyNumberFormat="1" applyFont="1" applyBorder="1" applyAlignment="1">
      <alignment horizontal="center" vertical="center"/>
    </xf>
    <xf numFmtId="49" fontId="16" fillId="0" borderId="136" xfId="36" applyNumberFormat="1" applyFont="1" applyBorder="1" applyAlignment="1">
      <alignment horizontal="center" vertical="center"/>
    </xf>
    <xf numFmtId="0" fontId="10" fillId="0" borderId="25" xfId="36" applyNumberFormat="1" applyFont="1" applyBorder="1" applyAlignment="1">
      <alignment horizontal="left" vertical="center"/>
    </xf>
    <xf numFmtId="14" fontId="10" fillId="0" borderId="21" xfId="36" applyNumberFormat="1" applyFont="1" applyBorder="1" applyAlignment="1">
      <alignment horizontal="center" vertical="center"/>
    </xf>
    <xf numFmtId="14" fontId="10" fillId="0" borderId="89" xfId="36" applyNumberFormat="1" applyFont="1" applyBorder="1" applyAlignment="1">
      <alignment horizontal="center" vertical="center"/>
    </xf>
    <xf numFmtId="14" fontId="10" fillId="0" borderId="80" xfId="36" applyNumberFormat="1" applyFont="1" applyBorder="1" applyAlignment="1">
      <alignment horizontal="center" vertical="center"/>
    </xf>
    <xf numFmtId="0" fontId="0" fillId="0" borderId="23" xfId="0" applyBorder="1"/>
    <xf numFmtId="0" fontId="10" fillId="0" borderId="34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0" fillId="0" borderId="36" xfId="0" applyBorder="1"/>
    <xf numFmtId="49" fontId="65" fillId="0" borderId="13" xfId="36" applyNumberFormat="1" applyFont="1" applyBorder="1" applyAlignment="1">
      <alignment horizontal="left" vertical="center"/>
    </xf>
    <xf numFmtId="49" fontId="65" fillId="0" borderId="0" xfId="36" applyNumberFormat="1" applyFont="1" applyAlignment="1">
      <alignment horizontal="left" vertical="center"/>
    </xf>
    <xf numFmtId="49" fontId="22" fillId="0" borderId="0" xfId="36" applyNumberFormat="1" applyFont="1" applyAlignment="1">
      <alignment vertical="center"/>
    </xf>
    <xf numFmtId="49" fontId="14" fillId="0" borderId="0" xfId="36" applyNumberFormat="1" applyFont="1" applyAlignment="1">
      <alignment horizontal="left" vertical="center"/>
    </xf>
    <xf numFmtId="49" fontId="53" fillId="0" borderId="0" xfId="36" applyNumberFormat="1" applyFont="1" applyBorder="1" applyAlignment="1">
      <alignment horizontal="right" vertical="center"/>
    </xf>
    <xf numFmtId="49" fontId="56" fillId="0" borderId="0" xfId="36" applyNumberFormat="1" applyFont="1" applyBorder="1" applyAlignment="1">
      <alignment horizontal="right" vertical="center"/>
    </xf>
    <xf numFmtId="0" fontId="52" fillId="0" borderId="0" xfId="36" applyNumberFormat="1" applyFont="1" applyBorder="1" applyAlignment="1">
      <alignment vertical="center"/>
    </xf>
    <xf numFmtId="49" fontId="50" fillId="0" borderId="13" xfId="36" applyNumberFormat="1" applyFont="1" applyBorder="1" applyAlignment="1">
      <alignment horizontal="center" vertical="center"/>
    </xf>
    <xf numFmtId="49" fontId="14" fillId="0" borderId="0" xfId="36" applyNumberFormat="1" applyFont="1" applyBorder="1" applyAlignment="1">
      <alignment horizontal="left" vertical="center"/>
    </xf>
    <xf numFmtId="49" fontId="56" fillId="0" borderId="11" xfId="36" applyNumberFormat="1" applyFont="1" applyBorder="1" applyAlignment="1">
      <alignment horizontal="right" vertical="center"/>
    </xf>
    <xf numFmtId="49" fontId="91" fillId="0" borderId="0" xfId="36" applyNumberFormat="1" applyFont="1" applyAlignment="1">
      <alignment vertical="center"/>
    </xf>
    <xf numFmtId="0" fontId="90" fillId="0" borderId="0" xfId="36" applyNumberFormat="1" applyFont="1" applyBorder="1" applyAlignment="1">
      <alignment vertical="center"/>
    </xf>
    <xf numFmtId="49" fontId="91" fillId="0" borderId="0" xfId="36" applyNumberFormat="1" applyFont="1" applyBorder="1" applyAlignment="1">
      <alignment vertical="center"/>
    </xf>
    <xf numFmtId="0" fontId="21" fillId="24" borderId="0" xfId="36" applyNumberFormat="1" applyFont="1" applyFill="1" applyBorder="1" applyAlignment="1">
      <alignment vertical="center"/>
    </xf>
    <xf numFmtId="0" fontId="21" fillId="39" borderId="0" xfId="36" applyNumberFormat="1" applyFont="1" applyFill="1" applyBorder="1" applyAlignment="1">
      <alignment horizontal="right" vertical="center"/>
    </xf>
    <xf numFmtId="0" fontId="21" fillId="0" borderId="0" xfId="36" applyNumberFormat="1" applyFont="1" applyBorder="1" applyAlignment="1">
      <alignment vertical="center"/>
    </xf>
    <xf numFmtId="0" fontId="2" fillId="0" borderId="20" xfId="37" applyFont="1" applyBorder="1" applyAlignment="1">
      <alignment horizontal="center" vertical="center"/>
    </xf>
    <xf numFmtId="0" fontId="92" fillId="0" borderId="0" xfId="36" applyFont="1" applyBorder="1" applyAlignment="1">
      <alignment horizontal="center" vertical="center"/>
    </xf>
    <xf numFmtId="0" fontId="7" fillId="0" borderId="0" xfId="36" applyFont="1" applyAlignment="1">
      <alignment horizontal="center"/>
    </xf>
    <xf numFmtId="14" fontId="26" fillId="0" borderId="0" xfId="36" applyNumberFormat="1" applyFont="1" applyAlignment="1">
      <alignment horizontal="center"/>
    </xf>
    <xf numFmtId="0" fontId="26" fillId="0" borderId="52" xfId="36" applyFont="1" applyBorder="1" applyAlignment="1">
      <alignment horizontal="center"/>
    </xf>
    <xf numFmtId="0" fontId="11" fillId="0" borderId="0" xfId="36" applyFont="1" applyAlignment="1">
      <alignment horizontal="center"/>
    </xf>
    <xf numFmtId="0" fontId="7" fillId="0" borderId="47" xfId="36" applyFont="1" applyBorder="1" applyAlignment="1">
      <alignment horizontal="center" vertical="center" wrapText="1"/>
    </xf>
    <xf numFmtId="0" fontId="7" fillId="0" borderId="42" xfId="36" applyFont="1" applyBorder="1" applyAlignment="1">
      <alignment horizontal="center" vertical="center" wrapText="1"/>
    </xf>
    <xf numFmtId="0" fontId="7" fillId="0" borderId="43" xfId="36" applyFont="1" applyBorder="1" applyAlignment="1">
      <alignment horizontal="center" vertical="center" wrapText="1"/>
    </xf>
    <xf numFmtId="0" fontId="7" fillId="0" borderId="41" xfId="36" applyFont="1" applyBorder="1" applyAlignment="1">
      <alignment horizontal="center" vertical="center" wrapText="1"/>
    </xf>
    <xf numFmtId="0" fontId="7" fillId="0" borderId="64" xfId="36" applyFont="1" applyBorder="1" applyAlignment="1">
      <alignment horizontal="center" vertical="center" wrapText="1"/>
    </xf>
    <xf numFmtId="0" fontId="95" fillId="0" borderId="29" xfId="50" applyFont="1" applyBorder="1" applyAlignment="1">
      <alignment horizontal="center" vertical="center"/>
    </xf>
    <xf numFmtId="0" fontId="95" fillId="0" borderId="33" xfId="50" applyFont="1" applyBorder="1" applyAlignment="1">
      <alignment horizontal="center" vertical="center"/>
    </xf>
    <xf numFmtId="0" fontId="11" fillId="0" borderId="69" xfId="36" applyFont="1" applyBorder="1" applyAlignment="1">
      <alignment horizontal="center"/>
    </xf>
    <xf numFmtId="0" fontId="11" fillId="0" borderId="35" xfId="36" applyFont="1" applyBorder="1" applyAlignment="1">
      <alignment horizontal="center"/>
    </xf>
    <xf numFmtId="0" fontId="11" fillId="0" borderId="56" xfId="36" applyFont="1" applyBorder="1" applyAlignment="1">
      <alignment horizontal="center"/>
    </xf>
    <xf numFmtId="0" fontId="125" fillId="0" borderId="0" xfId="36" applyFont="1" applyAlignment="1">
      <alignment horizontal="center" vertical="center"/>
    </xf>
    <xf numFmtId="0" fontId="8" fillId="0" borderId="13" xfId="36" applyFont="1" applyBorder="1" applyAlignment="1">
      <alignment horizontal="center" vertical="center"/>
    </xf>
    <xf numFmtId="0" fontId="8" fillId="0" borderId="13" xfId="36" applyBorder="1" applyAlignment="1">
      <alignment horizontal="center" vertical="center"/>
    </xf>
    <xf numFmtId="0" fontId="8" fillId="0" borderId="0" xfId="36" applyBorder="1" applyAlignment="1">
      <alignment horizontal="center" vertical="center"/>
    </xf>
    <xf numFmtId="0" fontId="5" fillId="38" borderId="40" xfId="50" applyFill="1" applyBorder="1" applyAlignment="1">
      <alignment horizontal="center" vertical="center"/>
    </xf>
    <xf numFmtId="0" fontId="5" fillId="38" borderId="10" xfId="50" applyFill="1" applyBorder="1" applyAlignment="1">
      <alignment horizontal="center" vertical="center"/>
    </xf>
    <xf numFmtId="0" fontId="5" fillId="38" borderId="54" xfId="50" applyFill="1" applyBorder="1" applyAlignment="1">
      <alignment horizontal="center" vertical="center"/>
    </xf>
    <xf numFmtId="0" fontId="5" fillId="38" borderId="55" xfId="50" applyFill="1" applyBorder="1" applyAlignment="1">
      <alignment horizontal="center" vertical="center"/>
    </xf>
    <xf numFmtId="0" fontId="5" fillId="0" borderId="31" xfId="50" applyBorder="1" applyAlignment="1">
      <alignment horizontal="center" vertical="center"/>
    </xf>
    <xf numFmtId="0" fontId="5" fillId="0" borderId="32" xfId="50" applyBorder="1" applyAlignment="1">
      <alignment horizontal="center" vertical="center"/>
    </xf>
    <xf numFmtId="0" fontId="5" fillId="32" borderId="31" xfId="50" applyFill="1" applyBorder="1" applyAlignment="1">
      <alignment horizontal="center" vertical="center"/>
    </xf>
    <xf numFmtId="0" fontId="5" fillId="32" borderId="32" xfId="50" applyFill="1" applyBorder="1" applyAlignment="1">
      <alignment horizontal="center" vertical="center"/>
    </xf>
    <xf numFmtId="0" fontId="5" fillId="32" borderId="30" xfId="50" applyFill="1" applyBorder="1" applyAlignment="1">
      <alignment horizontal="center" vertical="center"/>
    </xf>
    <xf numFmtId="0" fontId="5" fillId="32" borderId="34" xfId="50" applyFill="1" applyBorder="1" applyAlignment="1">
      <alignment horizontal="center" vertical="center"/>
    </xf>
    <xf numFmtId="0" fontId="5" fillId="38" borderId="67" xfId="50" applyFill="1" applyBorder="1" applyAlignment="1">
      <alignment horizontal="center" vertical="center"/>
    </xf>
    <xf numFmtId="0" fontId="5" fillId="38" borderId="68" xfId="50" applyFill="1" applyBorder="1" applyAlignment="1">
      <alignment horizontal="center" vertical="center"/>
    </xf>
    <xf numFmtId="0" fontId="5" fillId="38" borderId="35" xfId="50" applyFill="1" applyBorder="1" applyAlignment="1">
      <alignment horizontal="center" vertical="center"/>
    </xf>
    <xf numFmtId="0" fontId="5" fillId="38" borderId="56" xfId="50" applyFill="1" applyBorder="1" applyAlignment="1">
      <alignment horizontal="center" vertical="center"/>
    </xf>
    <xf numFmtId="0" fontId="5" fillId="38" borderId="69" xfId="50" applyFill="1" applyBorder="1" applyAlignment="1">
      <alignment horizontal="center" vertical="center"/>
    </xf>
    <xf numFmtId="0" fontId="26" fillId="0" borderId="0" xfId="36" applyFont="1" applyAlignment="1">
      <alignment horizontal="right"/>
    </xf>
    <xf numFmtId="0" fontId="97" fillId="0" borderId="13" xfId="37" applyFont="1" applyBorder="1" applyAlignment="1">
      <alignment horizontal="center"/>
    </xf>
    <xf numFmtId="0" fontId="95" fillId="0" borderId="29" xfId="37" applyFont="1" applyBorder="1" applyAlignment="1">
      <alignment horizontal="center" vertical="center"/>
    </xf>
    <xf numFmtId="0" fontId="95" fillId="0" borderId="20" xfId="37" applyFont="1" applyBorder="1" applyAlignment="1">
      <alignment horizontal="center" vertical="center"/>
    </xf>
    <xf numFmtId="0" fontId="95" fillId="0" borderId="33" xfId="37" applyFont="1" applyBorder="1" applyAlignment="1">
      <alignment horizontal="center" vertical="center"/>
    </xf>
    <xf numFmtId="0" fontId="101" fillId="0" borderId="29" xfId="37" applyFont="1" applyBorder="1" applyAlignment="1">
      <alignment horizontal="center"/>
    </xf>
    <xf numFmtId="0" fontId="101" fillId="0" borderId="33" xfId="37" applyFont="1" applyBorder="1" applyAlignment="1">
      <alignment horizontal="center"/>
    </xf>
    <xf numFmtId="0" fontId="94" fillId="0" borderId="31" xfId="37" applyBorder="1" applyAlignment="1">
      <alignment horizontal="center" vertical="center"/>
    </xf>
    <xf numFmtId="0" fontId="94" fillId="0" borderId="32" xfId="37" applyBorder="1" applyAlignment="1">
      <alignment horizontal="center" vertical="center"/>
    </xf>
    <xf numFmtId="0" fontId="94" fillId="32" borderId="30" xfId="37" applyNumberFormat="1" applyFill="1" applyBorder="1" applyAlignment="1">
      <alignment horizontal="center" vertical="center"/>
    </xf>
    <xf numFmtId="0" fontId="94" fillId="32" borderId="34" xfId="37" applyNumberFormat="1" applyFill="1" applyBorder="1" applyAlignment="1">
      <alignment horizontal="center" vertical="center"/>
    </xf>
    <xf numFmtId="0" fontId="94" fillId="36" borderId="0" xfId="37" applyFont="1" applyFill="1" applyBorder="1" applyAlignment="1">
      <alignment horizontal="center" vertical="center"/>
    </xf>
    <xf numFmtId="0" fontId="94" fillId="36" borderId="15" xfId="37" applyFont="1" applyFill="1" applyBorder="1" applyAlignment="1">
      <alignment horizontal="center" vertical="center"/>
    </xf>
    <xf numFmtId="0" fontId="94" fillId="36" borderId="13" xfId="37" applyFont="1" applyFill="1" applyBorder="1" applyAlignment="1">
      <alignment horizontal="center" vertical="center"/>
    </xf>
    <xf numFmtId="0" fontId="94" fillId="36" borderId="14" xfId="37" applyFont="1" applyFill="1" applyBorder="1" applyAlignment="1">
      <alignment horizontal="center" vertical="center"/>
    </xf>
    <xf numFmtId="0" fontId="115" fillId="0" borderId="29" xfId="37" applyFont="1" applyBorder="1" applyAlignment="1">
      <alignment horizontal="center" vertical="center"/>
    </xf>
    <xf numFmtId="0" fontId="115" fillId="0" borderId="20" xfId="37" applyFont="1" applyBorder="1" applyAlignment="1">
      <alignment horizontal="center" vertical="center"/>
    </xf>
    <xf numFmtId="0" fontId="115" fillId="0" borderId="33" xfId="37" applyFont="1" applyBorder="1" applyAlignment="1">
      <alignment horizontal="center" vertical="center"/>
    </xf>
    <xf numFmtId="0" fontId="118" fillId="0" borderId="10" xfId="37" applyFont="1" applyBorder="1" applyAlignment="1">
      <alignment horizontal="center" vertical="center"/>
    </xf>
    <xf numFmtId="0" fontId="117" fillId="0" borderId="31" xfId="37" applyFont="1" applyBorder="1" applyAlignment="1">
      <alignment horizontal="center" vertical="center"/>
    </xf>
    <xf numFmtId="0" fontId="117" fillId="0" borderId="32" xfId="37" applyFont="1" applyBorder="1" applyAlignment="1">
      <alignment horizontal="center" vertical="center"/>
    </xf>
    <xf numFmtId="0" fontId="115" fillId="0" borderId="29" xfId="37" applyFont="1" applyBorder="1" applyAlignment="1" applyProtection="1">
      <alignment horizontal="center" vertical="center"/>
    </xf>
    <xf numFmtId="0" fontId="115" fillId="0" borderId="20" xfId="37" applyFont="1" applyBorder="1" applyAlignment="1" applyProtection="1">
      <alignment horizontal="center" vertical="center"/>
    </xf>
    <xf numFmtId="0" fontId="115" fillId="0" borderId="33" xfId="37" applyFont="1" applyBorder="1" applyAlignment="1" applyProtection="1">
      <alignment horizontal="center" vertical="center"/>
    </xf>
    <xf numFmtId="0" fontId="94" fillId="36" borderId="30" xfId="37" applyFont="1" applyFill="1" applyBorder="1" applyAlignment="1">
      <alignment horizontal="center" vertical="center"/>
    </xf>
    <xf numFmtId="0" fontId="94" fillId="36" borderId="11" xfId="37" applyFont="1" applyFill="1" applyBorder="1" applyAlignment="1">
      <alignment horizontal="center" vertical="center"/>
    </xf>
    <xf numFmtId="0" fontId="94" fillId="36" borderId="12" xfId="37" applyFont="1" applyFill="1" applyBorder="1" applyAlignment="1">
      <alignment horizontal="center" vertical="center"/>
    </xf>
    <xf numFmtId="0" fontId="94" fillId="36" borderId="34" xfId="37" applyFont="1" applyFill="1" applyBorder="1" applyAlignment="1">
      <alignment horizontal="center" vertical="center"/>
    </xf>
    <xf numFmtId="0" fontId="117" fillId="0" borderId="30" xfId="37" applyFont="1" applyBorder="1" applyAlignment="1">
      <alignment horizontal="center" vertical="center"/>
    </xf>
    <xf numFmtId="0" fontId="117" fillId="0" borderId="12" xfId="37" applyFont="1" applyBorder="1" applyAlignment="1">
      <alignment horizontal="center" vertical="center"/>
    </xf>
    <xf numFmtId="0" fontId="117" fillId="0" borderId="34" xfId="37" applyFont="1" applyBorder="1" applyAlignment="1">
      <alignment horizontal="center" vertical="center"/>
    </xf>
    <xf numFmtId="0" fontId="117" fillId="0" borderId="14" xfId="37" applyFont="1" applyBorder="1" applyAlignment="1">
      <alignment horizontal="center" vertical="center"/>
    </xf>
    <xf numFmtId="0" fontId="103" fillId="0" borderId="31" xfId="37" applyFont="1" applyBorder="1" applyAlignment="1">
      <alignment horizontal="center" vertical="center"/>
    </xf>
    <xf numFmtId="0" fontId="103" fillId="0" borderId="32" xfId="37" applyFont="1" applyBorder="1" applyAlignment="1">
      <alignment horizontal="center" vertical="center"/>
    </xf>
    <xf numFmtId="0" fontId="94" fillId="36" borderId="0" xfId="37" applyFont="1" applyFill="1" applyAlignment="1">
      <alignment horizontal="center" vertical="center"/>
    </xf>
    <xf numFmtId="0" fontId="94" fillId="36" borderId="16" xfId="37" applyFont="1" applyFill="1" applyBorder="1" applyAlignment="1">
      <alignment horizontal="center" vertical="center"/>
    </xf>
    <xf numFmtId="0" fontId="97" fillId="0" borderId="20" xfId="37" applyFont="1" applyBorder="1" applyAlignment="1">
      <alignment horizontal="center" vertical="center"/>
    </xf>
    <xf numFmtId="0" fontId="18" fillId="32" borderId="31" xfId="36" applyNumberFormat="1" applyFont="1" applyFill="1" applyBorder="1" applyAlignment="1">
      <alignment horizontal="center" vertical="center"/>
    </xf>
    <xf numFmtId="49" fontId="18" fillId="32" borderId="32" xfId="36" applyNumberFormat="1" applyFont="1" applyFill="1" applyBorder="1" applyAlignment="1">
      <alignment horizontal="center" vertical="center"/>
    </xf>
    <xf numFmtId="49" fontId="8" fillId="32" borderId="32" xfId="36" applyNumberFormat="1" applyFill="1" applyBorder="1" applyAlignment="1">
      <alignment horizontal="center" vertical="center"/>
    </xf>
    <xf numFmtId="0" fontId="9" fillId="32" borderId="31" xfId="36" applyNumberFormat="1" applyFont="1" applyFill="1" applyBorder="1" applyAlignment="1">
      <alignment horizontal="center" vertical="center"/>
    </xf>
    <xf numFmtId="49" fontId="9" fillId="32" borderId="32" xfId="36" applyNumberFormat="1" applyFont="1" applyFill="1" applyBorder="1" applyAlignment="1">
      <alignment horizontal="center" vertical="center"/>
    </xf>
    <xf numFmtId="0" fontId="10" fillId="0" borderId="0" xfId="36" applyFont="1" applyAlignment="1">
      <alignment horizontal="center"/>
    </xf>
    <xf numFmtId="0" fontId="100" fillId="0" borderId="0" xfId="0" applyFont="1" applyAlignment="1">
      <alignment horizontal="center"/>
    </xf>
    <xf numFmtId="0" fontId="118" fillId="0" borderId="31" xfId="37" applyFont="1" applyBorder="1" applyAlignment="1">
      <alignment horizontal="center" vertical="center"/>
    </xf>
    <xf numFmtId="0" fontId="118" fillId="0" borderId="32" xfId="37" applyFont="1" applyBorder="1" applyAlignment="1">
      <alignment horizontal="center" vertical="center"/>
    </xf>
    <xf numFmtId="0" fontId="94" fillId="32" borderId="31" xfId="37" applyNumberFormat="1" applyFill="1" applyBorder="1" applyAlignment="1">
      <alignment horizontal="center" vertical="center"/>
    </xf>
    <xf numFmtId="0" fontId="94" fillId="32" borderId="32" xfId="37" applyNumberFormat="1" applyFill="1" applyBorder="1" applyAlignment="1">
      <alignment horizontal="center" vertical="center"/>
    </xf>
    <xf numFmtId="14" fontId="100" fillId="0" borderId="13" xfId="37" applyNumberFormat="1" applyFont="1" applyBorder="1" applyAlignment="1">
      <alignment horizontal="left"/>
    </xf>
    <xf numFmtId="0" fontId="100" fillId="0" borderId="13" xfId="37" applyFont="1" applyBorder="1" applyAlignment="1">
      <alignment horizontal="left"/>
    </xf>
    <xf numFmtId="0" fontId="99" fillId="0" borderId="0" xfId="37" applyFont="1" applyAlignment="1">
      <alignment horizontal="left" vertical="center"/>
    </xf>
    <xf numFmtId="0" fontId="99" fillId="0" borderId="0" xfId="37" applyFont="1" applyAlignment="1">
      <alignment horizontal="right" vertical="center"/>
    </xf>
    <xf numFmtId="0" fontId="95" fillId="0" borderId="29" xfId="37" applyFont="1" applyBorder="1" applyAlignment="1">
      <alignment horizontal="center"/>
    </xf>
    <xf numFmtId="0" fontId="95" fillId="0" borderId="20" xfId="37" applyFont="1" applyBorder="1" applyAlignment="1">
      <alignment horizontal="center"/>
    </xf>
    <xf numFmtId="0" fontId="95" fillId="0" borderId="33" xfId="37" applyFont="1" applyBorder="1" applyAlignment="1">
      <alignment horizontal="center"/>
    </xf>
    <xf numFmtId="0" fontId="100" fillId="0" borderId="0" xfId="37" applyFont="1" applyAlignment="1">
      <alignment horizontal="center" vertical="center"/>
    </xf>
    <xf numFmtId="0" fontId="0" fillId="0" borderId="0" xfId="0" applyAlignment="1">
      <alignment horizontal="center"/>
    </xf>
    <xf numFmtId="0" fontId="94" fillId="32" borderId="30" xfId="37" applyFill="1" applyBorder="1" applyAlignment="1">
      <alignment horizontal="center" vertical="center"/>
    </xf>
    <xf numFmtId="0" fontId="94" fillId="32" borderId="34" xfId="37" applyFill="1" applyBorder="1" applyAlignment="1">
      <alignment horizontal="center" vertical="center"/>
    </xf>
    <xf numFmtId="0" fontId="98" fillId="36" borderId="0" xfId="37" applyFont="1" applyFill="1" applyBorder="1" applyAlignment="1">
      <alignment horizontal="center"/>
    </xf>
    <xf numFmtId="0" fontId="98" fillId="36" borderId="15" xfId="37" applyFont="1" applyFill="1" applyBorder="1" applyAlignment="1">
      <alignment horizontal="center"/>
    </xf>
    <xf numFmtId="0" fontId="98" fillId="36" borderId="13" xfId="37" applyFont="1" applyFill="1" applyBorder="1" applyAlignment="1">
      <alignment horizontal="center"/>
    </xf>
    <xf numFmtId="0" fontId="98" fillId="36" borderId="14" xfId="37" applyFont="1" applyFill="1" applyBorder="1" applyAlignment="1">
      <alignment horizontal="center"/>
    </xf>
    <xf numFmtId="0" fontId="96" fillId="0" borderId="29" xfId="37" applyFont="1" applyBorder="1" applyAlignment="1">
      <alignment horizontal="center"/>
    </xf>
    <xf numFmtId="0" fontId="96" fillId="0" borderId="20" xfId="37" applyFont="1" applyBorder="1" applyAlignment="1">
      <alignment horizontal="center"/>
    </xf>
    <xf numFmtId="0" fontId="96" fillId="0" borderId="33" xfId="37" applyFont="1" applyBorder="1" applyAlignment="1">
      <alignment horizontal="center"/>
    </xf>
    <xf numFmtId="0" fontId="119" fillId="0" borderId="30" xfId="37" applyFont="1" applyBorder="1" applyAlignment="1">
      <alignment horizontal="center" vertical="center"/>
    </xf>
    <xf numFmtId="0" fontId="119" fillId="0" borderId="12" xfId="37" applyFont="1" applyBorder="1" applyAlignment="1">
      <alignment horizontal="center" vertical="center"/>
    </xf>
    <xf numFmtId="0" fontId="119" fillId="0" borderId="34" xfId="37" applyFont="1" applyBorder="1" applyAlignment="1">
      <alignment horizontal="center" vertical="center"/>
    </xf>
    <xf numFmtId="0" fontId="119" fillId="0" borderId="14" xfId="37" applyFont="1" applyBorder="1" applyAlignment="1">
      <alignment horizontal="center" vertical="center"/>
    </xf>
    <xf numFmtId="0" fontId="98" fillId="0" borderId="31" xfId="37" applyFont="1" applyBorder="1" applyAlignment="1">
      <alignment horizontal="center" vertical="center"/>
    </xf>
    <xf numFmtId="0" fontId="98" fillId="0" borderId="32" xfId="37" applyFont="1" applyBorder="1" applyAlignment="1">
      <alignment horizontal="center" vertical="center"/>
    </xf>
    <xf numFmtId="0" fontId="120" fillId="0" borderId="10" xfId="37" applyFont="1" applyBorder="1" applyAlignment="1">
      <alignment horizontal="center" vertical="center"/>
    </xf>
    <xf numFmtId="0" fontId="94" fillId="32" borderId="31" xfId="37" applyFill="1" applyBorder="1" applyAlignment="1">
      <alignment horizontal="center" vertical="center"/>
    </xf>
    <xf numFmtId="0" fontId="94" fillId="32" borderId="32" xfId="37" applyFill="1" applyBorder="1" applyAlignment="1">
      <alignment horizontal="center" vertical="center"/>
    </xf>
    <xf numFmtId="0" fontId="96" fillId="0" borderId="29" xfId="37" applyFont="1" applyBorder="1" applyAlignment="1" applyProtection="1">
      <alignment horizontal="center"/>
    </xf>
    <xf numFmtId="0" fontId="96" fillId="0" borderId="20" xfId="37" applyFont="1" applyBorder="1" applyAlignment="1" applyProtection="1">
      <alignment horizontal="center"/>
    </xf>
    <xf numFmtId="0" fontId="96" fillId="0" borderId="33" xfId="37" applyFont="1" applyBorder="1" applyAlignment="1" applyProtection="1">
      <alignment horizontal="center"/>
    </xf>
    <xf numFmtId="0" fontId="98" fillId="36" borderId="30" xfId="37" applyFont="1" applyFill="1" applyBorder="1" applyAlignment="1">
      <alignment horizontal="center"/>
    </xf>
    <xf numFmtId="0" fontId="98" fillId="36" borderId="11" xfId="37" applyFont="1" applyFill="1" applyBorder="1" applyAlignment="1">
      <alignment horizontal="center"/>
    </xf>
    <xf numFmtId="0" fontId="98" fillId="36" borderId="12" xfId="37" applyFont="1" applyFill="1" applyBorder="1" applyAlignment="1">
      <alignment horizontal="center"/>
    </xf>
    <xf numFmtId="0" fontId="98" fillId="36" borderId="34" xfId="37" applyFont="1" applyFill="1" applyBorder="1" applyAlignment="1">
      <alignment horizontal="center"/>
    </xf>
    <xf numFmtId="0" fontId="98" fillId="36" borderId="0" xfId="37" applyFont="1" applyFill="1" applyAlignment="1">
      <alignment horizontal="center"/>
    </xf>
    <xf numFmtId="0" fontId="98" fillId="36" borderId="16" xfId="37" applyFont="1" applyFill="1" applyBorder="1" applyAlignment="1">
      <alignment horizontal="center"/>
    </xf>
    <xf numFmtId="0" fontId="94" fillId="0" borderId="31" xfId="37" applyBorder="1" applyAlignment="1">
      <alignment horizontal="center"/>
    </xf>
    <xf numFmtId="0" fontId="94" fillId="0" borderId="32" xfId="37" applyBorder="1" applyAlignment="1">
      <alignment horizontal="center"/>
    </xf>
    <xf numFmtId="0" fontId="99" fillId="0" borderId="0" xfId="37" applyFont="1" applyAlignment="1">
      <alignment horizontal="center"/>
    </xf>
    <xf numFmtId="0" fontId="99" fillId="0" borderId="0" xfId="37" applyFont="1" applyAlignment="1">
      <alignment horizontal="left"/>
    </xf>
    <xf numFmtId="0" fontId="0" fillId="0" borderId="0" xfId="0" applyAlignment="1"/>
    <xf numFmtId="0" fontId="100" fillId="0" borderId="0" xfId="37" applyFont="1" applyAlignment="1">
      <alignment horizontal="left" vertical="center"/>
    </xf>
    <xf numFmtId="0" fontId="100" fillId="0" borderId="0" xfId="37" applyFont="1" applyAlignment="1">
      <alignment horizontal="right" vertical="center"/>
    </xf>
    <xf numFmtId="49" fontId="21" fillId="0" borderId="15" xfId="36" applyNumberFormat="1" applyFont="1" applyBorder="1" applyAlignment="1">
      <alignment horizontal="center" vertical="center"/>
    </xf>
    <xf numFmtId="0" fontId="90" fillId="0" borderId="0" xfId="40" applyNumberFormat="1" applyFont="1" applyAlignment="1">
      <alignment horizontal="left" vertical="center"/>
    </xf>
    <xf numFmtId="49" fontId="53" fillId="0" borderId="0" xfId="36" applyNumberFormat="1" applyFont="1" applyBorder="1" applyAlignment="1">
      <alignment horizontal="right" vertical="center"/>
    </xf>
    <xf numFmtId="0" fontId="25" fillId="0" borderId="0" xfId="36" applyFont="1" applyAlignment="1">
      <alignment horizontal="center" vertical="center"/>
    </xf>
    <xf numFmtId="0" fontId="13" fillId="0" borderId="0" xfId="36" applyFont="1" applyAlignment="1">
      <alignment horizontal="center" vertical="center"/>
    </xf>
    <xf numFmtId="0" fontId="11" fillId="0" borderId="52" xfId="36" applyFont="1" applyBorder="1" applyAlignment="1">
      <alignment horizontal="center" vertical="center"/>
    </xf>
    <xf numFmtId="49" fontId="21" fillId="0" borderId="0" xfId="36" applyNumberFormat="1" applyFont="1" applyBorder="1" applyAlignment="1">
      <alignment horizontal="center" vertical="center"/>
    </xf>
    <xf numFmtId="0" fontId="8" fillId="0" borderId="74" xfId="36" applyBorder="1" applyAlignment="1">
      <alignment horizontal="center" vertical="center" wrapText="1"/>
    </xf>
    <xf numFmtId="0" fontId="8" fillId="0" borderId="57" xfId="36" applyBorder="1" applyAlignment="1">
      <alignment horizontal="center" vertical="center" wrapText="1"/>
    </xf>
    <xf numFmtId="0" fontId="8" fillId="0" borderId="102" xfId="36" applyBorder="1" applyAlignment="1">
      <alignment horizontal="center" vertical="center"/>
    </xf>
    <xf numFmtId="0" fontId="8" fillId="0" borderId="101" xfId="36" applyBorder="1" applyAlignment="1">
      <alignment horizontal="center" vertical="center"/>
    </xf>
    <xf numFmtId="0" fontId="8" fillId="0" borderId="41" xfId="36" applyBorder="1" applyAlignment="1">
      <alignment horizontal="center"/>
    </xf>
    <xf numFmtId="0" fontId="8" fillId="0" borderId="42" xfId="36" applyBorder="1" applyAlignment="1">
      <alignment horizontal="center"/>
    </xf>
    <xf numFmtId="0" fontId="8" fillId="0" borderId="43" xfId="36" applyBorder="1" applyAlignment="1">
      <alignment horizontal="center"/>
    </xf>
    <xf numFmtId="0" fontId="8" fillId="0" borderId="30" xfId="36" applyFont="1" applyBorder="1" applyAlignment="1">
      <alignment horizontal="center" vertical="center" wrapText="1"/>
    </xf>
    <xf numFmtId="0" fontId="8" fillId="0" borderId="51" xfId="36" applyBorder="1" applyAlignment="1">
      <alignment horizontal="center" vertical="center" wrapText="1"/>
    </xf>
    <xf numFmtId="0" fontId="8" fillId="29" borderId="103" xfId="36" applyFill="1" applyBorder="1" applyAlignment="1">
      <alignment horizontal="center" vertical="center"/>
    </xf>
    <xf numFmtId="0" fontId="8" fillId="29" borderId="70" xfId="36" applyFill="1" applyBorder="1" applyAlignment="1">
      <alignment horizontal="center" vertical="center"/>
    </xf>
    <xf numFmtId="0" fontId="8" fillId="0" borderId="38" xfId="36" applyBorder="1" applyAlignment="1">
      <alignment horizontal="center" vertical="center"/>
    </xf>
    <xf numFmtId="0" fontId="8" fillId="0" borderId="50" xfId="36" applyBorder="1" applyAlignment="1">
      <alignment horizontal="center" vertical="center"/>
    </xf>
    <xf numFmtId="0" fontId="8" fillId="29" borderId="38" xfId="36" applyFill="1" applyBorder="1" applyAlignment="1">
      <alignment horizontal="center" vertical="center"/>
    </xf>
    <xf numFmtId="0" fontId="8" fillId="29" borderId="50" xfId="36" applyFill="1" applyBorder="1" applyAlignment="1">
      <alignment horizontal="center" vertical="center"/>
    </xf>
    <xf numFmtId="0" fontId="8" fillId="0" borderId="74" xfId="36" applyBorder="1" applyAlignment="1">
      <alignment horizontal="center" vertical="center"/>
    </xf>
    <xf numFmtId="0" fontId="8" fillId="0" borderId="57" xfId="36" applyBorder="1" applyAlignment="1">
      <alignment horizontal="center" vertical="center"/>
    </xf>
    <xf numFmtId="0" fontId="9" fillId="31" borderId="103" xfId="36" applyFont="1" applyFill="1" applyBorder="1" applyAlignment="1">
      <alignment horizontal="center" vertical="center"/>
    </xf>
    <xf numFmtId="0" fontId="9" fillId="31" borderId="70" xfId="36" applyFont="1" applyFill="1" applyBorder="1" applyAlignment="1">
      <alignment horizontal="center" vertical="center"/>
    </xf>
    <xf numFmtId="0" fontId="20" fillId="0" borderId="0" xfId="40" applyNumberFormat="1" applyFont="1" applyAlignment="1">
      <alignment horizontal="center" vertical="center"/>
    </xf>
    <xf numFmtId="0" fontId="48" fillId="0" borderId="0" xfId="40" applyNumberFormat="1" applyFont="1" applyAlignment="1">
      <alignment horizontal="center" vertical="center"/>
    </xf>
    <xf numFmtId="0" fontId="16" fillId="0" borderId="37" xfId="36" applyFont="1" applyBorder="1" applyAlignment="1">
      <alignment horizontal="center" vertical="center"/>
    </xf>
    <xf numFmtId="49" fontId="53" fillId="0" borderId="0" xfId="36" applyNumberFormat="1" applyFont="1" applyFill="1" applyBorder="1" applyAlignment="1">
      <alignment horizontal="center" vertical="center"/>
    </xf>
    <xf numFmtId="49" fontId="21" fillId="0" borderId="15" xfId="40" applyNumberFormat="1" applyFont="1" applyBorder="1" applyAlignment="1">
      <alignment horizontal="center" vertical="center"/>
    </xf>
    <xf numFmtId="0" fontId="21" fillId="0" borderId="15" xfId="40" applyNumberFormat="1" applyFont="1" applyFill="1" applyBorder="1" applyAlignment="1">
      <alignment horizontal="center" vertical="center"/>
    </xf>
    <xf numFmtId="0" fontId="22" fillId="0" borderId="15" xfId="40" applyNumberFormat="1" applyFont="1" applyFill="1" applyBorder="1" applyAlignment="1">
      <alignment horizontal="center" vertical="center"/>
    </xf>
    <xf numFmtId="0" fontId="8" fillId="0" borderId="29" xfId="36" applyBorder="1" applyAlignment="1">
      <alignment horizontal="center"/>
    </xf>
    <xf numFmtId="0" fontId="8" fillId="0" borderId="20" xfId="36" applyBorder="1" applyAlignment="1">
      <alignment horizontal="center"/>
    </xf>
    <xf numFmtId="0" fontId="8" fillId="0" borderId="33" xfId="36" applyBorder="1" applyAlignment="1">
      <alignment horizontal="center"/>
    </xf>
    <xf numFmtId="0" fontId="8" fillId="0" borderId="31" xfId="36" applyBorder="1" applyAlignment="1">
      <alignment horizontal="center" vertical="center"/>
    </xf>
    <xf numFmtId="0" fontId="8" fillId="0" borderId="31" xfId="36" applyFont="1" applyBorder="1" applyAlignment="1">
      <alignment horizontal="center" vertical="center" wrapText="1"/>
    </xf>
    <xf numFmtId="0" fontId="8" fillId="0" borderId="50" xfId="36" applyBorder="1" applyAlignment="1">
      <alignment horizontal="center" vertical="center" wrapText="1"/>
    </xf>
    <xf numFmtId="0" fontId="8" fillId="29" borderId="31" xfId="36" applyFill="1" applyBorder="1" applyAlignment="1">
      <alignment horizontal="center" vertical="center"/>
    </xf>
    <xf numFmtId="0" fontId="29" fillId="0" borderId="0" xfId="38" applyNumberFormat="1" applyFont="1" applyBorder="1" applyAlignment="1" applyProtection="1">
      <alignment horizontal="center" vertical="center"/>
      <protection locked="0"/>
    </xf>
    <xf numFmtId="0" fontId="65" fillId="0" borderId="0" xfId="38" applyNumberFormat="1" applyFont="1" applyAlignment="1" applyProtection="1">
      <alignment horizontal="center" vertical="center"/>
      <protection locked="0"/>
    </xf>
    <xf numFmtId="0" fontId="80" fillId="0" borderId="0" xfId="38" applyNumberFormat="1" applyFont="1" applyAlignment="1" applyProtection="1">
      <alignment horizontal="center" vertical="center"/>
      <protection locked="0"/>
    </xf>
    <xf numFmtId="0" fontId="17" fillId="0" borderId="0" xfId="38" applyNumberFormat="1" applyFont="1" applyAlignment="1" applyProtection="1">
      <alignment horizontal="center" vertical="center"/>
      <protection locked="0"/>
    </xf>
    <xf numFmtId="0" fontId="17" fillId="0" borderId="0" xfId="38" applyNumberFormat="1" applyFont="1" applyBorder="1" applyAlignment="1" applyProtection="1">
      <alignment horizontal="center" vertical="center"/>
      <protection locked="0"/>
    </xf>
    <xf numFmtId="0" fontId="11" fillId="0" borderId="0" xfId="38" applyFont="1" applyAlignment="1">
      <alignment horizontal="center"/>
    </xf>
    <xf numFmtId="0" fontId="13" fillId="0" borderId="0" xfId="38" applyFont="1" applyAlignment="1">
      <alignment horizontal="center"/>
    </xf>
    <xf numFmtId="0" fontId="11" fillId="0" borderId="0" xfId="38" applyFont="1" applyAlignment="1">
      <alignment horizontal="left"/>
    </xf>
    <xf numFmtId="0" fontId="15" fillId="0" borderId="0" xfId="38" applyFont="1" applyAlignment="1">
      <alignment horizontal="center"/>
    </xf>
    <xf numFmtId="0" fontId="10" fillId="0" borderId="0" xfId="38" applyFont="1" applyAlignment="1">
      <alignment horizontal="center"/>
    </xf>
    <xf numFmtId="0" fontId="26" fillId="0" borderId="13" xfId="38" applyNumberFormat="1" applyFont="1" applyBorder="1" applyAlignment="1">
      <alignment horizontal="center"/>
    </xf>
    <xf numFmtId="0" fontId="26" fillId="0" borderId="0" xfId="38" applyNumberFormat="1" applyFont="1" applyBorder="1" applyAlignment="1">
      <alignment horizontal="center"/>
    </xf>
    <xf numFmtId="0" fontId="26" fillId="0" borderId="54" xfId="0" applyFont="1" applyBorder="1" applyAlignment="1">
      <alignment horizontal="center" vertical="center"/>
    </xf>
    <xf numFmtId="0" fontId="26" fillId="0" borderId="56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10" fillId="0" borderId="104" xfId="37" applyFont="1" applyBorder="1" applyAlignment="1">
      <alignment horizontal="center" wrapText="1"/>
    </xf>
    <xf numFmtId="0" fontId="110" fillId="0" borderId="63" xfId="37" applyFont="1" applyBorder="1" applyAlignment="1">
      <alignment horizontal="center" wrapText="1"/>
    </xf>
    <xf numFmtId="0" fontId="110" fillId="0" borderId="102" xfId="37" applyFont="1" applyBorder="1" applyAlignment="1">
      <alignment horizontal="center" vertical="center" textRotation="90"/>
    </xf>
    <xf numFmtId="0" fontId="110" fillId="0" borderId="101" xfId="37" applyFont="1" applyBorder="1" applyAlignment="1">
      <alignment horizontal="center" vertical="center" textRotation="90"/>
    </xf>
    <xf numFmtId="0" fontId="110" fillId="0" borderId="73" xfId="37" applyFont="1" applyBorder="1" applyAlignment="1">
      <alignment horizontal="center"/>
    </xf>
    <xf numFmtId="0" fontId="110" fillId="0" borderId="53" xfId="37" applyFont="1" applyBorder="1" applyAlignment="1">
      <alignment horizontal="center"/>
    </xf>
    <xf numFmtId="0" fontId="121" fillId="0" borderId="74" xfId="37" applyFont="1" applyBorder="1" applyAlignment="1">
      <alignment horizontal="center" vertical="center"/>
    </xf>
    <xf numFmtId="0" fontId="121" fillId="0" borderId="57" xfId="37" applyFont="1" applyBorder="1" applyAlignment="1">
      <alignment horizontal="center" vertical="center"/>
    </xf>
    <xf numFmtId="0" fontId="121" fillId="0" borderId="105" xfId="37" applyFont="1" applyBorder="1" applyAlignment="1">
      <alignment horizontal="center" vertical="center"/>
    </xf>
    <xf numFmtId="0" fontId="121" fillId="0" borderId="51" xfId="37" applyFont="1" applyBorder="1" applyAlignment="1">
      <alignment horizontal="center" vertical="center"/>
    </xf>
    <xf numFmtId="0" fontId="10" fillId="0" borderId="103" xfId="0" applyFont="1" applyBorder="1" applyAlignment="1">
      <alignment horizontal="center" vertical="center" wrapText="1"/>
    </xf>
    <xf numFmtId="0" fontId="10" fillId="0" borderId="70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textRotation="90"/>
    </xf>
    <xf numFmtId="0" fontId="10" fillId="0" borderId="44" xfId="0" applyFont="1" applyBorder="1" applyAlignment="1">
      <alignment horizontal="center" vertical="center" textRotation="90"/>
    </xf>
    <xf numFmtId="0" fontId="26" fillId="0" borderId="40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121" fillId="0" borderId="104" xfId="37" applyFont="1" applyBorder="1" applyAlignment="1">
      <alignment horizontal="center" vertical="center"/>
    </xf>
    <xf numFmtId="0" fontId="121" fillId="0" borderId="106" xfId="37" applyFont="1" applyBorder="1" applyAlignment="1">
      <alignment horizontal="center" vertical="center"/>
    </xf>
    <xf numFmtId="0" fontId="121" fillId="0" borderId="107" xfId="37" applyFont="1" applyBorder="1" applyAlignment="1">
      <alignment horizontal="center" vertical="center"/>
    </xf>
    <xf numFmtId="0" fontId="121" fillId="0" borderId="108" xfId="37" applyFont="1" applyBorder="1" applyAlignment="1">
      <alignment horizontal="center" vertical="center"/>
    </xf>
    <xf numFmtId="14" fontId="26" fillId="0" borderId="52" xfId="0" applyNumberFormat="1" applyFont="1" applyBorder="1" applyAlignment="1">
      <alignment horizontal="center"/>
    </xf>
    <xf numFmtId="0" fontId="26" fillId="0" borderId="52" xfId="0" applyFont="1" applyBorder="1" applyAlignment="1">
      <alignment horizontal="center"/>
    </xf>
    <xf numFmtId="0" fontId="10" fillId="0" borderId="104" xfId="0" applyFont="1" applyBorder="1" applyAlignment="1">
      <alignment horizontal="center" vertical="center"/>
    </xf>
    <xf numFmtId="0" fontId="10" fillId="0" borderId="106" xfId="0" applyFont="1" applyBorder="1" applyAlignment="1">
      <alignment horizontal="center" vertical="center"/>
    </xf>
    <xf numFmtId="0" fontId="10" fillId="0" borderId="63" xfId="0" applyFont="1" applyBorder="1" applyAlignment="1">
      <alignment horizontal="center" vertical="center"/>
    </xf>
    <xf numFmtId="0" fontId="10" fillId="0" borderId="109" xfId="0" applyFont="1" applyBorder="1" applyAlignment="1">
      <alignment horizontal="center" vertical="center"/>
    </xf>
    <xf numFmtId="14" fontId="26" fillId="0" borderId="52" xfId="0" applyNumberFormat="1" applyFont="1" applyBorder="1" applyAlignment="1">
      <alignment horizontal="left"/>
    </xf>
    <xf numFmtId="0" fontId="26" fillId="0" borderId="52" xfId="0" applyFont="1" applyBorder="1" applyAlignment="1">
      <alignment horizontal="left"/>
    </xf>
    <xf numFmtId="0" fontId="121" fillId="0" borderId="74" xfId="37" applyFont="1" applyBorder="1" applyAlignment="1">
      <alignment horizontal="right" vertical="center"/>
    </xf>
    <xf numFmtId="0" fontId="121" fillId="0" borderId="57" xfId="37" applyFont="1" applyBorder="1" applyAlignment="1">
      <alignment horizontal="right" vertical="center"/>
    </xf>
    <xf numFmtId="0" fontId="11" fillId="0" borderId="0" xfId="0" applyFont="1" applyAlignment="1">
      <alignment horizontal="left"/>
    </xf>
    <xf numFmtId="0" fontId="111" fillId="0" borderId="74" xfId="37" applyFont="1" applyBorder="1" applyAlignment="1">
      <alignment horizontal="center" vertical="center"/>
    </xf>
    <xf numFmtId="0" fontId="111" fillId="0" borderId="57" xfId="37" applyFont="1" applyBorder="1" applyAlignment="1">
      <alignment horizontal="center" vertical="center"/>
    </xf>
    <xf numFmtId="0" fontId="111" fillId="0" borderId="72" xfId="37" applyFont="1" applyBorder="1" applyAlignment="1">
      <alignment horizontal="center"/>
    </xf>
    <xf numFmtId="0" fontId="111" fillId="0" borderId="60" xfId="37" applyFont="1" applyBorder="1" applyAlignment="1">
      <alignment horizontal="center"/>
    </xf>
    <xf numFmtId="0" fontId="111" fillId="0" borderId="91" xfId="37" applyFont="1" applyBorder="1" applyAlignment="1">
      <alignment horizontal="center"/>
    </xf>
    <xf numFmtId="0" fontId="111" fillId="0" borderId="106" xfId="37" applyFont="1" applyBorder="1" applyAlignment="1">
      <alignment horizontal="center" vertical="center" wrapText="1"/>
    </xf>
    <xf numFmtId="0" fontId="111" fillId="0" borderId="109" xfId="37" applyFont="1" applyBorder="1" applyAlignment="1">
      <alignment horizontal="center" vertical="center" wrapText="1"/>
    </xf>
    <xf numFmtId="0" fontId="100" fillId="0" borderId="0" xfId="37" applyFont="1" applyAlignment="1">
      <alignment horizontal="center"/>
    </xf>
    <xf numFmtId="0" fontId="100" fillId="0" borderId="0" xfId="37" applyFont="1" applyBorder="1" applyAlignment="1">
      <alignment horizontal="center" vertical="center"/>
    </xf>
    <xf numFmtId="0" fontId="117" fillId="0" borderId="104" xfId="37" applyFont="1" applyBorder="1" applyAlignment="1">
      <alignment horizontal="center" wrapText="1"/>
    </xf>
    <xf numFmtId="0" fontId="117" fillId="0" borderId="63" xfId="37" applyFont="1" applyBorder="1" applyAlignment="1">
      <alignment horizontal="center" wrapText="1"/>
    </xf>
    <xf numFmtId="0" fontId="94" fillId="0" borderId="102" xfId="37" applyBorder="1" applyAlignment="1">
      <alignment horizontal="center" vertical="center" textRotation="90"/>
    </xf>
    <xf numFmtId="0" fontId="94" fillId="0" borderId="101" xfId="37" applyBorder="1" applyAlignment="1">
      <alignment horizontal="center" vertical="center" textRotation="90"/>
    </xf>
    <xf numFmtId="0" fontId="111" fillId="0" borderId="102" xfId="37" applyFont="1" applyBorder="1" applyAlignment="1">
      <alignment horizontal="center" vertical="center"/>
    </xf>
    <xf numFmtId="0" fontId="111" fillId="0" borderId="101" xfId="37" applyFont="1" applyBorder="1" applyAlignment="1">
      <alignment horizontal="center" vertical="center"/>
    </xf>
    <xf numFmtId="0" fontId="94" fillId="0" borderId="73" xfId="37" applyBorder="1" applyAlignment="1">
      <alignment horizontal="center"/>
    </xf>
    <xf numFmtId="0" fontId="94" fillId="0" borderId="53" xfId="37" applyBorder="1" applyAlignment="1">
      <alignment horizontal="center"/>
    </xf>
    <xf numFmtId="0" fontId="11" fillId="0" borderId="113" xfId="41" applyFont="1" applyBorder="1" applyAlignment="1">
      <alignment horizontal="center" vertical="center"/>
    </xf>
    <xf numFmtId="0" fontId="11" fillId="0" borderId="32" xfId="41" applyFont="1" applyBorder="1" applyAlignment="1">
      <alignment horizontal="center" vertical="center"/>
    </xf>
    <xf numFmtId="0" fontId="11" fillId="0" borderId="118" xfId="41" applyFont="1" applyBorder="1" applyAlignment="1">
      <alignment horizontal="center" vertical="center" wrapText="1"/>
    </xf>
    <xf numFmtId="0" fontId="11" fillId="0" borderId="18" xfId="41" applyFont="1" applyBorder="1" applyAlignment="1">
      <alignment horizontal="center" vertical="center" wrapText="1"/>
    </xf>
    <xf numFmtId="0" fontId="11" fillId="0" borderId="119" xfId="41" applyFont="1" applyBorder="1" applyAlignment="1">
      <alignment horizontal="center" vertical="center" wrapText="1"/>
    </xf>
    <xf numFmtId="0" fontId="11" fillId="0" borderId="34" xfId="41" applyFont="1" applyBorder="1" applyAlignment="1">
      <alignment horizontal="center" vertical="center" wrapText="1"/>
    </xf>
    <xf numFmtId="0" fontId="11" fillId="0" borderId="13" xfId="41" applyFont="1" applyBorder="1" applyAlignment="1">
      <alignment horizontal="center" vertical="center" wrapText="1"/>
    </xf>
    <xf numFmtId="0" fontId="11" fillId="0" borderId="120" xfId="41" applyFont="1" applyBorder="1" applyAlignment="1">
      <alignment horizontal="center" vertical="center" wrapText="1"/>
    </xf>
    <xf numFmtId="0" fontId="78" fillId="0" borderId="34" xfId="41" applyFont="1" applyBorder="1" applyAlignment="1">
      <alignment horizontal="center" vertical="center"/>
    </xf>
    <xf numFmtId="0" fontId="78" fillId="0" borderId="13" xfId="41" applyFont="1" applyBorder="1" applyAlignment="1">
      <alignment horizontal="center" vertical="center"/>
    </xf>
    <xf numFmtId="0" fontId="78" fillId="0" borderId="22" xfId="41" applyFont="1" applyBorder="1" applyAlignment="1">
      <alignment horizontal="center" vertical="center"/>
    </xf>
    <xf numFmtId="0" fontId="78" fillId="0" borderId="29" xfId="41" applyFont="1" applyBorder="1" applyAlignment="1">
      <alignment horizontal="center" vertical="center"/>
    </xf>
    <xf numFmtId="0" fontId="78" fillId="0" borderId="20" xfId="41" applyFont="1" applyBorder="1" applyAlignment="1">
      <alignment horizontal="center" vertical="center"/>
    </xf>
    <xf numFmtId="0" fontId="78" fillId="0" borderId="121" xfId="41" applyFont="1" applyBorder="1" applyAlignment="1">
      <alignment horizontal="center" vertical="center"/>
    </xf>
    <xf numFmtId="0" fontId="27" fillId="0" borderId="122" xfId="41" applyBorder="1" applyAlignment="1">
      <alignment horizontal="center"/>
    </xf>
    <xf numFmtId="0" fontId="27" fillId="0" borderId="75" xfId="41" applyBorder="1" applyAlignment="1">
      <alignment horizontal="center"/>
    </xf>
    <xf numFmtId="0" fontId="27" fillId="0" borderId="82" xfId="41" applyBorder="1" applyAlignment="1">
      <alignment horizontal="center"/>
    </xf>
    <xf numFmtId="0" fontId="27" fillId="0" borderId="123" xfId="41" applyBorder="1" applyAlignment="1">
      <alignment horizontal="center"/>
    </xf>
    <xf numFmtId="0" fontId="108" fillId="0" borderId="122" xfId="37" applyNumberFormat="1" applyFont="1" applyBorder="1" applyAlignment="1">
      <alignment horizontal="center" vertical="center"/>
    </xf>
    <xf numFmtId="0" fontId="108" fillId="0" borderId="75" xfId="37" applyNumberFormat="1" applyFont="1" applyBorder="1" applyAlignment="1">
      <alignment horizontal="center" vertical="center"/>
    </xf>
    <xf numFmtId="0" fontId="108" fillId="0" borderId="82" xfId="37" applyNumberFormat="1" applyFont="1" applyBorder="1" applyAlignment="1">
      <alignment horizontal="center" vertical="center"/>
    </xf>
    <xf numFmtId="0" fontId="27" fillId="0" borderId="112" xfId="41" applyBorder="1" applyAlignment="1">
      <alignment horizontal="center" vertical="center"/>
    </xf>
    <xf numFmtId="0" fontId="27" fillId="0" borderId="84" xfId="41" applyBorder="1" applyAlignment="1">
      <alignment horizontal="center" vertical="center"/>
    </xf>
    <xf numFmtId="0" fontId="11" fillId="0" borderId="124" xfId="41" applyFont="1" applyBorder="1" applyAlignment="1">
      <alignment horizontal="center" vertical="center"/>
    </xf>
    <xf numFmtId="0" fontId="94" fillId="0" borderId="32" xfId="37" applyBorder="1"/>
    <xf numFmtId="0" fontId="11" fillId="0" borderId="116" xfId="41" applyFont="1" applyBorder="1" applyAlignment="1">
      <alignment horizontal="center" vertical="center" wrapText="1"/>
    </xf>
    <xf numFmtId="0" fontId="11" fillId="0" borderId="22" xfId="41" applyFont="1" applyBorder="1" applyAlignment="1">
      <alignment horizontal="center" vertical="center" wrapText="1"/>
    </xf>
    <xf numFmtId="0" fontId="27" fillId="0" borderId="110" xfId="41" applyBorder="1" applyAlignment="1">
      <alignment horizontal="center"/>
    </xf>
    <xf numFmtId="0" fontId="27" fillId="0" borderId="85" xfId="41" applyBorder="1" applyAlignment="1">
      <alignment horizontal="center"/>
    </xf>
    <xf numFmtId="0" fontId="27" fillId="0" borderId="77" xfId="41" applyBorder="1" applyAlignment="1">
      <alignment horizontal="center"/>
    </xf>
    <xf numFmtId="0" fontId="11" fillId="0" borderId="78" xfId="41" applyFont="1" applyBorder="1" applyAlignment="1">
      <alignment horizontal="center" vertical="center"/>
    </xf>
    <xf numFmtId="0" fontId="11" fillId="0" borderId="92" xfId="41" applyFont="1" applyBorder="1" applyAlignment="1">
      <alignment horizontal="center" vertical="center"/>
    </xf>
    <xf numFmtId="0" fontId="11" fillId="0" borderId="19" xfId="41" applyFont="1" applyBorder="1" applyAlignment="1">
      <alignment horizontal="center" vertical="center"/>
    </xf>
    <xf numFmtId="0" fontId="11" fillId="0" borderId="111" xfId="41" applyFont="1" applyBorder="1" applyAlignment="1">
      <alignment horizontal="center" vertical="center"/>
    </xf>
    <xf numFmtId="0" fontId="11" fillId="0" borderId="112" xfId="41" applyFont="1" applyBorder="1" applyAlignment="1">
      <alignment horizontal="center"/>
    </xf>
    <xf numFmtId="0" fontId="11" fillId="0" borderId="113" xfId="41" applyFont="1" applyBorder="1" applyAlignment="1">
      <alignment horizontal="center"/>
    </xf>
    <xf numFmtId="0" fontId="13" fillId="0" borderId="113" xfId="41" applyFont="1" applyBorder="1" applyAlignment="1">
      <alignment horizontal="center"/>
    </xf>
    <xf numFmtId="0" fontId="13" fillId="0" borderId="114" xfId="41" applyFont="1" applyBorder="1" applyAlignment="1">
      <alignment horizontal="center"/>
    </xf>
    <xf numFmtId="0" fontId="79" fillId="0" borderId="17" xfId="41" applyFont="1" applyBorder="1" applyAlignment="1">
      <alignment horizontal="center" vertical="center"/>
    </xf>
    <xf numFmtId="0" fontId="79" fillId="0" borderId="78" xfId="41" applyFont="1" applyBorder="1" applyAlignment="1">
      <alignment horizontal="center" vertical="center"/>
    </xf>
    <xf numFmtId="0" fontId="79" fillId="0" borderId="92" xfId="41" applyFont="1" applyBorder="1" applyAlignment="1">
      <alignment horizontal="center" vertical="center"/>
    </xf>
    <xf numFmtId="0" fontId="79" fillId="0" borderId="111" xfId="41" applyFont="1" applyBorder="1" applyAlignment="1">
      <alignment horizontal="center" vertical="center"/>
    </xf>
    <xf numFmtId="0" fontId="11" fillId="0" borderId="16" xfId="41" applyFont="1" applyBorder="1" applyAlignment="1">
      <alignment horizontal="center" vertical="center" wrapText="1"/>
    </xf>
    <xf numFmtId="0" fontId="11" fillId="0" borderId="0" xfId="41" applyFont="1" applyBorder="1" applyAlignment="1">
      <alignment horizontal="center" vertical="center" wrapText="1"/>
    </xf>
    <xf numFmtId="0" fontId="11" fillId="0" borderId="100" xfId="41" applyFont="1" applyBorder="1" applyAlignment="1">
      <alignment horizontal="center" vertical="center" wrapText="1"/>
    </xf>
    <xf numFmtId="0" fontId="78" fillId="0" borderId="120" xfId="41" applyFont="1" applyBorder="1" applyAlignment="1">
      <alignment horizontal="center" vertical="center"/>
    </xf>
    <xf numFmtId="0" fontId="27" fillId="0" borderId="39" xfId="41" applyBorder="1" applyAlignment="1">
      <alignment horizontal="center"/>
    </xf>
    <xf numFmtId="0" fontId="27" fillId="0" borderId="16" xfId="41" applyBorder="1" applyAlignment="1">
      <alignment horizontal="center"/>
    </xf>
    <xf numFmtId="0" fontId="27" fillId="0" borderId="127" xfId="41" applyBorder="1" applyAlignment="1">
      <alignment horizontal="center"/>
    </xf>
    <xf numFmtId="0" fontId="27" fillId="0" borderId="81" xfId="41" applyBorder="1" applyAlignment="1">
      <alignment horizontal="center"/>
    </xf>
    <xf numFmtId="0" fontId="27" fillId="0" borderId="128" xfId="41" applyBorder="1" applyAlignment="1">
      <alignment horizontal="center"/>
    </xf>
    <xf numFmtId="0" fontId="108" fillId="0" borderId="78" xfId="37" applyNumberFormat="1" applyFont="1" applyBorder="1" applyAlignment="1">
      <alignment horizontal="center" vertical="center"/>
    </xf>
    <xf numFmtId="0" fontId="108" fillId="0" borderId="92" xfId="37" applyNumberFormat="1" applyFont="1" applyBorder="1" applyAlignment="1">
      <alignment horizontal="center" vertical="center"/>
    </xf>
    <xf numFmtId="0" fontId="108" fillId="0" borderId="19" xfId="37" applyNumberFormat="1" applyFont="1" applyBorder="1" applyAlignment="1">
      <alignment horizontal="center" vertical="center"/>
    </xf>
    <xf numFmtId="0" fontId="27" fillId="0" borderId="125" xfId="41" applyBorder="1" applyAlignment="1">
      <alignment horizontal="center" vertical="center"/>
    </xf>
    <xf numFmtId="0" fontId="11" fillId="0" borderId="39" xfId="41" applyFont="1" applyBorder="1" applyAlignment="1">
      <alignment horizontal="center" vertical="center"/>
    </xf>
    <xf numFmtId="0" fontId="11" fillId="0" borderId="75" xfId="41" applyFont="1" applyBorder="1" applyAlignment="1">
      <alignment horizontal="center" vertical="center"/>
    </xf>
    <xf numFmtId="0" fontId="11" fillId="0" borderId="82" xfId="41" applyFont="1" applyBorder="1" applyAlignment="1">
      <alignment horizontal="center" vertical="center"/>
    </xf>
    <xf numFmtId="0" fontId="13" fillId="0" borderId="126" xfId="41" applyFont="1" applyBorder="1" applyAlignment="1">
      <alignment horizontal="center"/>
    </xf>
    <xf numFmtId="0" fontId="79" fillId="0" borderId="19" xfId="41" applyFont="1" applyBorder="1" applyAlignment="1">
      <alignment horizontal="center" vertical="center"/>
    </xf>
    <xf numFmtId="0" fontId="79" fillId="0" borderId="76" xfId="41" applyFont="1" applyBorder="1" applyAlignment="1">
      <alignment horizontal="center" vertical="center"/>
    </xf>
    <xf numFmtId="0" fontId="79" fillId="0" borderId="75" xfId="41" applyFont="1" applyBorder="1" applyAlignment="1">
      <alignment horizontal="center" vertical="center"/>
    </xf>
    <xf numFmtId="0" fontId="79" fillId="0" borderId="123" xfId="41" applyFont="1" applyBorder="1" applyAlignment="1">
      <alignment horizontal="center" vertical="center"/>
    </xf>
    <xf numFmtId="0" fontId="78" fillId="0" borderId="24" xfId="41" applyFont="1" applyBorder="1" applyAlignment="1">
      <alignment horizontal="center" vertical="center"/>
    </xf>
    <xf numFmtId="0" fontId="108" fillId="0" borderId="98" xfId="37" applyNumberFormat="1" applyFont="1" applyBorder="1" applyAlignment="1">
      <alignment horizontal="center" vertical="center"/>
    </xf>
    <xf numFmtId="0" fontId="27" fillId="0" borderId="10" xfId="41" applyBorder="1" applyAlignment="1">
      <alignment horizontal="center"/>
    </xf>
    <xf numFmtId="0" fontId="27" fillId="0" borderId="31" xfId="41" applyBorder="1" applyAlignment="1">
      <alignment horizontal="center"/>
    </xf>
    <xf numFmtId="0" fontId="11" fillId="0" borderId="10" xfId="41" applyFont="1" applyBorder="1" applyAlignment="1">
      <alignment horizontal="center"/>
    </xf>
    <xf numFmtId="0" fontId="11" fillId="0" borderId="32" xfId="41" applyFont="1" applyBorder="1" applyAlignment="1">
      <alignment horizontal="center"/>
    </xf>
    <xf numFmtId="0" fontId="27" fillId="0" borderId="0" xfId="41" applyBorder="1" applyAlignment="1">
      <alignment horizontal="center"/>
    </xf>
    <xf numFmtId="0" fontId="27" fillId="0" borderId="100" xfId="41" applyBorder="1" applyAlignment="1">
      <alignment horizontal="center"/>
    </xf>
    <xf numFmtId="0" fontId="79" fillId="0" borderId="115" xfId="41" applyFont="1" applyBorder="1" applyAlignment="1">
      <alignment horizontal="center" vertical="center"/>
    </xf>
    <xf numFmtId="0" fontId="79" fillId="0" borderId="18" xfId="41" applyFont="1" applyBorder="1" applyAlignment="1">
      <alignment horizontal="center" vertical="center"/>
    </xf>
    <xf numFmtId="0" fontId="79" fillId="0" borderId="116" xfId="41" applyFont="1" applyBorder="1" applyAlignment="1">
      <alignment horizontal="center" vertical="center"/>
    </xf>
    <xf numFmtId="0" fontId="79" fillId="0" borderId="117" xfId="41" applyFont="1" applyBorder="1" applyAlignment="1">
      <alignment horizontal="center" vertical="center"/>
    </xf>
    <xf numFmtId="0" fontId="79" fillId="0" borderId="0" xfId="41" applyFont="1" applyBorder="1" applyAlignment="1">
      <alignment horizontal="center" vertical="center"/>
    </xf>
    <xf numFmtId="0" fontId="79" fillId="0" borderId="86" xfId="41" applyFont="1" applyBorder="1" applyAlignment="1">
      <alignment horizontal="center" vertical="center"/>
    </xf>
    <xf numFmtId="0" fontId="122" fillId="0" borderId="0" xfId="37" applyFont="1" applyAlignment="1">
      <alignment horizontal="center"/>
    </xf>
    <xf numFmtId="0" fontId="111" fillId="0" borderId="0" xfId="37" applyFont="1" applyAlignment="1">
      <alignment horizontal="center"/>
    </xf>
    <xf numFmtId="0" fontId="111" fillId="0" borderId="0" xfId="37" applyFont="1" applyAlignment="1">
      <alignment horizontal="left"/>
    </xf>
    <xf numFmtId="0" fontId="11" fillId="0" borderId="0" xfId="36" applyFont="1" applyAlignment="1"/>
    <xf numFmtId="0" fontId="74" fillId="0" borderId="0" xfId="36" applyFont="1" applyBorder="1" applyAlignment="1">
      <alignment horizontal="center"/>
    </xf>
    <xf numFmtId="0" fontId="12" fillId="0" borderId="0" xfId="36" applyFont="1" applyBorder="1" applyAlignment="1">
      <alignment horizontal="center" vertical="center"/>
    </xf>
    <xf numFmtId="0" fontId="10" fillId="0" borderId="0" xfId="36" applyFont="1" applyAlignment="1"/>
    <xf numFmtId="0" fontId="26" fillId="0" borderId="0" xfId="36" applyFont="1" applyAlignment="1">
      <alignment horizontal="center" vertical="center"/>
    </xf>
    <xf numFmtId="0" fontId="26" fillId="0" borderId="0" xfId="36" applyFont="1" applyAlignment="1">
      <alignment horizontal="center"/>
    </xf>
    <xf numFmtId="0" fontId="11" fillId="0" borderId="0" xfId="36" applyFont="1" applyBorder="1" applyAlignment="1">
      <alignment horizontal="right" vertical="center"/>
    </xf>
    <xf numFmtId="0" fontId="63" fillId="0" borderId="0" xfId="40" applyFont="1" applyBorder="1" applyAlignment="1">
      <alignment horizontal="center" vertical="center"/>
    </xf>
    <xf numFmtId="0" fontId="27" fillId="0" borderId="0" xfId="40" applyBorder="1" applyAlignment="1">
      <alignment vertical="center"/>
    </xf>
    <xf numFmtId="0" fontId="63" fillId="0" borderId="13" xfId="40" applyFont="1" applyBorder="1" applyAlignment="1">
      <alignment horizontal="center" vertical="center"/>
    </xf>
    <xf numFmtId="0" fontId="27" fillId="0" borderId="13" xfId="40" applyBorder="1" applyAlignment="1">
      <alignment vertical="center"/>
    </xf>
    <xf numFmtId="0" fontId="11" fillId="0" borderId="0" xfId="36" applyFont="1" applyBorder="1" applyAlignment="1">
      <alignment horizontal="center" vertical="center" textRotation="90"/>
    </xf>
    <xf numFmtId="0" fontId="100" fillId="29" borderId="0" xfId="0" applyFont="1" applyFill="1" applyAlignment="1">
      <alignment horizontal="center"/>
    </xf>
    <xf numFmtId="0" fontId="100" fillId="29" borderId="131" xfId="0" applyFont="1" applyFill="1" applyBorder="1" applyAlignment="1">
      <alignment horizontal="center"/>
    </xf>
    <xf numFmtId="0" fontId="100" fillId="29" borderId="0" xfId="0" applyFont="1" applyFill="1" applyAlignment="1">
      <alignment horizontal="right"/>
    </xf>
    <xf numFmtId="0" fontId="100" fillId="29" borderId="0" xfId="0" applyFont="1" applyFill="1" applyAlignment="1">
      <alignment horizontal="left"/>
    </xf>
    <xf numFmtId="0" fontId="78" fillId="29" borderId="131" xfId="0" applyFont="1" applyFill="1" applyBorder="1" applyAlignment="1">
      <alignment horizontal="left"/>
    </xf>
    <xf numFmtId="49" fontId="100" fillId="29" borderId="0" xfId="0" applyNumberFormat="1" applyFont="1" applyFill="1"/>
    <xf numFmtId="0" fontId="78" fillId="29" borderId="131" xfId="0" applyFont="1" applyFill="1" applyBorder="1"/>
    <xf numFmtId="0" fontId="78" fillId="29" borderId="0" xfId="0" applyFont="1" applyFill="1"/>
    <xf numFmtId="0" fontId="78" fillId="29" borderId="10" xfId="0" applyFont="1" applyFill="1" applyBorder="1"/>
    <xf numFmtId="0" fontId="78" fillId="29" borderId="132" xfId="0" applyFont="1" applyFill="1" applyBorder="1"/>
    <xf numFmtId="0" fontId="78" fillId="29" borderId="0" xfId="0" applyFont="1" applyFill="1" applyAlignment="1">
      <alignment horizontal="center"/>
    </xf>
    <xf numFmtId="0" fontId="78" fillId="29" borderId="13" xfId="0" applyFont="1" applyFill="1" applyBorder="1"/>
    <xf numFmtId="0" fontId="78" fillId="29" borderId="133" xfId="0" applyFont="1" applyFill="1" applyBorder="1"/>
    <xf numFmtId="0" fontId="78" fillId="29" borderId="134" xfId="0" applyFont="1" applyFill="1" applyBorder="1"/>
    <xf numFmtId="0" fontId="1" fillId="0" borderId="29" xfId="37" applyFont="1" applyBorder="1" applyAlignment="1">
      <alignment vertical="center"/>
    </xf>
    <xf numFmtId="0" fontId="1" fillId="0" borderId="33" xfId="37" applyFont="1" applyBorder="1" applyAlignment="1">
      <alignment vertical="center"/>
    </xf>
    <xf numFmtId="0" fontId="1" fillId="0" borderId="34" xfId="37" applyFont="1" applyBorder="1" applyAlignment="1">
      <alignment vertical="center"/>
    </xf>
    <xf numFmtId="0" fontId="1" fillId="0" borderId="14" xfId="37" applyFont="1" applyBorder="1" applyAlignment="1">
      <alignment horizontal="left" vertical="center"/>
    </xf>
  </cellXfs>
  <cellStyles count="51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2" xfId="36"/>
    <cellStyle name="Обычный 3" xfId="37"/>
    <cellStyle name="Обычный 3 2" xfId="38"/>
    <cellStyle name="Обычный 3 3 2 3 2" xfId="50"/>
    <cellStyle name="Обычный 4" xfId="39"/>
    <cellStyle name="Обычный_заготовка на 32" xfId="40"/>
    <cellStyle name="Обычный_Книга1" xfId="41"/>
    <cellStyle name="Обычный_Лист1" xfId="42"/>
    <cellStyle name="Плохой" xfId="43" builtinId="27" customBuiltin="1"/>
    <cellStyle name="Пояснение" xfId="44" builtinId="53" customBuiltin="1"/>
    <cellStyle name="Примечание" xfId="45" builtinId="10" customBuiltin="1"/>
    <cellStyle name="Связанная ячейка" xfId="46" builtinId="24" customBuiltin="1"/>
    <cellStyle name="Стиль 1" xfId="47"/>
    <cellStyle name="Текст предупреждения" xfId="48" builtinId="11" customBuiltin="1"/>
    <cellStyle name="Хороший" xfId="49" builtinId="26" customBuiltin="1"/>
  </cellStyles>
  <dxfs count="109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C00000"/>
        </patternFill>
      </fill>
    </dxf>
    <dxf>
      <fill>
        <gradientFill degree="90">
          <stop position="0">
            <color theme="0"/>
          </stop>
          <stop position="1">
            <color theme="1" tint="0.34900967436750391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C00000"/>
        </patternFill>
      </fill>
    </dxf>
    <dxf>
      <fill>
        <gradientFill degree="90">
          <stop position="0">
            <color theme="0"/>
          </stop>
          <stop position="1">
            <color theme="1" tint="0.34900967436750391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C00000"/>
        </patternFill>
      </fill>
    </dxf>
    <dxf>
      <fill>
        <gradientFill degree="90">
          <stop position="0">
            <color theme="0"/>
          </stop>
          <stop position="1">
            <color theme="1" tint="0.34900967436750391"/>
          </stop>
        </gradientFill>
      </fill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C00000"/>
        </patternFill>
      </fill>
    </dxf>
    <dxf>
      <fill>
        <gradientFill degree="90">
          <stop position="0">
            <color theme="0"/>
          </stop>
          <stop position="1">
            <color theme="1" tint="0.34900967436750391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C00000"/>
        </patternFill>
      </fill>
    </dxf>
    <dxf>
      <fill>
        <gradientFill degree="90">
          <stop position="0">
            <color theme="0"/>
          </stop>
          <stop position="1">
            <color theme="1" tint="0.34900967436750391"/>
          </stop>
        </gradientFill>
      </fill>
    </dxf>
  </dxfs>
  <tableStyles count="0" defaultTableStyle="TableStyleMedium9" defaultPivotStyle="PivotStyleLight16"/>
  <colors>
    <mruColors>
      <color rgb="FFFF684F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FINK\Lokale%20Einstellungen\Temporary%20Internet%20Files\OLK28\Final%20Entires\G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2;&#1086;&#1080;%20&#1076;&#1086;&#1082;&#1091;&#1084;&#1077;&#1085;&#1090;&#1099;\&#1057;&#1086;&#1088;&#1077;&#1074;&#1085;&#1086;&#1074;&#1072;&#1085;&#1080;&#1103;\&#1057;&#1086;&#1088;&#1077;&#1074;&#1085;&#1086;&#1074;&#1072;&#1085;&#1080;&#1103;%20&#1086;&#1092;&#1086;&#1088;&#1084;&#1083;&#1077;&#1085;&#1085;&#1099;&#1077;\&#1056;&#1086;&#1089;&#1089;&#1080;&#1081;&#1089;&#1082;&#1080;&#1077;\&#1058;&#1072;&#1073;&#1083;&#1080;&#1094;&#1099;\2011%20&#1075;\&#1053;&#1072;&#1076;%20&#1056;&#1086;&#1089;&#1089;&#1080;&#1080;%202001%20(13)\&#1053;&#1040;&#1044;%20&#1056;&#1086;&#1089;&#1089;&#1080;&#1080;%202001\&#1053;&#1072;&#1076;%20&#1056;&#1086;&#1089;&#1089;&#1080;&#1080;%202001%20&#1102;&#108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&#1057;&#1087;&#1080;&#1089;&#1082;&#1080;%20&#1091;&#1095;&#1072;&#1089;&#1090;&#1085;&#1080;&#1082;&#1086;&#1074;%20&#1054;&#1052;,%20&#1054;&#1046;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2;&#1045;&#1057;\&#1052;&#1086;&#1080;%20&#1076;&#1086;&#1082;&#1091;&#1084;&#1077;&#1085;&#1090;&#1099;\&#1057;&#1086;&#1088;&#1077;&#1074;&#1085;&#1086;&#1074;&#1072;&#1085;&#1080;&#1103;\&#1057;&#1086;&#1088;&#1077;&#1074;&#1085;&#1086;&#1074;&#1072;&#1085;&#1080;&#1103;%20&#1086;&#1092;&#1086;&#1088;&#1084;&#1083;&#1077;&#1085;&#1085;&#1099;&#1077;\&#1056;&#1086;&#1089;&#1089;&#1080;&#1081;&#1089;&#1082;&#1080;&#1077;\&#1058;&#1072;&#1073;&#1083;&#1080;&#1094;&#1099;\2010%20&#1075;\&#1053;&#1072;&#1076;%20&#1056;&#1086;&#1089;&#1089;&#1080;&#1080;%201997\&#1053;&#1072;&#1076;&#1077;&#1078;&#1076;&#1099;%20&#1056;&#1086;&#1089;&#1089;&#1080;&#1080;%201997%20&#1084;&#1072;&#1083;&#1100;&#109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knüpfungen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 участников ОМ, ОЖ"/>
      <sheetName val="Группы юн 1"/>
      <sheetName val="Группы юн на 8 (9-12) "/>
      <sheetName val="Группы дев на 8 (1-4)"/>
      <sheetName val="Группы дев на 8 (5-8)"/>
      <sheetName val="Протокол 1 ф"/>
      <sheetName val="1_Финал-дев"/>
      <sheetName val="2_Финал-дев"/>
      <sheetName val="3 финал юн"/>
      <sheetName val="Списки участников по алф"/>
      <sheetName val="группа-1"/>
      <sheetName val="группа-2"/>
      <sheetName val="группа-3"/>
      <sheetName val="группа-4"/>
      <sheetName val="группа-5"/>
      <sheetName val="Группы юн 5-6"/>
      <sheetName val="группа-6"/>
      <sheetName val="группа-7"/>
      <sheetName val="группа-8"/>
      <sheetName val="1-Финал"/>
      <sheetName val="2-Финал"/>
      <sheetName val="3-Финал"/>
      <sheetName val="4-Финал "/>
      <sheetName val="4-Финал"/>
      <sheetName val="5-финал"/>
      <sheetName val="ОФП и СФП"/>
      <sheetName val="R-Жен"/>
      <sheetName val="1_Финал-юн"/>
      <sheetName val="Протокол финал"/>
      <sheetName val="Места в группе"/>
      <sheetName val="Лист1"/>
      <sheetName val="св.прот юн 1ф"/>
      <sheetName val="Бегунки 1Ф"/>
      <sheetName val="св.прот юн 2ф"/>
      <sheetName val="Бегунки 2Ф"/>
      <sheetName val="св.прот юн 3ф"/>
      <sheetName val="Бегунки 3Ф"/>
      <sheetName val="св.прот юн 4ф"/>
      <sheetName val="Бегунки 4Ф"/>
      <sheetName val="1 ф Протокол (-2) "/>
      <sheetName val="R-Муж"/>
      <sheetName val="Порядок встреч"/>
    </sheetNames>
    <sheetDataSet>
      <sheetData sheetId="0">
        <row r="1">
          <cell r="A1" t="str">
            <v xml:space="preserve">Всероссийские соревнования по настольному теннису "Надежды России"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Списки участников ОМ, ОЖ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 участников ОМ, ОЖ"/>
      <sheetName val="Списки участников  по алф"/>
      <sheetName val="Группы юн на 8 (1-4)"/>
      <sheetName val="Группы юн на 8 (5-8)"/>
      <sheetName val="Группы юн на 8 (9-12) "/>
      <sheetName val="Группы дев на 8 (1-4)"/>
      <sheetName val="Группы дев на 8 (5-8)"/>
      <sheetName val="Протокол 1 ф"/>
      <sheetName val="1_Финал-дев"/>
      <sheetName val="2_Финал-дев"/>
      <sheetName val="3 финал юн"/>
      <sheetName val="1-Финал А"/>
      <sheetName val="2-Финал А"/>
      <sheetName val="3-Финал А"/>
      <sheetName val="4-финал А"/>
      <sheetName val="Финал B"/>
      <sheetName val="Протокол юн 1 Ф"/>
      <sheetName val="Бегунки "/>
      <sheetName val="Протокол юн 2 Ф "/>
      <sheetName val="Протокол юн 3 Ф "/>
      <sheetName val="R-Муж"/>
      <sheetName val="R-Жен"/>
      <sheetName val="ОФП и СФП"/>
      <sheetName val="Места в группе"/>
      <sheetName val="Лист1"/>
      <sheetName val="Лист2"/>
    </sheetNames>
    <sheetDataSet>
      <sheetData sheetId="0" refreshError="1">
        <row r="1">
          <cell r="A1" t="str">
            <v>Всероссийский турнир "Надежды России"</v>
          </cell>
        </row>
        <row r="2">
          <cell r="A2" t="str">
            <v>среди юношей и девушек 1997 г.р. и моложе</v>
          </cell>
        </row>
        <row r="4">
          <cell r="B4" t="str">
            <v>ЛИЧНЫЕ СОРЕВНОВАНИЯ.ЮНОШИ.</v>
          </cell>
        </row>
        <row r="5">
          <cell r="A5" t="str">
            <v xml:space="preserve">С П И С О К   У Ч А С Т Н И К О В. </v>
          </cell>
        </row>
        <row r="6">
          <cell r="C6" t="str">
            <v>2-5 июня 2010 г.</v>
          </cell>
          <cell r="I6" t="str">
            <v>г. Кстово</v>
          </cell>
        </row>
        <row r="8">
          <cell r="B8" t="str">
            <v>№</v>
          </cell>
          <cell r="C8" t="str">
            <v>Фамилия, Имя</v>
          </cell>
          <cell r="D8" t="str">
            <v>Дата рождения</v>
          </cell>
          <cell r="E8" t="str">
            <v>Рейтинг</v>
          </cell>
          <cell r="F8" t="str">
            <v>Город</v>
          </cell>
          <cell r="H8" t="str">
            <v>Разряд</v>
          </cell>
          <cell r="I8" t="str">
            <v>Тренер</v>
          </cell>
        </row>
        <row r="9">
          <cell r="A9">
            <v>2</v>
          </cell>
          <cell r="B9" t="str">
            <v>1</v>
          </cell>
          <cell r="C9" t="str">
            <v>ТРАВИН Даниил</v>
          </cell>
          <cell r="D9" t="str">
            <v>22.10.1997</v>
          </cell>
          <cell r="E9">
            <v>366</v>
          </cell>
          <cell r="F9" t="str">
            <v>Н.Новгород</v>
          </cell>
          <cell r="H9" t="str">
            <v>2-р</v>
          </cell>
          <cell r="I9" t="str">
            <v>Бахтияров Ф.Н., Виноградова О.М.</v>
          </cell>
          <cell r="J9" t="str">
            <v>ТРАВИН</v>
          </cell>
          <cell r="K9" t="str">
            <v>Д</v>
          </cell>
          <cell r="L9" t="str">
            <v>ТРАВИН Д.</v>
          </cell>
        </row>
        <row r="10">
          <cell r="A10">
            <v>1</v>
          </cell>
          <cell r="B10" t="str">
            <v>2</v>
          </cell>
          <cell r="C10" t="str">
            <v>ТИХОНОВ Богдан</v>
          </cell>
          <cell r="D10" t="str">
            <v>10.05.1997</v>
          </cell>
          <cell r="E10">
            <v>395</v>
          </cell>
          <cell r="F10" t="str">
            <v>Н.Новгород</v>
          </cell>
          <cell r="H10" t="str">
            <v>2-р</v>
          </cell>
          <cell r="I10" t="str">
            <v>Бахтияров Ф.Н., Виноградова О.М.</v>
          </cell>
          <cell r="J10" t="str">
            <v>ТИХОНОВ</v>
          </cell>
          <cell r="K10" t="str">
            <v>Б</v>
          </cell>
          <cell r="L10" t="str">
            <v>ТИХОНОВ Б.</v>
          </cell>
        </row>
        <row r="11">
          <cell r="A11">
            <v>11</v>
          </cell>
          <cell r="B11" t="str">
            <v>3</v>
          </cell>
          <cell r="C11" t="str">
            <v>КУКЛИН Максим</v>
          </cell>
          <cell r="D11" t="str">
            <v>17.01.1997</v>
          </cell>
          <cell r="E11">
            <v>238</v>
          </cell>
          <cell r="F11" t="str">
            <v>Новый-Торьял  Марий-Эл</v>
          </cell>
          <cell r="H11" t="str">
            <v>3-р</v>
          </cell>
          <cell r="I11" t="str">
            <v>Егошин А.М.</v>
          </cell>
          <cell r="J11" t="str">
            <v>КУКЛИН</v>
          </cell>
          <cell r="K11" t="str">
            <v>М</v>
          </cell>
          <cell r="L11" t="str">
            <v>КУКЛИН М.</v>
          </cell>
        </row>
        <row r="12">
          <cell r="A12">
            <v>6</v>
          </cell>
          <cell r="B12" t="str">
            <v>4</v>
          </cell>
          <cell r="C12" t="str">
            <v>ПАТРУШЕВ Илья</v>
          </cell>
          <cell r="D12" t="str">
            <v>17.10.1997</v>
          </cell>
          <cell r="E12">
            <v>255</v>
          </cell>
          <cell r="F12" t="str">
            <v>Новый-Торьял  Марий-Эл</v>
          </cell>
          <cell r="H12" t="str">
            <v>3-р</v>
          </cell>
          <cell r="I12" t="str">
            <v>Егошин А.М.</v>
          </cell>
          <cell r="J12" t="str">
            <v>ПАТРУШЕВ</v>
          </cell>
          <cell r="K12" t="str">
            <v>И</v>
          </cell>
          <cell r="L12" t="str">
            <v>ПАТРУШЕВ И.</v>
          </cell>
        </row>
        <row r="13">
          <cell r="A13">
            <v>7</v>
          </cell>
          <cell r="B13" t="str">
            <v>5</v>
          </cell>
          <cell r="C13" t="str">
            <v>ЕФИМОВ Михаил</v>
          </cell>
          <cell r="D13" t="str">
            <v>11.11.1997</v>
          </cell>
          <cell r="E13">
            <v>249</v>
          </cell>
          <cell r="F13" t="str">
            <v>Киров</v>
          </cell>
          <cell r="H13" t="str">
            <v>1-р</v>
          </cell>
          <cell r="I13" t="str">
            <v>Мочалов В.А.</v>
          </cell>
          <cell r="J13" t="str">
            <v>ЕФИМОВ</v>
          </cell>
          <cell r="K13" t="str">
            <v>М</v>
          </cell>
          <cell r="L13" t="str">
            <v>ЕФИМОВ М.</v>
          </cell>
        </row>
        <row r="14">
          <cell r="A14">
            <v>10</v>
          </cell>
          <cell r="B14" t="str">
            <v>6</v>
          </cell>
          <cell r="C14" t="str">
            <v>СТЕПАНОВ Иван</v>
          </cell>
          <cell r="D14" t="str">
            <v>07.07.1998</v>
          </cell>
          <cell r="E14">
            <v>241</v>
          </cell>
          <cell r="F14" t="str">
            <v>Н.Новгород</v>
          </cell>
          <cell r="H14" t="str">
            <v>2-р</v>
          </cell>
          <cell r="I14" t="str">
            <v>Баранов В.В., Ястребцев Д.А., Ремизов В.Н.</v>
          </cell>
          <cell r="J14" t="str">
            <v>СТЕПАНОВ</v>
          </cell>
          <cell r="K14" t="str">
            <v>И</v>
          </cell>
          <cell r="L14" t="str">
            <v>СТЕПАНОВ И.</v>
          </cell>
        </row>
        <row r="15">
          <cell r="A15">
            <v>9</v>
          </cell>
          <cell r="B15" t="str">
            <v>7</v>
          </cell>
          <cell r="C15" t="str">
            <v>СЕДЫХ Андрей</v>
          </cell>
          <cell r="D15" t="str">
            <v>13.12.1998</v>
          </cell>
          <cell r="E15">
            <v>246</v>
          </cell>
          <cell r="F15" t="str">
            <v>Новый-Торьял  Марий-Эл</v>
          </cell>
          <cell r="H15" t="str">
            <v>3-р</v>
          </cell>
          <cell r="I15" t="str">
            <v>Егошин А.М.</v>
          </cell>
          <cell r="J15" t="str">
            <v>СЕДЫХ</v>
          </cell>
          <cell r="K15" t="str">
            <v>А</v>
          </cell>
          <cell r="L15" t="str">
            <v>СЕДЫХ А.</v>
          </cell>
        </row>
        <row r="16">
          <cell r="A16">
            <v>3</v>
          </cell>
          <cell r="B16" t="str">
            <v>8</v>
          </cell>
          <cell r="C16" t="str">
            <v>КИСЕЛЕВ Максим</v>
          </cell>
          <cell r="D16" t="str">
            <v>05.12.1998</v>
          </cell>
          <cell r="E16">
            <v>319</v>
          </cell>
          <cell r="F16" t="str">
            <v>Липецк</v>
          </cell>
          <cell r="H16" t="str">
            <v>1-ю</v>
          </cell>
          <cell r="I16" t="str">
            <v>Власов Ю.В.</v>
          </cell>
          <cell r="J16" t="str">
            <v>КИСЕЛЕВ</v>
          </cell>
          <cell r="K16" t="str">
            <v>М</v>
          </cell>
          <cell r="L16" t="str">
            <v>КИСЕЛЕВ М.</v>
          </cell>
        </row>
        <row r="17">
          <cell r="A17">
            <v>15</v>
          </cell>
          <cell r="B17" t="str">
            <v>9</v>
          </cell>
          <cell r="C17" t="str">
            <v>ЕСЮНИН Денис</v>
          </cell>
          <cell r="D17" t="str">
            <v>30.04.1998</v>
          </cell>
          <cell r="E17">
            <v>216</v>
          </cell>
          <cell r="F17" t="str">
            <v>Н.Новгород</v>
          </cell>
          <cell r="H17" t="str">
            <v>2-р</v>
          </cell>
          <cell r="I17" t="str">
            <v>Бахтияров Ф.Н., Виноградова О.М.</v>
          </cell>
          <cell r="J17" t="str">
            <v>ЕСЮНИН</v>
          </cell>
          <cell r="K17" t="str">
            <v>Д</v>
          </cell>
          <cell r="L17" t="str">
            <v>ЕСЮНИН Д.</v>
          </cell>
        </row>
        <row r="18">
          <cell r="A18">
            <v>4</v>
          </cell>
          <cell r="B18" t="str">
            <v>10</v>
          </cell>
          <cell r="C18" t="str">
            <v>МАКЕЕВ Александр</v>
          </cell>
          <cell r="D18" t="str">
            <v>21.11.1998</v>
          </cell>
          <cell r="E18">
            <v>283</v>
          </cell>
          <cell r="F18" t="str">
            <v>Дзержинск</v>
          </cell>
          <cell r="H18" t="str">
            <v>2-р</v>
          </cell>
          <cell r="I18" t="str">
            <v>Пивкина С.И.</v>
          </cell>
          <cell r="J18" t="str">
            <v>МАКЕЕВ</v>
          </cell>
          <cell r="K18" t="str">
            <v>А</v>
          </cell>
          <cell r="L18" t="str">
            <v>МАКЕЕВ А.</v>
          </cell>
        </row>
        <row r="19">
          <cell r="A19">
            <v>17</v>
          </cell>
          <cell r="B19" t="str">
            <v>11</v>
          </cell>
          <cell r="C19" t="str">
            <v>ПОВАЛЬЧУК Юрий</v>
          </cell>
          <cell r="D19" t="str">
            <v>23.01.1997</v>
          </cell>
          <cell r="E19">
            <v>204</v>
          </cell>
          <cell r="F19" t="str">
            <v>Киров</v>
          </cell>
          <cell r="H19" t="str">
            <v>1-р</v>
          </cell>
          <cell r="I19" t="str">
            <v>Зыкин П.Н.</v>
          </cell>
          <cell r="J19" t="str">
            <v>ПОВАЛЬЧУК</v>
          </cell>
          <cell r="K19" t="str">
            <v>Ю</v>
          </cell>
          <cell r="L19" t="str">
            <v>ПОВАЛЬЧУК Ю.</v>
          </cell>
        </row>
        <row r="20">
          <cell r="A20">
            <v>13</v>
          </cell>
          <cell r="B20" t="str">
            <v>12</v>
          </cell>
          <cell r="C20" t="str">
            <v>СИНИЦЫН Антон</v>
          </cell>
          <cell r="D20" t="str">
            <v>27.01.1997</v>
          </cell>
          <cell r="E20">
            <v>225</v>
          </cell>
          <cell r="F20" t="str">
            <v>Ярославль</v>
          </cell>
          <cell r="H20" t="str">
            <v>1-р</v>
          </cell>
          <cell r="I20" t="str">
            <v>Майоров М.В.</v>
          </cell>
          <cell r="J20" t="str">
            <v>СИНИЦЫН</v>
          </cell>
          <cell r="K20" t="str">
            <v>А</v>
          </cell>
          <cell r="L20" t="str">
            <v>СИНИЦЫН А.</v>
          </cell>
        </row>
        <row r="21">
          <cell r="A21">
            <v>12</v>
          </cell>
          <cell r="B21" t="str">
            <v>13</v>
          </cell>
          <cell r="C21" t="str">
            <v>СЕМИН Артем</v>
          </cell>
          <cell r="D21" t="str">
            <v>11.06.1998</v>
          </cell>
          <cell r="E21">
            <v>231</v>
          </cell>
          <cell r="F21" t="str">
            <v>Балабаново  Калуж.о.</v>
          </cell>
          <cell r="H21" t="str">
            <v>3-р</v>
          </cell>
          <cell r="I21" t="str">
            <v>Овчинникова Ю.В.</v>
          </cell>
          <cell r="J21" t="str">
            <v>СЕМИН</v>
          </cell>
          <cell r="K21" t="str">
            <v>А</v>
          </cell>
          <cell r="L21" t="str">
            <v>СЕМИН А.</v>
          </cell>
        </row>
        <row r="22">
          <cell r="A22">
            <v>5</v>
          </cell>
          <cell r="B22" t="str">
            <v>14</v>
          </cell>
          <cell r="C22" t="str">
            <v>БЕСШАПОШНИКОВ Андрей</v>
          </cell>
          <cell r="D22" t="str">
            <v>01.09.1998</v>
          </cell>
          <cell r="E22">
            <v>260</v>
          </cell>
          <cell r="F22" t="str">
            <v>Иваново</v>
          </cell>
          <cell r="H22" t="str">
            <v>1-р</v>
          </cell>
          <cell r="I22" t="str">
            <v>Батунова В.А., Захарук Р.В.</v>
          </cell>
          <cell r="J22" t="str">
            <v>БЕСШАПОШНИКОВ</v>
          </cell>
          <cell r="K22" t="str">
            <v>А</v>
          </cell>
          <cell r="L22" t="str">
            <v>БЕСШАПОШНИКОВ А.</v>
          </cell>
        </row>
        <row r="23">
          <cell r="A23">
            <v>8</v>
          </cell>
          <cell r="B23" t="str">
            <v>15</v>
          </cell>
          <cell r="C23" t="str">
            <v>ЕСЮНИН Максим</v>
          </cell>
          <cell r="D23" t="str">
            <v>30.04.1998</v>
          </cell>
          <cell r="E23">
            <v>246</v>
          </cell>
          <cell r="F23" t="str">
            <v>Н.Новгород</v>
          </cell>
          <cell r="H23" t="str">
            <v>2-р</v>
          </cell>
          <cell r="I23" t="str">
            <v>Бахтияров Ф.Н., Виноградова О.М.</v>
          </cell>
          <cell r="J23" t="str">
            <v>ЕСЮНИН</v>
          </cell>
          <cell r="K23" t="str">
            <v>М</v>
          </cell>
          <cell r="L23" t="str">
            <v>ЕСЮНИН М.</v>
          </cell>
        </row>
        <row r="24">
          <cell r="A24">
            <v>34</v>
          </cell>
          <cell r="B24" t="str">
            <v>16</v>
          </cell>
          <cell r="C24" t="str">
            <v>РУБАНЦЕВ Даниил</v>
          </cell>
          <cell r="D24" t="str">
            <v>01.03.1997</v>
          </cell>
          <cell r="E24">
            <v>151</v>
          </cell>
          <cell r="F24" t="str">
            <v>Н.Новгород</v>
          </cell>
          <cell r="H24" t="str">
            <v>3-р</v>
          </cell>
          <cell r="I24" t="str">
            <v>Перевезенцев М.В.</v>
          </cell>
          <cell r="J24" t="str">
            <v>РУБАНЦЕВ</v>
          </cell>
          <cell r="K24" t="str">
            <v>Д</v>
          </cell>
          <cell r="L24" t="str">
            <v>РУБАНЦЕВ Д.</v>
          </cell>
        </row>
        <row r="25">
          <cell r="A25">
            <v>16</v>
          </cell>
          <cell r="B25" t="str">
            <v>17</v>
          </cell>
          <cell r="C25" t="str">
            <v>САМСОНОВ Владислав</v>
          </cell>
          <cell r="D25" t="str">
            <v>25.08.1997</v>
          </cell>
          <cell r="E25">
            <v>209</v>
          </cell>
          <cell r="F25" t="str">
            <v>Казань</v>
          </cell>
          <cell r="H25" t="str">
            <v>2-р</v>
          </cell>
          <cell r="I25" t="str">
            <v>Тагиров М.Ч.</v>
          </cell>
          <cell r="J25" t="str">
            <v>САМСОНОВ</v>
          </cell>
          <cell r="K25" t="str">
            <v>В</v>
          </cell>
          <cell r="L25" t="str">
            <v>САМСОНОВ В.</v>
          </cell>
        </row>
        <row r="26">
          <cell r="A26">
            <v>32</v>
          </cell>
          <cell r="B26" t="str">
            <v>18</v>
          </cell>
          <cell r="C26" t="str">
            <v>ОСЕТРИН Александр</v>
          </cell>
          <cell r="D26" t="str">
            <v>04.09.1999</v>
          </cell>
          <cell r="E26">
            <v>154</v>
          </cell>
          <cell r="F26" t="str">
            <v>Казань</v>
          </cell>
          <cell r="H26" t="str">
            <v>1-ю</v>
          </cell>
          <cell r="I26" t="str">
            <v>Александров А.В.</v>
          </cell>
          <cell r="J26" t="str">
            <v>ОСЕТРИН</v>
          </cell>
          <cell r="K26" t="str">
            <v>А</v>
          </cell>
          <cell r="L26" t="str">
            <v>ОСЕТРИН А.</v>
          </cell>
        </row>
        <row r="27">
          <cell r="A27">
            <v>22</v>
          </cell>
          <cell r="B27" t="str">
            <v>19</v>
          </cell>
          <cell r="C27" t="str">
            <v>ТРУШКОВ Иван</v>
          </cell>
          <cell r="D27" t="str">
            <v>07.07.1998</v>
          </cell>
          <cell r="E27">
            <v>181</v>
          </cell>
          <cell r="F27" t="str">
            <v>Новый-Торьял  Марий-Эл</v>
          </cell>
          <cell r="H27" t="str">
            <v>1-ю</v>
          </cell>
          <cell r="I27" t="str">
            <v>Егошин А.М.</v>
          </cell>
          <cell r="J27" t="str">
            <v>ТРУШКОВ</v>
          </cell>
          <cell r="K27" t="str">
            <v>И</v>
          </cell>
          <cell r="L27" t="str">
            <v>ТРУШКОВ И.</v>
          </cell>
        </row>
        <row r="28">
          <cell r="A28">
            <v>20</v>
          </cell>
          <cell r="B28" t="str">
            <v>20</v>
          </cell>
          <cell r="C28" t="str">
            <v>ЛОПАТНИКОВ Илья</v>
          </cell>
          <cell r="D28" t="str">
            <v>02.09.1998</v>
          </cell>
          <cell r="E28">
            <v>189</v>
          </cell>
          <cell r="F28" t="str">
            <v>Богородск  Ниж.о.</v>
          </cell>
          <cell r="H28" t="str">
            <v>1-ю</v>
          </cell>
          <cell r="I28" t="str">
            <v>Ручкин Е.М.,Перевезенцев М.В.</v>
          </cell>
          <cell r="J28" t="str">
            <v>ЛОПАТНИКОВ</v>
          </cell>
          <cell r="K28" t="str">
            <v>И</v>
          </cell>
          <cell r="L28" t="str">
            <v>ЛОПАТНИКОВ И.</v>
          </cell>
        </row>
        <row r="29">
          <cell r="A29">
            <v>21</v>
          </cell>
          <cell r="B29" t="str">
            <v>21</v>
          </cell>
          <cell r="C29" t="str">
            <v>ГОСТЕВ Сергей</v>
          </cell>
          <cell r="D29" t="str">
            <v>30.05.1998</v>
          </cell>
          <cell r="E29">
            <v>188</v>
          </cell>
          <cell r="F29" t="str">
            <v>Липецк</v>
          </cell>
          <cell r="H29" t="str">
            <v>1-ю</v>
          </cell>
          <cell r="I29" t="str">
            <v>Власов Ю.В., Гостев А.В.</v>
          </cell>
          <cell r="J29" t="str">
            <v>ГОСТЕВ</v>
          </cell>
          <cell r="K29" t="str">
            <v>С</v>
          </cell>
          <cell r="L29" t="str">
            <v>ГОСТЕВ С.</v>
          </cell>
        </row>
        <row r="30">
          <cell r="A30">
            <v>23</v>
          </cell>
          <cell r="B30" t="str">
            <v>22</v>
          </cell>
          <cell r="C30" t="str">
            <v>ДМИТРИЕВ Артемий</v>
          </cell>
          <cell r="D30" t="str">
            <v>31.10.1999</v>
          </cell>
          <cell r="E30">
            <v>174</v>
          </cell>
          <cell r="F30" t="str">
            <v>Н.Новгород</v>
          </cell>
          <cell r="H30" t="str">
            <v>3-р</v>
          </cell>
          <cell r="I30" t="str">
            <v>Баранов В.В., Ястребцев Д.А., Ремизов В.Н.</v>
          </cell>
          <cell r="J30" t="str">
            <v>ДМИТРИЕВ</v>
          </cell>
          <cell r="K30" t="str">
            <v>А</v>
          </cell>
          <cell r="L30" t="str">
            <v>ДМИТРИЕВ А.</v>
          </cell>
        </row>
        <row r="31">
          <cell r="A31">
            <v>26</v>
          </cell>
          <cell r="B31" t="str">
            <v>23</v>
          </cell>
          <cell r="C31" t="str">
            <v>АБРАМОВ Кирилл</v>
          </cell>
          <cell r="D31" t="str">
            <v>16.06.1997</v>
          </cell>
          <cell r="E31">
            <v>171</v>
          </cell>
          <cell r="F31" t="str">
            <v>Липецк</v>
          </cell>
          <cell r="H31" t="str">
            <v>1-ю</v>
          </cell>
          <cell r="I31" t="str">
            <v>Власов Ю.В.</v>
          </cell>
          <cell r="J31" t="str">
            <v>АБРАМОВ</v>
          </cell>
          <cell r="K31" t="str">
            <v>К</v>
          </cell>
          <cell r="L31" t="str">
            <v>АБРАМОВ К.</v>
          </cell>
        </row>
        <row r="32">
          <cell r="A32">
            <v>27</v>
          </cell>
          <cell r="B32" t="str">
            <v>24</v>
          </cell>
          <cell r="C32" t="str">
            <v>ОВЧИННИКОВ Егор</v>
          </cell>
          <cell r="D32" t="str">
            <v>08.11.2000</v>
          </cell>
          <cell r="E32">
            <v>166</v>
          </cell>
          <cell r="F32" t="str">
            <v>Балабаново  Калуж.о.</v>
          </cell>
          <cell r="H32" t="str">
            <v>3-р</v>
          </cell>
          <cell r="I32" t="str">
            <v>Овчинникова Ю.В.</v>
          </cell>
          <cell r="J32" t="str">
            <v>ОВЧИННИКОВ</v>
          </cell>
          <cell r="K32" t="str">
            <v>Е</v>
          </cell>
          <cell r="L32" t="str">
            <v>ОВЧИННИКОВ Е.</v>
          </cell>
        </row>
        <row r="33">
          <cell r="A33">
            <v>25</v>
          </cell>
          <cell r="B33" t="str">
            <v>25</v>
          </cell>
          <cell r="C33" t="str">
            <v>ШЕМЕЛИН Егор</v>
          </cell>
          <cell r="D33" t="str">
            <v>18.06.2000</v>
          </cell>
          <cell r="E33">
            <v>173</v>
          </cell>
          <cell r="F33" t="str">
            <v>Н.Новгород</v>
          </cell>
          <cell r="H33" t="str">
            <v>1-ю</v>
          </cell>
          <cell r="I33" t="str">
            <v>Перевезенцев М.В., Гусев В.В.</v>
          </cell>
          <cell r="J33" t="str">
            <v>ШЕМЕЛИН</v>
          </cell>
          <cell r="K33" t="str">
            <v>Е</v>
          </cell>
          <cell r="L33" t="str">
            <v>ШЕМЕЛИН Е.</v>
          </cell>
        </row>
        <row r="34">
          <cell r="A34">
            <v>18</v>
          </cell>
          <cell r="B34" t="str">
            <v>26</v>
          </cell>
          <cell r="C34" t="str">
            <v>АБУСЕВ Артур</v>
          </cell>
          <cell r="D34" t="str">
            <v>26.05.1999</v>
          </cell>
          <cell r="E34">
            <v>195</v>
          </cell>
          <cell r="F34" t="str">
            <v>Сорочинск Оренб.о.</v>
          </cell>
          <cell r="H34" t="str">
            <v>2-р</v>
          </cell>
          <cell r="I34" t="str">
            <v>Музыкин А.М.</v>
          </cell>
          <cell r="J34" t="str">
            <v>АБУСЕВ</v>
          </cell>
          <cell r="K34" t="str">
            <v>А</v>
          </cell>
          <cell r="L34" t="str">
            <v>АБУСЕВ А.</v>
          </cell>
        </row>
        <row r="35">
          <cell r="A35">
            <v>19</v>
          </cell>
          <cell r="B35" t="str">
            <v>27</v>
          </cell>
          <cell r="C35" t="str">
            <v>ХОДЯКОВ Евгений</v>
          </cell>
          <cell r="D35" t="str">
            <v>16.01.1998</v>
          </cell>
          <cell r="E35">
            <v>191</v>
          </cell>
          <cell r="F35" t="str">
            <v>Воронеж</v>
          </cell>
          <cell r="H35" t="str">
            <v>1-р</v>
          </cell>
          <cell r="I35" t="str">
            <v>Рымарев С.В</v>
          </cell>
          <cell r="J35" t="str">
            <v>ХОДЯКОВ</v>
          </cell>
          <cell r="K35" t="str">
            <v>Е</v>
          </cell>
          <cell r="L35" t="str">
            <v>ХОДЯКОВ Е.</v>
          </cell>
        </row>
        <row r="36">
          <cell r="A36">
            <v>39</v>
          </cell>
          <cell r="B36" t="str">
            <v>28</v>
          </cell>
          <cell r="C36" t="str">
            <v>ТЭНЦЕР Алексей</v>
          </cell>
          <cell r="D36" t="str">
            <v>11.08.1997</v>
          </cell>
          <cell r="E36">
            <v>138</v>
          </cell>
          <cell r="F36" t="str">
            <v>Н.Новгород</v>
          </cell>
          <cell r="H36" t="str">
            <v>1-ю</v>
          </cell>
          <cell r="I36" t="str">
            <v>Шайтанов С.В.</v>
          </cell>
          <cell r="J36" t="str">
            <v>ТЭНЦЕР</v>
          </cell>
          <cell r="K36" t="str">
            <v>А</v>
          </cell>
          <cell r="L36" t="str">
            <v>ТЭНЦЕР А.</v>
          </cell>
        </row>
        <row r="37">
          <cell r="A37">
            <v>29</v>
          </cell>
          <cell r="B37" t="str">
            <v>29</v>
          </cell>
          <cell r="C37" t="str">
            <v>БАРАННИКОВ Роман</v>
          </cell>
          <cell r="D37" t="str">
            <v>10.02.1997</v>
          </cell>
          <cell r="E37">
            <v>162</v>
          </cell>
          <cell r="F37" t="str">
            <v>Воронеж</v>
          </cell>
          <cell r="H37" t="str">
            <v>2-р</v>
          </cell>
          <cell r="I37" t="str">
            <v>Рымарев С.В</v>
          </cell>
          <cell r="J37" t="str">
            <v>БАРАННИКОВ</v>
          </cell>
          <cell r="K37" t="str">
            <v>Р</v>
          </cell>
          <cell r="L37" t="str">
            <v>БАРАННИКОВ Р.</v>
          </cell>
        </row>
        <row r="38">
          <cell r="A38">
            <v>33</v>
          </cell>
          <cell r="B38" t="str">
            <v>30</v>
          </cell>
          <cell r="C38" t="str">
            <v>ЩИГОРЦОВ Дмитрий</v>
          </cell>
          <cell r="D38" t="str">
            <v>27.02.2000</v>
          </cell>
          <cell r="E38">
            <v>153</v>
          </cell>
          <cell r="F38" t="str">
            <v>Казань</v>
          </cell>
          <cell r="H38" t="str">
            <v>3-р</v>
          </cell>
          <cell r="I38" t="str">
            <v>Лукишина Н.В.</v>
          </cell>
          <cell r="J38" t="str">
            <v>ЩИГОРЦОВ</v>
          </cell>
          <cell r="K38" t="str">
            <v>Д</v>
          </cell>
          <cell r="L38" t="str">
            <v>ЩИГОРЦОВ Д.</v>
          </cell>
        </row>
        <row r="39">
          <cell r="A39">
            <v>30</v>
          </cell>
          <cell r="B39" t="str">
            <v>31</v>
          </cell>
          <cell r="C39" t="str">
            <v>ЛИПКИН Дмитрий</v>
          </cell>
          <cell r="D39" t="str">
            <v>02.05.1999</v>
          </cell>
          <cell r="E39">
            <v>161</v>
          </cell>
          <cell r="F39" t="str">
            <v>Н.Новгород</v>
          </cell>
          <cell r="H39" t="str">
            <v>3-р</v>
          </cell>
          <cell r="I39" t="str">
            <v>Ремизов В.Н., Баранов В.В., Ястребцов Д.А.</v>
          </cell>
          <cell r="J39" t="str">
            <v>ЛИПКИН</v>
          </cell>
          <cell r="K39" t="str">
            <v>Д</v>
          </cell>
          <cell r="L39" t="str">
            <v>ЛИПКИН Д.</v>
          </cell>
        </row>
        <row r="40">
          <cell r="A40">
            <v>28</v>
          </cell>
          <cell r="B40" t="str">
            <v>32</v>
          </cell>
          <cell r="C40" t="str">
            <v>ШЕМЯКИН Андрей</v>
          </cell>
          <cell r="D40" t="str">
            <v>04.06.1997</v>
          </cell>
          <cell r="E40">
            <v>164</v>
          </cell>
          <cell r="F40" t="str">
            <v>Ярославль</v>
          </cell>
          <cell r="H40" t="str">
            <v>2-р</v>
          </cell>
          <cell r="I40" t="str">
            <v>Привалов В.А.</v>
          </cell>
          <cell r="J40" t="str">
            <v>ШЕМЯКИН</v>
          </cell>
          <cell r="K40" t="str">
            <v>А</v>
          </cell>
          <cell r="L40" t="str">
            <v>ШЕМЯКИН А.</v>
          </cell>
        </row>
        <row r="41">
          <cell r="A41">
            <v>14</v>
          </cell>
          <cell r="B41" t="str">
            <v>33</v>
          </cell>
          <cell r="C41" t="str">
            <v>КУРГАНОВ Павел</v>
          </cell>
          <cell r="D41" t="str">
            <v>12.09.1997</v>
          </cell>
          <cell r="E41">
            <v>222</v>
          </cell>
          <cell r="F41" t="str">
            <v>Ярославль</v>
          </cell>
          <cell r="H41" t="str">
            <v>1-р</v>
          </cell>
          <cell r="I41" t="str">
            <v>Маракулин С.И., Овечкин В.И.</v>
          </cell>
          <cell r="J41" t="str">
            <v>КУРГАНОВ</v>
          </cell>
          <cell r="K41" t="str">
            <v>П</v>
          </cell>
          <cell r="L41" t="str">
            <v>КУРГАНОВ П.</v>
          </cell>
        </row>
        <row r="42">
          <cell r="A42">
            <v>31</v>
          </cell>
          <cell r="B42" t="str">
            <v>34</v>
          </cell>
          <cell r="C42" t="str">
            <v>САБИРОВ Айнур</v>
          </cell>
          <cell r="D42" t="str">
            <v>07.03.1999</v>
          </cell>
          <cell r="E42">
            <v>157</v>
          </cell>
          <cell r="F42" t="str">
            <v>Казань</v>
          </cell>
          <cell r="H42" t="str">
            <v>3-р</v>
          </cell>
          <cell r="I42" t="str">
            <v>Лукишина Н.В.</v>
          </cell>
          <cell r="J42" t="str">
            <v>САБИРОВ</v>
          </cell>
          <cell r="K42" t="str">
            <v>А</v>
          </cell>
          <cell r="L42" t="str">
            <v>САБИРОВ А.</v>
          </cell>
        </row>
        <row r="43">
          <cell r="A43">
            <v>55</v>
          </cell>
          <cell r="B43" t="str">
            <v>35</v>
          </cell>
          <cell r="C43" t="str">
            <v>КОЛЬЦОВСКИЙ Сергей</v>
          </cell>
          <cell r="D43" t="str">
            <v>25.11.1997</v>
          </cell>
          <cell r="E43">
            <v>76</v>
          </cell>
          <cell r="F43" t="str">
            <v>Дзержинск</v>
          </cell>
          <cell r="H43" t="str">
            <v>3-р</v>
          </cell>
          <cell r="I43" t="str">
            <v>Воложанин С.М.</v>
          </cell>
          <cell r="J43" t="str">
            <v>КОЛЬЦОВСКИЙ</v>
          </cell>
          <cell r="K43" t="str">
            <v>С</v>
          </cell>
          <cell r="L43" t="str">
            <v>КОЛЬЦОВСКИЙ С.</v>
          </cell>
        </row>
        <row r="44">
          <cell r="A44">
            <v>40</v>
          </cell>
          <cell r="B44" t="str">
            <v>36</v>
          </cell>
          <cell r="C44" t="str">
            <v>ЧВАНОВ Александр</v>
          </cell>
          <cell r="D44" t="str">
            <v>22.03.2000</v>
          </cell>
          <cell r="E44">
            <v>137</v>
          </cell>
          <cell r="F44" t="str">
            <v>Сорочинск Оренб.о.</v>
          </cell>
          <cell r="H44" t="str">
            <v>2-р</v>
          </cell>
          <cell r="I44" t="str">
            <v>Адеянов Д.В., Музыкин А.М.</v>
          </cell>
          <cell r="J44" t="str">
            <v>ЧВАНОВ</v>
          </cell>
          <cell r="K44" t="str">
            <v>А</v>
          </cell>
          <cell r="L44" t="str">
            <v>ЧВАНОВ А.</v>
          </cell>
        </row>
        <row r="45">
          <cell r="A45">
            <v>62</v>
          </cell>
          <cell r="B45" t="str">
            <v>37</v>
          </cell>
          <cell r="C45" t="str">
            <v>КУЗЬМИН Виталий</v>
          </cell>
          <cell r="D45" t="str">
            <v>01.07.1997</v>
          </cell>
          <cell r="E45">
            <v>114</v>
          </cell>
          <cell r="F45" t="str">
            <v>Казань</v>
          </cell>
          <cell r="H45" t="str">
            <v>3-р</v>
          </cell>
          <cell r="I45" t="str">
            <v>Ершова Е.А.</v>
          </cell>
          <cell r="J45" t="str">
            <v>КУЗЬМИН</v>
          </cell>
          <cell r="K45" t="str">
            <v>В</v>
          </cell>
          <cell r="L45" t="str">
            <v>КУЗЬМИН В.</v>
          </cell>
        </row>
        <row r="46">
          <cell r="A46">
            <v>63</v>
          </cell>
          <cell r="B46" t="str">
            <v>38</v>
          </cell>
          <cell r="C46" t="str">
            <v>ВИНОГРАДОВ Иван</v>
          </cell>
          <cell r="D46">
            <v>35674</v>
          </cell>
          <cell r="E46">
            <v>0</v>
          </cell>
          <cell r="F46" t="str">
            <v>Сиверский</v>
          </cell>
          <cell r="H46" t="str">
            <v>1-ю</v>
          </cell>
          <cell r="I46" t="str">
            <v>Комов А.С., Шевченко Т.Н.</v>
          </cell>
          <cell r="J46" t="str">
            <v>ВИНОГРАДОВ</v>
          </cell>
          <cell r="K46" t="str">
            <v>И</v>
          </cell>
          <cell r="L46" t="str">
            <v>ВИНОГРАДОВ И.</v>
          </cell>
        </row>
        <row r="47">
          <cell r="A47">
            <v>38</v>
          </cell>
          <cell r="B47" t="str">
            <v>39</v>
          </cell>
          <cell r="C47" t="str">
            <v>КОЧЕГАРОВ Вячеслав</v>
          </cell>
          <cell r="D47" t="str">
            <v>02.10.1999</v>
          </cell>
          <cell r="E47">
            <v>139</v>
          </cell>
          <cell r="F47" t="str">
            <v>Н.Новгород</v>
          </cell>
          <cell r="H47" t="str">
            <v>1-ю</v>
          </cell>
          <cell r="I47" t="str">
            <v>Брусин С.Б., Кашулина А.И.</v>
          </cell>
          <cell r="J47" t="str">
            <v>КОЧЕГАРОВ</v>
          </cell>
          <cell r="K47" t="str">
            <v>В</v>
          </cell>
          <cell r="L47" t="str">
            <v>КОЧЕГАРОВ В.</v>
          </cell>
        </row>
        <row r="48">
          <cell r="A48">
            <v>42</v>
          </cell>
          <cell r="B48" t="str">
            <v>40</v>
          </cell>
          <cell r="C48" t="str">
            <v>КУЗНЕЦОВ Константин-</v>
          </cell>
          <cell r="D48">
            <v>36068</v>
          </cell>
          <cell r="E48">
            <v>127</v>
          </cell>
          <cell r="F48" t="str">
            <v>Киров</v>
          </cell>
          <cell r="H48" t="str">
            <v>2-р</v>
          </cell>
          <cell r="I48" t="str">
            <v>Шишкина Л.С.</v>
          </cell>
          <cell r="J48" t="str">
            <v>КУЗНЕЦОВ</v>
          </cell>
          <cell r="K48" t="str">
            <v>К</v>
          </cell>
          <cell r="L48" t="str">
            <v>КУЗНЕЦОВ К.</v>
          </cell>
        </row>
        <row r="49">
          <cell r="A49">
            <v>35</v>
          </cell>
          <cell r="B49" t="str">
            <v>41</v>
          </cell>
          <cell r="C49" t="str">
            <v>КОЛЕСНИЧЕНКО Вадим</v>
          </cell>
          <cell r="D49" t="str">
            <v>10.11.2000</v>
          </cell>
          <cell r="E49">
            <v>144</v>
          </cell>
          <cell r="F49" t="str">
            <v>Сорочинск Оренб.о.</v>
          </cell>
          <cell r="H49" t="str">
            <v>2-р</v>
          </cell>
          <cell r="I49" t="str">
            <v>Адеянов Д.В., Музыкин А.М.</v>
          </cell>
          <cell r="J49" t="str">
            <v>КОЛЕСНИЧЕНКО</v>
          </cell>
          <cell r="K49" t="str">
            <v>В</v>
          </cell>
          <cell r="L49" t="str">
            <v>КОЛЕСНИЧЕНКО В.</v>
          </cell>
        </row>
        <row r="50">
          <cell r="A50">
            <v>45</v>
          </cell>
          <cell r="B50" t="str">
            <v>42</v>
          </cell>
          <cell r="C50" t="str">
            <v>КАРЗАНОВ Данила</v>
          </cell>
          <cell r="D50" t="str">
            <v>15.06.2001</v>
          </cell>
          <cell r="E50">
            <v>119</v>
          </cell>
          <cell r="F50" t="str">
            <v>Н.Новгород</v>
          </cell>
          <cell r="H50" t="str">
            <v>1-ю</v>
          </cell>
          <cell r="I50" t="str">
            <v>Брусин С.Б., Кашулина А.И.</v>
          </cell>
          <cell r="J50" t="str">
            <v>КАРЗАНОВ</v>
          </cell>
          <cell r="K50" t="str">
            <v>Д</v>
          </cell>
          <cell r="L50" t="str">
            <v>КАРЗАНОВ Д.</v>
          </cell>
        </row>
        <row r="51">
          <cell r="A51">
            <v>44</v>
          </cell>
          <cell r="B51" t="str">
            <v>43</v>
          </cell>
          <cell r="C51" t="str">
            <v>ЗАЙЦЕВ Владислав</v>
          </cell>
          <cell r="D51" t="str">
            <v>02.07.2000</v>
          </cell>
          <cell r="E51">
            <v>120</v>
          </cell>
          <cell r="F51" t="str">
            <v>Богородск  Ниж.о.</v>
          </cell>
          <cell r="H51" t="str">
            <v>1-ю</v>
          </cell>
          <cell r="I51" t="str">
            <v>Ручкин Е.М.,Перевезенцев М.В.</v>
          </cell>
          <cell r="J51" t="str">
            <v>ЗАЙЦЕВ</v>
          </cell>
          <cell r="K51" t="str">
            <v>В</v>
          </cell>
          <cell r="L51" t="str">
            <v>ЗАЙЦЕВ В.</v>
          </cell>
        </row>
        <row r="52">
          <cell r="A52">
            <v>64</v>
          </cell>
          <cell r="B52" t="str">
            <v>44</v>
          </cell>
          <cell r="C52" t="str">
            <v>ВОЛЬХИН Игорь</v>
          </cell>
          <cell r="D52">
            <v>35661</v>
          </cell>
          <cell r="E52">
            <v>0</v>
          </cell>
          <cell r="F52" t="str">
            <v>Калуга</v>
          </cell>
          <cell r="H52" t="str">
            <v>3-р</v>
          </cell>
          <cell r="I52" t="str">
            <v>Вдовенко И.В., Гавдель Л.А.</v>
          </cell>
          <cell r="J52" t="str">
            <v>ВОЛЬХИН</v>
          </cell>
          <cell r="K52" t="str">
            <v>И</v>
          </cell>
          <cell r="L52" t="str">
            <v>ВОЛЬХИН И.</v>
          </cell>
        </row>
        <row r="53">
          <cell r="A53">
            <v>51</v>
          </cell>
          <cell r="B53" t="str">
            <v>45</v>
          </cell>
          <cell r="C53" t="str">
            <v>ФЕДОРЕНКО Кирилл</v>
          </cell>
          <cell r="D53" t="str">
            <v>23.07.1997</v>
          </cell>
          <cell r="E53">
            <v>95</v>
          </cell>
          <cell r="F53" t="str">
            <v>Дзержинск</v>
          </cell>
          <cell r="H53" t="str">
            <v>3-р</v>
          </cell>
          <cell r="I53" t="str">
            <v>Воложанин С.М.</v>
          </cell>
          <cell r="J53" t="str">
            <v>ФЕДОРЕНКО</v>
          </cell>
          <cell r="K53" t="str">
            <v>К</v>
          </cell>
          <cell r="L53" t="str">
            <v>ФЕДОРЕНКО К.</v>
          </cell>
        </row>
        <row r="54">
          <cell r="A54">
            <v>54</v>
          </cell>
          <cell r="B54" t="str">
            <v>46</v>
          </cell>
          <cell r="C54" t="str">
            <v>ФРОСТ Владимир</v>
          </cell>
          <cell r="D54" t="str">
            <v>27.02.1998</v>
          </cell>
          <cell r="E54">
            <v>82</v>
          </cell>
          <cell r="F54" t="str">
            <v>Н.Новгород</v>
          </cell>
          <cell r="H54" t="str">
            <v>1-ю</v>
          </cell>
          <cell r="I54" t="str">
            <v>Шайтанов С.В.</v>
          </cell>
          <cell r="J54" t="str">
            <v>ФРОСТ</v>
          </cell>
          <cell r="K54" t="str">
            <v>В</v>
          </cell>
          <cell r="L54" t="str">
            <v>ФРОСТ В.</v>
          </cell>
        </row>
        <row r="55">
          <cell r="A55">
            <v>24</v>
          </cell>
          <cell r="B55" t="str">
            <v>47</v>
          </cell>
          <cell r="C55" t="str">
            <v>ФУНТОВ Кирилл</v>
          </cell>
          <cell r="D55" t="str">
            <v>10.10.1998</v>
          </cell>
          <cell r="E55">
            <v>174</v>
          </cell>
          <cell r="F55" t="str">
            <v>Н.Новгород</v>
          </cell>
          <cell r="H55" t="str">
            <v>2-р</v>
          </cell>
          <cell r="I55" t="str">
            <v>Бахтияров Ф.Н., Виноградова О.М.</v>
          </cell>
          <cell r="J55" t="str">
            <v>ФУНТОВ</v>
          </cell>
          <cell r="K55" t="str">
            <v>К</v>
          </cell>
          <cell r="L55" t="str">
            <v>ФУНТОВ К.</v>
          </cell>
        </row>
        <row r="56">
          <cell r="A56">
            <v>50</v>
          </cell>
          <cell r="B56" t="str">
            <v>48</v>
          </cell>
          <cell r="C56" t="str">
            <v>МОРОЗОВ Евгений</v>
          </cell>
          <cell r="D56" t="str">
            <v>26.03.2001</v>
          </cell>
          <cell r="E56">
            <v>99</v>
          </cell>
          <cell r="F56" t="str">
            <v>Сорочинск Оренб.о.</v>
          </cell>
          <cell r="H56" t="str">
            <v>3-р</v>
          </cell>
          <cell r="I56" t="str">
            <v>Ширяева С.П., Музыкин А.М.</v>
          </cell>
          <cell r="J56" t="str">
            <v>МОРОЗОВ</v>
          </cell>
          <cell r="K56" t="str">
            <v>Е</v>
          </cell>
          <cell r="L56" t="str">
            <v>МОРОЗОВ Е.</v>
          </cell>
        </row>
        <row r="57">
          <cell r="A57">
            <v>48</v>
          </cell>
          <cell r="B57" t="str">
            <v>49</v>
          </cell>
          <cell r="C57" t="str">
            <v>СКОРИК Егор</v>
          </cell>
          <cell r="D57" t="str">
            <v>14.11.1997</v>
          </cell>
          <cell r="E57">
            <v>101</v>
          </cell>
          <cell r="F57" t="str">
            <v>Киров</v>
          </cell>
          <cell r="H57" t="str">
            <v>3-р</v>
          </cell>
          <cell r="I57" t="str">
            <v>Шишкина Л.С.</v>
          </cell>
          <cell r="J57" t="str">
            <v>СКОРИК</v>
          </cell>
          <cell r="K57" t="str">
            <v>Е</v>
          </cell>
          <cell r="L57" t="str">
            <v>СКОРИК Е.</v>
          </cell>
        </row>
        <row r="58">
          <cell r="A58">
            <v>61</v>
          </cell>
          <cell r="B58" t="str">
            <v>50</v>
          </cell>
          <cell r="C58" t="str">
            <v>КАРЛОВ Иван</v>
          </cell>
          <cell r="D58" t="str">
            <v>22.05.1997</v>
          </cell>
          <cell r="E58">
            <v>10</v>
          </cell>
          <cell r="F58" t="str">
            <v>Иваново</v>
          </cell>
          <cell r="H58" t="str">
            <v>2-ю</v>
          </cell>
          <cell r="I58" t="str">
            <v>Батунова В.А., Захарук Р.В.</v>
          </cell>
          <cell r="J58" t="str">
            <v>КАРЛОВ</v>
          </cell>
          <cell r="K58" t="str">
            <v>И</v>
          </cell>
          <cell r="L58" t="str">
            <v>КАРЛОВ И.</v>
          </cell>
        </row>
        <row r="59">
          <cell r="A59">
            <v>66</v>
          </cell>
          <cell r="B59" t="str">
            <v>51</v>
          </cell>
          <cell r="C59" t="str">
            <v>ДУБРОВИН Андрей</v>
          </cell>
          <cell r="D59" t="str">
            <v>20.12.1997</v>
          </cell>
          <cell r="E59">
            <v>0</v>
          </cell>
          <cell r="F59" t="str">
            <v>Кстово</v>
          </cell>
          <cell r="H59" t="str">
            <v>1-ю</v>
          </cell>
          <cell r="I59" t="str">
            <v>Захарова Е.И.</v>
          </cell>
          <cell r="J59" t="str">
            <v>ДУБРОВИН</v>
          </cell>
          <cell r="K59" t="str">
            <v>А</v>
          </cell>
          <cell r="L59" t="str">
            <v>ДУБРОВИН А.</v>
          </cell>
        </row>
        <row r="60">
          <cell r="A60">
            <v>65</v>
          </cell>
          <cell r="B60" t="str">
            <v>52</v>
          </cell>
          <cell r="C60" t="str">
            <v>МУХИН Олег</v>
          </cell>
          <cell r="D60">
            <v>35673</v>
          </cell>
          <cell r="E60">
            <v>0</v>
          </cell>
          <cell r="F60" t="str">
            <v>Кстово</v>
          </cell>
          <cell r="H60" t="str">
            <v>1-ю</v>
          </cell>
          <cell r="I60" t="str">
            <v>Захарова Е.И.</v>
          </cell>
          <cell r="J60" t="str">
            <v>МУХИН</v>
          </cell>
          <cell r="K60" t="str">
            <v>О</v>
          </cell>
          <cell r="L60" t="str">
            <v>МУХИН О.</v>
          </cell>
        </row>
        <row r="61">
          <cell r="A61">
            <v>36</v>
          </cell>
          <cell r="B61" t="str">
            <v>1</v>
          </cell>
          <cell r="C61" t="str">
            <v>ЮРКОВ Николай</v>
          </cell>
          <cell r="D61" t="str">
            <v>05.02.1998</v>
          </cell>
          <cell r="E61">
            <v>142</v>
          </cell>
          <cell r="F61" t="str">
            <v>Калуга</v>
          </cell>
          <cell r="H61" t="str">
            <v>2-р</v>
          </cell>
          <cell r="I61" t="str">
            <v>Гавдель Л.А.</v>
          </cell>
          <cell r="J61" t="str">
            <v>ЮРКОВ</v>
          </cell>
          <cell r="K61" t="str">
            <v>Н</v>
          </cell>
          <cell r="L61" t="str">
            <v>ЮРКОВ Н.</v>
          </cell>
        </row>
        <row r="62">
          <cell r="A62">
            <v>43</v>
          </cell>
          <cell r="B62" t="str">
            <v>2</v>
          </cell>
          <cell r="C62" t="str">
            <v>МИНАКОВ Павел</v>
          </cell>
          <cell r="D62" t="str">
            <v>05.03.1999</v>
          </cell>
          <cell r="E62">
            <v>121</v>
          </cell>
          <cell r="F62" t="str">
            <v>Липецк</v>
          </cell>
          <cell r="H62" t="str">
            <v>1-ю</v>
          </cell>
          <cell r="I62" t="str">
            <v>Власов Ю.В.</v>
          </cell>
          <cell r="J62" t="str">
            <v>МИНАКОВ</v>
          </cell>
          <cell r="K62" t="str">
            <v>П</v>
          </cell>
          <cell r="L62" t="str">
            <v>МИНАКОВ П.</v>
          </cell>
        </row>
        <row r="63">
          <cell r="A63">
            <v>41</v>
          </cell>
          <cell r="B63" t="str">
            <v>3</v>
          </cell>
          <cell r="C63" t="str">
            <v>КРУТЬ Исаак</v>
          </cell>
          <cell r="D63" t="str">
            <v>07.01.1999</v>
          </cell>
          <cell r="E63">
            <v>130</v>
          </cell>
          <cell r="F63" t="str">
            <v>Казань</v>
          </cell>
          <cell r="H63" t="str">
            <v>1-ю</v>
          </cell>
          <cell r="I63" t="str">
            <v>Лукишина Н.В.</v>
          </cell>
          <cell r="J63" t="str">
            <v>КРУТЬ</v>
          </cell>
          <cell r="K63" t="str">
            <v>И</v>
          </cell>
          <cell r="L63" t="str">
            <v>КРУТЬ И.</v>
          </cell>
        </row>
        <row r="64">
          <cell r="A64">
            <v>46</v>
          </cell>
          <cell r="B64" t="str">
            <v>4</v>
          </cell>
          <cell r="C64" t="str">
            <v>ДОЛГОПОЛОВ Никита</v>
          </cell>
          <cell r="D64" t="str">
            <v>30.09.1998</v>
          </cell>
          <cell r="E64">
            <v>113</v>
          </cell>
          <cell r="F64" t="str">
            <v>Киров</v>
          </cell>
          <cell r="H64" t="str">
            <v>2-р</v>
          </cell>
          <cell r="I64" t="str">
            <v>Шишкина Л.С.</v>
          </cell>
          <cell r="J64" t="str">
            <v>ДОЛГОПОЛОВ</v>
          </cell>
          <cell r="K64" t="str">
            <v>Н</v>
          </cell>
          <cell r="L64" t="str">
            <v>ДОЛГОПОЛОВ Н.</v>
          </cell>
        </row>
        <row r="65">
          <cell r="A65">
            <v>52</v>
          </cell>
          <cell r="B65" t="str">
            <v>5</v>
          </cell>
          <cell r="C65" t="str">
            <v>СИНИЧКИН Егор</v>
          </cell>
          <cell r="D65" t="str">
            <v>09.01.2000</v>
          </cell>
          <cell r="E65">
            <v>93</v>
          </cell>
          <cell r="F65" t="str">
            <v>Н.Новгород</v>
          </cell>
          <cell r="H65" t="str">
            <v>1-ю</v>
          </cell>
          <cell r="I65" t="str">
            <v>Брусин С.Б., Кашулина А.И.</v>
          </cell>
          <cell r="J65" t="str">
            <v>СИНИЧКИН</v>
          </cell>
          <cell r="K65" t="str">
            <v>Е</v>
          </cell>
          <cell r="L65" t="str">
            <v>СИНИЧКИН Е.</v>
          </cell>
        </row>
        <row r="66">
          <cell r="A66">
            <v>37</v>
          </cell>
          <cell r="B66" t="str">
            <v>6</v>
          </cell>
          <cell r="C66" t="str">
            <v>ГЕРАСИМОВ Анатолий</v>
          </cell>
          <cell r="D66" t="str">
            <v>21.02.1998</v>
          </cell>
          <cell r="E66">
            <v>141</v>
          </cell>
          <cell r="F66" t="str">
            <v>Казань</v>
          </cell>
          <cell r="H66" t="str">
            <v>1-ю</v>
          </cell>
          <cell r="I66" t="str">
            <v>Шульга Г.П.</v>
          </cell>
          <cell r="J66" t="str">
            <v>ГЕРАСИМОВ</v>
          </cell>
          <cell r="K66" t="str">
            <v>А</v>
          </cell>
          <cell r="L66" t="str">
            <v>ГЕРАСИМОВ А.</v>
          </cell>
        </row>
        <row r="67">
          <cell r="A67">
            <v>47</v>
          </cell>
          <cell r="B67" t="str">
            <v>7</v>
          </cell>
          <cell r="C67" t="str">
            <v>ТКАЛИЧ Павел</v>
          </cell>
          <cell r="D67" t="str">
            <v>06.06.2000</v>
          </cell>
          <cell r="E67">
            <v>109</v>
          </cell>
          <cell r="F67" t="str">
            <v>Сорочинск Оренб.о.</v>
          </cell>
          <cell r="H67" t="str">
            <v>3-р</v>
          </cell>
          <cell r="I67" t="str">
            <v>Адеянов Д.В., Музыкин А.М.</v>
          </cell>
          <cell r="J67" t="str">
            <v>ТКАЛИЧ</v>
          </cell>
          <cell r="K67" t="str">
            <v>П</v>
          </cell>
          <cell r="L67" t="str">
            <v>ТКАЛИЧ П.</v>
          </cell>
        </row>
        <row r="68">
          <cell r="A68">
            <v>53</v>
          </cell>
          <cell r="B68" t="str">
            <v>8</v>
          </cell>
          <cell r="C68" t="str">
            <v>МОШКОВ Никита</v>
          </cell>
          <cell r="D68" t="str">
            <v>08.02.2001</v>
          </cell>
          <cell r="E68">
            <v>86</v>
          </cell>
          <cell r="F68" t="str">
            <v>Дзержинск</v>
          </cell>
          <cell r="H68" t="str">
            <v>1-ю</v>
          </cell>
          <cell r="I68" t="str">
            <v>Кириллова Т.П.</v>
          </cell>
          <cell r="J68" t="str">
            <v>МОШКОВ</v>
          </cell>
          <cell r="K68" t="str">
            <v>Н</v>
          </cell>
          <cell r="L68" t="str">
            <v>МОШКОВ Н.</v>
          </cell>
        </row>
        <row r="69">
          <cell r="A69">
            <v>57</v>
          </cell>
          <cell r="B69" t="str">
            <v>9</v>
          </cell>
          <cell r="C69" t="str">
            <v>ТРИФОНОВ Александр</v>
          </cell>
          <cell r="D69" t="str">
            <v>29.02.2000</v>
          </cell>
          <cell r="E69">
            <v>59</v>
          </cell>
          <cell r="F69" t="str">
            <v>Сорочинск Оренб.о.</v>
          </cell>
          <cell r="H69" t="str">
            <v>3-р</v>
          </cell>
          <cell r="I69" t="str">
            <v>Адеянов Д.В., Музыкин А.М.</v>
          </cell>
          <cell r="J69" t="str">
            <v>ТРИФОНОВ</v>
          </cell>
          <cell r="K69" t="str">
            <v>А</v>
          </cell>
          <cell r="L69" t="str">
            <v>ТРИФОНОВ А.</v>
          </cell>
        </row>
        <row r="70">
          <cell r="A70">
            <v>49</v>
          </cell>
          <cell r="B70" t="str">
            <v>10</v>
          </cell>
          <cell r="C70" t="str">
            <v>ДАВЛЕТОВ Артур</v>
          </cell>
          <cell r="D70" t="str">
            <v>12.06.1999</v>
          </cell>
          <cell r="E70">
            <v>100</v>
          </cell>
          <cell r="F70" t="str">
            <v>Казань</v>
          </cell>
          <cell r="H70" t="str">
            <v>1-ю</v>
          </cell>
          <cell r="I70" t="str">
            <v>Лукишина Н.В.</v>
          </cell>
          <cell r="J70" t="str">
            <v>ДАВЛЕТОВ</v>
          </cell>
          <cell r="K70" t="str">
            <v>А</v>
          </cell>
          <cell r="L70" t="str">
            <v>ДАВЛЕТОВ А.</v>
          </cell>
        </row>
        <row r="71">
          <cell r="A71">
            <v>58</v>
          </cell>
          <cell r="B71" t="str">
            <v>11</v>
          </cell>
          <cell r="C71" t="str">
            <v>ГРАЧЕВ Николай</v>
          </cell>
          <cell r="D71" t="str">
            <v>10.08.2000</v>
          </cell>
          <cell r="E71">
            <v>54</v>
          </cell>
          <cell r="F71" t="str">
            <v>Н.Новгород</v>
          </cell>
          <cell r="H71" t="str">
            <v>1-ю</v>
          </cell>
          <cell r="I71" t="str">
            <v>Брусин С.Б., Кашулина А.И.</v>
          </cell>
          <cell r="J71" t="str">
            <v>ГРАЧЕВ</v>
          </cell>
          <cell r="K71" t="str">
            <v>Н</v>
          </cell>
          <cell r="L71" t="str">
            <v>ГРАЧЕВ Н.</v>
          </cell>
        </row>
        <row r="72">
          <cell r="A72">
            <v>56</v>
          </cell>
          <cell r="B72" t="str">
            <v>12</v>
          </cell>
          <cell r="C72" t="str">
            <v>БАБУШКИН Александр</v>
          </cell>
          <cell r="D72" t="str">
            <v>17.01.2000</v>
          </cell>
          <cell r="E72">
            <v>60</v>
          </cell>
          <cell r="F72" t="str">
            <v>Н.Новгород</v>
          </cell>
          <cell r="H72" t="str">
            <v>1-ю</v>
          </cell>
          <cell r="I72" t="str">
            <v>Брусин С.Б., Кашулина А.И.</v>
          </cell>
          <cell r="J72" t="str">
            <v>БАБУШКИН</v>
          </cell>
          <cell r="K72" t="str">
            <v>А</v>
          </cell>
          <cell r="L72" t="str">
            <v>БАБУШКИН А.</v>
          </cell>
        </row>
        <row r="73">
          <cell r="A73">
            <v>59</v>
          </cell>
          <cell r="B73" t="str">
            <v>13</v>
          </cell>
          <cell r="C73" t="str">
            <v>ВАГАПОВ Андрей</v>
          </cell>
          <cell r="D73" t="str">
            <v>14.09.2001</v>
          </cell>
          <cell r="E73">
            <v>50</v>
          </cell>
          <cell r="F73" t="str">
            <v>Н.Новгород</v>
          </cell>
          <cell r="H73" t="str">
            <v>1-ю</v>
          </cell>
          <cell r="I73" t="str">
            <v>Перевезенцев М.В.</v>
          </cell>
          <cell r="J73" t="str">
            <v>ВАГАПОВ</v>
          </cell>
          <cell r="K73" t="str">
            <v>А</v>
          </cell>
          <cell r="L73" t="str">
            <v>ВАГАПОВ А.</v>
          </cell>
        </row>
        <row r="74">
          <cell r="A74">
            <v>60</v>
          </cell>
          <cell r="B74" t="str">
            <v>14</v>
          </cell>
          <cell r="C74" t="str">
            <v>ЯНЧЕНКО Алексей</v>
          </cell>
          <cell r="D74" t="str">
            <v>15.07.1999</v>
          </cell>
          <cell r="E74">
            <v>11</v>
          </cell>
          <cell r="F74" t="str">
            <v>Балабаново  Калуж.о.</v>
          </cell>
          <cell r="H74" t="str">
            <v>1-ю</v>
          </cell>
          <cell r="I74" t="str">
            <v>Овчинникова Ю.В.</v>
          </cell>
          <cell r="J74" t="str">
            <v>ЯНЧЕНКО</v>
          </cell>
          <cell r="K74" t="str">
            <v>А</v>
          </cell>
          <cell r="L74" t="str">
            <v>ЯНЧЕНКО А.</v>
          </cell>
        </row>
        <row r="75">
          <cell r="A75">
            <v>67</v>
          </cell>
          <cell r="B75" t="str">
            <v>67</v>
          </cell>
          <cell r="D75" t="str">
            <v/>
          </cell>
          <cell r="E75" t="str">
            <v/>
          </cell>
          <cell r="F75" t="str">
            <v/>
          </cell>
          <cell r="J75" t="e">
            <v>#VALUE!</v>
          </cell>
          <cell r="K75" t="e">
            <v>#VALUE!</v>
          </cell>
          <cell r="L75" t="e">
            <v>#VALUE!</v>
          </cell>
        </row>
        <row r="76">
          <cell r="A76">
            <v>68</v>
          </cell>
          <cell r="B76" t="str">
            <v>68</v>
          </cell>
          <cell r="D76" t="str">
            <v/>
          </cell>
          <cell r="E76" t="str">
            <v/>
          </cell>
          <cell r="F76" t="str">
            <v/>
          </cell>
          <cell r="J76" t="e">
            <v>#VALUE!</v>
          </cell>
          <cell r="K76" t="e">
            <v>#VALUE!</v>
          </cell>
          <cell r="L76" t="e">
            <v>#VALUE!</v>
          </cell>
        </row>
        <row r="77">
          <cell r="A77">
            <v>69</v>
          </cell>
          <cell r="B77" t="str">
            <v>69</v>
          </cell>
          <cell r="D77" t="str">
            <v/>
          </cell>
          <cell r="E77" t="str">
            <v/>
          </cell>
          <cell r="F77" t="str">
            <v/>
          </cell>
          <cell r="J77" t="e">
            <v>#VALUE!</v>
          </cell>
          <cell r="K77" t="e">
            <v>#VALUE!</v>
          </cell>
          <cell r="L77" t="e">
            <v>#VALUE!</v>
          </cell>
        </row>
        <row r="78">
          <cell r="A78">
            <v>70</v>
          </cell>
          <cell r="B78" t="str">
            <v>70</v>
          </cell>
          <cell r="D78" t="str">
            <v/>
          </cell>
          <cell r="E78" t="str">
            <v/>
          </cell>
          <cell r="F78" t="str">
            <v/>
          </cell>
          <cell r="J78" t="e">
            <v>#VALUE!</v>
          </cell>
          <cell r="K78" t="e">
            <v>#VALUE!</v>
          </cell>
          <cell r="L78" t="e">
            <v>#VALUE!</v>
          </cell>
        </row>
        <row r="79">
          <cell r="A79">
            <v>71</v>
          </cell>
          <cell r="B79" t="str">
            <v>71</v>
          </cell>
          <cell r="D79" t="str">
            <v/>
          </cell>
          <cell r="E79" t="str">
            <v/>
          </cell>
          <cell r="F79" t="str">
            <v/>
          </cell>
          <cell r="J79" t="e">
            <v>#VALUE!</v>
          </cell>
          <cell r="K79" t="e">
            <v>#VALUE!</v>
          </cell>
          <cell r="L79" t="e">
            <v>#VALUE!</v>
          </cell>
        </row>
        <row r="80">
          <cell r="A80">
            <v>72</v>
          </cell>
          <cell r="B80" t="str">
            <v>72</v>
          </cell>
          <cell r="D80" t="str">
            <v/>
          </cell>
          <cell r="E80" t="str">
            <v/>
          </cell>
          <cell r="F80" t="str">
            <v/>
          </cell>
          <cell r="J80" t="e">
            <v>#VALUE!</v>
          </cell>
          <cell r="K80" t="e">
            <v>#VALUE!</v>
          </cell>
          <cell r="L80" t="e">
            <v>#VALUE!</v>
          </cell>
        </row>
        <row r="81">
          <cell r="A81">
            <v>73</v>
          </cell>
          <cell r="B81" t="str">
            <v>73</v>
          </cell>
          <cell r="D81" t="str">
            <v/>
          </cell>
          <cell r="E81" t="str">
            <v/>
          </cell>
          <cell r="F81" t="str">
            <v/>
          </cell>
          <cell r="J81" t="e">
            <v>#VALUE!</v>
          </cell>
          <cell r="K81" t="e">
            <v>#VALUE!</v>
          </cell>
          <cell r="L81" t="e">
            <v>#VALUE!</v>
          </cell>
        </row>
        <row r="82">
          <cell r="A82">
            <v>74</v>
          </cell>
          <cell r="B82" t="str">
            <v>74</v>
          </cell>
          <cell r="D82" t="str">
            <v/>
          </cell>
          <cell r="E82" t="str">
            <v/>
          </cell>
          <cell r="F82" t="str">
            <v/>
          </cell>
          <cell r="J82" t="e">
            <v>#VALUE!</v>
          </cell>
          <cell r="K82" t="e">
            <v>#VALUE!</v>
          </cell>
          <cell r="L82" t="e">
            <v>#VALUE!</v>
          </cell>
        </row>
        <row r="83">
          <cell r="A83">
            <v>75</v>
          </cell>
          <cell r="B83" t="str">
            <v>75</v>
          </cell>
          <cell r="D83" t="str">
            <v/>
          </cell>
          <cell r="E83" t="str">
            <v/>
          </cell>
          <cell r="F83" t="str">
            <v/>
          </cell>
          <cell r="J83" t="e">
            <v>#VALUE!</v>
          </cell>
          <cell r="K83" t="e">
            <v>#VALUE!</v>
          </cell>
          <cell r="L83" t="e">
            <v>#VALUE!</v>
          </cell>
        </row>
        <row r="84">
          <cell r="A84">
            <v>76</v>
          </cell>
          <cell r="B84" t="str">
            <v>76</v>
          </cell>
          <cell r="D84" t="str">
            <v/>
          </cell>
          <cell r="E84" t="str">
            <v/>
          </cell>
          <cell r="F84" t="str">
            <v/>
          </cell>
          <cell r="J84" t="e">
            <v>#VALUE!</v>
          </cell>
          <cell r="K84" t="e">
            <v>#VALUE!</v>
          </cell>
          <cell r="L84" t="e">
            <v>#VALUE!</v>
          </cell>
        </row>
        <row r="85">
          <cell r="A85">
            <v>77</v>
          </cell>
          <cell r="B85" t="str">
            <v>77</v>
          </cell>
          <cell r="D85" t="str">
            <v/>
          </cell>
          <cell r="E85" t="str">
            <v/>
          </cell>
          <cell r="F85" t="str">
            <v/>
          </cell>
          <cell r="J85" t="e">
            <v>#VALUE!</v>
          </cell>
          <cell r="K85" t="e">
            <v>#VALUE!</v>
          </cell>
          <cell r="L85" t="e">
            <v>#VALUE!</v>
          </cell>
        </row>
        <row r="86">
          <cell r="A86">
            <v>78</v>
          </cell>
          <cell r="B86" t="str">
            <v>78</v>
          </cell>
          <cell r="D86" t="str">
            <v/>
          </cell>
          <cell r="E86" t="str">
            <v/>
          </cell>
          <cell r="F86" t="str">
            <v/>
          </cell>
          <cell r="J86" t="e">
            <v>#VALUE!</v>
          </cell>
          <cell r="K86" t="e">
            <v>#VALUE!</v>
          </cell>
          <cell r="L86" t="e">
            <v>#VALUE!</v>
          </cell>
        </row>
        <row r="87">
          <cell r="A87">
            <v>79</v>
          </cell>
          <cell r="B87" t="str">
            <v>79</v>
          </cell>
          <cell r="D87" t="str">
            <v/>
          </cell>
          <cell r="E87" t="str">
            <v/>
          </cell>
          <cell r="F87" t="str">
            <v/>
          </cell>
          <cell r="J87" t="e">
            <v>#VALUE!</v>
          </cell>
          <cell r="K87" t="e">
            <v>#VALUE!</v>
          </cell>
          <cell r="L87" t="e">
            <v>#VALUE!</v>
          </cell>
        </row>
        <row r="88">
          <cell r="A88">
            <v>80</v>
          </cell>
          <cell r="B88" t="str">
            <v>80</v>
          </cell>
          <cell r="D88" t="str">
            <v/>
          </cell>
          <cell r="E88" t="str">
            <v/>
          </cell>
          <cell r="F88" t="str">
            <v/>
          </cell>
          <cell r="J88" t="e">
            <v>#VALUE!</v>
          </cell>
          <cell r="K88" t="e">
            <v>#VALUE!</v>
          </cell>
          <cell r="L88" t="e">
            <v>#VALUE!</v>
          </cell>
        </row>
        <row r="89">
          <cell r="A89">
            <v>81</v>
          </cell>
          <cell r="B89" t="str">
            <v>81</v>
          </cell>
          <cell r="D89" t="str">
            <v/>
          </cell>
          <cell r="E89" t="str">
            <v/>
          </cell>
          <cell r="F89" t="str">
            <v/>
          </cell>
          <cell r="J89" t="e">
            <v>#VALUE!</v>
          </cell>
          <cell r="K89" t="e">
            <v>#VALUE!</v>
          </cell>
          <cell r="L89" t="e">
            <v>#VALUE!</v>
          </cell>
        </row>
        <row r="90">
          <cell r="A90">
            <v>82</v>
          </cell>
          <cell r="B90" t="str">
            <v>82</v>
          </cell>
          <cell r="D90" t="str">
            <v/>
          </cell>
          <cell r="E90" t="str">
            <v/>
          </cell>
          <cell r="F90" t="str">
            <v/>
          </cell>
          <cell r="J90" t="e">
            <v>#VALUE!</v>
          </cell>
          <cell r="K90" t="e">
            <v>#VALUE!</v>
          </cell>
          <cell r="L90" t="e">
            <v>#VALUE!</v>
          </cell>
        </row>
        <row r="91">
          <cell r="A91">
            <v>83</v>
          </cell>
          <cell r="B91" t="str">
            <v>83</v>
          </cell>
          <cell r="D91" t="str">
            <v/>
          </cell>
          <cell r="E91" t="str">
            <v/>
          </cell>
          <cell r="F91" t="str">
            <v/>
          </cell>
          <cell r="J91" t="e">
            <v>#VALUE!</v>
          </cell>
          <cell r="K91" t="e">
            <v>#VALUE!</v>
          </cell>
          <cell r="L91" t="e">
            <v>#VALUE!</v>
          </cell>
        </row>
        <row r="92">
          <cell r="A92">
            <v>84</v>
          </cell>
          <cell r="B92" t="str">
            <v>84</v>
          </cell>
          <cell r="D92" t="str">
            <v/>
          </cell>
          <cell r="E92" t="str">
            <v/>
          </cell>
          <cell r="F92" t="str">
            <v/>
          </cell>
          <cell r="J92" t="e">
            <v>#VALUE!</v>
          </cell>
          <cell r="K92" t="e">
            <v>#VALUE!</v>
          </cell>
          <cell r="L92" t="e">
            <v>#VALUE!</v>
          </cell>
        </row>
        <row r="93">
          <cell r="A93">
            <v>85</v>
          </cell>
          <cell r="B93" t="str">
            <v>85</v>
          </cell>
          <cell r="D93" t="str">
            <v/>
          </cell>
          <cell r="E93" t="str">
            <v/>
          </cell>
          <cell r="F93" t="str">
            <v/>
          </cell>
          <cell r="J93" t="e">
            <v>#VALUE!</v>
          </cell>
          <cell r="K93" t="e">
            <v>#VALUE!</v>
          </cell>
          <cell r="L93" t="e">
            <v>#VALUE!</v>
          </cell>
        </row>
        <row r="94">
          <cell r="A94">
            <v>86</v>
          </cell>
          <cell r="B94" t="str">
            <v>86</v>
          </cell>
          <cell r="D94" t="str">
            <v/>
          </cell>
          <cell r="E94" t="str">
            <v/>
          </cell>
          <cell r="F94" t="str">
            <v/>
          </cell>
          <cell r="J94" t="e">
            <v>#VALUE!</v>
          </cell>
          <cell r="K94" t="e">
            <v>#VALUE!</v>
          </cell>
          <cell r="L94" t="e">
            <v>#VALUE!</v>
          </cell>
        </row>
        <row r="95">
          <cell r="A95">
            <v>87</v>
          </cell>
          <cell r="B95" t="str">
            <v>87</v>
          </cell>
          <cell r="D95" t="str">
            <v/>
          </cell>
          <cell r="E95" t="str">
            <v/>
          </cell>
          <cell r="F95" t="str">
            <v/>
          </cell>
          <cell r="J95" t="e">
            <v>#VALUE!</v>
          </cell>
          <cell r="K95" t="e">
            <v>#VALUE!</v>
          </cell>
          <cell r="L95" t="e">
            <v>#VALUE!</v>
          </cell>
        </row>
        <row r="96">
          <cell r="A96">
            <v>88</v>
          </cell>
          <cell r="B96" t="str">
            <v>88</v>
          </cell>
          <cell r="D96" t="str">
            <v/>
          </cell>
          <cell r="E96" t="str">
            <v/>
          </cell>
          <cell r="F96" t="str">
            <v/>
          </cell>
          <cell r="J96" t="e">
            <v>#VALUE!</v>
          </cell>
          <cell r="K96" t="e">
            <v>#VALUE!</v>
          </cell>
          <cell r="L96" t="e">
            <v>#VALUE!</v>
          </cell>
        </row>
        <row r="97">
          <cell r="A97">
            <v>89</v>
          </cell>
          <cell r="B97" t="str">
            <v>89</v>
          </cell>
          <cell r="D97" t="str">
            <v/>
          </cell>
          <cell r="E97" t="str">
            <v/>
          </cell>
          <cell r="F97" t="str">
            <v/>
          </cell>
          <cell r="J97" t="e">
            <v>#VALUE!</v>
          </cell>
          <cell r="K97" t="e">
            <v>#VALUE!</v>
          </cell>
          <cell r="L97" t="e">
            <v>#VALUE!</v>
          </cell>
        </row>
        <row r="98">
          <cell r="A98">
            <v>90</v>
          </cell>
          <cell r="B98" t="str">
            <v>90</v>
          </cell>
          <cell r="D98" t="str">
            <v/>
          </cell>
          <cell r="E98" t="str">
            <v/>
          </cell>
          <cell r="F98" t="str">
            <v/>
          </cell>
          <cell r="J98" t="e">
            <v>#VALUE!</v>
          </cell>
          <cell r="K98" t="e">
            <v>#VALUE!</v>
          </cell>
          <cell r="L98" t="e">
            <v>#VALUE!</v>
          </cell>
        </row>
        <row r="99">
          <cell r="A99">
            <v>91</v>
          </cell>
          <cell r="B99" t="str">
            <v>91</v>
          </cell>
          <cell r="D99" t="str">
            <v/>
          </cell>
          <cell r="E99" t="str">
            <v/>
          </cell>
          <cell r="F99" t="str">
            <v/>
          </cell>
          <cell r="J99" t="e">
            <v>#VALUE!</v>
          </cell>
          <cell r="K99" t="e">
            <v>#VALUE!</v>
          </cell>
          <cell r="L99" t="e">
            <v>#VALUE!</v>
          </cell>
        </row>
        <row r="100">
          <cell r="A100">
            <v>92</v>
          </cell>
          <cell r="B100" t="str">
            <v>92</v>
          </cell>
          <cell r="D100" t="str">
            <v/>
          </cell>
          <cell r="E100" t="str">
            <v/>
          </cell>
          <cell r="F100" t="str">
            <v/>
          </cell>
          <cell r="J100" t="e">
            <v>#VALUE!</v>
          </cell>
          <cell r="K100" t="e">
            <v>#VALUE!</v>
          </cell>
          <cell r="L100" t="e">
            <v>#VALUE!</v>
          </cell>
        </row>
        <row r="101">
          <cell r="A101">
            <v>93</v>
          </cell>
          <cell r="B101" t="str">
            <v>93</v>
          </cell>
          <cell r="D101" t="str">
            <v/>
          </cell>
          <cell r="E101" t="str">
            <v/>
          </cell>
          <cell r="F101" t="str">
            <v/>
          </cell>
          <cell r="J101" t="e">
            <v>#VALUE!</v>
          </cell>
          <cell r="K101" t="e">
            <v>#VALUE!</v>
          </cell>
          <cell r="L101" t="e">
            <v>#VALUE!</v>
          </cell>
        </row>
        <row r="102">
          <cell r="A102">
            <v>94</v>
          </cell>
          <cell r="B102" t="str">
            <v>94</v>
          </cell>
          <cell r="D102" t="str">
            <v/>
          </cell>
          <cell r="E102" t="str">
            <v/>
          </cell>
          <cell r="F102" t="str">
            <v/>
          </cell>
          <cell r="J102" t="e">
            <v>#VALUE!</v>
          </cell>
          <cell r="K102" t="e">
            <v>#VALUE!</v>
          </cell>
          <cell r="L102" t="e">
            <v>#VALUE!</v>
          </cell>
        </row>
        <row r="103">
          <cell r="A103">
            <v>95</v>
          </cell>
          <cell r="B103" t="str">
            <v>95</v>
          </cell>
          <cell r="D103" t="str">
            <v/>
          </cell>
          <cell r="E103" t="str">
            <v/>
          </cell>
          <cell r="F103" t="str">
            <v/>
          </cell>
          <cell r="J103" t="e">
            <v>#VALUE!</v>
          </cell>
          <cell r="K103" t="e">
            <v>#VALUE!</v>
          </cell>
          <cell r="L103" t="e">
            <v>#VALUE!</v>
          </cell>
        </row>
        <row r="104">
          <cell r="A104">
            <v>96</v>
          </cell>
          <cell r="B104" t="str">
            <v>96</v>
          </cell>
          <cell r="D104" t="str">
            <v/>
          </cell>
          <cell r="E104" t="str">
            <v/>
          </cell>
          <cell r="F104" t="str">
            <v/>
          </cell>
          <cell r="J104" t="e">
            <v>#VALUE!</v>
          </cell>
          <cell r="K104" t="e">
            <v>#VALUE!</v>
          </cell>
          <cell r="L104" t="e">
            <v>#VALUE!</v>
          </cell>
        </row>
        <row r="105">
          <cell r="A105">
            <v>97</v>
          </cell>
          <cell r="B105" t="str">
            <v>97</v>
          </cell>
          <cell r="D105" t="str">
            <v/>
          </cell>
          <cell r="E105" t="str">
            <v/>
          </cell>
          <cell r="F105" t="str">
            <v/>
          </cell>
          <cell r="J105" t="e">
            <v>#VALUE!</v>
          </cell>
          <cell r="K105" t="e">
            <v>#VALUE!</v>
          </cell>
          <cell r="L105" t="e">
            <v>#VALUE!</v>
          </cell>
        </row>
        <row r="106">
          <cell r="A106">
            <v>98</v>
          </cell>
          <cell r="B106" t="str">
            <v>98</v>
          </cell>
          <cell r="D106" t="str">
            <v/>
          </cell>
          <cell r="E106" t="str">
            <v/>
          </cell>
          <cell r="F106" t="str">
            <v/>
          </cell>
          <cell r="J106" t="e">
            <v>#VALUE!</v>
          </cell>
          <cell r="K106" t="e">
            <v>#VALUE!</v>
          </cell>
          <cell r="L106" t="e">
            <v>#VALUE!</v>
          </cell>
        </row>
        <row r="107">
          <cell r="A107">
            <v>99</v>
          </cell>
          <cell r="B107" t="str">
            <v>99</v>
          </cell>
          <cell r="D107" t="str">
            <v/>
          </cell>
          <cell r="E107" t="str">
            <v/>
          </cell>
          <cell r="F107" t="str">
            <v/>
          </cell>
          <cell r="J107" t="e">
            <v>#VALUE!</v>
          </cell>
          <cell r="K107" t="e">
            <v>#VALUE!</v>
          </cell>
          <cell r="L107" t="e">
            <v>#VALUE!</v>
          </cell>
        </row>
        <row r="108">
          <cell r="A108">
            <v>100</v>
          </cell>
          <cell r="B108" t="str">
            <v>100</v>
          </cell>
          <cell r="D108" t="str">
            <v/>
          </cell>
          <cell r="E108" t="str">
            <v/>
          </cell>
          <cell r="F108" t="str">
            <v/>
          </cell>
          <cell r="J108" t="e">
            <v>#VALUE!</v>
          </cell>
          <cell r="K108" t="e">
            <v>#VALUE!</v>
          </cell>
          <cell r="L108" t="e">
            <v>#VALUE!</v>
          </cell>
        </row>
        <row r="109">
          <cell r="A109">
            <v>101</v>
          </cell>
          <cell r="B109" t="str">
            <v>101</v>
          </cell>
          <cell r="D109" t="str">
            <v/>
          </cell>
          <cell r="E109" t="str">
            <v/>
          </cell>
          <cell r="F109" t="str">
            <v/>
          </cell>
          <cell r="J109" t="e">
            <v>#VALUE!</v>
          </cell>
          <cell r="K109" t="e">
            <v>#VALUE!</v>
          </cell>
          <cell r="L109" t="e">
            <v>#VALUE!</v>
          </cell>
        </row>
        <row r="110">
          <cell r="A110">
            <v>102</v>
          </cell>
          <cell r="B110" t="str">
            <v>102</v>
          </cell>
          <cell r="D110" t="str">
            <v/>
          </cell>
          <cell r="E110" t="str">
            <v/>
          </cell>
          <cell r="F110" t="str">
            <v/>
          </cell>
          <cell r="J110" t="e">
            <v>#VALUE!</v>
          </cell>
          <cell r="K110" t="e">
            <v>#VALUE!</v>
          </cell>
          <cell r="L110" t="e">
            <v>#VALUE!</v>
          </cell>
        </row>
        <row r="111">
          <cell r="A111">
            <v>103</v>
          </cell>
          <cell r="B111" t="str">
            <v>103</v>
          </cell>
          <cell r="D111" t="str">
            <v/>
          </cell>
          <cell r="E111" t="str">
            <v/>
          </cell>
          <cell r="F111" t="str">
            <v/>
          </cell>
          <cell r="J111" t="e">
            <v>#VALUE!</v>
          </cell>
          <cell r="K111" t="e">
            <v>#VALUE!</v>
          </cell>
          <cell r="L111" t="e">
            <v>#VALUE!</v>
          </cell>
        </row>
        <row r="112">
          <cell r="A112">
            <v>104</v>
          </cell>
          <cell r="B112" t="str">
            <v>104</v>
          </cell>
          <cell r="D112" t="str">
            <v/>
          </cell>
          <cell r="E112" t="str">
            <v/>
          </cell>
          <cell r="F112" t="str">
            <v/>
          </cell>
          <cell r="J112" t="e">
            <v>#VALUE!</v>
          </cell>
          <cell r="K112" t="e">
            <v>#VALUE!</v>
          </cell>
          <cell r="L112" t="e">
            <v>#VALUE!</v>
          </cell>
        </row>
        <row r="113">
          <cell r="A113">
            <v>105</v>
          </cell>
          <cell r="B113" t="str">
            <v>105</v>
          </cell>
          <cell r="D113" t="str">
            <v/>
          </cell>
          <cell r="E113" t="str">
            <v/>
          </cell>
          <cell r="F113" t="str">
            <v/>
          </cell>
          <cell r="J113" t="e">
            <v>#VALUE!</v>
          </cell>
          <cell r="K113" t="e">
            <v>#VALUE!</v>
          </cell>
          <cell r="L113" t="e">
            <v>#VALUE!</v>
          </cell>
        </row>
        <row r="114">
          <cell r="A114">
            <v>106</v>
          </cell>
          <cell r="B114" t="str">
            <v>106</v>
          </cell>
          <cell r="D114" t="str">
            <v/>
          </cell>
          <cell r="E114" t="str">
            <v/>
          </cell>
          <cell r="F114" t="str">
            <v/>
          </cell>
          <cell r="J114" t="e">
            <v>#VALUE!</v>
          </cell>
          <cell r="K114" t="e">
            <v>#VALUE!</v>
          </cell>
          <cell r="L114" t="e">
            <v>#VALUE!</v>
          </cell>
        </row>
        <row r="115">
          <cell r="A115">
            <v>107</v>
          </cell>
          <cell r="B115" t="str">
            <v>107</v>
          </cell>
          <cell r="D115" t="str">
            <v/>
          </cell>
          <cell r="E115" t="str">
            <v/>
          </cell>
          <cell r="F115" t="str">
            <v/>
          </cell>
          <cell r="J115" t="e">
            <v>#VALUE!</v>
          </cell>
          <cell r="K115" t="e">
            <v>#VALUE!</v>
          </cell>
          <cell r="L115" t="e">
            <v>#VALUE!</v>
          </cell>
        </row>
        <row r="116">
          <cell r="A116">
            <v>108</v>
          </cell>
          <cell r="B116" t="str">
            <v>108</v>
          </cell>
          <cell r="D116" t="str">
            <v/>
          </cell>
          <cell r="E116" t="str">
            <v/>
          </cell>
          <cell r="F116" t="str">
            <v/>
          </cell>
          <cell r="J116" t="e">
            <v>#VALUE!</v>
          </cell>
          <cell r="K116" t="e">
            <v>#VALUE!</v>
          </cell>
          <cell r="L116" t="e">
            <v>#VALUE!</v>
          </cell>
        </row>
        <row r="117">
          <cell r="A117">
            <v>109</v>
          </cell>
          <cell r="B117" t="str">
            <v>109</v>
          </cell>
          <cell r="D117" t="str">
            <v/>
          </cell>
          <cell r="E117" t="str">
            <v/>
          </cell>
          <cell r="F117" t="str">
            <v/>
          </cell>
          <cell r="J117" t="e">
            <v>#VALUE!</v>
          </cell>
          <cell r="K117" t="e">
            <v>#VALUE!</v>
          </cell>
          <cell r="L117" t="e">
            <v>#VALUE!</v>
          </cell>
        </row>
        <row r="118">
          <cell r="A118">
            <v>110</v>
          </cell>
          <cell r="B118" t="str">
            <v>110</v>
          </cell>
          <cell r="D118" t="str">
            <v/>
          </cell>
          <cell r="E118" t="str">
            <v/>
          </cell>
          <cell r="F118" t="str">
            <v/>
          </cell>
          <cell r="J118" t="e">
            <v>#VALUE!</v>
          </cell>
          <cell r="K118" t="e">
            <v>#VALUE!</v>
          </cell>
          <cell r="L118" t="e">
            <v>#VALUE!</v>
          </cell>
        </row>
        <row r="119">
          <cell r="A119">
            <v>111</v>
          </cell>
          <cell r="B119" t="str">
            <v>111</v>
          </cell>
          <cell r="D119" t="str">
            <v/>
          </cell>
          <cell r="E119" t="str">
            <v/>
          </cell>
          <cell r="F119" t="str">
            <v/>
          </cell>
          <cell r="J119" t="e">
            <v>#VALUE!</v>
          </cell>
          <cell r="K119" t="e">
            <v>#VALUE!</v>
          </cell>
          <cell r="L119" t="e">
            <v>#VALUE!</v>
          </cell>
        </row>
        <row r="120">
          <cell r="A120">
            <v>112</v>
          </cell>
          <cell r="B120" t="str">
            <v>112</v>
          </cell>
          <cell r="D120" t="str">
            <v/>
          </cell>
          <cell r="E120" t="str">
            <v/>
          </cell>
          <cell r="F120" t="str">
            <v/>
          </cell>
          <cell r="J120" t="e">
            <v>#VALUE!</v>
          </cell>
          <cell r="K120" t="e">
            <v>#VALUE!</v>
          </cell>
          <cell r="L120" t="e">
            <v>#VALUE!</v>
          </cell>
        </row>
        <row r="121">
          <cell r="A121">
            <v>113</v>
          </cell>
          <cell r="B121" t="str">
            <v>113</v>
          </cell>
          <cell r="D121" t="str">
            <v/>
          </cell>
          <cell r="E121" t="str">
            <v/>
          </cell>
          <cell r="F121" t="str">
            <v/>
          </cell>
          <cell r="J121" t="e">
            <v>#VALUE!</v>
          </cell>
          <cell r="K121" t="e">
            <v>#VALUE!</v>
          </cell>
          <cell r="L121" t="e">
            <v>#VALUE!</v>
          </cell>
        </row>
        <row r="122">
          <cell r="A122">
            <v>114</v>
          </cell>
          <cell r="B122" t="str">
            <v>114</v>
          </cell>
          <cell r="D122" t="str">
            <v/>
          </cell>
          <cell r="E122" t="str">
            <v/>
          </cell>
          <cell r="F122" t="str">
            <v/>
          </cell>
          <cell r="J122" t="e">
            <v>#VALUE!</v>
          </cell>
          <cell r="K122" t="e">
            <v>#VALUE!</v>
          </cell>
          <cell r="L122" t="e">
            <v>#VALUE!</v>
          </cell>
        </row>
        <row r="123">
          <cell r="A123">
            <v>115</v>
          </cell>
          <cell r="B123" t="str">
            <v>115</v>
          </cell>
          <cell r="D123" t="str">
            <v/>
          </cell>
          <cell r="E123" t="str">
            <v/>
          </cell>
          <cell r="F123" t="str">
            <v/>
          </cell>
          <cell r="J123" t="e">
            <v>#VALUE!</v>
          </cell>
          <cell r="K123" t="e">
            <v>#VALUE!</v>
          </cell>
          <cell r="L123" t="e">
            <v>#VALUE!</v>
          </cell>
        </row>
        <row r="124">
          <cell r="A124">
            <v>116</v>
          </cell>
          <cell r="B124" t="str">
            <v>116</v>
          </cell>
          <cell r="D124" t="str">
            <v/>
          </cell>
          <cell r="E124" t="str">
            <v/>
          </cell>
          <cell r="F124" t="str">
            <v/>
          </cell>
          <cell r="J124" t="e">
            <v>#VALUE!</v>
          </cell>
          <cell r="K124" t="e">
            <v>#VALUE!</v>
          </cell>
          <cell r="L124" t="e">
            <v>#VALUE!</v>
          </cell>
        </row>
        <row r="125">
          <cell r="A125">
            <v>117</v>
          </cell>
          <cell r="B125" t="str">
            <v>117</v>
          </cell>
          <cell r="D125" t="str">
            <v/>
          </cell>
          <cell r="E125" t="str">
            <v/>
          </cell>
          <cell r="F125" t="str">
            <v/>
          </cell>
          <cell r="J125" t="e">
            <v>#VALUE!</v>
          </cell>
          <cell r="K125" t="e">
            <v>#VALUE!</v>
          </cell>
          <cell r="L125" t="e">
            <v>#VALUE!</v>
          </cell>
        </row>
        <row r="126">
          <cell r="A126">
            <v>118</v>
          </cell>
          <cell r="B126" t="str">
            <v>118</v>
          </cell>
          <cell r="D126" t="str">
            <v/>
          </cell>
          <cell r="E126" t="str">
            <v/>
          </cell>
          <cell r="F126" t="str">
            <v/>
          </cell>
          <cell r="I126" t="str">
            <v>Баранов В.В.</v>
          </cell>
          <cell r="J126" t="e">
            <v>#VALUE!</v>
          </cell>
          <cell r="K126" t="e">
            <v>#VALUE!</v>
          </cell>
          <cell r="L126" t="e">
            <v>#VALUE!</v>
          </cell>
        </row>
        <row r="127">
          <cell r="A127">
            <v>119</v>
          </cell>
          <cell r="B127" t="str">
            <v>119</v>
          </cell>
          <cell r="D127" t="str">
            <v/>
          </cell>
          <cell r="E127" t="str">
            <v/>
          </cell>
          <cell r="F127" t="str">
            <v/>
          </cell>
          <cell r="I127" t="str">
            <v>Газарьян Ю.С., Каустов К.С.</v>
          </cell>
          <cell r="J127" t="e">
            <v>#VALUE!</v>
          </cell>
          <cell r="K127" t="e">
            <v>#VALUE!</v>
          </cell>
          <cell r="L127" t="e">
            <v>#VALUE!</v>
          </cell>
        </row>
        <row r="128">
          <cell r="A128">
            <v>120</v>
          </cell>
          <cell r="B128" t="str">
            <v>120</v>
          </cell>
          <cell r="D128" t="str">
            <v/>
          </cell>
          <cell r="E128" t="str">
            <v/>
          </cell>
          <cell r="F128" t="str">
            <v/>
          </cell>
          <cell r="I128" t="str">
            <v>Зыкин П.Н.</v>
          </cell>
          <cell r="J128" t="e">
            <v>#VALUE!</v>
          </cell>
          <cell r="K128" t="e">
            <v>#VALUE!</v>
          </cell>
          <cell r="L128" t="e">
            <v>#VALUE!</v>
          </cell>
        </row>
        <row r="129">
          <cell r="A129">
            <v>121</v>
          </cell>
          <cell r="B129" t="str">
            <v>121</v>
          </cell>
          <cell r="D129" t="str">
            <v/>
          </cell>
          <cell r="E129" t="str">
            <v/>
          </cell>
          <cell r="F129" t="str">
            <v/>
          </cell>
          <cell r="I129" t="str">
            <v>Упинина Н.О</v>
          </cell>
          <cell r="J129" t="e">
            <v>#VALUE!</v>
          </cell>
          <cell r="K129" t="e">
            <v>#VALUE!</v>
          </cell>
          <cell r="L129" t="e">
            <v>#VALUE!</v>
          </cell>
        </row>
        <row r="130">
          <cell r="A130">
            <v>122</v>
          </cell>
          <cell r="B130" t="str">
            <v>122</v>
          </cell>
          <cell r="D130" t="str">
            <v/>
          </cell>
          <cell r="E130" t="str">
            <v/>
          </cell>
          <cell r="F130" t="str">
            <v/>
          </cell>
          <cell r="I130" t="str">
            <v>Щесюк С.В., Чекуров Д.В.</v>
          </cell>
          <cell r="J130" t="e">
            <v>#VALUE!</v>
          </cell>
          <cell r="K130" t="e">
            <v>#VALUE!</v>
          </cell>
          <cell r="L130" t="e">
            <v>#VALUE!</v>
          </cell>
        </row>
        <row r="131">
          <cell r="A131">
            <v>123</v>
          </cell>
          <cell r="B131" t="str">
            <v>123</v>
          </cell>
          <cell r="D131" t="str">
            <v/>
          </cell>
          <cell r="E131" t="str">
            <v/>
          </cell>
          <cell r="F131" t="str">
            <v/>
          </cell>
          <cell r="I131" t="str">
            <v>Минина О.В., Корскаов Е.В.</v>
          </cell>
          <cell r="J131" t="e">
            <v>#VALUE!</v>
          </cell>
          <cell r="K131" t="e">
            <v>#VALUE!</v>
          </cell>
          <cell r="L131" t="e">
            <v>#VALUE!</v>
          </cell>
        </row>
        <row r="132">
          <cell r="A132">
            <v>124</v>
          </cell>
          <cell r="B132" t="str">
            <v>124</v>
          </cell>
          <cell r="D132" t="str">
            <v/>
          </cell>
          <cell r="E132" t="str">
            <v/>
          </cell>
          <cell r="F132" t="str">
            <v/>
          </cell>
          <cell r="I132" t="str">
            <v>Перевезенцев М.В., Гусев В.В.</v>
          </cell>
          <cell r="J132" t="e">
            <v>#VALUE!</v>
          </cell>
          <cell r="K132" t="e">
            <v>#VALUE!</v>
          </cell>
          <cell r="L132" t="e">
            <v>#VALUE!</v>
          </cell>
        </row>
        <row r="133">
          <cell r="A133">
            <v>125</v>
          </cell>
          <cell r="B133" t="str">
            <v>125</v>
          </cell>
          <cell r="D133" t="str">
            <v/>
          </cell>
          <cell r="E133" t="str">
            <v/>
          </cell>
          <cell r="F133" t="str">
            <v/>
          </cell>
          <cell r="I133" t="str">
            <v>Щесюк С.В., Чекуров Д.В.</v>
          </cell>
          <cell r="J133" t="e">
            <v>#VALUE!</v>
          </cell>
          <cell r="K133" t="e">
            <v>#VALUE!</v>
          </cell>
          <cell r="L133" t="e">
            <v>#VALUE!</v>
          </cell>
        </row>
        <row r="134">
          <cell r="A134">
            <v>126</v>
          </cell>
          <cell r="B134" t="str">
            <v>126</v>
          </cell>
          <cell r="D134" t="str">
            <v/>
          </cell>
          <cell r="E134" t="str">
            <v/>
          </cell>
          <cell r="F134" t="str">
            <v/>
          </cell>
          <cell r="I134" t="str">
            <v>Мочалов В.А., Шишкин Л.С.</v>
          </cell>
          <cell r="J134" t="e">
            <v>#VALUE!</v>
          </cell>
          <cell r="K134" t="e">
            <v>#VALUE!</v>
          </cell>
          <cell r="L134" t="e">
            <v>#VALUE!</v>
          </cell>
        </row>
        <row r="135">
          <cell r="A135">
            <v>127</v>
          </cell>
          <cell r="B135" t="str">
            <v>127</v>
          </cell>
          <cell r="D135" t="str">
            <v/>
          </cell>
          <cell r="E135" t="str">
            <v/>
          </cell>
          <cell r="F135" t="str">
            <v/>
          </cell>
          <cell r="I135" t="str">
            <v>Вязова Е.Л</v>
          </cell>
          <cell r="J135" t="e">
            <v>#VALUE!</v>
          </cell>
          <cell r="K135" t="e">
            <v>#VALUE!</v>
          </cell>
          <cell r="L135" t="e">
            <v>#VALUE!</v>
          </cell>
        </row>
        <row r="136">
          <cell r="A136">
            <v>128</v>
          </cell>
          <cell r="B136" t="str">
            <v>128</v>
          </cell>
          <cell r="D136" t="str">
            <v/>
          </cell>
          <cell r="E136" t="str">
            <v/>
          </cell>
          <cell r="F136" t="str">
            <v/>
          </cell>
          <cell r="I136" t="str">
            <v>Кириллова Т.П.</v>
          </cell>
          <cell r="J136" t="e">
            <v>#VALUE!</v>
          </cell>
          <cell r="K136" t="e">
            <v>#VALUE!</v>
          </cell>
          <cell r="L136" t="e">
            <v>#VALUE!</v>
          </cell>
        </row>
        <row r="137">
          <cell r="A137">
            <v>129</v>
          </cell>
          <cell r="B137" t="str">
            <v>129</v>
          </cell>
          <cell r="D137" t="str">
            <v/>
          </cell>
          <cell r="E137" t="str">
            <v/>
          </cell>
          <cell r="F137" t="str">
            <v/>
          </cell>
          <cell r="I137" t="str">
            <v>Абакумова И.А.</v>
          </cell>
          <cell r="J137" t="e">
            <v>#VALUE!</v>
          </cell>
          <cell r="K137" t="e">
            <v>#VALUE!</v>
          </cell>
          <cell r="L137" t="e">
            <v>#VALUE!</v>
          </cell>
        </row>
        <row r="138">
          <cell r="A138">
            <v>130</v>
          </cell>
          <cell r="B138" t="str">
            <v>130</v>
          </cell>
          <cell r="D138" t="str">
            <v/>
          </cell>
          <cell r="E138" t="str">
            <v/>
          </cell>
          <cell r="F138" t="str">
            <v/>
          </cell>
          <cell r="I138" t="str">
            <v>Пивкина С.И.</v>
          </cell>
          <cell r="J138" t="e">
            <v>#VALUE!</v>
          </cell>
          <cell r="K138" t="e">
            <v>#VALUE!</v>
          </cell>
          <cell r="L138" t="e">
            <v>#VALUE!</v>
          </cell>
        </row>
        <row r="139">
          <cell r="A139">
            <v>131</v>
          </cell>
          <cell r="B139" t="str">
            <v>131</v>
          </cell>
          <cell r="D139" t="str">
            <v/>
          </cell>
          <cell r="E139" t="str">
            <v/>
          </cell>
          <cell r="F139" t="str">
            <v/>
          </cell>
          <cell r="I139" t="str">
            <v>Елисеева Т.Н.</v>
          </cell>
          <cell r="J139" t="e">
            <v>#VALUE!</v>
          </cell>
          <cell r="K139" t="e">
            <v>#VALUE!</v>
          </cell>
          <cell r="L139" t="e">
            <v>#VALUE!</v>
          </cell>
        </row>
        <row r="140">
          <cell r="A140">
            <v>132</v>
          </cell>
          <cell r="B140" t="str">
            <v>132</v>
          </cell>
          <cell r="D140" t="str">
            <v/>
          </cell>
          <cell r="E140" t="str">
            <v/>
          </cell>
          <cell r="F140" t="str">
            <v/>
          </cell>
          <cell r="I140" t="str">
            <v>Молодцева Н.А.</v>
          </cell>
          <cell r="J140" t="e">
            <v>#VALUE!</v>
          </cell>
          <cell r="K140" t="e">
            <v>#VALUE!</v>
          </cell>
          <cell r="L140" t="e">
            <v>#VALUE!</v>
          </cell>
        </row>
        <row r="141">
          <cell r="A141">
            <v>133</v>
          </cell>
          <cell r="B141" t="str">
            <v>133</v>
          </cell>
          <cell r="D141" t="str">
            <v/>
          </cell>
          <cell r="E141" t="str">
            <v/>
          </cell>
          <cell r="F141" t="str">
            <v/>
          </cell>
          <cell r="I141" t="str">
            <v>Баранов В.В.</v>
          </cell>
          <cell r="J141" t="e">
            <v>#VALUE!</v>
          </cell>
          <cell r="K141" t="e">
            <v>#VALUE!</v>
          </cell>
          <cell r="L141" t="e">
            <v>#VALUE!</v>
          </cell>
        </row>
        <row r="142">
          <cell r="A142">
            <v>134</v>
          </cell>
          <cell r="B142" t="str">
            <v>134</v>
          </cell>
          <cell r="D142" t="str">
            <v/>
          </cell>
          <cell r="E142" t="str">
            <v/>
          </cell>
          <cell r="F142" t="str">
            <v/>
          </cell>
          <cell r="I142" t="str">
            <v>Сеничева М.Г., Струговщиков Д.А.</v>
          </cell>
          <cell r="J142" t="e">
            <v>#VALUE!</v>
          </cell>
          <cell r="K142" t="e">
            <v>#VALUE!</v>
          </cell>
          <cell r="L142" t="e">
            <v>#VALUE!</v>
          </cell>
        </row>
        <row r="143">
          <cell r="A143">
            <v>135</v>
          </cell>
          <cell r="B143" t="str">
            <v>135</v>
          </cell>
          <cell r="D143" t="str">
            <v/>
          </cell>
          <cell r="E143" t="str">
            <v/>
          </cell>
          <cell r="F143" t="str">
            <v/>
          </cell>
          <cell r="I143" t="str">
            <v>Захарова Е.И.</v>
          </cell>
          <cell r="J143" t="e">
            <v>#VALUE!</v>
          </cell>
          <cell r="K143" t="e">
            <v>#VALUE!</v>
          </cell>
          <cell r="L143" t="e">
            <v>#VALUE!</v>
          </cell>
        </row>
        <row r="144">
          <cell r="A144">
            <v>136</v>
          </cell>
          <cell r="B144" t="str">
            <v>136</v>
          </cell>
          <cell r="D144" t="str">
            <v/>
          </cell>
          <cell r="E144" t="str">
            <v/>
          </cell>
          <cell r="F144" t="str">
            <v/>
          </cell>
          <cell r="I144" t="str">
            <v>Щербинина Н.А.</v>
          </cell>
          <cell r="J144" t="e">
            <v>#VALUE!</v>
          </cell>
          <cell r="K144" t="e">
            <v>#VALUE!</v>
          </cell>
          <cell r="L144" t="e">
            <v>#VALUE!</v>
          </cell>
        </row>
        <row r="145">
          <cell r="A145">
            <v>137</v>
          </cell>
          <cell r="B145" t="str">
            <v>137</v>
          </cell>
          <cell r="D145" t="str">
            <v/>
          </cell>
          <cell r="E145" t="str">
            <v/>
          </cell>
          <cell r="F145" t="str">
            <v/>
          </cell>
          <cell r="I145" t="str">
            <v>Вязова Е.Л.</v>
          </cell>
          <cell r="J145" t="e">
            <v>#VALUE!</v>
          </cell>
          <cell r="K145" t="e">
            <v>#VALUE!</v>
          </cell>
          <cell r="L145" t="e">
            <v>#VALUE!</v>
          </cell>
        </row>
        <row r="146">
          <cell r="A146">
            <v>138</v>
          </cell>
          <cell r="B146" t="str">
            <v>138</v>
          </cell>
          <cell r="D146" t="str">
            <v/>
          </cell>
          <cell r="E146" t="str">
            <v/>
          </cell>
          <cell r="F146" t="str">
            <v/>
          </cell>
          <cell r="I146" t="str">
            <v>Хоменко В.В.</v>
          </cell>
          <cell r="J146" t="e">
            <v>#VALUE!</v>
          </cell>
          <cell r="K146" t="e">
            <v>#VALUE!</v>
          </cell>
          <cell r="L146" t="e">
            <v>#VALUE!</v>
          </cell>
        </row>
        <row r="147">
          <cell r="A147">
            <v>139</v>
          </cell>
          <cell r="B147" t="str">
            <v>139</v>
          </cell>
          <cell r="D147" t="str">
            <v/>
          </cell>
          <cell r="E147" t="str">
            <v/>
          </cell>
          <cell r="F147" t="str">
            <v/>
          </cell>
          <cell r="J147" t="e">
            <v>#VALUE!</v>
          </cell>
          <cell r="K147" t="e">
            <v>#VALUE!</v>
          </cell>
          <cell r="L147" t="e">
            <v>#VALUE!</v>
          </cell>
        </row>
        <row r="148">
          <cell r="A148">
            <v>140</v>
          </cell>
          <cell r="B148" t="str">
            <v>140</v>
          </cell>
          <cell r="D148" t="str">
            <v/>
          </cell>
          <cell r="E148" t="str">
            <v/>
          </cell>
        </row>
        <row r="149">
          <cell r="A149">
            <v>141</v>
          </cell>
          <cell r="C149" t="str">
            <v>Главный судья</v>
          </cell>
          <cell r="I149" t="str">
            <v>Гусев В. В.</v>
          </cell>
        </row>
        <row r="151">
          <cell r="C151" t="str">
            <v>Главный секретарь</v>
          </cell>
          <cell r="I151" t="str">
            <v>Белова С.Н.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2060"/>
  </sheetPr>
  <dimension ref="A1:P122"/>
  <sheetViews>
    <sheetView tabSelected="1" view="pageBreakPreview" topLeftCell="B46" zoomScaleNormal="100" zoomScaleSheetLayoutView="100" workbookViewId="0">
      <selection activeCell="M54" sqref="M54"/>
    </sheetView>
  </sheetViews>
  <sheetFormatPr defaultRowHeight="12.75" outlineLevelCol="1" x14ac:dyDescent="0.2"/>
  <cols>
    <col min="1" max="1" width="6" hidden="1" customWidth="1" outlineLevel="1"/>
    <col min="2" max="2" width="6.83203125" customWidth="1" collapsed="1"/>
    <col min="3" max="3" width="45.83203125" customWidth="1"/>
    <col min="4" max="4" width="20.6640625" customWidth="1"/>
    <col min="5" max="5" width="11.5" customWidth="1"/>
    <col min="6" max="6" width="31.6640625" customWidth="1"/>
    <col min="7" max="7" width="30.6640625" hidden="1" customWidth="1"/>
    <col min="8" max="8" width="11.1640625" customWidth="1"/>
    <col min="9" max="9" width="41.1640625" customWidth="1"/>
    <col min="10" max="10" width="17.6640625" hidden="1" customWidth="1" outlineLevel="1"/>
    <col min="11" max="11" width="4.83203125" hidden="1" customWidth="1" outlineLevel="1"/>
    <col min="12" max="12" width="15.5" hidden="1" customWidth="1" outlineLevel="1"/>
    <col min="13" max="13" width="12.1640625" customWidth="1" collapsed="1"/>
    <col min="14" max="14" width="6" customWidth="1"/>
  </cols>
  <sheetData>
    <row r="1" spans="1:14" ht="15.75" x14ac:dyDescent="0.25">
      <c r="A1" s="1126" t="s">
        <v>9440</v>
      </c>
      <c r="B1" s="1126"/>
      <c r="C1" s="1126"/>
      <c r="D1" s="1126"/>
      <c r="E1" s="1126"/>
      <c r="F1" s="1126"/>
      <c r="G1" s="1126"/>
      <c r="H1" s="1126"/>
      <c r="I1" s="1126"/>
      <c r="J1" s="91"/>
      <c r="K1" s="91"/>
      <c r="L1" s="91"/>
    </row>
    <row r="2" spans="1:14" ht="16.5" thickBot="1" x14ac:dyDescent="0.3">
      <c r="A2" s="1125" t="s">
        <v>9441</v>
      </c>
      <c r="B2" s="1125"/>
      <c r="C2" s="1125"/>
      <c r="D2" s="1125"/>
      <c r="E2" s="1125"/>
      <c r="F2" s="1125"/>
      <c r="G2" s="1125"/>
      <c r="H2" s="1125"/>
      <c r="I2" s="1125"/>
      <c r="J2" s="91"/>
      <c r="K2" s="91"/>
      <c r="L2" s="91"/>
    </row>
    <row r="3" spans="1:14" ht="19.5" thickBot="1" x14ac:dyDescent="0.25">
      <c r="A3" s="195"/>
      <c r="B3" s="195"/>
      <c r="C3" s="195" t="s">
        <v>9442</v>
      </c>
      <c r="D3" s="195"/>
      <c r="E3" s="195"/>
      <c r="F3" s="195"/>
      <c r="G3" s="195"/>
      <c r="H3" s="195"/>
      <c r="I3" s="196" t="s">
        <v>9443</v>
      </c>
      <c r="J3" s="91"/>
      <c r="K3" s="91"/>
      <c r="L3" s="91"/>
    </row>
    <row r="4" spans="1:14" ht="16.5" thickBot="1" x14ac:dyDescent="0.25">
      <c r="A4" s="738"/>
      <c r="B4" s="739"/>
      <c r="C4" s="739"/>
      <c r="D4" s="1122" t="s">
        <v>1135</v>
      </c>
      <c r="E4" s="1122"/>
      <c r="F4" s="1122"/>
      <c r="G4" s="1122"/>
      <c r="H4" s="1122"/>
      <c r="I4" s="739"/>
      <c r="J4" s="91"/>
      <c r="K4" s="91"/>
      <c r="L4" s="91"/>
    </row>
    <row r="5" spans="1:14" ht="11.25" customHeight="1" x14ac:dyDescent="0.25">
      <c r="A5" s="707"/>
      <c r="B5" s="707"/>
      <c r="C5" s="707"/>
      <c r="D5" s="1123"/>
      <c r="E5" s="1123"/>
      <c r="F5" s="1123"/>
      <c r="G5" s="1123"/>
      <c r="H5" s="1123"/>
      <c r="I5" s="707"/>
      <c r="J5" s="91"/>
      <c r="K5" s="91"/>
      <c r="L5" s="91"/>
    </row>
    <row r="6" spans="1:14" ht="15.75" x14ac:dyDescent="0.25">
      <c r="A6" s="92"/>
      <c r="B6" s="91"/>
      <c r="C6" s="91"/>
      <c r="D6" s="1124" t="s">
        <v>765</v>
      </c>
      <c r="E6" s="1124"/>
      <c r="F6" s="1124"/>
      <c r="G6" s="1124"/>
      <c r="H6" s="1124"/>
      <c r="I6" s="94"/>
      <c r="J6" s="91"/>
      <c r="K6" s="91"/>
      <c r="L6" s="91"/>
    </row>
    <row r="7" spans="1:14" ht="13.5" thickBot="1" x14ac:dyDescent="0.25">
      <c r="A7" s="92"/>
      <c r="B7" s="91"/>
      <c r="C7" s="91"/>
      <c r="D7" s="93"/>
      <c r="E7" s="91"/>
      <c r="F7" s="94"/>
      <c r="G7" s="94"/>
      <c r="H7" s="94"/>
      <c r="I7" s="94"/>
      <c r="J7" s="91"/>
      <c r="K7" s="91"/>
      <c r="L7" s="91"/>
    </row>
    <row r="8" spans="1:14" ht="17.25" thickTop="1" thickBot="1" x14ac:dyDescent="0.25">
      <c r="A8" s="92"/>
      <c r="B8" s="95" t="s">
        <v>3</v>
      </c>
      <c r="C8" s="96" t="s">
        <v>4</v>
      </c>
      <c r="D8" s="97" t="s">
        <v>5</v>
      </c>
      <c r="E8" s="95" t="s">
        <v>6</v>
      </c>
      <c r="F8" s="95" t="s">
        <v>44</v>
      </c>
      <c r="G8" s="98"/>
      <c r="H8" s="98" t="s">
        <v>915</v>
      </c>
      <c r="I8" s="98" t="s">
        <v>57</v>
      </c>
      <c r="J8" s="91"/>
      <c r="K8" s="91"/>
      <c r="L8" s="91"/>
      <c r="M8" s="122" t="s">
        <v>100</v>
      </c>
    </row>
    <row r="9" spans="1:14" ht="17.25" thickTop="1" thickBot="1" x14ac:dyDescent="0.25">
      <c r="A9" s="99">
        <v>1</v>
      </c>
      <c r="B9" s="115" t="s">
        <v>7</v>
      </c>
      <c r="C9" s="814" t="s">
        <v>12186</v>
      </c>
      <c r="D9" s="101">
        <v>37553</v>
      </c>
      <c r="E9" s="197">
        <f>IF(C9="","",LOOKUP(C9,'R-Муж'!C:C,'R-Муж'!B:B))</f>
        <v>552</v>
      </c>
      <c r="F9" s="102" t="s">
        <v>105</v>
      </c>
      <c r="G9" s="117"/>
      <c r="H9" s="117" t="s">
        <v>12062</v>
      </c>
      <c r="I9" s="103" t="s">
        <v>12063</v>
      </c>
      <c r="J9" s="104" t="str">
        <f t="shared" ref="J9:J33" si="0">MID(C9,1,SEARCH(" ",C9)-1)</f>
        <v>БОКОВ</v>
      </c>
      <c r="K9" s="104" t="str">
        <f t="shared" ref="K9:K33" si="1">MID(C9,SEARCH(" ",C9)+1,1)</f>
        <v>М</v>
      </c>
      <c r="L9" s="104" t="str">
        <f t="shared" ref="L9:L40" si="2">CONCATENATE(J9," ",K9,".")</f>
        <v>БОКОВ М.</v>
      </c>
      <c r="M9" s="123">
        <v>2</v>
      </c>
      <c r="N9" t="e">
        <f>SUMIF('R-Муж'!#REF!,C9,'R-Муж'!F:F)</f>
        <v>#REF!</v>
      </c>
    </row>
    <row r="10" spans="1:14" ht="17.25" thickTop="1" thickBot="1" x14ac:dyDescent="0.25">
      <c r="A10" s="99">
        <v>2</v>
      </c>
      <c r="B10" s="116" t="s">
        <v>906</v>
      </c>
      <c r="C10" s="100" t="s">
        <v>12073</v>
      </c>
      <c r="D10" s="101" t="str">
        <f>IF(C10="","",VLOOKUP(C10,'R-Муж'!C:D,2,FALSE))</f>
        <v>14.10.2002</v>
      </c>
      <c r="E10" s="197">
        <f>IF(C10="","",LOOKUP(C10,'R-Муж'!C:C,'R-Муж'!B:B))</f>
        <v>472</v>
      </c>
      <c r="F10" s="102" t="str">
        <f>IF(C10="","",VLOOKUP(C10,'R-Муж'!C:E,3,FALSE))</f>
        <v>Москва</v>
      </c>
      <c r="G10" s="117"/>
      <c r="H10" s="117">
        <v>2</v>
      </c>
      <c r="I10" s="103" t="s">
        <v>12072</v>
      </c>
      <c r="J10" s="886" t="str">
        <f t="shared" si="0"/>
        <v>СОДЫЛЬ</v>
      </c>
      <c r="K10" s="886" t="str">
        <f t="shared" si="1"/>
        <v>М</v>
      </c>
      <c r="L10" s="886" t="str">
        <f t="shared" si="2"/>
        <v>СОДЫЛЬ М.</v>
      </c>
      <c r="M10" s="123">
        <v>1</v>
      </c>
      <c r="N10" t="e">
        <f>SUMIF('R-Муж'!#REF!,C10,'R-Муж'!F:F)</f>
        <v>#REF!</v>
      </c>
    </row>
    <row r="11" spans="1:14" ht="17.25" thickTop="1" thickBot="1" x14ac:dyDescent="0.3">
      <c r="A11" s="99">
        <v>3</v>
      </c>
      <c r="B11" s="115" t="s">
        <v>897</v>
      </c>
      <c r="C11" s="105" t="s">
        <v>12025</v>
      </c>
      <c r="D11" s="101" t="str">
        <f>IF(C11="","",VLOOKUP(C11,'R-Муж'!C:D,2,FALSE))</f>
        <v>21.09.2004</v>
      </c>
      <c r="E11" s="197">
        <f>IF(C11="","",LOOKUP(C11,'R-Муж'!C:C,'R-Муж'!B:B))</f>
        <v>378</v>
      </c>
      <c r="F11" s="102" t="str">
        <f>IF(C11="","",VLOOKUP(C11,'R-Муж'!C:E,3,FALSE))</f>
        <v>Н.Новгород</v>
      </c>
      <c r="G11" s="190"/>
      <c r="H11" s="198">
        <v>2</v>
      </c>
      <c r="I11" s="103" t="s">
        <v>12026</v>
      </c>
      <c r="J11" s="118" t="str">
        <f t="shared" si="0"/>
        <v>РАМС</v>
      </c>
      <c r="K11" s="119" t="str">
        <f t="shared" si="1"/>
        <v>С</v>
      </c>
      <c r="L11" s="119" t="str">
        <f t="shared" si="2"/>
        <v>РАМС С.</v>
      </c>
      <c r="M11" s="123">
        <v>16</v>
      </c>
      <c r="N11" t="e">
        <f>SUMIF('R-Муж'!#REF!,C11,'R-Муж'!F:F)</f>
        <v>#REF!</v>
      </c>
    </row>
    <row r="12" spans="1:14" ht="17.25" thickTop="1" thickBot="1" x14ac:dyDescent="0.3">
      <c r="A12" s="99">
        <v>4</v>
      </c>
      <c r="B12" s="116" t="s">
        <v>909</v>
      </c>
      <c r="C12" s="105" t="s">
        <v>12129</v>
      </c>
      <c r="D12" s="101" t="str">
        <f>IF(C12="","",VLOOKUP(C12,'R-Муж'!C:D,2,FALSE))</f>
        <v>07.08.2003</v>
      </c>
      <c r="E12" s="197">
        <f>IF(C12="","",LOOKUP(C12,'R-Муж'!C:C,'R-Муж'!B:B))</f>
        <v>348</v>
      </c>
      <c r="F12" s="102" t="s">
        <v>12317</v>
      </c>
      <c r="G12" s="190"/>
      <c r="H12" s="198">
        <v>1</v>
      </c>
      <c r="I12" s="106" t="s">
        <v>12130</v>
      </c>
      <c r="J12" s="104" t="str">
        <f t="shared" si="0"/>
        <v>СТАШКОВСКИЙ</v>
      </c>
      <c r="K12" s="104" t="str">
        <f t="shared" si="1"/>
        <v>Г</v>
      </c>
      <c r="L12" s="104" t="str">
        <f t="shared" si="2"/>
        <v>СТАШКОВСКИЙ Г.</v>
      </c>
      <c r="M12" s="123">
        <v>2</v>
      </c>
      <c r="N12" t="e">
        <f>SUMIF('R-Муж'!#REF!,C12,'R-Муж'!F:F)</f>
        <v>#REF!</v>
      </c>
    </row>
    <row r="13" spans="1:14" ht="17.25" thickTop="1" thickBot="1" x14ac:dyDescent="0.3">
      <c r="A13" s="99">
        <v>5</v>
      </c>
      <c r="B13" s="115" t="s">
        <v>64</v>
      </c>
      <c r="C13" s="978" t="s">
        <v>12037</v>
      </c>
      <c r="D13" s="101" t="str">
        <f>IF(C13="","",VLOOKUP(C13,'R-Муж'!C:D,2,FALSE))</f>
        <v>18.06.2003</v>
      </c>
      <c r="E13" s="197">
        <f>IF(C13="","",LOOKUP(C13,'R-Муж'!C:C,'R-Муж'!B:B))</f>
        <v>338</v>
      </c>
      <c r="F13" s="102" t="str">
        <f>IF(C13="","",VLOOKUP(C13,'R-Муж'!C:E,3,FALSE))</f>
        <v>Москва</v>
      </c>
      <c r="G13" s="190"/>
      <c r="H13" s="198">
        <v>1</v>
      </c>
      <c r="I13" s="106" t="s">
        <v>12035</v>
      </c>
      <c r="J13" s="886" t="str">
        <f t="shared" si="0"/>
        <v>МИРОНОВ</v>
      </c>
      <c r="K13" s="886" t="str">
        <f t="shared" si="1"/>
        <v>Е</v>
      </c>
      <c r="L13" s="886" t="str">
        <f t="shared" si="2"/>
        <v>МИРОНОВ Е.</v>
      </c>
      <c r="M13" s="123">
        <v>6</v>
      </c>
      <c r="N13" t="e">
        <f>SUMIF('R-Муж'!#REF!,C13,'R-Муж'!F:F)</f>
        <v>#REF!</v>
      </c>
    </row>
    <row r="14" spans="1:14" ht="17.25" thickTop="1" thickBot="1" x14ac:dyDescent="0.3">
      <c r="A14" s="99">
        <v>6</v>
      </c>
      <c r="B14" s="116" t="s">
        <v>17</v>
      </c>
      <c r="C14" s="105" t="s">
        <v>12068</v>
      </c>
      <c r="D14" s="101" t="str">
        <f>IF(C14="","",VLOOKUP(C14,'R-Муж'!C:D,2,FALSE))</f>
        <v>06.05.2002</v>
      </c>
      <c r="E14" s="197">
        <f>IF(C14="","",LOOKUP(C14,'R-Муж'!C:C,'R-Муж'!B:B))</f>
        <v>326</v>
      </c>
      <c r="F14" s="102" t="str">
        <f>IF(C14="","",VLOOKUP(C14,'R-Муж'!C:E,3,FALSE))</f>
        <v>Жуковский</v>
      </c>
      <c r="G14" s="117"/>
      <c r="H14" s="117">
        <v>1</v>
      </c>
      <c r="I14" s="106" t="s">
        <v>12070</v>
      </c>
      <c r="J14" s="104" t="str">
        <f t="shared" si="0"/>
        <v>БАТАЛОВ</v>
      </c>
      <c r="K14" s="104" t="str">
        <f t="shared" si="1"/>
        <v>А</v>
      </c>
      <c r="L14" s="104" t="str">
        <f t="shared" si="2"/>
        <v>БАТАЛОВ А.</v>
      </c>
      <c r="M14" s="123">
        <v>4</v>
      </c>
      <c r="N14" t="e">
        <f>SUMIF('R-Муж'!#REF!,C14,'R-Муж'!F:F)</f>
        <v>#REF!</v>
      </c>
    </row>
    <row r="15" spans="1:14" ht="17.25" thickTop="1" thickBot="1" x14ac:dyDescent="0.3">
      <c r="A15" s="99">
        <v>7</v>
      </c>
      <c r="B15" s="115" t="s">
        <v>13</v>
      </c>
      <c r="C15" s="978" t="s">
        <v>12038</v>
      </c>
      <c r="D15" s="101" t="str">
        <f>IF(C15="","",VLOOKUP(C15,'R-Муж'!C:D,2,FALSE))</f>
        <v>25.12.2002</v>
      </c>
      <c r="E15" s="197">
        <f>IF(C15="","",LOOKUP(C15,'R-Муж'!C:C,'R-Муж'!B:B))</f>
        <v>321</v>
      </c>
      <c r="F15" s="102" t="str">
        <f>IF(C15="","",VLOOKUP(C15,'R-Муж'!C:E,3,FALSE))</f>
        <v>Москва</v>
      </c>
      <c r="G15" s="117"/>
      <c r="H15" s="117">
        <v>1</v>
      </c>
      <c r="I15" s="106" t="s">
        <v>12035</v>
      </c>
      <c r="J15" s="886" t="str">
        <f t="shared" si="0"/>
        <v>КАЛИМУЛЛИН</v>
      </c>
      <c r="K15" s="886" t="str">
        <f t="shared" si="1"/>
        <v>К</v>
      </c>
      <c r="L15" s="886" t="str">
        <f t="shared" si="2"/>
        <v>КАЛИМУЛЛИН К.</v>
      </c>
      <c r="M15" s="123">
        <v>9</v>
      </c>
      <c r="N15" t="e">
        <f>SUMIF('R-Муж'!#REF!,C15,'R-Муж'!F:F)</f>
        <v>#REF!</v>
      </c>
    </row>
    <row r="16" spans="1:14" ht="17.25" thickTop="1" thickBot="1" x14ac:dyDescent="0.25">
      <c r="A16" s="99">
        <v>8</v>
      </c>
      <c r="B16" s="116" t="s">
        <v>67</v>
      </c>
      <c r="C16" s="977" t="s">
        <v>12060</v>
      </c>
      <c r="D16" s="101">
        <v>37478</v>
      </c>
      <c r="E16" s="197">
        <f>IF(C16="","",LOOKUP(C16,'R-Муж'!C:C,'R-Муж'!B:B))</f>
        <v>286</v>
      </c>
      <c r="F16" s="997" t="str">
        <f>IF(C16="","",VLOOKUP(C16,'R-Муж'!C:E,3,FALSE))</f>
        <v>Нальчик</v>
      </c>
      <c r="G16" s="117"/>
      <c r="H16" s="117">
        <v>1</v>
      </c>
      <c r="I16" s="106" t="s">
        <v>12061</v>
      </c>
      <c r="J16" s="886" t="str">
        <f t="shared" si="0"/>
        <v>МУКОВ</v>
      </c>
      <c r="K16" s="886" t="str">
        <f t="shared" si="1"/>
        <v>Р</v>
      </c>
      <c r="L16" s="886" t="str">
        <f t="shared" si="2"/>
        <v>МУКОВ Р.</v>
      </c>
      <c r="M16" s="123">
        <v>24</v>
      </c>
      <c r="N16" t="e">
        <f>SUMIF('R-Муж'!#REF!,C16,'R-Муж'!F:F)</f>
        <v>#REF!</v>
      </c>
    </row>
    <row r="17" spans="1:14" ht="17.25" thickTop="1" thickBot="1" x14ac:dyDescent="0.3">
      <c r="A17" s="99">
        <v>9</v>
      </c>
      <c r="B17" s="115" t="s">
        <v>900</v>
      </c>
      <c r="C17" s="105" t="s">
        <v>12074</v>
      </c>
      <c r="D17" s="101" t="str">
        <f>IF(C17="","",VLOOKUP(C17,'R-Муж'!C:D,2,FALSE))</f>
        <v>18.03.2004</v>
      </c>
      <c r="E17" s="197">
        <f>IF(C17="","",LOOKUP(C17,'R-Муж'!C:C,'R-Муж'!B:B))</f>
        <v>276</v>
      </c>
      <c r="F17" s="102" t="str">
        <f>IF(C17="","",VLOOKUP(C17,'R-Муж'!C:E,3,FALSE))</f>
        <v>Москва</v>
      </c>
      <c r="G17" s="190"/>
      <c r="H17" s="198">
        <v>2</v>
      </c>
      <c r="I17" s="106" t="s">
        <v>12072</v>
      </c>
      <c r="J17" s="886" t="str">
        <f t="shared" si="0"/>
        <v>САВЕЛЬЕВ</v>
      </c>
      <c r="K17" s="886" t="str">
        <f t="shared" si="1"/>
        <v>Н</v>
      </c>
      <c r="L17" s="886" t="str">
        <f t="shared" si="2"/>
        <v>САВЕЛЬЕВ Н.</v>
      </c>
      <c r="M17" s="123">
        <v>33</v>
      </c>
      <c r="N17" t="e">
        <f>SUMIF('R-Муж'!#REF!,C17,'R-Муж'!F:F)</f>
        <v>#REF!</v>
      </c>
    </row>
    <row r="18" spans="1:14" ht="17.25" thickTop="1" thickBot="1" x14ac:dyDescent="0.25">
      <c r="A18" s="99">
        <v>10</v>
      </c>
      <c r="B18" s="116" t="s">
        <v>910</v>
      </c>
      <c r="C18" s="100" t="s">
        <v>12198</v>
      </c>
      <c r="D18" s="101" t="s">
        <v>8290</v>
      </c>
      <c r="E18" s="197">
        <f>IF(C18="","",LOOKUP(C18,'R-Муж'!C:C,'R-Муж'!B:B))</f>
        <v>270</v>
      </c>
      <c r="F18" s="102" t="s">
        <v>72</v>
      </c>
      <c r="G18" s="117"/>
      <c r="H18" s="117">
        <v>2</v>
      </c>
      <c r="I18" s="106" t="s">
        <v>12032</v>
      </c>
      <c r="J18" s="118" t="str">
        <f t="shared" si="0"/>
        <v>СУЛТАНОВ</v>
      </c>
      <c r="K18" s="119" t="str">
        <f t="shared" si="1"/>
        <v>А</v>
      </c>
      <c r="L18" s="119" t="str">
        <f t="shared" si="2"/>
        <v>СУЛТАНОВ А.</v>
      </c>
      <c r="M18" s="123">
        <v>5</v>
      </c>
      <c r="N18" t="e">
        <f>SUMIF('R-Муж'!#REF!,C18,'R-Муж'!F:F)</f>
        <v>#REF!</v>
      </c>
    </row>
    <row r="19" spans="1:14" ht="17.25" thickTop="1" thickBot="1" x14ac:dyDescent="0.3">
      <c r="A19" s="99">
        <v>11</v>
      </c>
      <c r="B19" s="115" t="s">
        <v>77</v>
      </c>
      <c r="C19" s="105" t="s">
        <v>12149</v>
      </c>
      <c r="D19" s="101" t="str">
        <f>IF(C19="","",VLOOKUP(C19,'R-Муж'!C:D,2,FALSE))</f>
        <v>20.02.2003</v>
      </c>
      <c r="E19" s="197">
        <f>IF(C19="","",LOOKUP(C19,'R-Муж'!C:C,'R-Муж'!B:B))</f>
        <v>269</v>
      </c>
      <c r="F19" s="102" t="str">
        <f>IF(C19="","",VLOOKUP(C19,'R-Муж'!C:E,3,FALSE))</f>
        <v>Москва</v>
      </c>
      <c r="G19" s="190"/>
      <c r="H19" s="198">
        <v>1</v>
      </c>
      <c r="I19" s="106" t="s">
        <v>12153</v>
      </c>
      <c r="J19" s="104" t="str">
        <f t="shared" si="0"/>
        <v>ПАНФИЛОВ</v>
      </c>
      <c r="K19" s="104" t="str">
        <f t="shared" si="1"/>
        <v>Ф</v>
      </c>
      <c r="L19" s="104" t="str">
        <f t="shared" si="2"/>
        <v>ПАНФИЛОВ Ф.</v>
      </c>
      <c r="M19" s="123">
        <v>6</v>
      </c>
      <c r="N19" t="e">
        <f>SUMIF('R-Муж'!#REF!,C19,'R-Муж'!F:F)</f>
        <v>#REF!</v>
      </c>
    </row>
    <row r="20" spans="1:14" ht="17.25" thickTop="1" thickBot="1" x14ac:dyDescent="0.3">
      <c r="A20" s="99">
        <v>12</v>
      </c>
      <c r="B20" s="116" t="s">
        <v>87</v>
      </c>
      <c r="C20" s="105" t="s">
        <v>12152</v>
      </c>
      <c r="D20" s="101" t="str">
        <f>IF(C20="","",VLOOKUP(C20,'R-Муж'!C:D,2,FALSE))</f>
        <v>21.07.2005</v>
      </c>
      <c r="E20" s="197">
        <f>IF(C20="","",LOOKUP(C20,'R-Муж'!C:C,'R-Муж'!B:B))</f>
        <v>245</v>
      </c>
      <c r="F20" s="102" t="str">
        <f>IF(C20="","",VLOOKUP(C20,'R-Муж'!C:E,3,FALSE))</f>
        <v>Москва</v>
      </c>
      <c r="G20" s="190"/>
      <c r="H20" s="198">
        <v>1</v>
      </c>
      <c r="I20" s="106" t="s">
        <v>12153</v>
      </c>
      <c r="J20" s="104" t="str">
        <f t="shared" si="0"/>
        <v>ПОЛЯКОВ</v>
      </c>
      <c r="K20" s="104" t="str">
        <f t="shared" si="1"/>
        <v>В</v>
      </c>
      <c r="L20" s="104" t="str">
        <f t="shared" si="2"/>
        <v>ПОЛЯКОВ В.</v>
      </c>
      <c r="M20" s="123">
        <v>10</v>
      </c>
      <c r="N20" t="e">
        <f>SUMIF('R-Муж'!#REF!,C20,'R-Муж'!F:F)</f>
        <v>#REF!</v>
      </c>
    </row>
    <row r="21" spans="1:14" ht="17.25" thickTop="1" thickBot="1" x14ac:dyDescent="0.25">
      <c r="A21" s="99">
        <v>13</v>
      </c>
      <c r="B21" s="115" t="s">
        <v>48</v>
      </c>
      <c r="C21" s="981" t="s">
        <v>12045</v>
      </c>
      <c r="D21" s="101" t="str">
        <f>IF(C21="","",VLOOKUP(C21,'R-Муж'!C:D,2,FALSE))</f>
        <v>28.07.2002</v>
      </c>
      <c r="E21" s="197">
        <f>IF(C21="","",LOOKUP(C21,'R-Муж'!C:C,'R-Муж'!B:B))</f>
        <v>244</v>
      </c>
      <c r="F21" s="102" t="str">
        <f>IF(C21="","",VLOOKUP(C21,'R-Муж'!C:E,3,FALSE))</f>
        <v>Москва</v>
      </c>
      <c r="G21" s="117"/>
      <c r="H21" s="117">
        <v>1</v>
      </c>
      <c r="I21" s="106" t="s">
        <v>12046</v>
      </c>
      <c r="J21" s="886" t="str">
        <f t="shared" si="0"/>
        <v>ЛАЗАРЕВ</v>
      </c>
      <c r="K21" s="886" t="str">
        <f t="shared" si="1"/>
        <v>В</v>
      </c>
      <c r="L21" s="886" t="str">
        <f t="shared" si="2"/>
        <v>ЛАЗАРЕВ В.</v>
      </c>
      <c r="M21" s="123">
        <v>19</v>
      </c>
      <c r="N21" t="e">
        <f>SUMIF('R-Муж'!#REF!,C21,'R-Муж'!F:F)</f>
        <v>#REF!</v>
      </c>
    </row>
    <row r="22" spans="1:14" ht="17.25" thickTop="1" thickBot="1" x14ac:dyDescent="0.3">
      <c r="A22" s="99">
        <v>14</v>
      </c>
      <c r="B22" s="116" t="s">
        <v>78</v>
      </c>
      <c r="C22" s="105" t="s">
        <v>12027</v>
      </c>
      <c r="D22" s="101">
        <v>38692</v>
      </c>
      <c r="E22" s="197">
        <f>IF(C22="","",LOOKUP(C22,'R-Муж'!C:C,'R-Муж'!B:B))</f>
        <v>221</v>
      </c>
      <c r="F22" s="102" t="str">
        <f>IF(C22="","",VLOOKUP(C22,'R-Муж'!C:E,3,FALSE))</f>
        <v>Барнаул</v>
      </c>
      <c r="G22" s="117"/>
      <c r="H22" s="117">
        <v>3</v>
      </c>
      <c r="I22" s="106" t="s">
        <v>12028</v>
      </c>
      <c r="J22" s="104" t="str">
        <f t="shared" si="0"/>
        <v>ПЕРФИЛЬЕВ</v>
      </c>
      <c r="K22" s="104" t="str">
        <f t="shared" si="1"/>
        <v>А</v>
      </c>
      <c r="L22" s="104" t="str">
        <f t="shared" si="2"/>
        <v>ПЕРФИЛЬЕВ А.</v>
      </c>
      <c r="M22" s="123">
        <v>23</v>
      </c>
      <c r="N22" t="e">
        <f>SUMIF('R-Муж'!#REF!,C22,'R-Муж'!F:F)</f>
        <v>#REF!</v>
      </c>
    </row>
    <row r="23" spans="1:14" ht="17.25" thickTop="1" thickBot="1" x14ac:dyDescent="0.3">
      <c r="A23" s="99">
        <v>15</v>
      </c>
      <c r="B23" s="115" t="s">
        <v>12112</v>
      </c>
      <c r="C23" s="105" t="s">
        <v>12018</v>
      </c>
      <c r="D23" s="101" t="str">
        <f>IF(C23="","",VLOOKUP(C23,'R-Муж'!C:D,2,FALSE))</f>
        <v>01.07.2003</v>
      </c>
      <c r="E23" s="197">
        <f>IF(C23="","",LOOKUP(C23,'R-Муж'!C:C,'R-Муж'!B:B))</f>
        <v>216</v>
      </c>
      <c r="F23" s="102" t="str">
        <f>IF(C23="","",VLOOKUP(C23,'R-Муж'!C:E,3,FALSE))</f>
        <v>Орехово-Зуево</v>
      </c>
      <c r="G23" s="190"/>
      <c r="H23" s="198">
        <v>1</v>
      </c>
      <c r="I23" s="106" t="s">
        <v>12013</v>
      </c>
      <c r="J23" s="118" t="str">
        <f t="shared" si="0"/>
        <v>ШИЛОВ</v>
      </c>
      <c r="K23" s="119" t="str">
        <f t="shared" si="1"/>
        <v>В</v>
      </c>
      <c r="L23" s="119" t="str">
        <f t="shared" si="2"/>
        <v>ШИЛОВ В.</v>
      </c>
      <c r="M23" s="123"/>
      <c r="N23" t="e">
        <f>SUMIF('R-Муж'!#REF!,C23,'R-Муж'!F:F)</f>
        <v>#REF!</v>
      </c>
    </row>
    <row r="24" spans="1:14" ht="17.25" thickTop="1" thickBot="1" x14ac:dyDescent="0.3">
      <c r="A24" s="99">
        <v>16</v>
      </c>
      <c r="B24" s="116" t="s">
        <v>12105</v>
      </c>
      <c r="C24" s="978" t="s">
        <v>12058</v>
      </c>
      <c r="D24" s="101" t="str">
        <f>IF(C24="","",VLOOKUP(C24,'R-Муж'!C:D,2,FALSE))</f>
        <v>06.10.2005</v>
      </c>
      <c r="E24" s="197">
        <v>208</v>
      </c>
      <c r="F24" s="102" t="str">
        <f>IF(C24="","",VLOOKUP(C24,'R-Муж'!C:E,3,FALSE))</f>
        <v>Москва</v>
      </c>
      <c r="G24" s="117"/>
      <c r="H24" s="117">
        <v>2</v>
      </c>
      <c r="I24" s="106" t="s">
        <v>12052</v>
      </c>
      <c r="J24" s="104" t="str">
        <f t="shared" si="0"/>
        <v>ТИХОНОВ</v>
      </c>
      <c r="K24" s="104" t="str">
        <f t="shared" si="1"/>
        <v>Е</v>
      </c>
      <c r="L24" s="104" t="str">
        <f t="shared" si="2"/>
        <v>ТИХОНОВ Е.</v>
      </c>
      <c r="M24" s="123"/>
      <c r="N24" t="e">
        <f>SUMIF('R-Муж'!#REF!,C24,'R-Муж'!F:F)</f>
        <v>#REF!</v>
      </c>
    </row>
    <row r="25" spans="1:14" ht="17.25" thickTop="1" thickBot="1" x14ac:dyDescent="0.3">
      <c r="A25" s="99">
        <v>17</v>
      </c>
      <c r="B25" s="115" t="s">
        <v>55</v>
      </c>
      <c r="C25" s="107" t="s">
        <v>12085</v>
      </c>
      <c r="D25" s="101" t="str">
        <f>IF(C25="","",VLOOKUP(C25,'R-Муж'!C:D,2,FALSE))</f>
        <v>29.05.2002</v>
      </c>
      <c r="E25" s="197">
        <f>IF(C25="","",LOOKUP(C25,'R-Муж'!C:C,'R-Муж'!B:B))</f>
        <v>195</v>
      </c>
      <c r="F25" s="102" t="str">
        <f>IF(C25="","",VLOOKUP(C25,'R-Муж'!C:E,3,FALSE))</f>
        <v>Москва</v>
      </c>
      <c r="G25" s="117"/>
      <c r="H25" s="117">
        <v>1</v>
      </c>
      <c r="I25" s="106" t="s">
        <v>12046</v>
      </c>
      <c r="J25" s="104" t="str">
        <f t="shared" si="0"/>
        <v>МАЛОВ</v>
      </c>
      <c r="K25" s="104" t="str">
        <f t="shared" si="1"/>
        <v>И</v>
      </c>
      <c r="L25" s="104" t="str">
        <f t="shared" si="2"/>
        <v>МАЛОВ И.</v>
      </c>
      <c r="M25" s="123">
        <v>8</v>
      </c>
      <c r="N25" t="e">
        <f>SUMIF('R-Муж'!#REF!,C25,'R-Муж'!F:F)</f>
        <v>#REF!</v>
      </c>
    </row>
    <row r="26" spans="1:14" ht="17.25" thickTop="1" thickBot="1" x14ac:dyDescent="0.3">
      <c r="A26" s="99">
        <v>18</v>
      </c>
      <c r="B26" s="116" t="s">
        <v>20</v>
      </c>
      <c r="C26" s="978" t="s">
        <v>12051</v>
      </c>
      <c r="D26" s="101" t="str">
        <f>IF(C26="","",VLOOKUP(C26,'R-Муж'!C:D,2,FALSE))</f>
        <v>21.10.2003</v>
      </c>
      <c r="E26" s="197">
        <f>IF(C26="","",LOOKUP(C26,'R-Муж'!C:C,'R-Муж'!B:B))</f>
        <v>192</v>
      </c>
      <c r="F26" s="102" t="str">
        <f>IF(C26="","",VLOOKUP(C26,'R-Муж'!C:E,3,FALSE))</f>
        <v>Москва</v>
      </c>
      <c r="G26" s="190"/>
      <c r="H26" s="198">
        <v>2</v>
      </c>
      <c r="I26" s="106" t="s">
        <v>12052</v>
      </c>
      <c r="J26" s="104" t="str">
        <f t="shared" si="0"/>
        <v>КОРОЛЬ</v>
      </c>
      <c r="K26" s="104" t="str">
        <f t="shared" si="1"/>
        <v>В</v>
      </c>
      <c r="L26" s="104" t="str">
        <f t="shared" si="2"/>
        <v>КОРОЛЬ В.</v>
      </c>
      <c r="M26" s="123">
        <v>12</v>
      </c>
      <c r="N26" t="e">
        <f>SUMIF('R-Муж'!#REF!,C26,'R-Муж'!F:F)</f>
        <v>#REF!</v>
      </c>
    </row>
    <row r="27" spans="1:14" ht="17.25" thickTop="1" thickBot="1" x14ac:dyDescent="0.3">
      <c r="A27" s="99">
        <v>19</v>
      </c>
      <c r="B27" s="115" t="s">
        <v>894</v>
      </c>
      <c r="C27" s="105" t="s">
        <v>12075</v>
      </c>
      <c r="D27" s="101" t="str">
        <f>IF(C27="","",VLOOKUP(C27,'R-Муж'!C:D,2,FALSE))</f>
        <v>27.10.2004</v>
      </c>
      <c r="E27" s="197">
        <f>IF(C27="","",LOOKUP(C27,'R-Муж'!C:C,'R-Муж'!B:B))</f>
        <v>186</v>
      </c>
      <c r="F27" s="102" t="str">
        <f>IF(C27="","",VLOOKUP(C27,'R-Муж'!C:E,3,FALSE))</f>
        <v>Москва</v>
      </c>
      <c r="G27" s="190"/>
      <c r="H27" s="198">
        <v>3</v>
      </c>
      <c r="I27" s="106" t="s">
        <v>12072</v>
      </c>
      <c r="J27" s="104" t="str">
        <f t="shared" si="0"/>
        <v>ПОРТНОВ</v>
      </c>
      <c r="K27" s="104" t="str">
        <f t="shared" si="1"/>
        <v>Ф</v>
      </c>
      <c r="L27" s="104" t="str">
        <f t="shared" si="2"/>
        <v>ПОРТНОВ Ф.</v>
      </c>
      <c r="M27" s="123">
        <v>17</v>
      </c>
      <c r="N27" t="e">
        <f>SUMIF('R-Муж'!#REF!,C27,'R-Муж'!F:F)</f>
        <v>#REF!</v>
      </c>
    </row>
    <row r="28" spans="1:14" ht="17.25" thickTop="1" thickBot="1" x14ac:dyDescent="0.25">
      <c r="A28" s="99">
        <v>20</v>
      </c>
      <c r="B28" s="116" t="s">
        <v>10</v>
      </c>
      <c r="C28" s="100" t="s">
        <v>12133</v>
      </c>
      <c r="D28" s="101" t="str">
        <f>IF(C28="","",VLOOKUP(C28,'R-Муж'!C:D,2,FALSE))</f>
        <v>26.07.2002</v>
      </c>
      <c r="E28" s="197">
        <f>IF(C28="","",LOOKUP(C28,'R-Муж'!C:C,'R-Муж'!B:B))</f>
        <v>185</v>
      </c>
      <c r="F28" s="102" t="str">
        <f>IF(C28="","",VLOOKUP(C28,'R-Муж'!C:E,3,FALSE))</f>
        <v>Коломна</v>
      </c>
      <c r="G28" s="117"/>
      <c r="H28" s="117"/>
      <c r="I28" s="106" t="s">
        <v>12132</v>
      </c>
      <c r="J28" s="118" t="str">
        <f t="shared" si="0"/>
        <v>АВЕРИН</v>
      </c>
      <c r="K28" s="119" t="str">
        <f t="shared" si="1"/>
        <v>В</v>
      </c>
      <c r="L28" s="119" t="str">
        <f t="shared" si="2"/>
        <v>АВЕРИН В.</v>
      </c>
      <c r="M28" s="123">
        <v>22</v>
      </c>
      <c r="N28" t="e">
        <f>SUMIF('R-Муж'!#REF!,C28,'R-Муж'!F:F)</f>
        <v>#REF!</v>
      </c>
    </row>
    <row r="29" spans="1:14" ht="17.25" thickTop="1" thickBot="1" x14ac:dyDescent="0.3">
      <c r="A29" s="99">
        <v>21</v>
      </c>
      <c r="B29" s="115" t="s">
        <v>36</v>
      </c>
      <c r="C29" s="105" t="s">
        <v>12147</v>
      </c>
      <c r="D29" s="101" t="str">
        <f>IF(C29="","",VLOOKUP(C29,'R-Муж'!C:D,2,FALSE))</f>
        <v>31.05.2002</v>
      </c>
      <c r="E29" s="197">
        <f>IF(C29="","",LOOKUP(C29,'R-Муж'!C:C,'R-Муж'!B:B))</f>
        <v>185</v>
      </c>
      <c r="F29" s="102" t="str">
        <f>IF(C29="","",VLOOKUP(C29,'R-Муж'!C:E,3,FALSE))</f>
        <v>Москва</v>
      </c>
      <c r="G29" s="190"/>
      <c r="H29" s="198"/>
      <c r="I29" s="106" t="s">
        <v>12154</v>
      </c>
      <c r="J29" s="104" t="str">
        <f t="shared" si="0"/>
        <v>ДЕРНИКОВ</v>
      </c>
      <c r="K29" s="104" t="str">
        <f t="shared" si="1"/>
        <v>Е</v>
      </c>
      <c r="L29" s="104" t="str">
        <f t="shared" si="2"/>
        <v>ДЕРНИКОВ Е.</v>
      </c>
      <c r="M29" s="123"/>
      <c r="N29" t="e">
        <f>SUMIF('R-Муж'!#REF!,C29,'R-Муж'!F:F)</f>
        <v>#REF!</v>
      </c>
    </row>
    <row r="30" spans="1:14" ht="17.25" thickTop="1" thickBot="1" x14ac:dyDescent="0.3">
      <c r="A30" s="99">
        <v>22</v>
      </c>
      <c r="B30" s="116" t="s">
        <v>908</v>
      </c>
      <c r="C30" s="105" t="s">
        <v>12023</v>
      </c>
      <c r="D30" s="101" t="str">
        <f>IF(C30="","",VLOOKUP(C30,'R-Муж'!C:D,2,FALSE))</f>
        <v>20.12.2003</v>
      </c>
      <c r="E30" s="197">
        <f>IF(C30="","",LOOKUP(C30,'R-Муж'!C:C,'R-Муж'!B:B))</f>
        <v>175</v>
      </c>
      <c r="F30" s="102" t="str">
        <f>IF(C30="","",VLOOKUP(C30,'R-Муж'!C:E,3,FALSE))</f>
        <v>Екатеринбург</v>
      </c>
      <c r="G30" s="1023"/>
      <c r="H30" s="197">
        <v>1</v>
      </c>
      <c r="I30" s="108" t="s">
        <v>12024</v>
      </c>
      <c r="J30" s="886" t="str">
        <f t="shared" si="0"/>
        <v>СТАРОСТИН</v>
      </c>
      <c r="K30" s="886" t="str">
        <f t="shared" si="1"/>
        <v>М</v>
      </c>
      <c r="L30" s="886" t="str">
        <f t="shared" si="2"/>
        <v>СТАРОСТИН М.</v>
      </c>
      <c r="M30" s="123">
        <v>18</v>
      </c>
      <c r="N30" t="e">
        <f>SUMIF('R-Муж'!#REF!,C30,'R-Муж'!F:F)</f>
        <v>#REF!</v>
      </c>
    </row>
    <row r="31" spans="1:14" ht="17.25" thickTop="1" thickBot="1" x14ac:dyDescent="0.3">
      <c r="A31" s="99">
        <v>23</v>
      </c>
      <c r="B31" s="115" t="s">
        <v>24</v>
      </c>
      <c r="C31" s="105" t="s">
        <v>12143</v>
      </c>
      <c r="D31" s="101" t="str">
        <f>IF(C31="","",VLOOKUP(C31,'R-Муж'!C:D,2,FALSE))</f>
        <v>20.01.2005</v>
      </c>
      <c r="E31" s="197">
        <f>IF(C31="","",LOOKUP(C31,'R-Муж'!C:C,'R-Муж'!B:B))</f>
        <v>172</v>
      </c>
      <c r="F31" s="102" t="str">
        <f>IF(C31="","",VLOOKUP(C31,'R-Муж'!C:E,3,FALSE))</f>
        <v>Москва</v>
      </c>
      <c r="G31" s="1101"/>
      <c r="H31" s="1103"/>
      <c r="I31" s="109" t="s">
        <v>12154</v>
      </c>
      <c r="J31" s="104" t="str">
        <f t="shared" si="0"/>
        <v>КОМИССАРОВ</v>
      </c>
      <c r="K31" s="104" t="str">
        <f t="shared" si="1"/>
        <v>Д</v>
      </c>
      <c r="L31" s="104" t="str">
        <f t="shared" si="2"/>
        <v>КОМИССАРОВ Д.</v>
      </c>
      <c r="M31" s="123">
        <v>49</v>
      </c>
      <c r="N31" t="e">
        <f>SUMIF('R-Муж'!#REF!,C31,'R-Муж'!F:F)</f>
        <v>#REF!</v>
      </c>
    </row>
    <row r="32" spans="1:14" ht="17.25" thickTop="1" thickBot="1" x14ac:dyDescent="0.25">
      <c r="A32" s="99">
        <v>24</v>
      </c>
      <c r="B32" s="116" t="s">
        <v>31</v>
      </c>
      <c r="C32" s="100" t="s">
        <v>11997</v>
      </c>
      <c r="D32" s="101" t="str">
        <f>IF(C32="","",VLOOKUP(C32,'R-Муж'!C:D,2,FALSE))</f>
        <v>12.09.2003</v>
      </c>
      <c r="E32" s="197">
        <f>IF(C32="","",LOOKUP(C32,'R-Муж'!C:C,'R-Муж'!B:B))</f>
        <v>168</v>
      </c>
      <c r="F32" s="102" t="str">
        <f>IF(C32="","",VLOOKUP(C32,'R-Муж'!C:E,3,FALSE))</f>
        <v>Людиново  Кал.обл.</v>
      </c>
      <c r="G32" s="117"/>
      <c r="H32" s="117">
        <v>2</v>
      </c>
      <c r="I32" s="106" t="s">
        <v>11998</v>
      </c>
      <c r="J32" s="118" t="str">
        <f t="shared" si="0"/>
        <v>КЛЕСТОВ</v>
      </c>
      <c r="K32" s="119" t="str">
        <f t="shared" si="1"/>
        <v>Е</v>
      </c>
      <c r="L32" s="119" t="str">
        <f t="shared" si="2"/>
        <v>КЛЕСТОВ Е.</v>
      </c>
      <c r="M32" s="123">
        <v>11</v>
      </c>
      <c r="N32" t="e">
        <f>SUMIF('R-Муж'!#REF!,C32,'R-Муж'!F:F)</f>
        <v>#REF!</v>
      </c>
    </row>
    <row r="33" spans="1:14" ht="17.25" thickTop="1" thickBot="1" x14ac:dyDescent="0.3">
      <c r="A33" s="99">
        <v>25</v>
      </c>
      <c r="B33" s="115" t="s">
        <v>899</v>
      </c>
      <c r="C33" s="105" t="s">
        <v>12151</v>
      </c>
      <c r="D33" s="1019" t="str">
        <f>IF(C33="","",VLOOKUP(C33,'R-Муж'!C:D,2,FALSE))</f>
        <v>17.03.2003</v>
      </c>
      <c r="E33" s="996">
        <f>IF(C33="","",LOOKUP(C33,'R-Муж'!C:C,'R-Муж'!B:B))</f>
        <v>167</v>
      </c>
      <c r="F33" s="1021" t="str">
        <f>IF(C33="","",VLOOKUP(C33,'R-Муж'!C:E,3,FALSE))</f>
        <v>Москва</v>
      </c>
      <c r="G33" s="1018"/>
      <c r="H33" s="1018" t="s">
        <v>12009</v>
      </c>
      <c r="I33" s="1031" t="s">
        <v>12169</v>
      </c>
      <c r="J33" s="104" t="str">
        <f t="shared" si="0"/>
        <v>РОДИОНОВ</v>
      </c>
      <c r="K33" s="104" t="str">
        <f t="shared" si="1"/>
        <v>В</v>
      </c>
      <c r="L33" s="104" t="str">
        <f t="shared" si="2"/>
        <v>РОДИОНОВ В.</v>
      </c>
      <c r="M33" s="123">
        <v>15</v>
      </c>
      <c r="N33" t="e">
        <f>SUMIF('R-Муж'!#REF!,C33,'R-Муж'!F:F)</f>
        <v>#REF!</v>
      </c>
    </row>
    <row r="34" spans="1:14" ht="17.25" thickTop="1" thickBot="1" x14ac:dyDescent="0.25">
      <c r="A34" s="99">
        <v>26</v>
      </c>
      <c r="B34" s="116" t="s">
        <v>60</v>
      </c>
      <c r="C34" s="100" t="s">
        <v>12001</v>
      </c>
      <c r="D34" s="101" t="str">
        <f>IF(C34="","",VLOOKUP(C34,'R-Муж'!C:D,2,FALSE))</f>
        <v>09.01.2003</v>
      </c>
      <c r="E34" s="197">
        <f>IF(C34="","",LOOKUP(C34,'R-Муж'!C:C,'R-Муж'!B:B))</f>
        <v>164</v>
      </c>
      <c r="F34" s="102" t="str">
        <f>IF(C34="","",VLOOKUP(C34,'R-Муж'!C:E,3,FALSE))</f>
        <v>Тула</v>
      </c>
      <c r="G34" s="117"/>
      <c r="H34" s="117">
        <v>2</v>
      </c>
      <c r="I34" s="106" t="s">
        <v>12002</v>
      </c>
      <c r="J34" s="118" t="e">
        <f>MID(#REF!,1,SEARCH(" ",#REF!)-1)</f>
        <v>#REF!</v>
      </c>
      <c r="K34" s="119" t="e">
        <f>MID(#REF!,SEARCH(" ",#REF!)+1,1)</f>
        <v>#REF!</v>
      </c>
      <c r="L34" s="119" t="e">
        <f t="shared" si="2"/>
        <v>#REF!</v>
      </c>
      <c r="M34" s="123">
        <v>13</v>
      </c>
      <c r="N34" t="e">
        <f>SUMIF('R-Муж'!#REF!,#REF!,'R-Муж'!F:F)</f>
        <v>#REF!</v>
      </c>
    </row>
    <row r="35" spans="1:14" ht="17.25" thickTop="1" thickBot="1" x14ac:dyDescent="0.3">
      <c r="A35" s="99">
        <v>27</v>
      </c>
      <c r="B35" s="115" t="s">
        <v>35</v>
      </c>
      <c r="C35" s="105" t="s">
        <v>12150</v>
      </c>
      <c r="D35" s="101" t="str">
        <f>IF(C35="","",VLOOKUP(C35,'R-Муж'!C:D,2,FALSE))</f>
        <v>02.07.2003</v>
      </c>
      <c r="E35" s="197">
        <f>IF(C35="","",LOOKUP(C35,'R-Муж'!C:C,'R-Муж'!B:B))</f>
        <v>154</v>
      </c>
      <c r="F35" s="102" t="str">
        <f>IF(C35="","",VLOOKUP(C35,'R-Муж'!C:E,3,FALSE))</f>
        <v>Москва</v>
      </c>
      <c r="G35" s="190"/>
      <c r="H35" s="198">
        <v>2</v>
      </c>
      <c r="I35" s="106" t="s">
        <v>12153</v>
      </c>
      <c r="J35" s="120" t="e">
        <f>MID(#REF!,1,SEARCH(" ",#REF!)-1)</f>
        <v>#REF!</v>
      </c>
      <c r="K35" s="121" t="e">
        <f>MID(#REF!,SEARCH(" ",#REF!)+1,1)</f>
        <v>#REF!</v>
      </c>
      <c r="L35" s="121" t="e">
        <f t="shared" si="2"/>
        <v>#REF!</v>
      </c>
      <c r="M35" s="123">
        <v>21</v>
      </c>
      <c r="N35" t="e">
        <f>SUMIF('R-Муж'!#REF!,#REF!,'R-Муж'!F:F)</f>
        <v>#REF!</v>
      </c>
    </row>
    <row r="36" spans="1:14" ht="17.25" thickTop="1" thickBot="1" x14ac:dyDescent="0.3">
      <c r="A36" s="99">
        <v>28</v>
      </c>
      <c r="B36" s="116" t="s">
        <v>760</v>
      </c>
      <c r="C36" s="978" t="s">
        <v>12053</v>
      </c>
      <c r="D36" s="101" t="str">
        <f>IF(C36="","",VLOOKUP(C36,'R-Муж'!C:D,2,FALSE))</f>
        <v>20.10.2004</v>
      </c>
      <c r="E36" s="197">
        <f>IF(C36="","",LOOKUP(C36,'R-Муж'!C:C,'R-Муж'!B:B))</f>
        <v>152</v>
      </c>
      <c r="F36" s="102" t="str">
        <f>IF(C36="","",VLOOKUP(C36,'R-Муж'!C:E,3,FALSE))</f>
        <v>Москва</v>
      </c>
      <c r="G36" s="190"/>
      <c r="H36" s="198">
        <v>2</v>
      </c>
      <c r="I36" s="106" t="s">
        <v>12052</v>
      </c>
      <c r="J36" s="104" t="e">
        <f>MID(#REF!,1,SEARCH(" ",#REF!)-1)</f>
        <v>#REF!</v>
      </c>
      <c r="K36" s="104" t="e">
        <f>MID(#REF!,SEARCH(" ",#REF!)+1,1)</f>
        <v>#REF!</v>
      </c>
      <c r="L36" s="104" t="e">
        <f t="shared" si="2"/>
        <v>#REF!</v>
      </c>
      <c r="M36" s="123">
        <v>26</v>
      </c>
      <c r="N36" t="e">
        <f>SUMIF('R-Муж'!#REF!,#REF!,'R-Муж'!F:F)</f>
        <v>#REF!</v>
      </c>
    </row>
    <row r="37" spans="1:14" ht="17.25" thickTop="1" thickBot="1" x14ac:dyDescent="0.3">
      <c r="A37" s="99">
        <v>29</v>
      </c>
      <c r="B37" s="115" t="s">
        <v>66</v>
      </c>
      <c r="C37" s="978" t="s">
        <v>12044</v>
      </c>
      <c r="D37" s="101" t="str">
        <f>IF(C37="","",VLOOKUP(C37,'R-Муж'!C:D,2,FALSE))</f>
        <v>20.08.2003</v>
      </c>
      <c r="E37" s="197">
        <f>IF(C37="","",LOOKUP(C37,'R-Муж'!C:C,'R-Муж'!B:B))</f>
        <v>151</v>
      </c>
      <c r="F37" s="102" t="str">
        <f>IF(C37="","",VLOOKUP(C37,'R-Муж'!C:E,3,FALSE))</f>
        <v>Москва</v>
      </c>
      <c r="G37" s="892"/>
      <c r="H37" s="892">
        <v>2</v>
      </c>
      <c r="I37" s="188" t="s">
        <v>12043</v>
      </c>
      <c r="J37" s="104" t="e">
        <f>MID(#REF!,1,SEARCH(" ",#REF!)-1)</f>
        <v>#REF!</v>
      </c>
      <c r="K37" s="104" t="e">
        <f>MID(#REF!,SEARCH(" ",#REF!)+1,1)</f>
        <v>#REF!</v>
      </c>
      <c r="L37" s="104" t="e">
        <f t="shared" si="2"/>
        <v>#REF!</v>
      </c>
      <c r="M37" s="123">
        <v>20</v>
      </c>
      <c r="N37" t="e">
        <f>SUMIF('R-Муж'!#REF!,#REF!,'R-Муж'!F:F)</f>
        <v>#REF!</v>
      </c>
    </row>
    <row r="38" spans="1:14" ht="17.25" thickTop="1" thickBot="1" x14ac:dyDescent="0.25">
      <c r="A38" s="99">
        <v>30</v>
      </c>
      <c r="B38" s="116" t="s">
        <v>30</v>
      </c>
      <c r="C38" s="100" t="s">
        <v>12159</v>
      </c>
      <c r="D38" s="101" t="str">
        <f>IF(C38="","",VLOOKUP(C38,'R-Муж'!C:D,2,FALSE))</f>
        <v>12.12.2003</v>
      </c>
      <c r="E38" s="197">
        <f>IF(C38="","",LOOKUP(C38,'R-Муж'!C:C,'R-Муж'!B:B))</f>
        <v>144</v>
      </c>
      <c r="F38" s="102" t="str">
        <f>IF(C38="","",VLOOKUP(C38,'R-Муж'!C:E,3,FALSE))</f>
        <v>Москва</v>
      </c>
      <c r="G38" s="117"/>
      <c r="H38" s="117">
        <v>1</v>
      </c>
      <c r="I38" s="103" t="s">
        <v>12154</v>
      </c>
      <c r="J38" s="104" t="e">
        <f>MID(#REF!,1,SEARCH(" ",#REF!)-1)</f>
        <v>#REF!</v>
      </c>
      <c r="K38" s="104" t="e">
        <f>MID(#REF!,SEARCH(" ",#REF!)+1,1)</f>
        <v>#REF!</v>
      </c>
      <c r="L38" s="104" t="e">
        <f t="shared" si="2"/>
        <v>#REF!</v>
      </c>
      <c r="M38" s="123">
        <v>14</v>
      </c>
      <c r="N38" t="e">
        <f>SUMIF('R-Муж'!#REF!,#REF!,'R-Муж'!F:F)</f>
        <v>#REF!</v>
      </c>
    </row>
    <row r="39" spans="1:14" ht="17.25" thickTop="1" thickBot="1" x14ac:dyDescent="0.25">
      <c r="A39" s="99">
        <v>31</v>
      </c>
      <c r="B39" s="115" t="s">
        <v>61</v>
      </c>
      <c r="C39" s="100" t="s">
        <v>12148</v>
      </c>
      <c r="D39" s="101" t="str">
        <f>IF(C39="","",VLOOKUP(C39,'R-Муж'!C:D,2,FALSE))</f>
        <v>04.05.2003</v>
      </c>
      <c r="E39" s="197">
        <f>IF(C39="","",LOOKUP(C39,'R-Муж'!C:C,'R-Муж'!B:B))</f>
        <v>144</v>
      </c>
      <c r="F39" s="102" t="str">
        <f>IF(C39="","",VLOOKUP(C39,'R-Муж'!C:E,3,FALSE))</f>
        <v>Москва</v>
      </c>
      <c r="G39" s="117"/>
      <c r="H39" s="117"/>
      <c r="I39" s="106" t="s">
        <v>12154</v>
      </c>
      <c r="J39" s="104" t="str">
        <f t="shared" ref="J39:J44" si="3">MID(C34,1,SEARCH(" ",C34)-1)</f>
        <v>МАНЦУРОВ</v>
      </c>
      <c r="K39" s="104" t="str">
        <f t="shared" ref="K39:K44" si="4">MID(C34,SEARCH(" ",C34)+1,1)</f>
        <v>Т</v>
      </c>
      <c r="L39" s="104" t="str">
        <f t="shared" si="2"/>
        <v>МАНЦУРОВ Т.</v>
      </c>
      <c r="M39" s="123"/>
      <c r="N39" t="e">
        <f>SUMIF('R-Муж'!#REF!,C34,'R-Муж'!F:F)</f>
        <v>#REF!</v>
      </c>
    </row>
    <row r="40" spans="1:14" ht="17.25" thickTop="1" thickBot="1" x14ac:dyDescent="0.25">
      <c r="A40" s="99">
        <v>32</v>
      </c>
      <c r="B40" s="116" t="s">
        <v>902</v>
      </c>
      <c r="C40" s="814" t="s">
        <v>12071</v>
      </c>
      <c r="D40" s="101" t="str">
        <f>IF(C40="","",VLOOKUP(C40,'R-Муж'!C:D,2,FALSE))</f>
        <v>15.10.2004</v>
      </c>
      <c r="E40" s="197">
        <f>IF(C40="","",LOOKUP(C40,'R-Муж'!C:C,'R-Муж'!B:B))</f>
        <v>138</v>
      </c>
      <c r="F40" s="102" t="str">
        <f>IF(C40="","",VLOOKUP(C40,'R-Муж'!C:E,3,FALSE))</f>
        <v>Москва</v>
      </c>
      <c r="G40" s="117"/>
      <c r="H40" s="117">
        <v>3</v>
      </c>
      <c r="I40" s="106" t="s">
        <v>12072</v>
      </c>
      <c r="J40" s="104" t="str">
        <f t="shared" si="3"/>
        <v>АВЕРИН</v>
      </c>
      <c r="K40" s="104" t="str">
        <f t="shared" si="4"/>
        <v>Т</v>
      </c>
      <c r="L40" s="104" t="str">
        <f t="shared" si="2"/>
        <v>АВЕРИН Т.</v>
      </c>
      <c r="M40" s="123">
        <v>25</v>
      </c>
      <c r="N40" t="e">
        <f>SUMIF('R-Муж'!#REF!,C35,'R-Муж'!F:F)</f>
        <v>#REF!</v>
      </c>
    </row>
    <row r="41" spans="1:14" ht="17.25" thickTop="1" thickBot="1" x14ac:dyDescent="0.25">
      <c r="A41" s="99">
        <v>33</v>
      </c>
      <c r="B41" s="115" t="s">
        <v>46</v>
      </c>
      <c r="C41" s="977" t="s">
        <v>12040</v>
      </c>
      <c r="D41" s="101" t="str">
        <f>IF(C41="","",VLOOKUP(C41,'R-Муж'!C:D,2,FALSE))</f>
        <v>15.04.2003</v>
      </c>
      <c r="E41" s="197">
        <f>IF(C41="","",LOOKUP(C41,'R-Муж'!C:C,'R-Муж'!B:B))</f>
        <v>137</v>
      </c>
      <c r="F41" s="102" t="str">
        <f>IF(C41="","",VLOOKUP(C41,'R-Муж'!C:E,3,FALSE))</f>
        <v>Москва</v>
      </c>
      <c r="G41" s="117"/>
      <c r="H41" s="117">
        <v>2</v>
      </c>
      <c r="I41" s="106" t="s">
        <v>12035</v>
      </c>
      <c r="J41" s="104" t="str">
        <f t="shared" si="3"/>
        <v>НИКИШАЕВ</v>
      </c>
      <c r="K41" s="104" t="str">
        <f t="shared" si="4"/>
        <v>М</v>
      </c>
      <c r="L41" s="104" t="str">
        <f t="shared" ref="L41:L72" si="5">CONCATENATE(J41," ",K41,".")</f>
        <v>НИКИШАЕВ М.</v>
      </c>
      <c r="M41" s="123">
        <v>28</v>
      </c>
      <c r="N41" t="e">
        <f>SUMIF('R-Муж'!#REF!,C36,'R-Муж'!F:F)</f>
        <v>#REF!</v>
      </c>
    </row>
    <row r="42" spans="1:14" ht="17.25" thickTop="1" thickBot="1" x14ac:dyDescent="0.3">
      <c r="A42" s="99">
        <v>34</v>
      </c>
      <c r="B42" s="116" t="s">
        <v>12114</v>
      </c>
      <c r="C42" s="105" t="s">
        <v>12016</v>
      </c>
      <c r="D42" s="101" t="str">
        <f>IF(C42="","",VLOOKUP(C42,'R-Муж'!C:D,2,FALSE))</f>
        <v>29.09.2002</v>
      </c>
      <c r="E42" s="197">
        <f>IF(C42="","",LOOKUP(C42,'R-Муж'!C:C,'R-Муж'!B:B))</f>
        <v>137</v>
      </c>
      <c r="F42" s="102" t="str">
        <f>IF(C42="","",VLOOKUP(C42,'R-Муж'!C:E,3,FALSE))</f>
        <v>Орехово-Зуево</v>
      </c>
      <c r="G42" s="190"/>
      <c r="H42" s="198">
        <v>1</v>
      </c>
      <c r="I42" s="106" t="s">
        <v>12017</v>
      </c>
      <c r="J42" s="104" t="str">
        <f t="shared" si="3"/>
        <v>МОСПАНОВ</v>
      </c>
      <c r="K42" s="104" t="str">
        <f t="shared" si="4"/>
        <v>И</v>
      </c>
      <c r="L42" s="104" t="str">
        <f t="shared" si="5"/>
        <v>МОСПАНОВ И.</v>
      </c>
      <c r="M42" s="123">
        <v>27</v>
      </c>
      <c r="N42" t="e">
        <f>SUMIF('R-Муж'!#REF!,C37,'R-Муж'!F:F)</f>
        <v>#REF!</v>
      </c>
    </row>
    <row r="43" spans="1:14" ht="17.25" thickTop="1" thickBot="1" x14ac:dyDescent="0.3">
      <c r="A43" s="99">
        <v>35</v>
      </c>
      <c r="B43" s="115" t="s">
        <v>9</v>
      </c>
      <c r="C43" s="105" t="s">
        <v>12144</v>
      </c>
      <c r="D43" s="101" t="str">
        <f>IF(C43="","",VLOOKUP(C43,'R-Муж'!C:D,2,FALSE))</f>
        <v>26.04.2005</v>
      </c>
      <c r="E43" s="197">
        <f>IF(C43="","",LOOKUP(C43,'R-Муж'!C:C,'R-Муж'!B:B))</f>
        <v>126</v>
      </c>
      <c r="F43" s="102" t="str">
        <f>IF(C43="","",VLOOKUP(C43,'R-Муж'!C:E,3,FALSE))</f>
        <v>Москва</v>
      </c>
      <c r="G43" s="190"/>
      <c r="H43" s="198"/>
      <c r="I43" s="106" t="s">
        <v>12154</v>
      </c>
      <c r="J43" s="104" t="str">
        <f t="shared" si="3"/>
        <v>БАКШИНСКИЙ</v>
      </c>
      <c r="K43" s="104" t="str">
        <f t="shared" si="4"/>
        <v>И</v>
      </c>
      <c r="L43" s="104" t="str">
        <f t="shared" si="5"/>
        <v>БАКШИНСКИЙ И.</v>
      </c>
      <c r="M43" s="123">
        <v>40</v>
      </c>
      <c r="N43" t="e">
        <f>SUMIF('R-Муж'!#REF!,C38,'R-Муж'!F:F)</f>
        <v>#REF!</v>
      </c>
    </row>
    <row r="44" spans="1:14" ht="17.25" thickTop="1" thickBot="1" x14ac:dyDescent="0.3">
      <c r="A44" s="99">
        <v>36</v>
      </c>
      <c r="B44" s="116" t="s">
        <v>25</v>
      </c>
      <c r="C44" s="105" t="s">
        <v>12123</v>
      </c>
      <c r="D44" s="101" t="str">
        <f>IF(C44="","",VLOOKUP(C44,'R-Муж'!C:D,2,FALSE))</f>
        <v>26.02.2002</v>
      </c>
      <c r="E44" s="197">
        <f>IF(C44="","",LOOKUP(C44,'R-Муж'!C:C,'R-Муж'!B:B))</f>
        <v>124</v>
      </c>
      <c r="F44" s="102" t="str">
        <f>IF(C44="","",VLOOKUP(C44,'R-Муж'!C:E,3,FALSE))</f>
        <v>Москва</v>
      </c>
      <c r="G44" s="190"/>
      <c r="H44" s="198">
        <v>3</v>
      </c>
      <c r="I44" s="106" t="s">
        <v>12122</v>
      </c>
      <c r="J44" s="104" t="str">
        <f t="shared" si="3"/>
        <v>МАРКИН</v>
      </c>
      <c r="K44" s="104" t="str">
        <f t="shared" si="4"/>
        <v>И</v>
      </c>
      <c r="L44" s="104" t="str">
        <f t="shared" si="5"/>
        <v>МАРКИН И.</v>
      </c>
      <c r="M44" s="123">
        <v>39</v>
      </c>
      <c r="N44" t="e">
        <f>SUMIF('R-Муж'!#REF!,C39,'R-Муж'!F:F)</f>
        <v>#REF!</v>
      </c>
    </row>
    <row r="45" spans="1:14" ht="17.25" thickTop="1" thickBot="1" x14ac:dyDescent="0.25">
      <c r="A45" s="99">
        <v>37</v>
      </c>
      <c r="B45" s="115" t="s">
        <v>54</v>
      </c>
      <c r="C45" s="100" t="s">
        <v>12104</v>
      </c>
      <c r="D45" s="101">
        <v>38408</v>
      </c>
      <c r="E45" s="197">
        <f>IF(C45="","",LOOKUP(C45,'R-Муж'!C:C,'R-Муж'!B:B))</f>
        <v>116</v>
      </c>
      <c r="F45" s="102" t="s">
        <v>105</v>
      </c>
      <c r="G45" s="117"/>
      <c r="H45" s="117">
        <v>1</v>
      </c>
      <c r="I45" s="106" t="s">
        <v>12034</v>
      </c>
      <c r="J45" s="104" t="e">
        <f>MID(#REF!,1,SEARCH(" ",#REF!)-1)</f>
        <v>#REF!</v>
      </c>
      <c r="K45" s="104" t="e">
        <f>MID(#REF!,SEARCH(" ",#REF!)+1,1)</f>
        <v>#REF!</v>
      </c>
      <c r="L45" s="104" t="e">
        <f t="shared" si="5"/>
        <v>#REF!</v>
      </c>
      <c r="M45" s="123"/>
      <c r="N45" t="e">
        <f>SUMIF('R-Муж'!#REF!,#REF!,'R-Муж'!F:F)</f>
        <v>#REF!</v>
      </c>
    </row>
    <row r="46" spans="1:14" ht="17.25" thickTop="1" thickBot="1" x14ac:dyDescent="0.25">
      <c r="A46" s="99">
        <v>38</v>
      </c>
      <c r="B46" s="116" t="s">
        <v>901</v>
      </c>
      <c r="C46" s="977" t="s">
        <v>12041</v>
      </c>
      <c r="D46" s="101" t="str">
        <f>IF(C46="","",VLOOKUP(C46,'R-Муж'!C:D,2,FALSE))</f>
        <v>22.09.2002</v>
      </c>
      <c r="E46" s="197">
        <f>IF(C46="","",LOOKUP(C46,'R-Муж'!C:C,'R-Муж'!B:B))</f>
        <v>115</v>
      </c>
      <c r="F46" s="102" t="str">
        <f>IF(C46="","",VLOOKUP(C46,'R-Муж'!C:E,3,FALSE))</f>
        <v>Москва</v>
      </c>
      <c r="G46" s="117"/>
      <c r="H46" s="117">
        <v>3</v>
      </c>
      <c r="I46" s="106" t="s">
        <v>12036</v>
      </c>
      <c r="J46" s="104" t="str">
        <f>MID(C40,1,SEARCH(" ",C40)-1)</f>
        <v>САТДАРОВ</v>
      </c>
      <c r="K46" s="104" t="str">
        <f>MID(C40,SEARCH(" ",C40)+1,1)</f>
        <v>А</v>
      </c>
      <c r="L46" s="104" t="str">
        <f t="shared" si="5"/>
        <v>САТДАРОВ А.</v>
      </c>
      <c r="M46" s="123"/>
      <c r="N46" t="e">
        <f>SUMIF('R-Муж'!#REF!,C40,'R-Муж'!F:F)</f>
        <v>#REF!</v>
      </c>
    </row>
    <row r="47" spans="1:14" ht="17.25" thickTop="1" thickBot="1" x14ac:dyDescent="0.3">
      <c r="A47" s="99">
        <v>39</v>
      </c>
      <c r="B47" s="115" t="s">
        <v>95</v>
      </c>
      <c r="C47" s="105" t="s">
        <v>12134</v>
      </c>
      <c r="D47" s="101" t="str">
        <f>IF(C47="","",VLOOKUP(C47,'R-Муж'!C:D,2,FALSE))</f>
        <v>28.03.2003</v>
      </c>
      <c r="E47" s="197">
        <f>IF(C47="","",LOOKUP(C47,'R-Муж'!C:C,'R-Муж'!B:B))</f>
        <v>112</v>
      </c>
      <c r="F47" s="102" t="str">
        <f>IF(C47="","",VLOOKUP(C47,'R-Муж'!C:E,3,FALSE))</f>
        <v>Скопин  Ряз.о.</v>
      </c>
      <c r="G47" s="117"/>
      <c r="H47" s="117">
        <v>2</v>
      </c>
      <c r="I47" s="106" t="s">
        <v>12022</v>
      </c>
      <c r="J47" s="104" t="str">
        <f>MID(C41,1,SEARCH(" ",C41)-1)</f>
        <v>КУРОЧКИН</v>
      </c>
      <c r="K47" s="104" t="str">
        <f>MID(C41,SEARCH(" ",C41)+1,1)</f>
        <v>Е</v>
      </c>
      <c r="L47" s="104" t="str">
        <f t="shared" si="5"/>
        <v>КУРОЧКИН Е.</v>
      </c>
      <c r="M47" s="123">
        <v>31</v>
      </c>
      <c r="N47" t="e">
        <f>SUMIF('R-Муж'!#REF!,C41,'R-Муж'!F:F)</f>
        <v>#REF!</v>
      </c>
    </row>
    <row r="48" spans="1:14" ht="17.25" thickTop="1" thickBot="1" x14ac:dyDescent="0.25">
      <c r="A48" s="99">
        <v>40</v>
      </c>
      <c r="B48" s="116" t="s">
        <v>759</v>
      </c>
      <c r="C48" s="100" t="s">
        <v>12019</v>
      </c>
      <c r="D48" s="101" t="str">
        <f>IF(C48="","",VLOOKUP(C48,'R-Муж'!C:D,2,FALSE))</f>
        <v>27.12.2002</v>
      </c>
      <c r="E48" s="197">
        <f>IF(C48="","",LOOKUP(C48,'R-Муж'!C:C,'R-Муж'!B:B))</f>
        <v>111</v>
      </c>
      <c r="F48" s="102" t="str">
        <f>IF(C48="","",VLOOKUP(C48,'R-Муж'!C:E,3,FALSE))</f>
        <v>Орехово-Зуево</v>
      </c>
      <c r="G48" s="117"/>
      <c r="H48" s="117">
        <v>2</v>
      </c>
      <c r="I48" s="106" t="s">
        <v>12017</v>
      </c>
      <c r="J48" s="104" t="str">
        <f>MID(C42,1,SEARCH(" ",C42)-1)</f>
        <v>ШУКЛИН</v>
      </c>
      <c r="K48" s="104" t="str">
        <f>MID(C42,SEARCH(" ",C42)+1,1)</f>
        <v>А</v>
      </c>
      <c r="L48" s="104" t="str">
        <f t="shared" si="5"/>
        <v>ШУКЛИН А.</v>
      </c>
      <c r="M48" s="123">
        <v>42</v>
      </c>
      <c r="N48" t="e">
        <f>SUMIF('R-Муж'!#REF!,C42,'R-Муж'!F:F)</f>
        <v>#REF!</v>
      </c>
    </row>
    <row r="49" spans="1:16" ht="17.25" thickTop="1" thickBot="1" x14ac:dyDescent="0.3">
      <c r="A49" s="99">
        <v>41</v>
      </c>
      <c r="B49" s="115" t="s">
        <v>40</v>
      </c>
      <c r="C49" s="105" t="s">
        <v>12141</v>
      </c>
      <c r="D49" s="101" t="str">
        <f>IF(C49="","",VLOOKUP(C49,'R-Муж'!C:D,2,FALSE))</f>
        <v>11.07.2003</v>
      </c>
      <c r="E49" s="197">
        <f>IF(C49="","",LOOKUP(C49,'R-Муж'!C:C,'R-Муж'!B:B))</f>
        <v>107</v>
      </c>
      <c r="F49" s="102" t="str">
        <f>IF(C49="","",VLOOKUP(C49,'R-Муж'!C:E,3,FALSE))</f>
        <v>Калуга</v>
      </c>
      <c r="G49" s="190"/>
      <c r="H49" s="198" t="s">
        <v>12009</v>
      </c>
      <c r="I49" s="106" t="s">
        <v>12142</v>
      </c>
      <c r="J49" s="104" t="e">
        <f>MID(#REF!,1,SEARCH(" ",#REF!)-1)</f>
        <v>#REF!</v>
      </c>
      <c r="K49" s="104" t="e">
        <f>MID(#REF!,SEARCH(" ",#REF!)+1,1)</f>
        <v>#REF!</v>
      </c>
      <c r="L49" s="104" t="e">
        <f t="shared" si="5"/>
        <v>#REF!</v>
      </c>
      <c r="M49" s="123">
        <v>48</v>
      </c>
      <c r="N49" t="e">
        <f>SUMIF('R-Муж'!#REF!,#REF!,'R-Муж'!F:F)</f>
        <v>#REF!</v>
      </c>
      <c r="P49" s="113"/>
    </row>
    <row r="50" spans="1:16" ht="17.25" thickTop="1" thickBot="1" x14ac:dyDescent="0.3">
      <c r="A50" s="99">
        <v>42</v>
      </c>
      <c r="B50" s="116" t="s">
        <v>904</v>
      </c>
      <c r="C50" s="105" t="s">
        <v>12005</v>
      </c>
      <c r="D50" s="101" t="str">
        <f>IF(C50="","",VLOOKUP(C50,'R-Муж'!C:D,2,FALSE))</f>
        <v>26.07.2004</v>
      </c>
      <c r="E50" s="197">
        <f>IF(C50="","",LOOKUP(C50,'R-Муж'!C:C,'R-Муж'!B:B))</f>
        <v>106</v>
      </c>
      <c r="F50" s="102" t="str">
        <f>IF(C50="","",VLOOKUP(C50,'R-Муж'!C:E,3,FALSE))</f>
        <v>Рязань</v>
      </c>
      <c r="G50" s="190"/>
      <c r="H50" s="198">
        <v>3</v>
      </c>
      <c r="I50" s="106" t="s">
        <v>12006</v>
      </c>
      <c r="J50" s="104" t="str">
        <f>MID(C43,1,SEARCH(" ",C43)-1)</f>
        <v>ДЯГЕЛЕВ</v>
      </c>
      <c r="K50" s="104" t="str">
        <f>MID(C43,SEARCH(" ",C43)+1,1)</f>
        <v>А</v>
      </c>
      <c r="L50" s="104" t="str">
        <f t="shared" si="5"/>
        <v>ДЯГЕЛЕВ А.</v>
      </c>
      <c r="M50" s="123">
        <v>34</v>
      </c>
      <c r="N50" t="e">
        <f>SUMIF('R-Муж'!#REF!,C43,'R-Муж'!F:F)</f>
        <v>#REF!</v>
      </c>
    </row>
    <row r="51" spans="1:16" ht="17.25" thickTop="1" thickBot="1" x14ac:dyDescent="0.3">
      <c r="A51" s="99">
        <v>43</v>
      </c>
      <c r="B51" s="115" t="s">
        <v>86</v>
      </c>
      <c r="C51" s="978" t="s">
        <v>12055</v>
      </c>
      <c r="D51" s="101" t="str">
        <f>IF(C51="","",VLOOKUP(C51,'R-Муж'!C:D,2,FALSE))</f>
        <v>19.03.2004</v>
      </c>
      <c r="E51" s="197">
        <f>IF(C51="","",LOOKUP(C51,'R-Муж'!C:C,'R-Муж'!B:B))</f>
        <v>101</v>
      </c>
      <c r="F51" s="102" t="str">
        <f>IF(C51="","",VLOOKUP(C51,'R-Муж'!C:E,3,FALSE))</f>
        <v>Москва</v>
      </c>
      <c r="G51" s="117"/>
      <c r="H51" s="117">
        <v>2</v>
      </c>
      <c r="I51" s="106" t="s">
        <v>12052</v>
      </c>
      <c r="J51" s="104" t="str">
        <f>MID(C44,1,SEARCH(" ",C44)-1)</f>
        <v>БАНДУРИН</v>
      </c>
      <c r="K51" s="104" t="str">
        <f>MID(C44,SEARCH(" ",C44)+1,1)</f>
        <v>М</v>
      </c>
      <c r="L51" s="104" t="str">
        <f t="shared" si="5"/>
        <v>БАНДУРИН М.</v>
      </c>
      <c r="M51" s="123">
        <v>30</v>
      </c>
      <c r="N51" t="e">
        <f>SUMIF('R-Муж'!#REF!,C44,'R-Муж'!F:F)</f>
        <v>#REF!</v>
      </c>
    </row>
    <row r="52" spans="1:16" ht="17.25" thickTop="1" thickBot="1" x14ac:dyDescent="0.3">
      <c r="A52" s="99">
        <v>44</v>
      </c>
      <c r="B52" s="116" t="s">
        <v>758</v>
      </c>
      <c r="C52" s="978" t="s">
        <v>12050</v>
      </c>
      <c r="D52" s="101" t="str">
        <f>IF(C52="","",VLOOKUP(C52,'R-Муж'!C:D,2,FALSE))</f>
        <v>16.11.2004</v>
      </c>
      <c r="E52" s="197">
        <f>IF(C52="","",LOOKUP(C52,'R-Муж'!C:C,'R-Муж'!B:B))</f>
        <v>93</v>
      </c>
      <c r="F52" s="102" t="str">
        <f>IF(C52="","",VLOOKUP(C52,'R-Муж'!C:E,3,FALSE))</f>
        <v>Москва</v>
      </c>
      <c r="G52" s="124"/>
      <c r="H52" s="199">
        <v>3</v>
      </c>
      <c r="I52" s="103" t="s">
        <v>12048</v>
      </c>
      <c r="J52" s="104" t="str">
        <f>MID(C45,1,SEARCH(" ",C45)-1)</f>
        <v>МАКЕЕВ</v>
      </c>
      <c r="K52" s="104" t="str">
        <f>MID(C45,SEARCH(" ",C45)+1,1)</f>
        <v>А</v>
      </c>
      <c r="L52" s="104" t="str">
        <f t="shared" si="5"/>
        <v>МАКЕЕВ А.</v>
      </c>
      <c r="M52" s="123">
        <v>45</v>
      </c>
      <c r="N52" t="e">
        <f>SUMIF('R-Муж'!#REF!,C45,'R-Муж'!F:F)</f>
        <v>#REF!</v>
      </c>
    </row>
    <row r="53" spans="1:16" ht="17.25" thickTop="1" thickBot="1" x14ac:dyDescent="0.25">
      <c r="A53" s="99">
        <v>45</v>
      </c>
      <c r="B53" s="115" t="s">
        <v>82</v>
      </c>
      <c r="C53" s="977" t="s">
        <v>12059</v>
      </c>
      <c r="D53" s="101" t="str">
        <f>IF(C53="","",VLOOKUP(C53,'R-Муж'!C:D,2,FALSE))</f>
        <v>22.01.2003</v>
      </c>
      <c r="E53" s="197">
        <f>IF(C53="","",LOOKUP(C53,'R-Муж'!C:C,'R-Муж'!B:B))</f>
        <v>90</v>
      </c>
      <c r="F53" s="102" t="str">
        <f>IF(C53="","",VLOOKUP(C53,'R-Муж'!C:E,3,FALSE))</f>
        <v>Москва</v>
      </c>
      <c r="G53" s="124"/>
      <c r="H53" s="199">
        <v>2</v>
      </c>
      <c r="I53" s="103" t="s">
        <v>12033</v>
      </c>
      <c r="J53" s="104" t="e">
        <f>MID(#REF!,1,SEARCH(" ",#REF!)-1)</f>
        <v>#REF!</v>
      </c>
      <c r="K53" s="104" t="e">
        <f>MID(#REF!,SEARCH(" ",#REF!)+1,1)</f>
        <v>#REF!</v>
      </c>
      <c r="L53" s="104" t="e">
        <f t="shared" si="5"/>
        <v>#REF!</v>
      </c>
      <c r="M53" s="123">
        <v>9</v>
      </c>
      <c r="N53" t="e">
        <f>SUMIF('R-Муж'!#REF!,#REF!,'R-Муж'!F:F)</f>
        <v>#REF!</v>
      </c>
    </row>
    <row r="54" spans="1:16" ht="17.25" thickTop="1" thickBot="1" x14ac:dyDescent="0.3">
      <c r="A54" s="99">
        <v>46</v>
      </c>
      <c r="B54" s="116" t="s">
        <v>14</v>
      </c>
      <c r="C54" s="105" t="s">
        <v>12029</v>
      </c>
      <c r="D54" s="101" t="str">
        <f>IF(C54="","",VLOOKUP(C54,'R-Муж'!C:D,2,FALSE))</f>
        <v>11.08.2004</v>
      </c>
      <c r="E54" s="197">
        <f>IF(C54="","",LOOKUP(C54,'R-Муж'!C:C,'R-Муж'!B:B))</f>
        <v>83</v>
      </c>
      <c r="F54" s="102" t="str">
        <f>IF(C54="","",VLOOKUP(C54,'R-Муж'!C:E,3,FALSE))</f>
        <v>Барнаул</v>
      </c>
      <c r="G54" s="113"/>
      <c r="H54" s="815">
        <v>3</v>
      </c>
      <c r="I54" s="106" t="s">
        <v>12030</v>
      </c>
      <c r="J54" s="104" t="str">
        <f>MID(C46,1,SEARCH(" ",C46)-1)</f>
        <v>САВИЧЕВ</v>
      </c>
      <c r="K54" s="104" t="str">
        <f>MID(C46,SEARCH(" ",C46)+1,1)</f>
        <v>Д</v>
      </c>
      <c r="L54" s="104" t="str">
        <f t="shared" si="5"/>
        <v>САВИЧЕВ Д.</v>
      </c>
      <c r="M54" s="123">
        <v>57</v>
      </c>
      <c r="N54" t="e">
        <f>SUMIF('R-Муж'!#REF!,C46,'R-Муж'!F:F)</f>
        <v>#REF!</v>
      </c>
    </row>
    <row r="55" spans="1:16" ht="17.25" thickTop="1" thickBot="1" x14ac:dyDescent="0.3">
      <c r="A55" s="99">
        <v>47</v>
      </c>
      <c r="B55" s="115" t="s">
        <v>896</v>
      </c>
      <c r="C55" s="105" t="s">
        <v>12116</v>
      </c>
      <c r="D55" s="101" t="str">
        <f>IF(C55="","",VLOOKUP(C55,'R-Муж'!C:D,2,FALSE))</f>
        <v>15.07.2003</v>
      </c>
      <c r="E55" s="197">
        <f>IF(C55="","",LOOKUP(C55,'R-Муж'!C:C,'R-Муж'!B:B))</f>
        <v>82</v>
      </c>
      <c r="F55" s="102" t="str">
        <f>IF(C55="","",VLOOKUP(C55,'R-Муж'!C:E,3,FALSE))</f>
        <v>Домодедово  М.о.</v>
      </c>
      <c r="G55" s="124"/>
      <c r="H55" s="199" t="s">
        <v>12009</v>
      </c>
      <c r="I55" s="103" t="s">
        <v>12117</v>
      </c>
      <c r="J55" s="104" t="str">
        <f>MID(C47,1,SEARCH(" ",C47)-1)</f>
        <v>РОТНОВ</v>
      </c>
      <c r="K55" s="104" t="str">
        <f>MID(C47,SEARCH(" ",C47)+1,1)</f>
        <v>Е</v>
      </c>
      <c r="L55" s="104" t="str">
        <f t="shared" si="5"/>
        <v>РОТНОВ Е.</v>
      </c>
      <c r="M55" s="123">
        <v>32</v>
      </c>
      <c r="N55" t="e">
        <f>SUMIF('R-Муж'!#REF!,C47,'R-Муж'!F:F)</f>
        <v>#REF!</v>
      </c>
    </row>
    <row r="56" spans="1:16" ht="17.25" thickTop="1" thickBot="1" x14ac:dyDescent="0.3">
      <c r="A56" s="99">
        <v>48</v>
      </c>
      <c r="B56" s="116" t="s">
        <v>51</v>
      </c>
      <c r="C56" s="105" t="s">
        <v>12135</v>
      </c>
      <c r="D56" s="101" t="str">
        <f>IF(C56="","",VLOOKUP(C56,'R-Муж'!C:D,2,FALSE))</f>
        <v>02.07.2003</v>
      </c>
      <c r="E56" s="197">
        <f>IF(C56="","",LOOKUP(C56,'R-Муж'!C:C,'R-Муж'!B:B))</f>
        <v>76</v>
      </c>
      <c r="F56" s="102" t="str">
        <f>IF(C56="","",VLOOKUP(C56,'R-Муж'!C:E,3,FALSE))</f>
        <v>Москва</v>
      </c>
      <c r="G56" s="124"/>
      <c r="H56" s="199">
        <v>3</v>
      </c>
      <c r="I56" s="106" t="s">
        <v>12136</v>
      </c>
      <c r="J56" s="104" t="str">
        <f>MID(C48,1,SEARCH(" ",C48)-1)</f>
        <v>НАСИРОВ</v>
      </c>
      <c r="K56" s="104" t="str">
        <f>MID(C48,SEARCH(" ",C48)+1,1)</f>
        <v>Ф</v>
      </c>
      <c r="L56" s="104" t="str">
        <f t="shared" si="5"/>
        <v>НАСИРОВ Ф.</v>
      </c>
      <c r="M56" s="123">
        <v>44</v>
      </c>
      <c r="N56" t="e">
        <f>SUMIF('R-Муж'!#REF!,C48,'R-Муж'!F:F)</f>
        <v>#REF!</v>
      </c>
    </row>
    <row r="57" spans="1:16" ht="17.25" thickTop="1" thickBot="1" x14ac:dyDescent="0.25">
      <c r="A57" s="99">
        <v>49</v>
      </c>
      <c r="B57" s="115" t="s">
        <v>761</v>
      </c>
      <c r="C57" s="977" t="s">
        <v>12164</v>
      </c>
      <c r="D57" s="101" t="str">
        <f>IF(C57="","",VLOOKUP(C57,'R-Муж'!C:D,2,FALSE))</f>
        <v>18.06.2004</v>
      </c>
      <c r="E57" s="197">
        <f>IF(C57="","",LOOKUP(C57,'R-Муж'!C:C,'R-Муж'!B:B))</f>
        <v>71</v>
      </c>
      <c r="F57" s="102" t="str">
        <f>IF(C57="","",VLOOKUP(C57,'R-Муж'!C:E,3,FALSE))</f>
        <v>Москва</v>
      </c>
      <c r="G57" s="124"/>
      <c r="H57" s="199" t="s">
        <v>12057</v>
      </c>
      <c r="I57" s="103" t="s">
        <v>12154</v>
      </c>
      <c r="J57" s="886" t="str">
        <f>MID(C49,1,SEARCH(" ",C49)-1)</f>
        <v>ДУБРОВСКИЙ</v>
      </c>
      <c r="K57" s="886" t="str">
        <f>MID(C49,SEARCH(" ",C49)+1,1)</f>
        <v>И</v>
      </c>
      <c r="L57" s="886" t="str">
        <f t="shared" si="5"/>
        <v>ДУБРОВСКИЙ И.</v>
      </c>
      <c r="M57" s="123"/>
      <c r="N57" t="e">
        <f>SUMIF('R-Муж'!#REF!,C49,'R-Муж'!F:F)</f>
        <v>#REF!</v>
      </c>
    </row>
    <row r="58" spans="1:16" ht="17.25" thickTop="1" thickBot="1" x14ac:dyDescent="0.25">
      <c r="A58" s="99">
        <v>50</v>
      </c>
      <c r="B58" s="116" t="s">
        <v>81</v>
      </c>
      <c r="C58" s="977" t="s">
        <v>12042</v>
      </c>
      <c r="D58" s="101" t="str">
        <f>IF(C58="","",VLOOKUP(C58,'R-Муж'!C:D,2,FALSE))</f>
        <v>20.11.2002</v>
      </c>
      <c r="E58" s="197">
        <f>IF(C58="","",LOOKUP(C58,'R-Муж'!C:C,'R-Муж'!B:B))</f>
        <v>66</v>
      </c>
      <c r="F58" s="102" t="str">
        <f>IF(C58="","",VLOOKUP(C58,'R-Муж'!C:E,3,FALSE))</f>
        <v>Москва</v>
      </c>
      <c r="G58" s="124"/>
      <c r="H58" s="199" t="s">
        <v>12009</v>
      </c>
      <c r="I58" s="106" t="s">
        <v>12036</v>
      </c>
      <c r="J58" s="104" t="e">
        <f>MID(#REF!,1,SEARCH(" ",#REF!)-1)</f>
        <v>#REF!</v>
      </c>
      <c r="K58" s="104" t="e">
        <f>MID(#REF!,SEARCH(" ",#REF!)+1,1)</f>
        <v>#REF!</v>
      </c>
      <c r="L58" s="104" t="e">
        <f t="shared" si="5"/>
        <v>#REF!</v>
      </c>
      <c r="M58" s="123"/>
      <c r="N58" t="e">
        <f>SUMIF('R-Муж'!#REF!,#REF!,'R-Муж'!F:F)</f>
        <v>#REF!</v>
      </c>
    </row>
    <row r="59" spans="1:16" ht="17.25" thickTop="1" thickBot="1" x14ac:dyDescent="0.3">
      <c r="A59" s="99">
        <v>51</v>
      </c>
      <c r="B59" s="115" t="s">
        <v>38</v>
      </c>
      <c r="C59" s="978" t="s">
        <v>12163</v>
      </c>
      <c r="D59" s="101" t="str">
        <f>IF(C59="","",VLOOKUP(C59,'R-Муж'!C:D,2,FALSE))</f>
        <v>16.03.2006</v>
      </c>
      <c r="E59" s="197">
        <f>IF(C59="","",LOOKUP(C59,'R-Муж'!C:C,'R-Муж'!B:B))</f>
        <v>64</v>
      </c>
      <c r="F59" s="102" t="str">
        <f>IF(C59="","",VLOOKUP(C59,'R-Муж'!C:E,3,FALSE))</f>
        <v>Москва</v>
      </c>
      <c r="G59" s="113"/>
      <c r="H59" s="815" t="s">
        <v>12000</v>
      </c>
      <c r="I59" s="103" t="s">
        <v>12154</v>
      </c>
      <c r="J59" s="104" t="e">
        <f>MID(#REF!,1,SEARCH(" ",#REF!)-1)</f>
        <v>#REF!</v>
      </c>
      <c r="K59" s="104" t="e">
        <f>MID(#REF!,SEARCH(" ",#REF!)+1,1)</f>
        <v>#REF!</v>
      </c>
      <c r="L59" s="104" t="e">
        <f t="shared" si="5"/>
        <v>#REF!</v>
      </c>
      <c r="M59" s="123"/>
      <c r="N59" t="e">
        <f>SUMIF('R-Муж'!#REF!,#REF!,'R-Муж'!F:F)</f>
        <v>#REF!</v>
      </c>
      <c r="P59" s="113"/>
    </row>
    <row r="60" spans="1:16" ht="17.25" thickTop="1" thickBot="1" x14ac:dyDescent="0.3">
      <c r="A60" s="99">
        <v>52</v>
      </c>
      <c r="B60" s="116" t="s">
        <v>903</v>
      </c>
      <c r="C60" s="978" t="s">
        <v>12049</v>
      </c>
      <c r="D60" s="101" t="str">
        <f>IF(C60="","",VLOOKUP(C60,'R-Муж'!C:D,2,FALSE))</f>
        <v>29.12.2003</v>
      </c>
      <c r="E60" s="197">
        <f>IF(C60="","",LOOKUP(C60,'R-Муж'!C:C,'R-Муж'!B:B))</f>
        <v>62</v>
      </c>
      <c r="F60" s="102" t="str">
        <f>IF(C60="","",VLOOKUP(C60,'R-Муж'!C:E,3,FALSE))</f>
        <v>Москва</v>
      </c>
      <c r="G60" s="113"/>
      <c r="H60" s="815">
        <v>3</v>
      </c>
      <c r="I60" s="106" t="s">
        <v>12048</v>
      </c>
      <c r="J60" s="104" t="e">
        <f>MID(#REF!,1,SEARCH(" ",#REF!)-1)</f>
        <v>#REF!</v>
      </c>
      <c r="K60" s="104" t="e">
        <f>MID(#REF!,SEARCH(" ",#REF!)+1,1)</f>
        <v>#REF!</v>
      </c>
      <c r="L60" s="104" t="e">
        <f t="shared" si="5"/>
        <v>#REF!</v>
      </c>
      <c r="M60" s="123">
        <v>37</v>
      </c>
      <c r="N60" t="e">
        <f>SUMIF('R-Муж'!#REF!,#REF!,'R-Муж'!F:F)</f>
        <v>#REF!</v>
      </c>
    </row>
    <row r="61" spans="1:16" ht="17.25" thickTop="1" thickBot="1" x14ac:dyDescent="0.3">
      <c r="A61" s="99">
        <v>53</v>
      </c>
      <c r="B61" s="115" t="s">
        <v>88</v>
      </c>
      <c r="C61" s="978" t="s">
        <v>12056</v>
      </c>
      <c r="D61" s="101">
        <v>37914</v>
      </c>
      <c r="E61" s="197">
        <f>IF(C61="","",LOOKUP(C61,'R-Муж'!C:C,'R-Муж'!B:B))</f>
        <v>61</v>
      </c>
      <c r="F61" s="102" t="s">
        <v>105</v>
      </c>
      <c r="G61" s="113"/>
      <c r="H61" s="815">
        <v>3</v>
      </c>
      <c r="I61" s="103" t="s">
        <v>12052</v>
      </c>
      <c r="J61" s="104" t="e">
        <f>MID(#REF!,1,SEARCH(" ",#REF!)-1)</f>
        <v>#REF!</v>
      </c>
      <c r="K61" s="104" t="e">
        <f>MID(#REF!,SEARCH(" ",#REF!)+1,1)</f>
        <v>#REF!</v>
      </c>
      <c r="L61" s="104" t="e">
        <f t="shared" si="5"/>
        <v>#REF!</v>
      </c>
      <c r="M61" s="123">
        <v>35</v>
      </c>
      <c r="N61" t="e">
        <f>SUMIF('R-Муж'!#REF!,#REF!,'R-Муж'!F:F)</f>
        <v>#REF!</v>
      </c>
    </row>
    <row r="62" spans="1:16" ht="17.25" thickTop="1" thickBot="1" x14ac:dyDescent="0.3">
      <c r="A62" s="99">
        <v>54</v>
      </c>
      <c r="B62" s="116" t="s">
        <v>764</v>
      </c>
      <c r="C62" s="105" t="s">
        <v>12118</v>
      </c>
      <c r="D62" s="101" t="str">
        <f>IF(C62="","",VLOOKUP(C62,'R-Муж'!C:D,2,FALSE))</f>
        <v>10.02.2002</v>
      </c>
      <c r="E62" s="197">
        <f>IF(C62="","",LOOKUP(C62,'R-Муж'!C:C,'R-Муж'!B:B))</f>
        <v>59</v>
      </c>
      <c r="F62" s="102" t="str">
        <f>IF(C62="","",VLOOKUP(C62,'R-Муж'!C:E,3,FALSE))</f>
        <v>Домодедово  М.о.</v>
      </c>
      <c r="H62" s="815" t="s">
        <v>12009</v>
      </c>
      <c r="I62" s="106" t="s">
        <v>12119</v>
      </c>
      <c r="J62" s="104" t="str">
        <f>MID(C50,1,SEARCH(" ",C50)-1)</f>
        <v>СИТНИКОВ</v>
      </c>
      <c r="K62" s="104" t="str">
        <f>MID(C50,SEARCH(" ",C50)+1,1)</f>
        <v>К</v>
      </c>
      <c r="L62" s="104" t="str">
        <f t="shared" si="5"/>
        <v>СИТНИКОВ К.</v>
      </c>
      <c r="M62" s="123">
        <v>47</v>
      </c>
      <c r="N62" t="e">
        <f>SUMIF('R-Муж'!#REF!,C50,'R-Муж'!F:F)</f>
        <v>#REF!</v>
      </c>
    </row>
    <row r="63" spans="1:16" ht="17.25" thickTop="1" thickBot="1" x14ac:dyDescent="0.25">
      <c r="A63" s="99">
        <v>55</v>
      </c>
      <c r="B63" s="115" t="s">
        <v>52</v>
      </c>
      <c r="C63" s="100" t="s">
        <v>12010</v>
      </c>
      <c r="D63" s="101" t="str">
        <f>IF(C63="","",VLOOKUP(C63,'R-Муж'!C:D,2,FALSE))</f>
        <v>15.05.2003</v>
      </c>
      <c r="E63" s="197">
        <f>IF(C63="","",LOOKUP(C63,'R-Муж'!C:C,'R-Муж'!B:B))</f>
        <v>57</v>
      </c>
      <c r="F63" s="102" t="str">
        <f>IF(C63="","",VLOOKUP(C63,'R-Муж'!C:E,3,FALSE))</f>
        <v>Москва</v>
      </c>
      <c r="G63" s="124"/>
      <c r="H63" s="199">
        <v>3</v>
      </c>
      <c r="I63" s="106" t="s">
        <v>12011</v>
      </c>
      <c r="J63" s="104" t="str">
        <f>MID(C51,1,SEARCH(" ",C51)-1)</f>
        <v>ПОДЛАЗОВ</v>
      </c>
      <c r="K63" s="104" t="str">
        <f>MID(C51,SEARCH(" ",C51)+1,1)</f>
        <v>В</v>
      </c>
      <c r="L63" s="104" t="str">
        <f t="shared" si="5"/>
        <v>ПОДЛАЗОВ В.</v>
      </c>
      <c r="M63" s="123">
        <v>36</v>
      </c>
      <c r="N63" t="e">
        <f>SUMIF('R-Муж'!#REF!,C51,'R-Муж'!F:F)</f>
        <v>#REF!</v>
      </c>
    </row>
    <row r="64" spans="1:16" ht="17.25" thickTop="1" thickBot="1" x14ac:dyDescent="0.3">
      <c r="A64" s="99">
        <v>56</v>
      </c>
      <c r="B64" s="116" t="s">
        <v>43</v>
      </c>
      <c r="C64" s="105" t="s">
        <v>12131</v>
      </c>
      <c r="D64" s="101" t="str">
        <f>IF(C64="","",VLOOKUP(C64,'R-Муж'!C:D,2,FALSE))</f>
        <v>15.04.2002</v>
      </c>
      <c r="E64" s="197">
        <f>IF(C64="","",LOOKUP(C64,'R-Муж'!C:C,'R-Муж'!B:B))</f>
        <v>56</v>
      </c>
      <c r="F64" s="102" t="str">
        <f>IF(C64="","",VLOOKUP(C64,'R-Муж'!C:E,3,FALSE))</f>
        <v>Коломна</v>
      </c>
      <c r="G64" s="113"/>
      <c r="H64" s="815">
        <v>2</v>
      </c>
      <c r="I64" s="103" t="s">
        <v>12132</v>
      </c>
      <c r="J64" s="104" t="str">
        <f>MID(C52,1,SEARCH(" ",C52)-1)</f>
        <v>НАЗАРКИН</v>
      </c>
      <c r="K64" s="104" t="str">
        <f>MID(C52,SEARCH(" ",C52)+1,1)</f>
        <v>М</v>
      </c>
      <c r="L64" s="104" t="str">
        <f t="shared" si="5"/>
        <v>НАЗАРКИН М.</v>
      </c>
      <c r="M64" s="123">
        <v>46</v>
      </c>
      <c r="N64" t="e">
        <f>SUMIF('R-Муж'!#REF!,C52,'R-Муж'!F:F)</f>
        <v>#REF!</v>
      </c>
    </row>
    <row r="65" spans="1:14" ht="17.25" thickTop="1" thickBot="1" x14ac:dyDescent="0.3">
      <c r="A65" s="99">
        <v>57</v>
      </c>
      <c r="B65" s="115" t="s">
        <v>37</v>
      </c>
      <c r="C65" s="105" t="s">
        <v>12156</v>
      </c>
      <c r="D65" s="101" t="str">
        <f>IF(C65="","",VLOOKUP(C65,'R-Муж'!C:D,2,FALSE))</f>
        <v>17.03.2003</v>
      </c>
      <c r="E65" s="197">
        <f>IF(C65="","",LOOKUP(C65,'R-Муж'!C:C,'R-Муж'!B:B))</f>
        <v>55</v>
      </c>
      <c r="F65" s="102" t="str">
        <f>IF(C65="","",VLOOKUP(C65,'R-Муж'!C:E,3,FALSE))</f>
        <v>Ильинский</v>
      </c>
      <c r="G65" s="113"/>
      <c r="H65" s="815">
        <v>2</v>
      </c>
      <c r="I65" s="106" t="s">
        <v>12091</v>
      </c>
      <c r="J65" s="104" t="e">
        <f>MID(#REF!,1,SEARCH(" ",#REF!)-1)</f>
        <v>#REF!</v>
      </c>
      <c r="K65" s="104" t="e">
        <f>MID(#REF!,SEARCH(" ",#REF!)+1,1)</f>
        <v>#REF!</v>
      </c>
      <c r="L65" s="104" t="e">
        <f t="shared" si="5"/>
        <v>#REF!</v>
      </c>
      <c r="M65" s="123"/>
      <c r="N65" t="e">
        <f>SUMIF('R-Муж'!#REF!,#REF!,'R-Муж'!F:F)</f>
        <v>#REF!</v>
      </c>
    </row>
    <row r="66" spans="1:14" ht="17.25" thickTop="1" thickBot="1" x14ac:dyDescent="0.3">
      <c r="A66" s="99">
        <v>58</v>
      </c>
      <c r="B66" s="116" t="s">
        <v>45</v>
      </c>
      <c r="C66" s="105" t="s">
        <v>12092</v>
      </c>
      <c r="D66" s="101" t="str">
        <f>IF(C66="","",VLOOKUP(C66,'R-Муж'!C:D,2,FALSE))</f>
        <v>03.01.2007</v>
      </c>
      <c r="E66" s="197">
        <f>IF(C66="","",LOOKUP(C66,'R-Муж'!C:C,'R-Муж'!B:B))</f>
        <v>51</v>
      </c>
      <c r="F66" s="102" t="str">
        <f>IF(C66="","",VLOOKUP(C66,'R-Муж'!C:E,3,FALSE))</f>
        <v>Москва</v>
      </c>
      <c r="G66" s="124"/>
      <c r="H66" s="199">
        <v>3</v>
      </c>
      <c r="I66" s="983" t="s">
        <v>12093</v>
      </c>
      <c r="J66" s="104" t="str">
        <f t="shared" ref="J66:J108" si="6">MID(C53,1,SEARCH(" ",C53)-1)</f>
        <v>ПЛАХОТНИК</v>
      </c>
      <c r="K66" s="104" t="str">
        <f t="shared" ref="K66:K108" si="7">MID(C53,SEARCH(" ",C53)+1,1)</f>
        <v>А</v>
      </c>
      <c r="L66" s="104" t="str">
        <f t="shared" si="5"/>
        <v>ПЛАХОТНИК А.</v>
      </c>
      <c r="M66" s="123">
        <v>58</v>
      </c>
      <c r="N66" t="e">
        <f>SUMIF('R-Муж'!#REF!,C53,'R-Муж'!F:F)</f>
        <v>#REF!</v>
      </c>
    </row>
    <row r="67" spans="1:14" ht="17.25" thickTop="1" thickBot="1" x14ac:dyDescent="0.3">
      <c r="A67" s="99">
        <v>59</v>
      </c>
      <c r="B67" s="115" t="s">
        <v>911</v>
      </c>
      <c r="C67" s="105" t="s">
        <v>12090</v>
      </c>
      <c r="D67" s="101" t="str">
        <f>IF(C67="","",VLOOKUP(C67,'R-Муж'!C:D,2,FALSE))</f>
        <v>07.02.2006</v>
      </c>
      <c r="E67" s="197">
        <f>IF(C67="","",LOOKUP(C67,'R-Муж'!C:C,'R-Муж'!B:B))</f>
        <v>50</v>
      </c>
      <c r="F67" s="102" t="str">
        <f>IF(C67="","",VLOOKUP(C67,'R-Муж'!C:E,3,FALSE))</f>
        <v>Ильинский</v>
      </c>
      <c r="G67" s="124"/>
      <c r="H67" s="199" t="s">
        <v>12009</v>
      </c>
      <c r="I67" s="106" t="s">
        <v>12091</v>
      </c>
      <c r="J67" s="104" t="str">
        <f t="shared" si="6"/>
        <v>ВОЛЫНКИН</v>
      </c>
      <c r="K67" s="104" t="str">
        <f t="shared" si="7"/>
        <v>А</v>
      </c>
      <c r="L67" s="104" t="str">
        <f t="shared" si="5"/>
        <v>ВОЛЫНКИН А.</v>
      </c>
      <c r="M67" s="123"/>
      <c r="N67" t="e">
        <f>SUMIF('R-Муж'!#REF!,C54,'R-Муж'!F:F)</f>
        <v>#REF!</v>
      </c>
    </row>
    <row r="68" spans="1:14" ht="17.25" thickTop="1" thickBot="1" x14ac:dyDescent="0.25">
      <c r="A68" s="99">
        <v>60</v>
      </c>
      <c r="B68" s="116" t="s">
        <v>41</v>
      </c>
      <c r="C68" s="100" t="s">
        <v>12077</v>
      </c>
      <c r="D68" s="101" t="str">
        <f>IF(C68="","",VLOOKUP(C68,'R-Муж'!C:D,2,FALSE))</f>
        <v>04.01.2005</v>
      </c>
      <c r="E68" s="197">
        <f>IF(C68="","",LOOKUP(C68,'R-Муж'!C:C,'R-Муж'!B:B))</f>
        <v>49</v>
      </c>
      <c r="F68" s="102" t="str">
        <f>IF(C68="","",VLOOKUP(C68,'R-Муж'!C:E,3,FALSE))</f>
        <v>Электросталь</v>
      </c>
      <c r="G68" s="124"/>
      <c r="H68" s="199" t="s">
        <v>12057</v>
      </c>
      <c r="I68" s="103" t="s">
        <v>12078</v>
      </c>
      <c r="J68" s="104" t="str">
        <f t="shared" si="6"/>
        <v>ПРОХОРОВ</v>
      </c>
      <c r="K68" s="104" t="str">
        <f t="shared" si="7"/>
        <v>К</v>
      </c>
      <c r="L68" s="104" t="str">
        <f t="shared" si="5"/>
        <v>ПРОХОРОВ К.</v>
      </c>
      <c r="M68" s="123"/>
      <c r="N68" t="e">
        <f>SUMIF('R-Муж'!#REF!,C55,'R-Муж'!F:F)</f>
        <v>#REF!</v>
      </c>
    </row>
    <row r="69" spans="1:14" ht="17.25" thickTop="1" thickBot="1" x14ac:dyDescent="0.25">
      <c r="A69" s="99">
        <v>61</v>
      </c>
      <c r="B69" s="115" t="s">
        <v>29</v>
      </c>
      <c r="C69" s="977" t="s">
        <v>12039</v>
      </c>
      <c r="D69" s="101" t="str">
        <f>IF(C69="","",VLOOKUP(C69,'R-Муж'!C:D,2,FALSE))</f>
        <v>01.11.2004</v>
      </c>
      <c r="E69" s="197">
        <f>IF(C69="","",LOOKUP(C69,'R-Муж'!C:C,'R-Муж'!B:B))</f>
        <v>46</v>
      </c>
      <c r="F69" s="102" t="str">
        <f>IF(C69="","",VLOOKUP(C69,'R-Муж'!C:E,3,FALSE))</f>
        <v>Москва</v>
      </c>
      <c r="G69" s="124"/>
      <c r="H69" s="199">
        <v>3</v>
      </c>
      <c r="I69" s="106" t="s">
        <v>12036</v>
      </c>
      <c r="J69" s="104" t="str">
        <f t="shared" si="6"/>
        <v>ЛОМАКИН</v>
      </c>
      <c r="K69" s="104" t="str">
        <f t="shared" si="7"/>
        <v>П</v>
      </c>
      <c r="L69" s="104" t="str">
        <f t="shared" si="5"/>
        <v>ЛОМАКИН П.</v>
      </c>
      <c r="M69" s="123"/>
      <c r="N69" t="e">
        <f>SUMIF('R-Муж'!#REF!,C56,'R-Муж'!F:F)</f>
        <v>#REF!</v>
      </c>
    </row>
    <row r="70" spans="1:14" ht="17.25" thickTop="1" thickBot="1" x14ac:dyDescent="0.3">
      <c r="A70" s="99">
        <v>62</v>
      </c>
      <c r="B70" s="116" t="s">
        <v>49</v>
      </c>
      <c r="C70" s="105" t="s">
        <v>12076</v>
      </c>
      <c r="D70" s="101" t="str">
        <f>IF(C70="","",VLOOKUP(C70,'R-Муж'!C:D,2,FALSE))</f>
        <v>15.07.2003</v>
      </c>
      <c r="E70" s="197">
        <f>IF(C70="","",LOOKUP(C70,'R-Муж'!C:C,'R-Муж'!B:B))</f>
        <v>46</v>
      </c>
      <c r="F70" s="102" t="str">
        <f>IF(C70="","",VLOOKUP(C70,'R-Муж'!C:E,3,FALSE))</f>
        <v>Москва</v>
      </c>
      <c r="G70" s="124"/>
      <c r="H70" s="199">
        <v>2</v>
      </c>
      <c r="I70" s="103" t="s">
        <v>12072</v>
      </c>
      <c r="J70" s="104" t="str">
        <f t="shared" si="6"/>
        <v>НОВИКОВ</v>
      </c>
      <c r="K70" s="104" t="str">
        <f t="shared" si="7"/>
        <v>К</v>
      </c>
      <c r="L70" s="104" t="str">
        <f t="shared" si="5"/>
        <v>НОВИКОВ К.</v>
      </c>
      <c r="M70" s="123"/>
      <c r="N70" t="e">
        <f>SUMIF('R-Муж'!#REF!,C57,'R-Муж'!F:F)</f>
        <v>#REF!</v>
      </c>
    </row>
    <row r="71" spans="1:14" ht="17.25" thickTop="1" thickBot="1" x14ac:dyDescent="0.3">
      <c r="A71" s="99">
        <v>63</v>
      </c>
      <c r="B71" s="115" t="s">
        <v>893</v>
      </c>
      <c r="C71" s="105" t="s">
        <v>12145</v>
      </c>
      <c r="D71" s="101" t="str">
        <f>IF(C71="","",VLOOKUP(C71,'R-Муж'!C:D,2,FALSE))</f>
        <v>07.02.2007</v>
      </c>
      <c r="E71" s="197">
        <f>IF(C71="","",LOOKUP(C71,'R-Муж'!C:C,'R-Муж'!B:B))</f>
        <v>46</v>
      </c>
      <c r="F71" s="102" t="str">
        <f>IF(C71="","",VLOOKUP(C71,'R-Муж'!C:E,3,FALSE))</f>
        <v>Москва</v>
      </c>
      <c r="G71" s="113"/>
      <c r="H71" s="815"/>
      <c r="I71" s="106" t="s">
        <v>12154</v>
      </c>
      <c r="J71" s="104" t="str">
        <f t="shared" si="6"/>
        <v>ПИВОВАРОВ</v>
      </c>
      <c r="K71" s="104" t="str">
        <f t="shared" si="7"/>
        <v>И</v>
      </c>
      <c r="L71" s="104" t="str">
        <f t="shared" si="5"/>
        <v>ПИВОВАРОВ И.</v>
      </c>
      <c r="M71" s="123">
        <v>52</v>
      </c>
      <c r="N71" t="e">
        <f>SUMIF('R-Муж'!#REF!,C58,'R-Муж'!F:F)</f>
        <v>#REF!</v>
      </c>
    </row>
    <row r="72" spans="1:14" ht="17.25" thickTop="1" thickBot="1" x14ac:dyDescent="0.25">
      <c r="A72" s="99">
        <v>64</v>
      </c>
      <c r="B72" s="116" t="s">
        <v>15</v>
      </c>
      <c r="C72" s="814" t="s">
        <v>12095</v>
      </c>
      <c r="D72" s="101" t="str">
        <f>IF(C72="","",VLOOKUP(C72,'R-Муж'!C:D,2,FALSE))</f>
        <v>05.03.2003</v>
      </c>
      <c r="E72" s="197">
        <f>IF(C72="","",LOOKUP(C72,'R-Муж'!C:C,'R-Муж'!B:B))</f>
        <v>43</v>
      </c>
      <c r="F72" s="102" t="str">
        <f>IF(C72="","",VLOOKUP(C72,'R-Муж'!C:E,3,FALSE))</f>
        <v>Одинцово</v>
      </c>
      <c r="G72" s="124"/>
      <c r="H72" s="199">
        <v>3</v>
      </c>
      <c r="I72" s="103" t="s">
        <v>12096</v>
      </c>
      <c r="J72" s="104" t="str">
        <f t="shared" si="6"/>
        <v>АРИСТОВ</v>
      </c>
      <c r="K72" s="104" t="str">
        <f t="shared" si="7"/>
        <v>А</v>
      </c>
      <c r="L72" s="104" t="str">
        <f t="shared" si="5"/>
        <v>АРИСТОВ А.</v>
      </c>
      <c r="M72" s="123">
        <v>65</v>
      </c>
      <c r="N72" t="e">
        <f>SUMIF('R-Муж'!#REF!,C59,'R-Муж'!F:F)</f>
        <v>#REF!</v>
      </c>
    </row>
    <row r="73" spans="1:14" ht="17.25" thickTop="1" thickBot="1" x14ac:dyDescent="0.3">
      <c r="A73" s="99">
        <v>65</v>
      </c>
      <c r="B73" s="115" t="s">
        <v>905</v>
      </c>
      <c r="C73" s="105" t="s">
        <v>12080</v>
      </c>
      <c r="D73" s="101" t="str">
        <f>IF(C73="","",VLOOKUP(C73,'R-Муж'!C:D,2,FALSE))</f>
        <v>23.10.2003</v>
      </c>
      <c r="E73" s="197">
        <f>IF(C73="","",LOOKUP(C73,'R-Муж'!C:C,'R-Муж'!B:B))</f>
        <v>43</v>
      </c>
      <c r="F73" s="102" t="str">
        <f>IF(C73="","",VLOOKUP(C73,'R-Муж'!C:E,3,FALSE))</f>
        <v>Москва</v>
      </c>
      <c r="H73" s="815" t="s">
        <v>12057</v>
      </c>
      <c r="I73" s="106" t="s">
        <v>12081</v>
      </c>
      <c r="J73" s="104" t="str">
        <f t="shared" si="6"/>
        <v>СВИРЩЕВСКИЙ</v>
      </c>
      <c r="K73" s="104" t="str">
        <f t="shared" si="7"/>
        <v>Ю</v>
      </c>
      <c r="L73" s="104" t="str">
        <f t="shared" ref="L73:L104" si="8">CONCATENATE(J73," ",K73,".")</f>
        <v>СВИРЩЕВСКИЙ Ю.</v>
      </c>
      <c r="M73" s="123">
        <v>43</v>
      </c>
      <c r="N73" t="e">
        <f>SUMIF('R-Муж'!#REF!,C60,'R-Муж'!F:F)</f>
        <v>#REF!</v>
      </c>
    </row>
    <row r="74" spans="1:14" ht="17.25" thickTop="1" thickBot="1" x14ac:dyDescent="0.3">
      <c r="A74" s="99">
        <v>66</v>
      </c>
      <c r="B74" s="116" t="s">
        <v>42</v>
      </c>
      <c r="C74" s="105" t="s">
        <v>12157</v>
      </c>
      <c r="D74" s="101">
        <v>37881</v>
      </c>
      <c r="E74" s="197">
        <v>42</v>
      </c>
      <c r="F74" s="102" t="s">
        <v>126</v>
      </c>
      <c r="G74" s="113"/>
      <c r="H74" s="815">
        <v>2</v>
      </c>
      <c r="I74" s="103" t="s">
        <v>12091</v>
      </c>
      <c r="J74" s="104" t="str">
        <f t="shared" si="6"/>
        <v>ПОПОВ</v>
      </c>
      <c r="K74" s="104" t="str">
        <f t="shared" si="7"/>
        <v>Д</v>
      </c>
      <c r="L74" s="104" t="str">
        <f t="shared" si="8"/>
        <v>ПОПОВ Д.</v>
      </c>
      <c r="M74" s="123"/>
      <c r="N74" t="e">
        <f>SUMIF('R-Муж'!#REF!,C61,'R-Муж'!F:F)</f>
        <v>#REF!</v>
      </c>
    </row>
    <row r="75" spans="1:14" ht="17.25" thickTop="1" thickBot="1" x14ac:dyDescent="0.25">
      <c r="A75" s="99">
        <v>67</v>
      </c>
      <c r="B75" s="115" t="s">
        <v>22</v>
      </c>
      <c r="C75" s="100" t="s">
        <v>11993</v>
      </c>
      <c r="D75" s="101" t="str">
        <f>IF(C75="","",VLOOKUP(C75,'R-Муж'!C:D,2,FALSE))</f>
        <v>08.06.2005</v>
      </c>
      <c r="E75" s="197">
        <f>IF(C75="","",LOOKUP(C75,'R-Муж'!C:C,'R-Муж'!B:B))</f>
        <v>40</v>
      </c>
      <c r="F75" s="102" t="str">
        <f>IF(C75="","",VLOOKUP(C75,'R-Муж'!C:E,3,FALSE))</f>
        <v>Москва</v>
      </c>
      <c r="G75" s="124"/>
      <c r="H75" s="199"/>
      <c r="I75" s="106" t="s">
        <v>11994</v>
      </c>
      <c r="J75" s="104" t="str">
        <f t="shared" si="6"/>
        <v>ПЕТУХОВ</v>
      </c>
      <c r="K75" s="104" t="str">
        <f t="shared" si="7"/>
        <v>А</v>
      </c>
      <c r="L75" s="104" t="str">
        <f t="shared" si="8"/>
        <v>ПЕТУХОВ А.</v>
      </c>
      <c r="M75" s="123"/>
      <c r="N75" t="e">
        <f>SUMIF('R-Муж'!#REF!,C62,'R-Муж'!F:F)</f>
        <v>#REF!</v>
      </c>
    </row>
    <row r="76" spans="1:14" ht="17.25" thickTop="1" thickBot="1" x14ac:dyDescent="0.3">
      <c r="A76" s="99">
        <v>68</v>
      </c>
      <c r="B76" s="116" t="s">
        <v>53</v>
      </c>
      <c r="C76" s="105" t="s">
        <v>12103</v>
      </c>
      <c r="D76" s="101">
        <v>38777</v>
      </c>
      <c r="E76" s="197">
        <v>35</v>
      </c>
      <c r="F76" s="102" t="s">
        <v>105</v>
      </c>
      <c r="G76" s="113"/>
      <c r="H76" s="815">
        <v>3</v>
      </c>
      <c r="I76" s="103" t="s">
        <v>12034</v>
      </c>
      <c r="J76" s="104" t="str">
        <f t="shared" si="6"/>
        <v>ЛУЗАНОВ</v>
      </c>
      <c r="K76" s="104" t="str">
        <f t="shared" si="7"/>
        <v>Д</v>
      </c>
      <c r="L76" s="104" t="str">
        <f t="shared" si="8"/>
        <v>ЛУЗАНОВ Д.</v>
      </c>
      <c r="M76" s="123"/>
      <c r="N76" t="e">
        <f>SUMIF('R-Муж'!#REF!,C63,'R-Муж'!F:F)</f>
        <v>#REF!</v>
      </c>
    </row>
    <row r="77" spans="1:14" ht="17.25" thickTop="1" thickBot="1" x14ac:dyDescent="0.3">
      <c r="A77" s="99">
        <v>69</v>
      </c>
      <c r="B77" s="115" t="s">
        <v>12115</v>
      </c>
      <c r="C77" s="105" t="s">
        <v>12126</v>
      </c>
      <c r="D77" s="101" t="str">
        <f>IF(C77="","",VLOOKUP(C77,'R-Муж'!C:D,2,FALSE))</f>
        <v>12.07.2004</v>
      </c>
      <c r="E77" s="197">
        <f>IF(C77="","",LOOKUP(C77,'R-Муж'!C:C,'R-Муж'!B:B))</f>
        <v>34</v>
      </c>
      <c r="F77" s="102" t="str">
        <f>IF(C77="","",VLOOKUP(C77,'R-Муж'!C:E,3,FALSE))</f>
        <v>Москва</v>
      </c>
      <c r="G77" s="113"/>
      <c r="H77" s="815" t="s">
        <v>12009</v>
      </c>
      <c r="I77" s="106" t="s">
        <v>12122</v>
      </c>
      <c r="J77" s="104" t="str">
        <f t="shared" si="6"/>
        <v>ГИНОСЯН</v>
      </c>
      <c r="K77" s="104" t="str">
        <f t="shared" si="7"/>
        <v>Г</v>
      </c>
      <c r="L77" s="104" t="str">
        <f t="shared" si="8"/>
        <v>ГИНОСЯН Г.</v>
      </c>
      <c r="M77" s="123">
        <v>50</v>
      </c>
      <c r="N77" t="e">
        <f>SUMIF('R-Муж'!#REF!,C64,'R-Муж'!F:F)</f>
        <v>#REF!</v>
      </c>
    </row>
    <row r="78" spans="1:14" ht="17.25" thickTop="1" thickBot="1" x14ac:dyDescent="0.3">
      <c r="A78" s="99">
        <v>70</v>
      </c>
      <c r="B78" s="116" t="s">
        <v>62</v>
      </c>
      <c r="C78" s="105" t="s">
        <v>12020</v>
      </c>
      <c r="D78" s="101" t="str">
        <f>IF(C78="","",VLOOKUP(C78,'R-Муж'!C:D,2,FALSE))</f>
        <v>14.03.2004</v>
      </c>
      <c r="E78" s="197">
        <f>IF(C78="","",LOOKUP(C78,'R-Муж'!C:C,'R-Муж'!B:B))</f>
        <v>33</v>
      </c>
      <c r="F78" s="102" t="str">
        <f>IF(C78="","",VLOOKUP(C78,'R-Муж'!C:E,3,FALSE))</f>
        <v>Орехово-Зуево</v>
      </c>
      <c r="G78" s="113"/>
      <c r="H78" s="815" t="s">
        <v>12009</v>
      </c>
      <c r="I78" s="103" t="s">
        <v>12017</v>
      </c>
      <c r="J78" s="104" t="str">
        <f t="shared" si="6"/>
        <v>АКИНЬЩИКОВ</v>
      </c>
      <c r="K78" s="104" t="str">
        <f t="shared" si="7"/>
        <v>С</v>
      </c>
      <c r="L78" s="104" t="str">
        <f t="shared" si="8"/>
        <v>АКИНЬЩИКОВ С.</v>
      </c>
      <c r="M78" s="123"/>
      <c r="N78" t="e">
        <f>SUMIF('R-Муж'!#REF!,C65,'R-Муж'!F:F)</f>
        <v>#REF!</v>
      </c>
    </row>
    <row r="79" spans="1:14" ht="17.25" thickTop="1" thickBot="1" x14ac:dyDescent="0.3">
      <c r="A79" s="99">
        <v>71</v>
      </c>
      <c r="B79" s="115" t="s">
        <v>12108</v>
      </c>
      <c r="C79" s="105" t="s">
        <v>12160</v>
      </c>
      <c r="D79" s="101" t="str">
        <f>IF(C79="","",VLOOKUP(C79,'R-Муж'!C:D,2,FALSE))</f>
        <v>09.04.2006</v>
      </c>
      <c r="E79" s="197">
        <f>IF(C79="","",LOOKUP(C79,'R-Муж'!C:C,'R-Муж'!B:B))</f>
        <v>33</v>
      </c>
      <c r="F79" s="102" t="str">
        <f>IF(C79="","",VLOOKUP(C79,'R-Муж'!C:E,3,FALSE))</f>
        <v>Москва</v>
      </c>
      <c r="G79" s="113"/>
      <c r="H79" s="815" t="s">
        <v>12009</v>
      </c>
      <c r="I79" s="106" t="s">
        <v>12093</v>
      </c>
      <c r="J79" s="104" t="str">
        <f t="shared" si="6"/>
        <v>КУРИЛОВИЧ</v>
      </c>
      <c r="K79" s="104" t="str">
        <f t="shared" si="7"/>
        <v>Я</v>
      </c>
      <c r="L79" s="104" t="str">
        <f t="shared" si="8"/>
        <v>КУРИЛОВИЧ Я.</v>
      </c>
      <c r="M79" s="123"/>
      <c r="N79" t="e">
        <f>SUMIF('R-Муж'!#REF!,C66,'R-Муж'!F:F)</f>
        <v>#REF!</v>
      </c>
    </row>
    <row r="80" spans="1:14" ht="17.25" thickTop="1" thickBot="1" x14ac:dyDescent="0.3">
      <c r="A80" s="99">
        <v>72</v>
      </c>
      <c r="B80" s="116" t="s">
        <v>12109</v>
      </c>
      <c r="C80" s="105" t="s">
        <v>12161</v>
      </c>
      <c r="D80" s="101">
        <v>39769</v>
      </c>
      <c r="E80" s="197">
        <f>IF(C80="","",LOOKUP(C80,'R-Муж'!C:C,'R-Муж'!B:B))</f>
        <v>33</v>
      </c>
      <c r="F80" s="102" t="s">
        <v>105</v>
      </c>
      <c r="G80" s="113"/>
      <c r="H80" s="815" t="s">
        <v>12000</v>
      </c>
      <c r="I80" s="103" t="s">
        <v>12093</v>
      </c>
      <c r="J80" s="104" t="str">
        <f t="shared" si="6"/>
        <v>СУРОВЦЕВ</v>
      </c>
      <c r="K80" s="104" t="str">
        <f t="shared" si="7"/>
        <v>Д</v>
      </c>
      <c r="L80" s="104" t="str">
        <f t="shared" si="8"/>
        <v>СУРОВЦЕВ Д.</v>
      </c>
      <c r="M80" s="123"/>
      <c r="N80" t="e">
        <f>SUMIF('R-Муж'!#REF!,C67,'R-Муж'!F:F)</f>
        <v>#REF!</v>
      </c>
    </row>
    <row r="81" spans="1:14" ht="17.25" thickTop="1" thickBot="1" x14ac:dyDescent="0.3">
      <c r="A81" s="99">
        <v>73</v>
      </c>
      <c r="B81" s="115" t="s">
        <v>96</v>
      </c>
      <c r="C81" s="105" t="s">
        <v>12102</v>
      </c>
      <c r="D81" s="101" t="str">
        <f>IF(C81="","",VLOOKUP(C81,'R-Муж'!C:D,2,FALSE))</f>
        <v>07.07.2006</v>
      </c>
      <c r="E81" s="197">
        <f>IF(C81="","",LOOKUP(C81,'R-Муж'!C:C,'R-Муж'!B:B))</f>
        <v>32</v>
      </c>
      <c r="F81" s="102" t="str">
        <f>IF(C81="","",VLOOKUP(C81,'R-Муж'!C:E,3,FALSE))</f>
        <v>Москва</v>
      </c>
      <c r="G81" s="113"/>
      <c r="H81" s="815">
        <v>3</v>
      </c>
      <c r="I81" s="106" t="s">
        <v>12034</v>
      </c>
      <c r="J81" s="104" t="str">
        <f t="shared" si="6"/>
        <v>АВЕРИН</v>
      </c>
      <c r="K81" s="104" t="str">
        <f t="shared" si="7"/>
        <v>Д</v>
      </c>
      <c r="L81" s="104" t="str">
        <f t="shared" si="8"/>
        <v>АВЕРИН Д.</v>
      </c>
      <c r="M81" s="123"/>
      <c r="N81" t="e">
        <f>SUMIF('R-Муж'!#REF!,C68,'R-Муж'!F:F)</f>
        <v>#REF!</v>
      </c>
    </row>
    <row r="82" spans="1:14" ht="17.25" thickTop="1" thickBot="1" x14ac:dyDescent="0.3">
      <c r="A82" s="99">
        <v>74</v>
      </c>
      <c r="B82" s="116" t="s">
        <v>27</v>
      </c>
      <c r="C82" s="978" t="s">
        <v>12047</v>
      </c>
      <c r="D82" s="101" t="str">
        <f>IF(C82="","",VLOOKUP(C82,'R-Муж'!C:D,2,FALSE))</f>
        <v>18.12.2002</v>
      </c>
      <c r="E82" s="197">
        <f>IF(C82="","",LOOKUP(C82,'R-Муж'!C:C,'R-Муж'!B:B))</f>
        <v>25</v>
      </c>
      <c r="F82" s="102" t="str">
        <f>IF(C82="","",VLOOKUP(C82,'R-Муж'!C:E,3,FALSE))</f>
        <v>Москва</v>
      </c>
      <c r="G82" s="113"/>
      <c r="H82" s="815">
        <v>2</v>
      </c>
      <c r="I82" s="103" t="s">
        <v>12048</v>
      </c>
      <c r="J82" s="104" t="str">
        <f t="shared" si="6"/>
        <v>БУРГАСОВ</v>
      </c>
      <c r="K82" s="104" t="str">
        <f t="shared" si="7"/>
        <v>В</v>
      </c>
      <c r="L82" s="104" t="str">
        <f t="shared" si="8"/>
        <v>БУРГАСОВ В.</v>
      </c>
      <c r="M82" s="123">
        <v>59</v>
      </c>
      <c r="N82" t="e">
        <f>SUMIF('R-Муж'!#REF!,C69,'R-Муж'!F:F)</f>
        <v>#REF!</v>
      </c>
    </row>
    <row r="83" spans="1:14" ht="17.25" thickTop="1" thickBot="1" x14ac:dyDescent="0.3">
      <c r="A83" s="99">
        <v>75</v>
      </c>
      <c r="B83" s="115" t="s">
        <v>65</v>
      </c>
      <c r="C83" s="105" t="s">
        <v>12084</v>
      </c>
      <c r="D83" s="101" t="str">
        <f>IF(C83="","",VLOOKUP(C83,'R-Муж'!C:D,2,FALSE))</f>
        <v>19.03.2007</v>
      </c>
      <c r="E83" s="197">
        <f>IF(C83="","",LOOKUP(C83,'R-Муж'!C:C,'R-Муж'!B:B))</f>
        <v>24</v>
      </c>
      <c r="F83" s="102" t="str">
        <f>IF(C83="","",VLOOKUP(C83,'R-Муж'!C:E,3,FALSE))</f>
        <v>Москва</v>
      </c>
      <c r="G83" s="113"/>
      <c r="H83" s="815"/>
      <c r="I83" s="106" t="s">
        <v>12034</v>
      </c>
      <c r="J83" s="104" t="str">
        <f t="shared" si="6"/>
        <v>ЛЕДНЕВ</v>
      </c>
      <c r="K83" s="104" t="str">
        <f t="shared" si="7"/>
        <v>Д</v>
      </c>
      <c r="L83" s="104" t="str">
        <f t="shared" si="8"/>
        <v>ЛЕДНЕВ Д.</v>
      </c>
      <c r="M83" s="123"/>
      <c r="N83" t="e">
        <f>SUMIF('R-Муж'!#REF!,C70,'R-Муж'!F:F)</f>
        <v>#REF!</v>
      </c>
    </row>
    <row r="84" spans="1:14" ht="17.25" thickTop="1" thickBot="1" x14ac:dyDescent="0.3">
      <c r="A84" s="99">
        <v>76</v>
      </c>
      <c r="B84" s="116" t="s">
        <v>69</v>
      </c>
      <c r="C84" s="105" t="s">
        <v>12100</v>
      </c>
      <c r="D84" s="101" t="str">
        <f>IF(C84="","",VLOOKUP(C84,'R-Муж'!C:D,2,FALSE))</f>
        <v>18.04.2006</v>
      </c>
      <c r="E84" s="197">
        <f>IF(C84="","",LOOKUP(C84,'R-Муж'!C:C,'R-Муж'!B:B))</f>
        <v>23</v>
      </c>
      <c r="F84" s="102" t="str">
        <f>IF(C84="","",VLOOKUP(C84,'R-Муж'!C:E,3,FALSE))</f>
        <v>Дмитров</v>
      </c>
      <c r="H84" s="815" t="s">
        <v>12009</v>
      </c>
      <c r="I84" s="103" t="s">
        <v>12099</v>
      </c>
      <c r="J84" s="104" t="str">
        <f t="shared" si="6"/>
        <v>ПОПОВ</v>
      </c>
      <c r="K84" s="104" t="str">
        <f t="shared" si="7"/>
        <v>П</v>
      </c>
      <c r="L84" s="104" t="str">
        <f t="shared" si="8"/>
        <v>ПОПОВ П.</v>
      </c>
      <c r="M84" s="123">
        <v>51</v>
      </c>
      <c r="N84" t="e">
        <f>SUMIF('R-Муж'!#REF!,C71,'R-Муж'!F:F)</f>
        <v>#REF!</v>
      </c>
    </row>
    <row r="85" spans="1:14" ht="17.25" thickTop="1" thickBot="1" x14ac:dyDescent="0.3">
      <c r="A85" s="99">
        <v>77</v>
      </c>
      <c r="B85" s="115" t="s">
        <v>898</v>
      </c>
      <c r="C85" s="105" t="s">
        <v>12012</v>
      </c>
      <c r="D85" s="101" t="str">
        <f>IF(C85="","",VLOOKUP(C85,'R-Муж'!C:D,2,FALSE))</f>
        <v>24.07.2006</v>
      </c>
      <c r="E85" s="197">
        <f>IF(C85="","",LOOKUP(C85,'R-Муж'!C:C,'R-Муж'!B:B))</f>
        <v>22</v>
      </c>
      <c r="F85" s="102" t="str">
        <f>IF(C85="","",VLOOKUP(C85,'R-Муж'!C:E,3,FALSE))</f>
        <v>Дрезна  Мос.обл.</v>
      </c>
      <c r="G85" s="113"/>
      <c r="H85" s="815" t="s">
        <v>12009</v>
      </c>
      <c r="I85" s="106" t="s">
        <v>12013</v>
      </c>
      <c r="J85" s="886" t="str">
        <f t="shared" si="6"/>
        <v>АКЕНТЬЕВ</v>
      </c>
      <c r="K85" s="886" t="str">
        <f t="shared" si="7"/>
        <v>А</v>
      </c>
      <c r="L85" s="886" t="str">
        <f t="shared" si="8"/>
        <v>АКЕНТЬЕВ А.</v>
      </c>
      <c r="M85" s="123"/>
      <c r="N85" t="e">
        <f>SUMIF('R-Муж'!#REF!,C72,'R-Муж'!F:F)</f>
        <v>#REF!</v>
      </c>
    </row>
    <row r="86" spans="1:14" ht="17.25" thickTop="1" thickBot="1" x14ac:dyDescent="0.3">
      <c r="A86" s="99">
        <v>78</v>
      </c>
      <c r="B86" s="116" t="s">
        <v>28</v>
      </c>
      <c r="C86" s="978" t="s">
        <v>12162</v>
      </c>
      <c r="D86" s="101" t="str">
        <f>IF(C86="","",VLOOKUP(C86,'R-Муж'!C:D,2,FALSE))</f>
        <v>15.07.2003</v>
      </c>
      <c r="E86" s="197">
        <f>IF(C86="","",LOOKUP(C86,'R-Муж'!C:C,'R-Муж'!B:B))</f>
        <v>19</v>
      </c>
      <c r="F86" s="102" t="str">
        <f>IF(C86="","",VLOOKUP(C86,'R-Муж'!C:E,3,FALSE))</f>
        <v>Москва</v>
      </c>
      <c r="G86" s="113"/>
      <c r="H86" s="815">
        <v>1</v>
      </c>
      <c r="I86" s="106" t="s">
        <v>12154</v>
      </c>
      <c r="J86" s="104" t="str">
        <f t="shared" si="6"/>
        <v>СОБАКИН</v>
      </c>
      <c r="K86" s="104" t="str">
        <f t="shared" si="7"/>
        <v>Ю</v>
      </c>
      <c r="L86" s="104" t="str">
        <f t="shared" si="8"/>
        <v>СОБАКИН Ю.</v>
      </c>
      <c r="M86" s="123"/>
      <c r="N86" t="e">
        <f>SUMIF('R-Муж'!#REF!,C73,'R-Муж'!F:F)</f>
        <v>#REF!</v>
      </c>
    </row>
    <row r="87" spans="1:14" ht="17.25" thickTop="1" thickBot="1" x14ac:dyDescent="0.3">
      <c r="A87" s="99">
        <v>79</v>
      </c>
      <c r="B87" s="115" t="s">
        <v>47</v>
      </c>
      <c r="C87" s="105" t="s">
        <v>12170</v>
      </c>
      <c r="D87" s="1019" t="str">
        <f>IF(C87="","",VLOOKUP(C87,'R-Муж'!C:D,2,FALSE))</f>
        <v>17.09.2006</v>
      </c>
      <c r="E87" s="996">
        <f>IF(C87="","",LOOKUP(C87,'R-Муж'!C:C,'R-Муж'!B:B))</f>
        <v>19</v>
      </c>
      <c r="F87" s="1021" t="str">
        <f>IF(C87="","",VLOOKUP(C87,'R-Муж'!C:E,3,FALSE))</f>
        <v>Москва</v>
      </c>
      <c r="G87" s="995"/>
      <c r="H87" s="1027" t="s">
        <v>12057</v>
      </c>
      <c r="I87" s="1037" t="s">
        <v>12089</v>
      </c>
      <c r="J87" s="104" t="str">
        <f t="shared" si="6"/>
        <v>АКИНьЩИКОВ</v>
      </c>
      <c r="K87" s="104" t="str">
        <f t="shared" si="7"/>
        <v>Я</v>
      </c>
      <c r="L87" s="104" t="str">
        <f t="shared" si="8"/>
        <v>АКИНьЩИКОВ Я.</v>
      </c>
      <c r="M87" s="123"/>
      <c r="N87" t="e">
        <f>SUMIF('R-Муж'!#REF!,C74,'R-Муж'!F:F)</f>
        <v>#REF!</v>
      </c>
    </row>
    <row r="88" spans="1:14" ht="17.25" thickTop="1" thickBot="1" x14ac:dyDescent="0.3">
      <c r="A88" s="99">
        <v>80</v>
      </c>
      <c r="B88" s="116" t="s">
        <v>50</v>
      </c>
      <c r="C88" s="105" t="s">
        <v>12088</v>
      </c>
      <c r="D88" s="101" t="str">
        <f>IF(C88="","",VLOOKUP(C88,'R-Муж'!C:D,2,FALSE))</f>
        <v>01.04.2006</v>
      </c>
      <c r="E88" s="197">
        <f>IF(C88="","",LOOKUP(C88,'R-Муж'!C:C,'R-Муж'!B:B))</f>
        <v>19</v>
      </c>
      <c r="F88" s="102" t="str">
        <f>IF(C88="","",VLOOKUP(C88,'R-Муж'!C:E,3,FALSE))</f>
        <v>Москва</v>
      </c>
      <c r="G88" s="124"/>
      <c r="H88" s="199" t="s">
        <v>12057</v>
      </c>
      <c r="I88" s="106" t="s">
        <v>12089</v>
      </c>
      <c r="J88" s="104" t="str">
        <f t="shared" si="6"/>
        <v>АНДРОНОВ</v>
      </c>
      <c r="K88" s="104" t="str">
        <f t="shared" si="7"/>
        <v>Ф</v>
      </c>
      <c r="L88" s="104" t="str">
        <f t="shared" si="8"/>
        <v>АНДРОНОВ Ф.</v>
      </c>
      <c r="M88" s="123">
        <v>61</v>
      </c>
      <c r="N88" t="e">
        <f>SUMIF('R-Муж'!#REF!,C75,'R-Муж'!F:F)</f>
        <v>#REF!</v>
      </c>
    </row>
    <row r="89" spans="1:14" ht="17.25" thickTop="1" thickBot="1" x14ac:dyDescent="0.3">
      <c r="A89" s="99">
        <v>81</v>
      </c>
      <c r="B89" s="901" t="s">
        <v>763</v>
      </c>
      <c r="C89" s="900" t="s">
        <v>12146</v>
      </c>
      <c r="D89" s="101" t="str">
        <f>IF(C89="","",VLOOKUP(C89,'R-Муж'!C:D,2,FALSE))</f>
        <v>26.04.2006</v>
      </c>
      <c r="E89" s="197">
        <f>IF(C89="","",LOOKUP(C89,'R-Муж'!C:C,'R-Муж'!B:B))</f>
        <v>19</v>
      </c>
      <c r="F89" s="102" t="str">
        <f>IF(C89="","",VLOOKUP(C89,'R-Муж'!C:E,3,FALSE))</f>
        <v>Москва</v>
      </c>
      <c r="G89" s="113"/>
      <c r="H89" s="815"/>
      <c r="I89" s="103" t="s">
        <v>12154</v>
      </c>
      <c r="J89" s="104" t="str">
        <f t="shared" si="6"/>
        <v>МАКАРОВ</v>
      </c>
      <c r="K89" s="104" t="str">
        <f t="shared" si="7"/>
        <v>Н</v>
      </c>
      <c r="L89" s="104" t="str">
        <f t="shared" si="8"/>
        <v>МАКАРОВ Н.</v>
      </c>
      <c r="M89" s="123"/>
      <c r="N89" t="e">
        <f>SUMIF('R-Муж'!#REF!,C76,'R-Муж'!F:F)</f>
        <v>#REF!</v>
      </c>
    </row>
    <row r="90" spans="1:14" ht="17.25" thickTop="1" thickBot="1" x14ac:dyDescent="0.25">
      <c r="A90" s="99">
        <v>82</v>
      </c>
      <c r="B90" s="901" t="s">
        <v>912</v>
      </c>
      <c r="C90" s="1097" t="s">
        <v>12066</v>
      </c>
      <c r="D90" s="101" t="str">
        <f>IF(C90="","",VLOOKUP(C90,'R-Муж'!C:D,2,FALSE))</f>
        <v>28.11.2005</v>
      </c>
      <c r="E90" s="197">
        <f>IF(C90="","",LOOKUP(C90,'R-Муж'!C:C,'R-Муж'!B:B))</f>
        <v>19</v>
      </c>
      <c r="F90" s="102" t="str">
        <f>IF(C90="","",VLOOKUP(C90,'R-Муж'!C:E,3,FALSE))</f>
        <v>Дмитров</v>
      </c>
      <c r="G90" s="124"/>
      <c r="H90" s="982"/>
      <c r="I90" s="895" t="s">
        <v>12065</v>
      </c>
      <c r="J90" s="104" t="str">
        <f t="shared" si="6"/>
        <v>ЮНУСОВ</v>
      </c>
      <c r="K90" s="104" t="str">
        <f t="shared" si="7"/>
        <v>М</v>
      </c>
      <c r="L90" s="104" t="str">
        <f t="shared" si="8"/>
        <v>ЮНУСОВ М.</v>
      </c>
      <c r="M90" s="123">
        <v>69</v>
      </c>
      <c r="N90" t="e">
        <f>SUMIF('R-Муж'!#REF!,C77,'R-Муж'!F:F)</f>
        <v>#REF!</v>
      </c>
    </row>
    <row r="91" spans="1:14" ht="17.25" thickTop="1" thickBot="1" x14ac:dyDescent="0.3">
      <c r="A91" s="99">
        <v>83</v>
      </c>
      <c r="B91" s="902" t="s">
        <v>12113</v>
      </c>
      <c r="C91" s="900" t="s">
        <v>12014</v>
      </c>
      <c r="D91" s="101" t="str">
        <f>IF(C91="","",VLOOKUP(C91,'R-Муж'!C:D,2,FALSE))</f>
        <v>14.09.2007</v>
      </c>
      <c r="E91" s="197">
        <f>IF(C91="","",LOOKUP(C91,'R-Муж'!C:C,'R-Муж'!B:B))</f>
        <v>19</v>
      </c>
      <c r="F91" s="102" t="str">
        <f>IF(C91="","",VLOOKUP(C91,'R-Муж'!C:E,3,FALSE))</f>
        <v>Дрезна  Мос.обл.</v>
      </c>
      <c r="G91" s="879"/>
      <c r="H91" s="815" t="s">
        <v>12009</v>
      </c>
      <c r="I91" s="109" t="s">
        <v>12015</v>
      </c>
      <c r="J91" s="104" t="str">
        <f t="shared" si="6"/>
        <v>МАСЛАКОВ</v>
      </c>
      <c r="K91" s="104" t="str">
        <f t="shared" si="7"/>
        <v>А</v>
      </c>
      <c r="L91" s="104" t="str">
        <f t="shared" si="8"/>
        <v>МАСЛАКОВ А.</v>
      </c>
      <c r="M91" s="123"/>
      <c r="N91" t="e">
        <f>SUMIF('R-Муж'!#REF!,C78,'R-Муж'!F:F)</f>
        <v>#REF!</v>
      </c>
    </row>
    <row r="92" spans="1:14" ht="17.25" thickTop="1" thickBot="1" x14ac:dyDescent="0.3">
      <c r="A92" s="99">
        <v>84</v>
      </c>
      <c r="B92" s="901" t="s">
        <v>26</v>
      </c>
      <c r="C92" s="980" t="s">
        <v>12003</v>
      </c>
      <c r="D92" s="101" t="str">
        <f>IF(C92="","",VLOOKUP(C92,'R-Муж'!C:D,2,FALSE))</f>
        <v>18.01.2002</v>
      </c>
      <c r="E92" s="197">
        <f>IF(C92="","",LOOKUP(C92,'R-Муж'!C:C,'R-Муж'!B:B))</f>
        <v>16</v>
      </c>
      <c r="F92" s="102" t="str">
        <f>IF(C92="","",VLOOKUP(C92,'R-Муж'!C:E,3,FALSE))</f>
        <v>Пушкин  М.о.</v>
      </c>
      <c r="G92" s="879"/>
      <c r="H92" s="815"/>
      <c r="I92" s="109" t="s">
        <v>12004</v>
      </c>
      <c r="J92" s="104" t="str">
        <f t="shared" si="6"/>
        <v>ЦЫГАНКОВ</v>
      </c>
      <c r="K92" s="104" t="str">
        <f t="shared" si="7"/>
        <v>В</v>
      </c>
      <c r="L92" s="104" t="str">
        <f t="shared" si="8"/>
        <v>ЦЫГАНКОВ В.</v>
      </c>
      <c r="M92" s="123">
        <v>41</v>
      </c>
      <c r="N92" t="e">
        <f>SUMIF('R-Муж'!#REF!,C79,'R-Муж'!F:F)</f>
        <v>#REF!</v>
      </c>
    </row>
    <row r="93" spans="1:14" ht="17.25" thickTop="1" thickBot="1" x14ac:dyDescent="0.3">
      <c r="A93" s="99">
        <v>85</v>
      </c>
      <c r="B93" s="902" t="s">
        <v>12106</v>
      </c>
      <c r="C93" s="900" t="s">
        <v>12069</v>
      </c>
      <c r="D93" s="101" t="str">
        <f>IF(C93="","",VLOOKUP(C93,'R-Муж'!C:D,2,FALSE))</f>
        <v>22.10.2002</v>
      </c>
      <c r="E93" s="197">
        <f>IF(C93="","",LOOKUP(C93,'R-Муж'!C:C,'R-Муж'!B:B))</f>
        <v>16</v>
      </c>
      <c r="F93" s="102" t="str">
        <f>IF(C93="","",VLOOKUP(C93,'R-Муж'!C:E,3,FALSE))</f>
        <v>Жуковский</v>
      </c>
      <c r="G93" s="879"/>
      <c r="H93" s="815">
        <v>2</v>
      </c>
      <c r="I93" s="109" t="s">
        <v>12070</v>
      </c>
      <c r="J93" s="104" t="str">
        <f t="shared" si="6"/>
        <v>ЦЫГАНКОВ</v>
      </c>
      <c r="K93" s="104" t="str">
        <f t="shared" si="7"/>
        <v>Е</v>
      </c>
      <c r="L93" s="104" t="str">
        <f t="shared" si="8"/>
        <v>ЦЫГАНКОВ Е.</v>
      </c>
      <c r="M93" s="123">
        <v>55</v>
      </c>
      <c r="N93" t="e">
        <f>SUMIF('R-Муж'!#REF!,C80,'R-Муж'!F:F)</f>
        <v>#REF!</v>
      </c>
    </row>
    <row r="94" spans="1:14" ht="17.25" thickTop="1" thickBot="1" x14ac:dyDescent="0.3">
      <c r="A94" s="99">
        <v>86</v>
      </c>
      <c r="B94" s="901" t="s">
        <v>16</v>
      </c>
      <c r="C94" s="900" t="s">
        <v>12195</v>
      </c>
      <c r="D94" s="101" t="s">
        <v>4177</v>
      </c>
      <c r="E94" s="197">
        <v>15</v>
      </c>
      <c r="F94" s="102" t="s">
        <v>105</v>
      </c>
      <c r="G94" s="879"/>
      <c r="H94" s="815">
        <v>3</v>
      </c>
      <c r="I94" s="109" t="s">
        <v>12122</v>
      </c>
      <c r="J94" s="886" t="str">
        <f t="shared" si="6"/>
        <v>РЫЖОВ</v>
      </c>
      <c r="K94" s="886" t="str">
        <f t="shared" si="7"/>
        <v>П</v>
      </c>
      <c r="L94" s="886" t="str">
        <f t="shared" si="8"/>
        <v>РЫЖОВ П.</v>
      </c>
      <c r="M94" s="123">
        <v>38</v>
      </c>
      <c r="N94" t="e">
        <f>SUMIF('R-Муж'!#REF!,C81,'R-Муж'!F:F)</f>
        <v>#REF!</v>
      </c>
    </row>
    <row r="95" spans="1:14" ht="17.25" thickTop="1" thickBot="1" x14ac:dyDescent="0.3">
      <c r="A95" s="99">
        <v>87</v>
      </c>
      <c r="B95" s="902" t="s">
        <v>94</v>
      </c>
      <c r="C95" s="980" t="s">
        <v>12054</v>
      </c>
      <c r="D95" s="101" t="str">
        <f>IF(C95="","",VLOOKUP(C95,'R-Муж'!C:D,2,FALSE))</f>
        <v>07.06.2005</v>
      </c>
      <c r="E95" s="197">
        <f>IF(C95="","",LOOKUP(C95,'R-Муж'!C:C,'R-Муж'!B:B))</f>
        <v>12</v>
      </c>
      <c r="F95" s="102" t="str">
        <f>IF(C95="","",VLOOKUP(C95,'R-Муж'!C:E,3,FALSE))</f>
        <v>Москва</v>
      </c>
      <c r="G95" s="879"/>
      <c r="H95" s="815"/>
      <c r="I95" s="109" t="s">
        <v>12033</v>
      </c>
      <c r="J95" s="104" t="str">
        <f t="shared" si="6"/>
        <v>ДИНИСЕНКО</v>
      </c>
      <c r="K95" s="104" t="str">
        <f t="shared" si="7"/>
        <v>Т</v>
      </c>
      <c r="L95" s="104" t="str">
        <f t="shared" si="8"/>
        <v>ДИНИСЕНКО Т.</v>
      </c>
      <c r="M95" s="123">
        <v>54</v>
      </c>
      <c r="N95" t="e">
        <f>SUMIF('R-Муж'!#REF!,C82,'R-Муж'!F:F)</f>
        <v>#REF!</v>
      </c>
    </row>
    <row r="96" spans="1:14" ht="17.25" thickTop="1" thickBot="1" x14ac:dyDescent="0.3">
      <c r="A96" s="99">
        <v>88</v>
      </c>
      <c r="B96" s="901" t="s">
        <v>68</v>
      </c>
      <c r="C96" s="900" t="s">
        <v>12021</v>
      </c>
      <c r="D96" s="101" t="str">
        <f>IF(C96="","",VLOOKUP(C96,'R-Муж'!C:D,2,FALSE))</f>
        <v>15.07.2003</v>
      </c>
      <c r="E96" s="197">
        <f>IF(C96="","",LOOKUP(C96,'R-Муж'!C:C,'R-Муж'!B:B))</f>
        <v>11</v>
      </c>
      <c r="F96" s="102" t="str">
        <f>IF(C96="","",VLOOKUP(C96,'R-Муж'!C:E,3,FALSE))</f>
        <v>Скопин  Ряз.о.</v>
      </c>
      <c r="G96" s="124"/>
      <c r="H96" s="199">
        <v>2</v>
      </c>
      <c r="I96" s="106" t="s">
        <v>12022</v>
      </c>
      <c r="J96" s="104" t="str">
        <f t="shared" si="6"/>
        <v>МИШУКОВ</v>
      </c>
      <c r="K96" s="104" t="str">
        <f t="shared" si="7"/>
        <v>М</v>
      </c>
      <c r="L96" s="104" t="str">
        <f t="shared" si="8"/>
        <v>МИШУКОВ М.</v>
      </c>
      <c r="M96" s="123"/>
      <c r="N96" t="e">
        <f>SUMIF('R-Муж'!#REF!,C83,'R-Муж'!F:F)</f>
        <v>#REF!</v>
      </c>
    </row>
    <row r="97" spans="1:16" ht="17.25" thickTop="1" thickBot="1" x14ac:dyDescent="0.3">
      <c r="A97" s="99">
        <v>89</v>
      </c>
      <c r="B97" s="115" t="s">
        <v>59</v>
      </c>
      <c r="C97" s="105" t="s">
        <v>12127</v>
      </c>
      <c r="D97" s="101" t="str">
        <f>IF(C97="","",VLOOKUP(C97,'R-Муж'!C:D,2,FALSE))</f>
        <v>15.04.2005</v>
      </c>
      <c r="E97" s="197">
        <f>IF(C97="","",LOOKUP(C97,'R-Муж'!C:C,'R-Муж'!B:B))</f>
        <v>10</v>
      </c>
      <c r="F97" s="102" t="str">
        <f>IF(C97="","",VLOOKUP(C97,'R-Муж'!C:E,3,FALSE))</f>
        <v>Москва</v>
      </c>
      <c r="G97" s="113"/>
      <c r="H97" s="815" t="s">
        <v>12057</v>
      </c>
      <c r="I97" s="106" t="s">
        <v>12122</v>
      </c>
      <c r="J97" s="104" t="str">
        <f t="shared" si="6"/>
        <v>ОСМОЛОВСКИЙ</v>
      </c>
      <c r="K97" s="104" t="str">
        <f t="shared" si="7"/>
        <v>Н</v>
      </c>
      <c r="L97" s="104" t="str">
        <f t="shared" si="8"/>
        <v>ОСМОЛОВСКИЙ Н.</v>
      </c>
      <c r="M97" s="123"/>
      <c r="N97" t="e">
        <f>SUMIF('R-Муж'!#REF!,C84,'R-Муж'!F:F)</f>
        <v>#REF!</v>
      </c>
    </row>
    <row r="98" spans="1:16" ht="17.25" thickTop="1" thickBot="1" x14ac:dyDescent="0.25">
      <c r="A98" s="99">
        <v>90</v>
      </c>
      <c r="B98" s="116" t="s">
        <v>32</v>
      </c>
      <c r="C98" s="100" t="s">
        <v>12008</v>
      </c>
      <c r="D98" s="101" t="str">
        <f>IF(C98="","",VLOOKUP(C98,'R-Муж'!C:D,2,FALSE))</f>
        <v>13.10.2006</v>
      </c>
      <c r="E98" s="197">
        <f>IF(C98="","",LOOKUP(C98,'R-Муж'!C:C,'R-Муж'!B:B))</f>
        <v>9</v>
      </c>
      <c r="F98" s="102" t="str">
        <f>IF(C98="","",VLOOKUP(C98,'R-Муж'!C:E,3,FALSE))</f>
        <v>Москва</v>
      </c>
      <c r="G98" s="124"/>
      <c r="H98" s="199" t="s">
        <v>12009</v>
      </c>
      <c r="I98" s="103" t="s">
        <v>12011</v>
      </c>
      <c r="J98" s="104" t="str">
        <f t="shared" si="6"/>
        <v>РЕКУТИН</v>
      </c>
      <c r="K98" s="104" t="str">
        <f t="shared" si="7"/>
        <v>В</v>
      </c>
      <c r="L98" s="104" t="str">
        <f t="shared" si="8"/>
        <v>РЕКУТИН В.</v>
      </c>
      <c r="M98" s="123">
        <v>67</v>
      </c>
      <c r="N98" t="e">
        <f>SUMIF('R-Муж'!#REF!,C85,'R-Муж'!F:F)</f>
        <v>#REF!</v>
      </c>
    </row>
    <row r="99" spans="1:16" ht="17.25" thickTop="1" thickBot="1" x14ac:dyDescent="0.3">
      <c r="A99" s="99">
        <v>91</v>
      </c>
      <c r="B99" s="115" t="s">
        <v>8</v>
      </c>
      <c r="C99" s="105" t="s">
        <v>11999</v>
      </c>
      <c r="D99" s="101" t="str">
        <f>IF(C99="","",VLOOKUP(C99,'R-Муж'!C:D,2,FALSE))</f>
        <v>30.03.2008</v>
      </c>
      <c r="E99" s="197">
        <f>IF(C99="","",LOOKUP(C99,'R-Муж'!C:C,'R-Муж'!B:B))</f>
        <v>8</v>
      </c>
      <c r="F99" s="102" t="str">
        <f>IF(C99="","",VLOOKUP(C99,'R-Муж'!C:E,3,FALSE))</f>
        <v>Людиново  Кал.обл.</v>
      </c>
      <c r="G99" s="124"/>
      <c r="H99" s="199" t="s">
        <v>12000</v>
      </c>
      <c r="I99" s="106" t="s">
        <v>11998</v>
      </c>
      <c r="J99" s="104" t="str">
        <f t="shared" si="6"/>
        <v>АМУРСКИЙ</v>
      </c>
      <c r="K99" s="104" t="str">
        <f t="shared" si="7"/>
        <v>В</v>
      </c>
      <c r="L99" s="104" t="str">
        <f t="shared" si="8"/>
        <v>АМУРСКИЙ В.</v>
      </c>
      <c r="M99" s="123">
        <v>64</v>
      </c>
      <c r="N99" t="e">
        <f>SUMIF('R-Муж'!#REF!,C86,'R-Муж'!F:F)</f>
        <v>#REF!</v>
      </c>
      <c r="P99" s="113"/>
    </row>
    <row r="100" spans="1:16" ht="17.25" thickTop="1" thickBot="1" x14ac:dyDescent="0.3">
      <c r="A100" s="99">
        <v>92</v>
      </c>
      <c r="B100" s="901" t="s">
        <v>907</v>
      </c>
      <c r="C100" s="900" t="s">
        <v>12158</v>
      </c>
      <c r="D100" s="101" t="str">
        <f>IF(C100="","",VLOOKUP(C100,'R-Муж'!C:D,2,FALSE))</f>
        <v>15.06.2005</v>
      </c>
      <c r="E100" s="197">
        <f>IF(C100="","",LOOKUP(C100,'R-Муж'!C:C,'R-Муж'!B:B))</f>
        <v>8</v>
      </c>
      <c r="F100" s="102" t="str">
        <f>IF(C100="","",VLOOKUP(C100,'R-Муж'!C:E,3,FALSE))</f>
        <v>Ильинский</v>
      </c>
      <c r="G100" s="113"/>
      <c r="H100" s="815" t="s">
        <v>12009</v>
      </c>
      <c r="I100" s="103" t="s">
        <v>12091</v>
      </c>
      <c r="J100" s="886" t="str">
        <f t="shared" si="6"/>
        <v>КУЧЕРЕНКО</v>
      </c>
      <c r="K100" s="886" t="str">
        <f t="shared" si="7"/>
        <v>И</v>
      </c>
      <c r="L100" s="886" t="str">
        <f t="shared" si="8"/>
        <v>КУЧЕРЕНКО И.</v>
      </c>
      <c r="M100" s="123"/>
      <c r="N100" t="e">
        <f>SUMIF('R-Муж'!#REF!,C87,'R-Муж'!F:F)</f>
        <v>#REF!</v>
      </c>
    </row>
    <row r="101" spans="1:16" ht="17.25" thickTop="1" thickBot="1" x14ac:dyDescent="0.3">
      <c r="A101" s="99">
        <v>93</v>
      </c>
      <c r="B101" s="902" t="s">
        <v>39</v>
      </c>
      <c r="C101" s="899" t="s">
        <v>12067</v>
      </c>
      <c r="D101" s="101" t="str">
        <f>IF(C101="","",VLOOKUP(C101,'R-Муж'!C:D,2,FALSE))</f>
        <v>20.10.2003</v>
      </c>
      <c r="E101" s="197">
        <f>IF(C101="","",LOOKUP(C101,'R-Муж'!C:C,'R-Муж'!B:B))</f>
        <v>7</v>
      </c>
      <c r="F101" s="102" t="str">
        <f>IF(C101="","",VLOOKUP(C101,'R-Муж'!C:E,3,FALSE))</f>
        <v>Дмитров</v>
      </c>
      <c r="G101" s="124"/>
      <c r="H101" s="982"/>
      <c r="I101" s="895" t="s">
        <v>12065</v>
      </c>
      <c r="J101" s="104" t="str">
        <f t="shared" si="6"/>
        <v>ЛЕОНИДОВ</v>
      </c>
      <c r="K101" s="104" t="str">
        <f t="shared" si="7"/>
        <v>А</v>
      </c>
      <c r="L101" s="104" t="str">
        <f t="shared" si="8"/>
        <v>ЛЕОНИДОВ А.</v>
      </c>
      <c r="M101" s="123">
        <v>66</v>
      </c>
      <c r="N101" t="e">
        <f>SUMIF('R-Муж'!#REF!,C88,'R-Муж'!F:F)</f>
        <v>#REF!</v>
      </c>
    </row>
    <row r="102" spans="1:16" ht="17.25" thickTop="1" thickBot="1" x14ac:dyDescent="0.3">
      <c r="A102" s="99">
        <v>94</v>
      </c>
      <c r="B102" s="901" t="s">
        <v>12107</v>
      </c>
      <c r="C102" s="900" t="s">
        <v>12166</v>
      </c>
      <c r="D102" s="1017" t="str">
        <f>IF(C102="","",VLOOKUP(C102,'R-Муж'!C:D,2,FALSE))</f>
        <v>07.01.2007</v>
      </c>
      <c r="E102" s="992">
        <f>IF(C102="","",LOOKUP(C102,'R-Муж'!C:C,'R-Муж'!B:B))</f>
        <v>6</v>
      </c>
      <c r="F102" s="1021" t="str">
        <f>IF(C102="","",VLOOKUP(C102,'R-Муж'!C:E,3,FALSE))</f>
        <v>Москва</v>
      </c>
      <c r="G102" s="879"/>
      <c r="H102" s="1025" t="s">
        <v>12057</v>
      </c>
      <c r="I102" s="1029" t="s">
        <v>12167</v>
      </c>
      <c r="J102" s="104" t="str">
        <f t="shared" si="6"/>
        <v>ОСТАШОВ</v>
      </c>
      <c r="K102" s="104" t="str">
        <f t="shared" si="7"/>
        <v>А</v>
      </c>
      <c r="L102" s="104" t="str">
        <f t="shared" si="8"/>
        <v>ОСТАШОВ А.</v>
      </c>
      <c r="M102" s="123">
        <v>53</v>
      </c>
      <c r="N102" t="e">
        <f>SUMIF('R-Муж'!#REF!,C89,'R-Муж'!F:F)</f>
        <v>#REF!</v>
      </c>
    </row>
    <row r="103" spans="1:16" ht="17.25" thickTop="1" thickBot="1" x14ac:dyDescent="0.3">
      <c r="A103" s="99">
        <v>95</v>
      </c>
      <c r="B103" s="902" t="s">
        <v>23</v>
      </c>
      <c r="C103" s="900" t="s">
        <v>12064</v>
      </c>
      <c r="D103" s="101" t="str">
        <f>IF(C103="","",VLOOKUP(C103,'R-Муж'!C:D,2,FALSE))</f>
        <v>30.05.2005</v>
      </c>
      <c r="E103" s="197">
        <f>IF(C103="","",LOOKUP(C103,'R-Муж'!C:C,'R-Муж'!B:B))</f>
        <v>5</v>
      </c>
      <c r="F103" s="102" t="str">
        <f>IF(C103="","",VLOOKUP(C103,'R-Муж'!C:E,3,FALSE))</f>
        <v>Дмитров</v>
      </c>
      <c r="G103" s="879"/>
      <c r="H103" s="815"/>
      <c r="I103" s="109" t="s">
        <v>12065</v>
      </c>
      <c r="J103" s="104" t="str">
        <f t="shared" si="6"/>
        <v>СУЧКОВ</v>
      </c>
      <c r="K103" s="104" t="str">
        <f t="shared" si="7"/>
        <v>А</v>
      </c>
      <c r="L103" s="104" t="str">
        <f t="shared" si="8"/>
        <v>СУЧКОВ А.</v>
      </c>
      <c r="M103" s="898"/>
      <c r="N103" t="e">
        <f>SUMIF('R-Муж'!#REF!,C90,'R-Муж'!F:F)</f>
        <v>#REF!</v>
      </c>
    </row>
    <row r="104" spans="1:16" ht="17.25" thickTop="1" thickBot="1" x14ac:dyDescent="0.3">
      <c r="A104" s="99">
        <v>96</v>
      </c>
      <c r="B104" s="901" t="s">
        <v>34</v>
      </c>
      <c r="C104" s="900" t="s">
        <v>11995</v>
      </c>
      <c r="D104" s="101" t="str">
        <f>IF(C104="","",VLOOKUP(C104,'R-Муж'!C:D,2,FALSE))</f>
        <v>20.06.2006</v>
      </c>
      <c r="E104" s="197">
        <f>IF(C104="","",LOOKUP(C104,'R-Муж'!C:C,'R-Муж'!B:B))</f>
        <v>5</v>
      </c>
      <c r="F104" s="102" t="str">
        <f>IF(C104="","",VLOOKUP(C104,'R-Муж'!C:E,3,FALSE))</f>
        <v>Людиново  Кал.обл.</v>
      </c>
      <c r="G104" s="891"/>
      <c r="H104" s="199"/>
      <c r="I104" s="109" t="s">
        <v>11996</v>
      </c>
      <c r="J104" s="894" t="str">
        <f t="shared" si="6"/>
        <v>ШКРЕД</v>
      </c>
      <c r="K104" s="869" t="str">
        <f t="shared" si="7"/>
        <v>И</v>
      </c>
      <c r="L104" s="869" t="str">
        <f t="shared" si="8"/>
        <v>ШКРЕД И.</v>
      </c>
      <c r="M104" s="896"/>
      <c r="N104" t="e">
        <f>SUMIF('R-Муж'!#REF!,C91,'R-Муж'!F:F)</f>
        <v>#REF!</v>
      </c>
    </row>
    <row r="105" spans="1:16" ht="17.25" thickTop="1" thickBot="1" x14ac:dyDescent="0.25">
      <c r="A105" s="99">
        <v>97</v>
      </c>
      <c r="B105" s="902" t="s">
        <v>33</v>
      </c>
      <c r="C105" s="909" t="s">
        <v>12082</v>
      </c>
      <c r="D105" s="101" t="str">
        <f>IF(C105="","",VLOOKUP(C105,'R-Муж'!C:D,2,FALSE))</f>
        <v>27.09.2007</v>
      </c>
      <c r="E105" s="197">
        <f>IF(C105="","",LOOKUP(C105,'R-Муж'!C:C,'R-Муж'!B:B))</f>
        <v>3</v>
      </c>
      <c r="F105" s="102" t="str">
        <f>IF(C105="","",VLOOKUP(C105,'R-Муж'!C:E,3,FALSE))</f>
        <v>Москва</v>
      </c>
      <c r="G105" s="891"/>
      <c r="H105" s="199"/>
      <c r="I105" s="109" t="s">
        <v>12081</v>
      </c>
      <c r="J105" s="894" t="str">
        <f t="shared" si="6"/>
        <v>ЗОЛОТКОВ</v>
      </c>
      <c r="K105" s="869" t="str">
        <f t="shared" si="7"/>
        <v>М</v>
      </c>
      <c r="L105" s="869" t="str">
        <f t="shared" ref="L105:L108" si="9">CONCATENATE(J105," ",K105,".")</f>
        <v>ЗОЛОТКОВ М.</v>
      </c>
      <c r="M105" s="897"/>
      <c r="N105" t="e">
        <f>SUMIF('R-Муж'!#REF!,C92,'R-Муж'!F:F)</f>
        <v>#REF!</v>
      </c>
    </row>
    <row r="106" spans="1:16" ht="17.25" thickTop="1" thickBot="1" x14ac:dyDescent="0.3">
      <c r="A106" s="99">
        <v>98</v>
      </c>
      <c r="B106" s="901" t="s">
        <v>12111</v>
      </c>
      <c r="C106" s="900" t="s">
        <v>12124</v>
      </c>
      <c r="D106" s="101" t="str">
        <f>IF(C106="","",VLOOKUP(C106,'R-Муж'!C:D,2,FALSE))</f>
        <v>18.09.2004</v>
      </c>
      <c r="E106" s="197">
        <f>IF(C106="","",LOOKUP(C106,'R-Муж'!C:C,'R-Муж'!B:B))</f>
        <v>2</v>
      </c>
      <c r="F106" s="102" t="str">
        <f>IF(C106="","",VLOOKUP(C106,'R-Муж'!C:E,3,FALSE))</f>
        <v>Москва</v>
      </c>
      <c r="G106" s="879"/>
      <c r="H106" s="815" t="s">
        <v>12009</v>
      </c>
      <c r="I106" s="109" t="s">
        <v>12125</v>
      </c>
      <c r="J106" s="894" t="str">
        <f t="shared" si="6"/>
        <v>УШКАРЕВ</v>
      </c>
      <c r="K106" s="869" t="str">
        <f t="shared" si="7"/>
        <v>М</v>
      </c>
      <c r="L106" s="869" t="str">
        <f t="shared" si="9"/>
        <v>УШКАРЕВ М.</v>
      </c>
      <c r="M106" s="896">
        <v>60</v>
      </c>
      <c r="N106" t="e">
        <f>SUMIF('R-Муж'!#REF!,C93,'R-Муж'!F:F)</f>
        <v>#REF!</v>
      </c>
    </row>
    <row r="107" spans="1:16" ht="17.25" thickTop="1" thickBot="1" x14ac:dyDescent="0.3">
      <c r="A107" s="99">
        <v>99</v>
      </c>
      <c r="B107" s="902" t="s">
        <v>19</v>
      </c>
      <c r="C107" s="105" t="s">
        <v>12007</v>
      </c>
      <c r="D107" s="101">
        <v>38611</v>
      </c>
      <c r="E107" s="197">
        <v>0</v>
      </c>
      <c r="F107" s="102" t="s">
        <v>105</v>
      </c>
      <c r="G107" s="124"/>
      <c r="H107" s="199" t="s">
        <v>12009</v>
      </c>
      <c r="I107" s="106" t="s">
        <v>12128</v>
      </c>
      <c r="J107" s="894" t="str">
        <f t="shared" si="6"/>
        <v>КОРОЛЬКОВ</v>
      </c>
      <c r="K107" s="869" t="str">
        <f t="shared" si="7"/>
        <v>Е</v>
      </c>
      <c r="L107" s="869" t="str">
        <f t="shared" si="9"/>
        <v>КОРОЛЬКОВ Е.</v>
      </c>
      <c r="M107" s="897"/>
      <c r="N107" t="e">
        <f>SUMIF('R-Муж'!#REF!,C94,'R-Муж'!F:F)</f>
        <v>#REF!</v>
      </c>
    </row>
    <row r="108" spans="1:16" ht="17.25" thickTop="1" thickBot="1" x14ac:dyDescent="0.3">
      <c r="A108" s="99">
        <v>100</v>
      </c>
      <c r="B108" s="901" t="s">
        <v>18</v>
      </c>
      <c r="C108" s="900" t="s">
        <v>12165</v>
      </c>
      <c r="D108" s="1017" t="str">
        <f>IF(C108="","",VLOOKUP(C108,'R-Муж'!C:D,2,FALSE))</f>
        <v>22.11.2002</v>
      </c>
      <c r="E108" s="992">
        <f>IF(C108="","",LOOKUP(C108,'R-Муж'!C:C,'R-Муж'!B:B))</f>
        <v>0</v>
      </c>
      <c r="F108" s="1021" t="str">
        <f>IF(C108="","",VLOOKUP(C108,'R-Муж'!C:E,3,FALSE))</f>
        <v>Москва</v>
      </c>
      <c r="G108" s="113"/>
      <c r="H108" s="1104"/>
      <c r="I108" s="1037" t="s">
        <v>12034</v>
      </c>
      <c r="J108" s="894" t="str">
        <f t="shared" si="6"/>
        <v>РОСТОШИНСКИЙ</v>
      </c>
      <c r="K108" s="869" t="str">
        <f t="shared" si="7"/>
        <v>И</v>
      </c>
      <c r="L108" s="869" t="str">
        <f t="shared" si="9"/>
        <v>РОСТОШИНСКИЙ И.</v>
      </c>
      <c r="M108" s="896"/>
      <c r="N108" t="e">
        <f>SUMIF('R-Муж'!#REF!,C95,'R-Муж'!F:F)</f>
        <v>#REF!</v>
      </c>
    </row>
    <row r="109" spans="1:16" ht="16.5" hidden="1" thickBot="1" x14ac:dyDescent="0.3">
      <c r="A109" s="99">
        <v>101</v>
      </c>
      <c r="B109" s="893"/>
      <c r="C109" s="899" t="s">
        <v>12151</v>
      </c>
      <c r="D109" s="101" t="str">
        <f>IF(C109="","",VLOOKUP(C109,'R-Муж'!C:D,2,FALSE))</f>
        <v>17.03.2003</v>
      </c>
      <c r="E109" s="197">
        <f>IF(C109="","",LOOKUP(C109,'R-Муж'!C:C,'R-Муж'!B:B))</f>
        <v>167</v>
      </c>
      <c r="F109" s="102" t="str">
        <f>IF(C109="","",VLOOKUP(C109,'R-Муж'!C:E,3,FALSE))</f>
        <v>Москва</v>
      </c>
      <c r="H109" s="867">
        <v>2</v>
      </c>
      <c r="I109" s="895" t="s">
        <v>12153</v>
      </c>
      <c r="J109" s="869" t="e">
        <f>MID(#REF!,1,SEARCH(" ",#REF!)-1)</f>
        <v>#REF!</v>
      </c>
      <c r="K109" s="869" t="e">
        <f>MID(#REF!,SEARCH(" ",#REF!)+1,1)</f>
        <v>#REF!</v>
      </c>
      <c r="L109" s="869" t="e">
        <f t="shared" ref="L109:L119" si="10">CONCATENATE(J109," ",K109,".")</f>
        <v>#REF!</v>
      </c>
      <c r="M109" s="766"/>
      <c r="N109" s="766"/>
    </row>
    <row r="110" spans="1:16" ht="17.25" thickTop="1" thickBot="1" x14ac:dyDescent="0.25">
      <c r="A110" s="99">
        <v>101</v>
      </c>
      <c r="B110" s="901" t="s">
        <v>11</v>
      </c>
      <c r="C110" s="909" t="s">
        <v>12083</v>
      </c>
      <c r="D110" s="101" t="str">
        <f>IF(C110="","",VLOOKUP(C110,'R-Муж'!C:D,2,FALSE))</f>
        <v>10.03.2004</v>
      </c>
      <c r="E110" s="197">
        <f>IF(C110="","",LOOKUP(C110,'R-Муж'!C:C,'R-Муж'!B:B))</f>
        <v>0</v>
      </c>
      <c r="F110" s="102" t="str">
        <f>IF(C110="","",VLOOKUP(C110,'R-Муж'!C:E,3,FALSE))</f>
        <v>Москва</v>
      </c>
      <c r="G110" s="891"/>
      <c r="H110" s="199" t="s">
        <v>12057</v>
      </c>
      <c r="I110" s="109" t="s">
        <v>12081</v>
      </c>
      <c r="J110" s="104" t="str">
        <f t="shared" ref="J110:J118" si="11">MID(C96,1,SEARCH(" ",C96)-1)</f>
        <v>ОДЕРКОВ</v>
      </c>
      <c r="K110" s="104" t="str">
        <f t="shared" ref="K110:K118" si="12">MID(C96,SEARCH(" ",C96)+1,1)</f>
        <v>М</v>
      </c>
      <c r="L110" s="104" t="str">
        <f t="shared" si="10"/>
        <v>ОДЕРКОВ М.</v>
      </c>
      <c r="M110" s="123">
        <v>56</v>
      </c>
      <c r="N110" t="e">
        <f>SUMIF('R-Муж'!#REF!,C96,'R-Муж'!F:F)</f>
        <v>#REF!</v>
      </c>
    </row>
    <row r="111" spans="1:16" ht="17.25" thickTop="1" thickBot="1" x14ac:dyDescent="0.3">
      <c r="A111" s="99">
        <v>102</v>
      </c>
      <c r="B111" s="902" t="s">
        <v>21</v>
      </c>
      <c r="C111" s="900" t="s">
        <v>12137</v>
      </c>
      <c r="D111" s="101" t="str">
        <f>IF(C111="","",VLOOKUP(C111,'R-Муж'!C:D,2,FALSE))</f>
        <v>09.09.2006</v>
      </c>
      <c r="E111" s="197">
        <f>IF(C111="","",LOOKUP(C111,'R-Муж'!C:C,'R-Муж'!B:B))</f>
        <v>0</v>
      </c>
      <c r="F111" s="102" t="str">
        <f>IF(C111="","",VLOOKUP(C111,'R-Муж'!C:E,3,FALSE))</f>
        <v>Домодедово  М.о.</v>
      </c>
      <c r="G111" s="879"/>
      <c r="H111" s="815"/>
      <c r="I111" s="109" t="s">
        <v>12138</v>
      </c>
      <c r="J111" s="104" t="str">
        <f t="shared" si="11"/>
        <v>МАЛЫК</v>
      </c>
      <c r="K111" s="104" t="str">
        <f t="shared" si="12"/>
        <v>Н</v>
      </c>
      <c r="L111" s="104" t="str">
        <f t="shared" si="10"/>
        <v>МАЛЫК Н.</v>
      </c>
      <c r="M111" s="123"/>
      <c r="N111" t="e">
        <f>SUMIF('R-Муж'!#REF!,C97,'R-Муж'!F:F)</f>
        <v>#REF!</v>
      </c>
      <c r="P111" s="113"/>
    </row>
    <row r="112" spans="1:16" ht="17.25" thickTop="1" thickBot="1" x14ac:dyDescent="0.25">
      <c r="A112" s="984">
        <v>103</v>
      </c>
      <c r="B112" s="901" t="s">
        <v>79</v>
      </c>
      <c r="C112" s="979" t="s">
        <v>12097</v>
      </c>
      <c r="D112" s="101" t="str">
        <f>IF(C112="","",VLOOKUP(C112,'R-Муж'!C:D,2,FALSE))</f>
        <v>25.11.2003</v>
      </c>
      <c r="E112" s="197">
        <f>IF(C112="","",LOOKUP(C112,'R-Муж'!C:C,'R-Муж'!B:B))</f>
        <v>0</v>
      </c>
      <c r="F112" s="102" t="str">
        <f>IF(C112="","",VLOOKUP(C112,'R-Муж'!C:E,3,FALSE))</f>
        <v>Одинцово</v>
      </c>
      <c r="G112" s="891"/>
      <c r="H112" s="199" t="s">
        <v>12009</v>
      </c>
      <c r="I112" s="109" t="s">
        <v>12096</v>
      </c>
      <c r="J112" s="886" t="str">
        <f t="shared" si="11"/>
        <v>КАРТАВЦЕВ</v>
      </c>
      <c r="K112" s="886" t="str">
        <f t="shared" si="12"/>
        <v>М</v>
      </c>
      <c r="L112" s="886" t="str">
        <f t="shared" si="10"/>
        <v>КАРТАВЦЕВ М.</v>
      </c>
      <c r="M112" s="123"/>
      <c r="N112" t="e">
        <f>SUMIF('R-Муж'!#REF!,C98,'R-Муж'!F:F)</f>
        <v>#REF!</v>
      </c>
    </row>
    <row r="113" spans="1:14" ht="17.25" thickTop="1" thickBot="1" x14ac:dyDescent="0.3">
      <c r="A113" s="99">
        <v>104</v>
      </c>
      <c r="B113" s="902" t="s">
        <v>12</v>
      </c>
      <c r="C113" s="900" t="s">
        <v>12140</v>
      </c>
      <c r="D113" s="101">
        <v>37994</v>
      </c>
      <c r="E113" s="197"/>
      <c r="F113" s="102" t="s">
        <v>1578</v>
      </c>
      <c r="G113" s="879"/>
      <c r="H113" s="815"/>
      <c r="I113" s="109" t="s">
        <v>12138</v>
      </c>
      <c r="J113" s="104" t="str">
        <f t="shared" si="11"/>
        <v>ВАСИКОВ</v>
      </c>
      <c r="K113" s="104" t="str">
        <f t="shared" si="12"/>
        <v>Е</v>
      </c>
      <c r="L113" s="104" t="str">
        <f t="shared" si="10"/>
        <v>ВАСИКОВ Е.</v>
      </c>
      <c r="M113" s="123">
        <v>63</v>
      </c>
      <c r="N113" t="e">
        <f>SUMIF('R-Муж'!#REF!,C99,'R-Муж'!F:F)</f>
        <v>#REF!</v>
      </c>
    </row>
    <row r="114" spans="1:14" ht="17.25" thickTop="1" thickBot="1" x14ac:dyDescent="0.3">
      <c r="A114" s="99">
        <v>105</v>
      </c>
      <c r="B114" s="901" t="s">
        <v>63</v>
      </c>
      <c r="C114" s="900" t="s">
        <v>12086</v>
      </c>
      <c r="D114" s="101">
        <v>37903</v>
      </c>
      <c r="E114" s="986"/>
      <c r="F114" s="102" t="s">
        <v>105</v>
      </c>
      <c r="G114" s="879"/>
      <c r="H114" s="815" t="s">
        <v>12009</v>
      </c>
      <c r="I114" s="109" t="s">
        <v>12087</v>
      </c>
      <c r="J114" s="104" t="str">
        <f t="shared" si="11"/>
        <v>СОРОКИН</v>
      </c>
      <c r="K114" s="104" t="str">
        <f t="shared" si="12"/>
        <v>Н</v>
      </c>
      <c r="L114" s="104" t="str">
        <f t="shared" si="10"/>
        <v>СОРОКИН Н.</v>
      </c>
      <c r="M114" s="123"/>
      <c r="N114" t="e">
        <f>SUMIF('R-Муж'!#REF!,C100,'R-Муж'!F:F)</f>
        <v>#REF!</v>
      </c>
    </row>
    <row r="115" spans="1:14" ht="17.25" thickTop="1" thickBot="1" x14ac:dyDescent="0.25">
      <c r="A115" s="99">
        <v>106</v>
      </c>
      <c r="B115" s="902" t="s">
        <v>762</v>
      </c>
      <c r="C115" s="979" t="s">
        <v>12168</v>
      </c>
      <c r="D115" s="101">
        <v>37902</v>
      </c>
      <c r="E115" s="197"/>
      <c r="F115" s="102" t="s">
        <v>12098</v>
      </c>
      <c r="G115" s="891"/>
      <c r="H115" s="199" t="s">
        <v>12009</v>
      </c>
      <c r="I115" s="109" t="s">
        <v>12099</v>
      </c>
      <c r="J115" s="104" t="str">
        <f t="shared" si="11"/>
        <v>ЗАЙЦЕВ</v>
      </c>
      <c r="K115" s="104" t="str">
        <f t="shared" si="12"/>
        <v>С</v>
      </c>
      <c r="L115" s="104" t="str">
        <f t="shared" si="10"/>
        <v>ЗАЙЦЕВ С.</v>
      </c>
      <c r="M115" s="898">
        <v>62</v>
      </c>
      <c r="N115" t="e">
        <f>SUMIF('R-Муж'!#REF!,C101,'R-Муж'!F:F)</f>
        <v>#REF!</v>
      </c>
    </row>
    <row r="116" spans="1:14" ht="17.25" thickTop="1" thickBot="1" x14ac:dyDescent="0.3">
      <c r="A116" s="99">
        <v>107</v>
      </c>
      <c r="B116" s="901" t="s">
        <v>892</v>
      </c>
      <c r="C116" s="900" t="s">
        <v>12079</v>
      </c>
      <c r="D116" s="101">
        <v>38285</v>
      </c>
      <c r="E116" s="197"/>
      <c r="F116" s="117" t="s">
        <v>2660</v>
      </c>
      <c r="G116" s="879"/>
      <c r="H116" s="815" t="s">
        <v>12057</v>
      </c>
      <c r="I116" s="109" t="s">
        <v>12078</v>
      </c>
      <c r="J116" s="894" t="str">
        <f t="shared" si="11"/>
        <v>ФЕДОРЕНКО</v>
      </c>
      <c r="K116" s="869" t="str">
        <f t="shared" si="12"/>
        <v>А</v>
      </c>
      <c r="L116" s="869" t="str">
        <f t="shared" si="10"/>
        <v>ФЕДОРЕНКО А.</v>
      </c>
      <c r="M116" s="896"/>
      <c r="N116" t="e">
        <f>SUMIF('R-Муж'!#REF!,C102,'R-Муж'!F:F)</f>
        <v>#REF!</v>
      </c>
    </row>
    <row r="117" spans="1:14" ht="17.25" thickTop="1" thickBot="1" x14ac:dyDescent="0.3">
      <c r="A117" s="99">
        <v>108</v>
      </c>
      <c r="B117" s="902" t="s">
        <v>895</v>
      </c>
      <c r="C117" s="900" t="s">
        <v>12120</v>
      </c>
      <c r="D117" s="1098">
        <v>37675</v>
      </c>
      <c r="E117" s="197"/>
      <c r="F117" s="1022" t="s">
        <v>105</v>
      </c>
      <c r="G117" s="993"/>
      <c r="H117" s="1026">
        <v>2</v>
      </c>
      <c r="I117" s="1032" t="s">
        <v>12155</v>
      </c>
      <c r="J117" s="894" t="str">
        <f t="shared" si="11"/>
        <v>БОЖЕНКОВ</v>
      </c>
      <c r="K117" s="869" t="str">
        <f t="shared" si="12"/>
        <v>Е</v>
      </c>
      <c r="L117" s="989" t="str">
        <f t="shared" si="10"/>
        <v>БОЖЕНКОВ Е.</v>
      </c>
      <c r="M117" s="990"/>
      <c r="N117" t="e">
        <f>SUMIF('R-Муж'!#REF!,C103,'R-Муж'!F:F)</f>
        <v>#REF!</v>
      </c>
    </row>
    <row r="118" spans="1:14" ht="16.5" thickTop="1" x14ac:dyDescent="0.25">
      <c r="A118" s="99">
        <v>109</v>
      </c>
      <c r="B118" s="901" t="s">
        <v>97</v>
      </c>
      <c r="C118" s="900" t="s">
        <v>12139</v>
      </c>
      <c r="D118" s="1098">
        <v>38742</v>
      </c>
      <c r="E118" s="197"/>
      <c r="F118" s="1022" t="s">
        <v>1578</v>
      </c>
      <c r="G118" s="993"/>
      <c r="H118" s="910"/>
      <c r="I118" s="1030" t="s">
        <v>12138</v>
      </c>
      <c r="J118" s="894" t="str">
        <f t="shared" si="11"/>
        <v>КОБЗЕВ</v>
      </c>
      <c r="K118" s="869" t="str">
        <f t="shared" si="12"/>
        <v>П</v>
      </c>
      <c r="L118" s="989" t="str">
        <f t="shared" si="10"/>
        <v>КОБЗЕВ П.</v>
      </c>
      <c r="M118" s="991"/>
      <c r="N118" t="e">
        <f>SUMIF('R-Муж'!#REF!,C104,'R-Муж'!F:F)</f>
        <v>#REF!</v>
      </c>
    </row>
    <row r="119" spans="1:14" ht="16.5" thickBot="1" x14ac:dyDescent="0.3">
      <c r="A119" s="99">
        <v>111</v>
      </c>
      <c r="B119" s="901" t="s">
        <v>913</v>
      </c>
      <c r="C119" s="985" t="s">
        <v>12101</v>
      </c>
      <c r="D119" s="1099">
        <v>38250</v>
      </c>
      <c r="E119" s="102"/>
      <c r="F119" s="1023" t="s">
        <v>1844</v>
      </c>
      <c r="G119" s="113"/>
      <c r="H119" s="1102" t="s">
        <v>12057</v>
      </c>
      <c r="I119" s="1033" t="s">
        <v>12099</v>
      </c>
      <c r="J119" s="894" t="str">
        <f>MID(C106,1,SEARCH(" ",C106)-1)</f>
        <v>ЧИКИН</v>
      </c>
      <c r="K119" s="869" t="str">
        <f>MID(C106,SEARCH(" ",C106)+1,1)</f>
        <v>А</v>
      </c>
      <c r="L119" s="869" t="str">
        <f t="shared" si="10"/>
        <v>ЧИКИН А.</v>
      </c>
      <c r="M119" s="896">
        <v>68</v>
      </c>
      <c r="N119" t="e">
        <f>SUMIF('R-Муж'!#REF!,C106,'R-Муж'!F:F)</f>
        <v>#REF!</v>
      </c>
    </row>
    <row r="120" spans="1:14" ht="17.25" thickTop="1" thickBot="1" x14ac:dyDescent="0.3">
      <c r="A120" s="99">
        <v>112</v>
      </c>
      <c r="B120" s="902" t="s">
        <v>12110</v>
      </c>
      <c r="C120" s="994" t="s">
        <v>12094</v>
      </c>
      <c r="D120" s="1100">
        <v>38269</v>
      </c>
      <c r="E120" s="1020"/>
      <c r="F120" s="1024" t="s">
        <v>105</v>
      </c>
      <c r="G120" s="988"/>
      <c r="H120" s="1028">
        <v>2</v>
      </c>
      <c r="I120" s="1034" t="s">
        <v>12093</v>
      </c>
      <c r="J120" s="104" t="str">
        <f>MID(C107,1,SEARCH(" ",C107)-1)</f>
        <v>ГРИЦЕВИЧ</v>
      </c>
      <c r="K120" s="104" t="str">
        <f>MID(C107,SEARCH(" ",C107)+1,1)</f>
        <v>С</v>
      </c>
      <c r="L120" s="104" t="str">
        <f t="shared" ref="L120" si="13">CONCATENATE(J120," ",K120,".")</f>
        <v>ГРИЦЕВИЧ С.</v>
      </c>
      <c r="M120" s="123"/>
      <c r="N120" t="e">
        <f>SUMIF('R-Муж'!#REF!,C107,'R-Муж'!F:F)</f>
        <v>#REF!</v>
      </c>
    </row>
    <row r="121" spans="1:14" ht="16.5" thickTop="1" x14ac:dyDescent="0.25">
      <c r="A121" s="191"/>
      <c r="B121" s="192"/>
      <c r="C121" s="110" t="s">
        <v>9444</v>
      </c>
      <c r="D121" s="93"/>
      <c r="E121" s="91"/>
      <c r="F121" s="94"/>
      <c r="G121" s="94"/>
      <c r="H121" s="94"/>
      <c r="I121" s="111" t="s">
        <v>11991</v>
      </c>
      <c r="J121" s="91"/>
      <c r="K121" s="91"/>
      <c r="L121" s="91"/>
    </row>
    <row r="122" spans="1:14" ht="15.75" x14ac:dyDescent="0.25">
      <c r="A122" s="191"/>
      <c r="B122" s="192"/>
      <c r="C122" s="112" t="s">
        <v>9445</v>
      </c>
      <c r="D122" s="93"/>
      <c r="E122" s="91"/>
      <c r="F122" s="94"/>
      <c r="G122" s="94"/>
      <c r="H122" s="94"/>
      <c r="I122" s="111" t="s">
        <v>11992</v>
      </c>
      <c r="J122" s="91"/>
      <c r="K122" s="91"/>
      <c r="L122" s="91"/>
    </row>
  </sheetData>
  <autoFilter ref="B8:I122"/>
  <sortState ref="B9:I120">
    <sortCondition descending="1" ref="E9:E120"/>
  </sortState>
  <mergeCells count="5">
    <mergeCell ref="D4:H4"/>
    <mergeCell ref="D5:H5"/>
    <mergeCell ref="D6:H6"/>
    <mergeCell ref="A2:I2"/>
    <mergeCell ref="A1:I1"/>
  </mergeCells>
  <conditionalFormatting sqref="N121:N1048576 N1:N119">
    <cfRule type="cellIs" dxfId="108" priority="26" stopIfTrue="1" operator="greaterThan">
      <formula>1</formula>
    </cfRule>
    <cfRule type="cellIs" dxfId="107" priority="27" stopIfTrue="1" operator="greaterThan">
      <formula>1</formula>
    </cfRule>
    <cfRule type="cellIs" dxfId="106" priority="28" stopIfTrue="1" operator="greaterThan">
      <formula>1</formula>
    </cfRule>
    <cfRule type="cellIs" dxfId="105" priority="29" stopIfTrue="1" operator="greaterThan">
      <formula>1</formula>
    </cfRule>
  </conditionalFormatting>
  <conditionalFormatting sqref="N120">
    <cfRule type="cellIs" dxfId="104" priority="2" stopIfTrue="1" operator="greaterThan">
      <formula>1</formula>
    </cfRule>
    <cfRule type="cellIs" dxfId="103" priority="3" stopIfTrue="1" operator="greaterThan">
      <formula>1</formula>
    </cfRule>
    <cfRule type="cellIs" dxfId="102" priority="4" stopIfTrue="1" operator="greaterThan">
      <formula>1</formula>
    </cfRule>
    <cfRule type="cellIs" dxfId="101" priority="5" stopIfTrue="1" operator="greaterThan">
      <formula>1</formula>
    </cfRule>
  </conditionalFormatting>
  <pageMargins left="0.31496062992125984" right="0.31496062992125984" top="0.15748031496062992" bottom="0.15748031496062992" header="0.31496062992125984" footer="0.31496062992125984"/>
  <pageSetup paperSize="9" scale="59" orientation="portrait" r:id="rId1"/>
  <rowBreaks count="1" manualBreakCount="1">
    <brk id="72" max="12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4" id="{F79B6640-013D-4F0A-AF7A-F15D5BDFE67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NoIcons" iconId="0"/>
              <x14:cfIcon iconSet="NoIcons" iconId="0"/>
              <x14:cfIcon iconSet="3TrafficLights2" iconId="0"/>
            </x14:iconSet>
          </x14:cfRule>
          <xm:sqref>N121:N1048576 N1:N109</xm:sqref>
        </x14:conditionalFormatting>
        <x14:conditionalFormatting xmlns:xm="http://schemas.microsoft.com/office/excel/2006/main">
          <x14:cfRule type="iconSet" priority="63" id="{266BEEFF-BA05-4145-A844-C651FA48851F}">
            <x14:iconSet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NoIcons" iconId="0"/>
              <x14:cfIcon iconSet="NoIcons" iconId="0"/>
              <x14:cfIcon iconSet="3TrafficLights2" iconId="0"/>
            </x14:iconSet>
          </x14:cfRule>
          <xm:sqref>N9:N108</xm:sqref>
        </x14:conditionalFormatting>
        <x14:conditionalFormatting xmlns:xm="http://schemas.microsoft.com/office/excel/2006/main">
          <x14:cfRule type="iconSet" priority="65" id="{B1439532-CAF6-45F0-8542-C7BBBD470D49}">
            <x14:iconSet iconSet="3TrafficLights2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NoIcons" iconId="0"/>
              <x14:cfIcon iconSet="NoIcons" iconId="0"/>
              <x14:cfIcon iconSet="3TrafficLights2" iconId="0"/>
            </x14:iconSet>
          </x14:cfRule>
          <xm:sqref>N9:N108</xm:sqref>
        </x14:conditionalFormatting>
        <x14:conditionalFormatting xmlns:xm="http://schemas.microsoft.com/office/excel/2006/main">
          <x14:cfRule type="iconSet" priority="84" id="{F3B5C27F-3B63-4F7F-9A03-2A8A27A9F78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NoIcons" iconId="0"/>
              <x14:cfIcon iconSet="NoIcons" iconId="0"/>
              <x14:cfIcon iconSet="3TrafficLights2" iconId="0"/>
            </x14:iconSet>
          </x14:cfRule>
          <xm:sqref>N120</xm:sqref>
        </x14:conditionalFormatting>
        <x14:conditionalFormatting xmlns:xm="http://schemas.microsoft.com/office/excel/2006/main">
          <x14:cfRule type="iconSet" priority="85" id="{0D4D54F0-4851-4ED7-8360-00F5871E1AA9}">
            <x14:iconSet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NoIcons" iconId="0"/>
              <x14:cfIcon iconSet="NoIcons" iconId="0"/>
              <x14:cfIcon iconSet="3TrafficLights2" iconId="0"/>
            </x14:iconSet>
          </x14:cfRule>
          <xm:sqref>N120</xm:sqref>
        </x14:conditionalFormatting>
        <x14:conditionalFormatting xmlns:xm="http://schemas.microsoft.com/office/excel/2006/main">
          <x14:cfRule type="iconSet" priority="86" id="{1DC71732-66DB-487E-9DA0-44DAFB5D8A28}">
            <x14:iconSet iconSet="3TrafficLights2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NoIcons" iconId="0"/>
              <x14:cfIcon iconSet="NoIcons" iconId="0"/>
              <x14:cfIcon iconSet="3TrafficLights2" iconId="0"/>
            </x14:iconSet>
          </x14:cfRule>
          <xm:sqref>N120</xm:sqref>
        </x14:conditionalFormatting>
        <x14:conditionalFormatting xmlns:xm="http://schemas.microsoft.com/office/excel/2006/main">
          <x14:cfRule type="iconSet" priority="109" id="{774D9190-8016-4CFC-BDBA-BDBD809BFD1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NoIcons" iconId="0"/>
              <x14:cfIcon iconSet="NoIcons" iconId="0"/>
              <x14:cfIcon iconSet="3TrafficLights2" iconId="0"/>
            </x14:iconSet>
          </x14:cfRule>
          <xm:sqref>N110:N119</xm:sqref>
        </x14:conditionalFormatting>
        <x14:conditionalFormatting xmlns:xm="http://schemas.microsoft.com/office/excel/2006/main">
          <x14:cfRule type="iconSet" priority="111" id="{2B48E0E2-0496-4DBB-BB24-EA6A0E9A12D7}">
            <x14:iconSet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NoIcons" iconId="0"/>
              <x14:cfIcon iconSet="NoIcons" iconId="0"/>
              <x14:cfIcon iconSet="3TrafficLights2" iconId="0"/>
            </x14:iconSet>
          </x14:cfRule>
          <xm:sqref>N110:N119</xm:sqref>
        </x14:conditionalFormatting>
        <x14:conditionalFormatting xmlns:xm="http://schemas.microsoft.com/office/excel/2006/main">
          <x14:cfRule type="iconSet" priority="113" id="{865BDFE0-7C81-4040-95A8-F8151DD86E73}">
            <x14:iconSet iconSet="3TrafficLights2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NoIcons" iconId="0"/>
              <x14:cfIcon iconSet="NoIcons" iconId="0"/>
              <x14:cfIcon iconSet="3TrafficLights2" iconId="0"/>
            </x14:iconSet>
          </x14:cfRule>
          <xm:sqref>N110:N119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75"/>
  <sheetViews>
    <sheetView topLeftCell="B59" workbookViewId="0">
      <selection activeCell="M66" sqref="M66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3</v>
      </c>
      <c r="D3" s="962"/>
      <c r="E3" s="963"/>
      <c r="G3" s="957" t="s">
        <v>11956</v>
      </c>
      <c r="H3" s="958">
        <f>C3</f>
        <v>3</v>
      </c>
      <c r="I3" s="962"/>
      <c r="J3" s="963"/>
      <c r="L3" s="957" t="s">
        <v>11956</v>
      </c>
      <c r="M3" s="958">
        <f>C3</f>
        <v>3</v>
      </c>
      <c r="N3" s="961"/>
    </row>
    <row r="4" spans="1:14" x14ac:dyDescent="0.3">
      <c r="B4" s="957" t="s">
        <v>11957</v>
      </c>
      <c r="C4" s="959" t="s">
        <v>11970</v>
      </c>
      <c r="D4" s="961"/>
      <c r="G4" s="957" t="s">
        <v>11957</v>
      </c>
      <c r="H4" s="959" t="s">
        <v>11967</v>
      </c>
      <c r="I4" s="964"/>
      <c r="J4" s="965"/>
      <c r="L4" s="957" t="s">
        <v>11957</v>
      </c>
      <c r="M4" s="959" t="s">
        <v>1040</v>
      </c>
      <c r="N4" s="961"/>
    </row>
    <row r="5" spans="1:14" x14ac:dyDescent="0.3">
      <c r="B5" s="960" t="str">
        <f>'гр (1-4)'!C47</f>
        <v>САТДАРОВ Артем</v>
      </c>
      <c r="C5" s="960" t="str">
        <f>'гр (1-4)'!C51</f>
        <v>ПОПОВ Павел</v>
      </c>
      <c r="D5" s="961"/>
      <c r="E5" s="966"/>
      <c r="G5" s="960" t="str">
        <f>'гр (1-4)'!C45</f>
        <v>РАМС Сергей</v>
      </c>
      <c r="H5" s="960" t="str">
        <f>'гр (1-4)'!C53</f>
        <v>ЮНУСОВ Михаил</v>
      </c>
      <c r="I5" s="961"/>
      <c r="J5" s="966"/>
      <c r="L5" s="960" t="str">
        <f>'гр (1-4)'!C49</f>
        <v>МАКЕЕВ Александр</v>
      </c>
      <c r="M5" s="960" t="str">
        <f>'гр (1-4)'!C55</f>
        <v>ЖИЛОВ Кристиан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3</v>
      </c>
      <c r="D18" s="962"/>
      <c r="E18" s="963"/>
      <c r="G18" s="957" t="s">
        <v>11956</v>
      </c>
      <c r="H18" s="958">
        <f>C3</f>
        <v>3</v>
      </c>
      <c r="I18" s="962"/>
      <c r="J18" s="963"/>
      <c r="L18" s="957" t="s">
        <v>11956</v>
      </c>
      <c r="M18" s="958">
        <f>C3</f>
        <v>3</v>
      </c>
      <c r="N18" s="961"/>
    </row>
    <row r="19" spans="1:14" x14ac:dyDescent="0.3">
      <c r="B19" s="957" t="s">
        <v>11957</v>
      </c>
      <c r="C19" s="959" t="s">
        <v>11981</v>
      </c>
      <c r="D19" s="961"/>
      <c r="G19" s="957" t="s">
        <v>11957</v>
      </c>
      <c r="H19" s="959" t="s">
        <v>1100</v>
      </c>
      <c r="I19" s="964"/>
      <c r="J19" s="965"/>
      <c r="L19" s="957" t="s">
        <v>11957</v>
      </c>
      <c r="M19" s="959" t="s">
        <v>1099</v>
      </c>
      <c r="N19" s="961"/>
    </row>
    <row r="20" spans="1:14" x14ac:dyDescent="0.3">
      <c r="B20" s="960" t="str">
        <f>'гр (1-4)'!C51</f>
        <v>ПОПОВ Павел</v>
      </c>
      <c r="C20" s="960" t="str">
        <f>'гр (1-4)'!C45</f>
        <v>РАМС Сергей</v>
      </c>
      <c r="D20" s="961"/>
      <c r="E20" s="966"/>
      <c r="G20" s="960" t="str">
        <f>'гр (1-4)'!C55</f>
        <v>ЖИЛОВ Кристиан</v>
      </c>
      <c r="H20" s="960" t="str">
        <f>'гр (1-4)'!C47</f>
        <v>САТДАРОВ Артем</v>
      </c>
      <c r="I20" s="961"/>
      <c r="J20" s="966"/>
      <c r="L20" s="960" t="str">
        <f>'гр (1-4)'!C53</f>
        <v>ЮНУСОВ Михаил</v>
      </c>
      <c r="M20" s="960" t="str">
        <f>'гр (1-4)'!C49</f>
        <v>МАКЕЕВ Александр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3</v>
      </c>
      <c r="D33" s="962"/>
      <c r="E33" s="963"/>
      <c r="G33" s="957" t="s">
        <v>11956</v>
      </c>
      <c r="H33" s="958">
        <f>C3</f>
        <v>3</v>
      </c>
      <c r="I33" s="962"/>
      <c r="J33" s="963"/>
      <c r="L33" s="957" t="s">
        <v>11956</v>
      </c>
      <c r="M33" s="958">
        <f>C3</f>
        <v>3</v>
      </c>
      <c r="N33" s="961"/>
    </row>
    <row r="34" spans="1:14" x14ac:dyDescent="0.3">
      <c r="B34" s="957" t="s">
        <v>11957</v>
      </c>
      <c r="C34" s="959" t="s">
        <v>11971</v>
      </c>
      <c r="D34" s="961"/>
      <c r="G34" s="957" t="s">
        <v>11957</v>
      </c>
      <c r="H34" s="959" t="s">
        <v>1048</v>
      </c>
      <c r="I34" s="964"/>
      <c r="J34" s="965"/>
      <c r="L34" s="957" t="s">
        <v>11957</v>
      </c>
      <c r="M34" s="959" t="s">
        <v>11964</v>
      </c>
      <c r="N34" s="961"/>
    </row>
    <row r="35" spans="1:14" x14ac:dyDescent="0.3">
      <c r="B35" s="960" t="str">
        <f>'гр (1-4)'!C45</f>
        <v>РАМС Сергей</v>
      </c>
      <c r="C35" s="960" t="str">
        <f>'гр (1-4)'!C49</f>
        <v>МАКЕЕВ Александр</v>
      </c>
      <c r="D35" s="961"/>
      <c r="E35" s="966"/>
      <c r="G35" s="960" t="str">
        <f>'гр (1-4)'!C47</f>
        <v>САТДАРОВ Артем</v>
      </c>
      <c r="H35" s="960" t="str">
        <f>'гр (1-4)'!C53</f>
        <v>ЮНУСОВ Михаил</v>
      </c>
      <c r="I35" s="961"/>
      <c r="J35" s="966"/>
      <c r="L35" s="960" t="str">
        <f>'гр (1-4)'!C51</f>
        <v>ПОПОВ Павел</v>
      </c>
      <c r="M35" s="960" t="str">
        <f>'гр (1-4)'!C55</f>
        <v>ЖИЛОВ Кристиан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3</v>
      </c>
      <c r="D48" s="962"/>
      <c r="E48" s="963"/>
      <c r="G48" s="957" t="s">
        <v>11956</v>
      </c>
      <c r="H48" s="958">
        <f>C3</f>
        <v>3</v>
      </c>
      <c r="I48" s="962"/>
      <c r="J48" s="963"/>
      <c r="L48" s="957" t="s">
        <v>11956</v>
      </c>
      <c r="M48" s="958">
        <f>C3</f>
        <v>3</v>
      </c>
      <c r="N48" s="961"/>
    </row>
    <row r="49" spans="1:14" x14ac:dyDescent="0.3">
      <c r="B49" s="957" t="s">
        <v>11957</v>
      </c>
      <c r="C49" s="959" t="s">
        <v>11982</v>
      </c>
      <c r="D49" s="961"/>
      <c r="G49" s="957" t="s">
        <v>11957</v>
      </c>
      <c r="H49" s="959" t="s">
        <v>11974</v>
      </c>
      <c r="I49" s="964"/>
      <c r="J49" s="965"/>
      <c r="L49" s="957" t="s">
        <v>11957</v>
      </c>
      <c r="M49" s="959" t="s">
        <v>11978</v>
      </c>
      <c r="N49" s="961"/>
    </row>
    <row r="50" spans="1:14" x14ac:dyDescent="0.3">
      <c r="B50" s="960" t="str">
        <f>'гр (1-4)'!C49</f>
        <v>МАКЕЕВ Александр</v>
      </c>
      <c r="C50" s="960" t="str">
        <f>'гр (1-4)'!C47</f>
        <v>САТДАРОВ Артем</v>
      </c>
      <c r="D50" s="961"/>
      <c r="E50" s="966"/>
      <c r="G50" s="960" t="str">
        <f>'гр (1-4)'!C55</f>
        <v>ЖИЛОВ Кристиан</v>
      </c>
      <c r="H50" s="960" t="str">
        <f>'гр (1-4)'!C45</f>
        <v>РАМС Сергей</v>
      </c>
      <c r="I50" s="961"/>
      <c r="J50" s="966"/>
      <c r="L50" s="960" t="str">
        <f>'гр (1-4)'!C53</f>
        <v>ЮНУСОВ Михаил</v>
      </c>
      <c r="M50" s="960" t="str">
        <f>'гр (1-4)'!C51</f>
        <v>ПОПОВ Павел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3</v>
      </c>
      <c r="D63" s="962"/>
      <c r="E63" s="963"/>
      <c r="G63" s="957" t="s">
        <v>11956</v>
      </c>
      <c r="H63" s="958">
        <f>C3</f>
        <v>3</v>
      </c>
      <c r="I63" s="962"/>
      <c r="J63" s="963"/>
      <c r="L63" s="957" t="s">
        <v>11956</v>
      </c>
      <c r="M63" s="958">
        <f>C3</f>
        <v>3</v>
      </c>
      <c r="N63" s="961"/>
    </row>
    <row r="64" spans="1:14" x14ac:dyDescent="0.3">
      <c r="B64" s="957" t="s">
        <v>11957</v>
      </c>
      <c r="C64" s="959" t="s">
        <v>1114</v>
      </c>
      <c r="D64" s="961"/>
      <c r="G64" s="957" t="s">
        <v>11957</v>
      </c>
      <c r="H64" s="959" t="s">
        <v>1049</v>
      </c>
      <c r="I64" s="964"/>
      <c r="J64" s="965"/>
      <c r="L64" s="957" t="s">
        <v>11957</v>
      </c>
      <c r="M64" s="959" t="s">
        <v>1033</v>
      </c>
      <c r="N64" s="961"/>
    </row>
    <row r="65" spans="1:14" x14ac:dyDescent="0.3">
      <c r="B65" s="960" t="str">
        <f>'гр (1-4)'!C45</f>
        <v>РАМС Сергей</v>
      </c>
      <c r="C65" s="960" t="str">
        <f>'гр (1-4)'!C47</f>
        <v>САТДАРОВ Артем</v>
      </c>
      <c r="D65" s="961"/>
      <c r="E65" s="966"/>
      <c r="G65" s="960" t="str">
        <f>'гр (1-4)'!C49</f>
        <v>МАКЕЕВ Александр</v>
      </c>
      <c r="H65" s="960" t="str">
        <f>'гр (1-4)'!C51</f>
        <v>ПОПОВ Павел</v>
      </c>
      <c r="I65" s="961"/>
      <c r="J65" s="966"/>
      <c r="L65" s="960" t="str">
        <f>'гр (1-4)'!C53</f>
        <v>ЮНУСОВ Михаил</v>
      </c>
      <c r="M65" s="960" t="str">
        <f>'гр (1-4)'!C55</f>
        <v>ЖИЛОВ Кристиан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</sheetData>
  <mergeCells count="30"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A122" zoomScale="60" zoomScaleNormal="100" workbookViewId="0">
      <selection activeCell="F104" sqref="F104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4</v>
      </c>
      <c r="D3" s="962"/>
      <c r="E3" s="963"/>
      <c r="G3" s="957" t="s">
        <v>11956</v>
      </c>
      <c r="H3" s="958">
        <f>C3</f>
        <v>4</v>
      </c>
      <c r="I3" s="962"/>
      <c r="J3" s="963"/>
      <c r="L3" s="957" t="s">
        <v>11956</v>
      </c>
      <c r="M3" s="958">
        <f>C3</f>
        <v>4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'гр (1-4)'!C67</f>
        <v>БАКШИНСКИЙ Илья</v>
      </c>
      <c r="C5" s="960" t="str">
        <f>'гр (1-4)'!C75</f>
        <v>ЛУЗАНОВ Даниил</v>
      </c>
      <c r="D5" s="961"/>
      <c r="E5" s="966"/>
      <c r="G5" s="960" t="str">
        <f>'гр (1-4)'!C69</f>
        <v>САВИЧЕВ Дмитрий</v>
      </c>
      <c r="H5" s="960" t="str">
        <f>'гр (1-4)'!C73</f>
        <v>МАСЛАКОВ Антон</v>
      </c>
      <c r="I5" s="961"/>
      <c r="J5" s="966"/>
      <c r="L5" s="960" t="str">
        <f>'гр (1-4)'!C65</f>
        <v>СТАШКОВСКИЙ Глеб</v>
      </c>
      <c r="M5" s="960" t="str">
        <f>'гр (1-4)'!C77</f>
        <v>ПОПОВ Максим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4</v>
      </c>
      <c r="D18" s="962"/>
      <c r="E18" s="963"/>
      <c r="G18" s="957" t="s">
        <v>11956</v>
      </c>
      <c r="H18" s="958">
        <f>C3</f>
        <v>4</v>
      </c>
      <c r="I18" s="962"/>
      <c r="J18" s="963"/>
      <c r="L18" s="957" t="s">
        <v>11956</v>
      </c>
      <c r="M18" s="958">
        <f>C3</f>
        <v>4</v>
      </c>
      <c r="N18" s="961"/>
    </row>
    <row r="19" spans="1:14" x14ac:dyDescent="0.3">
      <c r="B19" s="957" t="s">
        <v>11957</v>
      </c>
      <c r="C19" s="959" t="s">
        <v>11958</v>
      </c>
      <c r="D19" s="961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960" t="str">
        <f>'гр (1-4)'!C71</f>
        <v>СОБАКИН Юрий</v>
      </c>
      <c r="C20" s="960" t="str">
        <f>'гр (1-4)'!C79</f>
        <v/>
      </c>
      <c r="D20" s="961"/>
      <c r="E20" s="966"/>
      <c r="G20" s="960" t="str">
        <f>'гр (1-4)'!C73</f>
        <v>МАСЛАКОВ Антон</v>
      </c>
      <c r="H20" s="960" t="str">
        <f>'гр (1-4)'!C67</f>
        <v>БАКШИНСКИЙ Илья</v>
      </c>
      <c r="I20" s="961"/>
      <c r="J20" s="966"/>
      <c r="L20" s="960" t="str">
        <f>'гр (1-4)'!C75</f>
        <v>ЛУЗАНОВ Даниил</v>
      </c>
      <c r="M20" s="960" t="str">
        <f>'гр (1-4)'!C65</f>
        <v>СТАШКОВСКИЙ Глеб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4</v>
      </c>
      <c r="D33" s="962"/>
      <c r="E33" s="963"/>
      <c r="G33" s="957" t="s">
        <v>11956</v>
      </c>
      <c r="H33" s="958">
        <f>C3</f>
        <v>4</v>
      </c>
      <c r="I33" s="962"/>
      <c r="J33" s="963"/>
      <c r="L33" s="957" t="s">
        <v>11956</v>
      </c>
      <c r="M33" s="958">
        <f>C3</f>
        <v>4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'гр (1-4)'!C79</f>
        <v/>
      </c>
      <c r="C35" s="960" t="str">
        <f>'гр (1-4)'!C69</f>
        <v>САВИЧЕВ Дмитрий</v>
      </c>
      <c r="D35" s="961"/>
      <c r="E35" s="966"/>
      <c r="G35" s="960" t="str">
        <f>'гр (1-4)'!C77</f>
        <v>ПОПОВ Максим</v>
      </c>
      <c r="H35" s="960" t="str">
        <f>'гр (1-4)'!C71</f>
        <v>СОБАКИН Юрий</v>
      </c>
      <c r="I35" s="961"/>
      <c r="J35" s="966"/>
      <c r="L35" s="960" t="str">
        <f>'гр (1-4)'!C65</f>
        <v>СТАШКОВСКИЙ Глеб</v>
      </c>
      <c r="M35" s="960" t="str">
        <f>'гр (1-4)'!C73</f>
        <v>МАСЛАКОВ Антон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4</v>
      </c>
      <c r="D48" s="962"/>
      <c r="E48" s="963"/>
      <c r="G48" s="957" t="s">
        <v>11956</v>
      </c>
      <c r="H48" s="958">
        <f>C3</f>
        <v>4</v>
      </c>
      <c r="I48" s="962"/>
      <c r="J48" s="963"/>
      <c r="L48" s="957" t="s">
        <v>11956</v>
      </c>
      <c r="M48" s="958">
        <f>C3</f>
        <v>4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'гр (1-4)'!C67</f>
        <v>БАКШИНСКИЙ Илья</v>
      </c>
      <c r="C50" s="960" t="str">
        <f>'гр (1-4)'!C79</f>
        <v/>
      </c>
      <c r="D50" s="961"/>
      <c r="E50" s="966"/>
      <c r="G50" s="960" t="str">
        <f>'гр (1-4)'!C71</f>
        <v>СОБАКИН Юрий</v>
      </c>
      <c r="H50" s="960" t="str">
        <f>'гр (1-4)'!C75</f>
        <v>ЛУЗАНОВ Даниил</v>
      </c>
      <c r="I50" s="961"/>
      <c r="J50" s="966"/>
      <c r="L50" s="960" t="str">
        <f>'гр (1-4)'!C69</f>
        <v>САВИЧЕВ Дмитрий</v>
      </c>
      <c r="M50" s="960" t="str">
        <f>'гр (1-4)'!C77</f>
        <v>ПОПОВ Максим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4</v>
      </c>
      <c r="D63" s="962"/>
      <c r="E63" s="963"/>
      <c r="G63" s="957" t="s">
        <v>11956</v>
      </c>
      <c r="H63" s="958">
        <f>C3</f>
        <v>4</v>
      </c>
      <c r="I63" s="962"/>
      <c r="J63" s="963"/>
      <c r="L63" s="957" t="s">
        <v>11956</v>
      </c>
      <c r="M63" s="958">
        <f>C3</f>
        <v>4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'гр (1-4)'!C79</f>
        <v/>
      </c>
      <c r="C65" s="960" t="str">
        <f>'гр (1-4)'!C65</f>
        <v>СТАШКОВСКИЙ Глеб</v>
      </c>
      <c r="D65" s="961"/>
      <c r="E65" s="966"/>
      <c r="G65" s="960" t="str">
        <f>'гр (1-4)'!C73</f>
        <v>МАСЛАКОВ Антон</v>
      </c>
      <c r="H65" s="960" t="str">
        <f>'гр (1-4)'!C71</f>
        <v>СОБАКИН Юрий</v>
      </c>
      <c r="I65" s="961"/>
      <c r="J65" s="966"/>
      <c r="L65" s="960" t="str">
        <f>'гр (1-4)'!C77</f>
        <v>ПОПОВ Максим</v>
      </c>
      <c r="M65" s="960" t="str">
        <f>'гр (1-4)'!C67</f>
        <v>БАКШИНСКИЙ Илья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Групповой этап</v>
      </c>
      <c r="C77" s="1199"/>
      <c r="D77" s="955"/>
      <c r="E77" s="956"/>
      <c r="G77" s="1199" t="str">
        <f>B2</f>
        <v>Групповой этап</v>
      </c>
      <c r="H77" s="1199"/>
      <c r="I77" s="955"/>
      <c r="J77" s="956"/>
      <c r="L77" s="1199" t="str">
        <f>B2</f>
        <v>Групповой этап</v>
      </c>
      <c r="M77" s="1199"/>
      <c r="N77" s="961"/>
    </row>
    <row r="78" spans="1:14" x14ac:dyDescent="0.3">
      <c r="B78" s="957" t="s">
        <v>11956</v>
      </c>
      <c r="C78" s="958">
        <f>C3</f>
        <v>4</v>
      </c>
      <c r="D78" s="962"/>
      <c r="E78" s="963"/>
      <c r="G78" s="957" t="s">
        <v>11956</v>
      </c>
      <c r="H78" s="958">
        <f>C3</f>
        <v>4</v>
      </c>
      <c r="I78" s="962"/>
      <c r="J78" s="963"/>
      <c r="L78" s="957" t="s">
        <v>11956</v>
      </c>
      <c r="M78" s="958">
        <f>C3</f>
        <v>4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'гр (1-4)'!C75</f>
        <v>ЛУЗАНОВ Даниил</v>
      </c>
      <c r="C80" s="960" t="str">
        <f>'гр (1-4)'!C69</f>
        <v>САВИЧЕВ Дмитрий</v>
      </c>
      <c r="D80" s="961"/>
      <c r="E80" s="966"/>
      <c r="G80" s="960" t="str">
        <f>'гр (1-4)'!C65</f>
        <v>СТАШКОВСКИЙ Глеб</v>
      </c>
      <c r="H80" s="960" t="str">
        <f>'гр (1-4)'!C69</f>
        <v>САВИЧЕВ Дмитрий</v>
      </c>
      <c r="I80" s="961"/>
      <c r="J80" s="966"/>
      <c r="L80" s="960" t="str">
        <f>'гр (1-4)'!C67</f>
        <v>БАКШИНСКИЙ Илья</v>
      </c>
      <c r="M80" s="960" t="str">
        <f>'гр (1-4)'!C71</f>
        <v>СОБАКИН Юрий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Групповой этап</v>
      </c>
      <c r="C92" s="1199"/>
      <c r="D92" s="955"/>
      <c r="E92" s="956"/>
      <c r="G92" s="1199" t="str">
        <f>B2</f>
        <v>Групповой этап</v>
      </c>
      <c r="H92" s="1199"/>
      <c r="I92" s="955"/>
      <c r="J92" s="956"/>
      <c r="L92" s="1199" t="str">
        <f>B2</f>
        <v>Групповой этап</v>
      </c>
      <c r="M92" s="1199"/>
      <c r="N92" s="961"/>
    </row>
    <row r="93" spans="1:14" x14ac:dyDescent="0.3">
      <c r="B93" s="957" t="s">
        <v>11956</v>
      </c>
      <c r="C93" s="958">
        <f>C3</f>
        <v>4</v>
      </c>
      <c r="D93" s="962"/>
      <c r="E93" s="963"/>
      <c r="G93" s="957" t="s">
        <v>11956</v>
      </c>
      <c r="H93" s="958">
        <f>C3</f>
        <v>4</v>
      </c>
      <c r="I93" s="962"/>
      <c r="J93" s="963"/>
      <c r="L93" s="957" t="s">
        <v>11956</v>
      </c>
      <c r="M93" s="958">
        <f>C3</f>
        <v>4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'гр (1-4)'!C73</f>
        <v>МАСЛАКОВ Антон</v>
      </c>
      <c r="C95" s="960" t="str">
        <f>'гр (1-4)'!C77</f>
        <v>ПОПОВ Максим</v>
      </c>
      <c r="D95" s="961"/>
      <c r="E95" s="966"/>
      <c r="G95" s="960" t="str">
        <f>'гр (1-4)'!C75</f>
        <v>ЛУЗАНОВ Даниил</v>
      </c>
      <c r="H95" s="960" t="str">
        <f>'гр (1-4)'!C79</f>
        <v/>
      </c>
      <c r="I95" s="961"/>
      <c r="J95" s="966"/>
      <c r="L95" s="960" t="str">
        <f>'гр (1-4)'!C71</f>
        <v>СОБАКИН Юрий</v>
      </c>
      <c r="M95" s="960" t="str">
        <f>'гр (1-4)'!C65</f>
        <v>СТАШКОВСКИЙ Глеб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Групповой этап</v>
      </c>
      <c r="C107" s="1199"/>
      <c r="D107" s="955"/>
      <c r="E107" s="956"/>
      <c r="G107" s="1199" t="str">
        <f>B2</f>
        <v>Групповой этап</v>
      </c>
      <c r="H107" s="1199"/>
      <c r="I107" s="955"/>
      <c r="J107" s="956"/>
      <c r="L107" s="1199" t="str">
        <f>B2</f>
        <v>Групповой этап</v>
      </c>
      <c r="M107" s="1199"/>
      <c r="N107" s="961"/>
    </row>
    <row r="108" spans="1:14" x14ac:dyDescent="0.3">
      <c r="B108" s="957" t="s">
        <v>11956</v>
      </c>
      <c r="C108" s="958">
        <f>C3</f>
        <v>4</v>
      </c>
      <c r="D108" s="962"/>
      <c r="E108" s="963"/>
      <c r="G108" s="957" t="s">
        <v>11956</v>
      </c>
      <c r="H108" s="958">
        <f>C3</f>
        <v>4</v>
      </c>
      <c r="I108" s="962"/>
      <c r="J108" s="963"/>
      <c r="L108" s="957" t="s">
        <v>11956</v>
      </c>
      <c r="M108" s="958">
        <f>C3</f>
        <v>4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'гр (1-4)'!C69</f>
        <v>САВИЧЕВ Дмитрий</v>
      </c>
      <c r="C110" s="960" t="str">
        <f>'гр (1-4)'!C67</f>
        <v>БАКШИНСКИЙ Илья</v>
      </c>
      <c r="D110" s="961"/>
      <c r="E110" s="966"/>
      <c r="G110" s="960" t="str">
        <f>'гр (1-4)'!C77</f>
        <v>ПОПОВ Максим</v>
      </c>
      <c r="H110" s="960" t="str">
        <f>'гр (1-4)'!C75</f>
        <v>ЛУЗАНОВ Даниил</v>
      </c>
      <c r="I110" s="961"/>
      <c r="J110" s="966"/>
      <c r="L110" s="960" t="str">
        <f>'гр (1-4)'!C79</f>
        <v/>
      </c>
      <c r="M110" s="960" t="str">
        <f>'гр (1-4)'!C73</f>
        <v>МАСЛАКОВ Антон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Групповой этап</v>
      </c>
      <c r="C122" s="1199"/>
      <c r="D122" s="955"/>
      <c r="E122" s="956"/>
      <c r="G122" s="1199" t="str">
        <f>B2</f>
        <v>Групповой этап</v>
      </c>
      <c r="H122" s="1199"/>
      <c r="I122" s="955"/>
      <c r="J122" s="956"/>
      <c r="L122" s="1199" t="str">
        <f>B2</f>
        <v>Групповой этап</v>
      </c>
      <c r="M122" s="1199"/>
      <c r="N122" s="961"/>
    </row>
    <row r="123" spans="1:14" x14ac:dyDescent="0.3">
      <c r="B123" s="957" t="s">
        <v>11956</v>
      </c>
      <c r="C123" s="958">
        <f>C3</f>
        <v>4</v>
      </c>
      <c r="D123" s="962"/>
      <c r="E123" s="963"/>
      <c r="G123" s="957" t="s">
        <v>11956</v>
      </c>
      <c r="H123" s="958">
        <f>C3</f>
        <v>4</v>
      </c>
      <c r="I123" s="962"/>
      <c r="J123" s="963"/>
      <c r="L123" s="957" t="s">
        <v>11956</v>
      </c>
      <c r="M123" s="958">
        <f>C3</f>
        <v>4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'гр (1-4)'!C65</f>
        <v>СТАШКОВСКИЙ Глеб</v>
      </c>
      <c r="C125" s="960" t="str">
        <f>'гр (1-4)'!C67</f>
        <v>БАКШИНСКИЙ Илья</v>
      </c>
      <c r="D125" s="961"/>
      <c r="E125" s="966"/>
      <c r="G125" s="960" t="str">
        <f>'гр (1-4)'!C69</f>
        <v>САВИЧЕВ Дмитрий</v>
      </c>
      <c r="H125" s="960" t="str">
        <f>'гр (1-4)'!C71</f>
        <v>СОБАКИН Юрий</v>
      </c>
      <c r="I125" s="961"/>
      <c r="J125" s="966"/>
      <c r="L125" s="960" t="str">
        <f>'гр (1-4)'!C73</f>
        <v>МАСЛАКОВ Антон</v>
      </c>
      <c r="M125" s="960" t="str">
        <f>'гр (1-4)'!C75</f>
        <v>ЛУЗАНОВ Даниил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Групповой этап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 t="s">
        <v>11956</v>
      </c>
      <c r="C138" s="975">
        <f>C3</f>
        <v>4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'гр (1-4)'!C77</f>
        <v>ПОПОВ Максим</v>
      </c>
      <c r="C140" s="960" t="str">
        <f>'гр (1-4)'!C79</f>
        <v/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4" manualBreakCount="4">
    <brk id="30" max="16383" man="1"/>
    <brk id="60" max="16383" man="1"/>
    <brk id="90" max="16383" man="1"/>
    <brk id="120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75"/>
  <sheetViews>
    <sheetView topLeftCell="B53" workbookViewId="0">
      <selection activeCell="M66" sqref="M66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4</v>
      </c>
      <c r="D3" s="962"/>
      <c r="E3" s="963"/>
      <c r="G3" s="957" t="s">
        <v>11956</v>
      </c>
      <c r="H3" s="958">
        <f>C3</f>
        <v>4</v>
      </c>
      <c r="I3" s="962"/>
      <c r="J3" s="963"/>
      <c r="L3" s="957" t="s">
        <v>11956</v>
      </c>
      <c r="M3" s="958">
        <f>C3</f>
        <v>4</v>
      </c>
      <c r="N3" s="961"/>
    </row>
    <row r="4" spans="1:14" x14ac:dyDescent="0.3">
      <c r="B4" s="957" t="s">
        <v>11957</v>
      </c>
      <c r="C4" s="959" t="s">
        <v>11970</v>
      </c>
      <c r="D4" s="961"/>
      <c r="G4" s="957" t="s">
        <v>11957</v>
      </c>
      <c r="H4" s="959" t="s">
        <v>11967</v>
      </c>
      <c r="I4" s="964"/>
      <c r="J4" s="965"/>
      <c r="L4" s="957" t="s">
        <v>11957</v>
      </c>
      <c r="M4" s="959" t="s">
        <v>1040</v>
      </c>
      <c r="N4" s="961"/>
    </row>
    <row r="5" spans="1:14" x14ac:dyDescent="0.3">
      <c r="B5" s="960" t="str">
        <f>'гр (1-4)'!C67</f>
        <v>БАКШИНСКИЙ Илья</v>
      </c>
      <c r="C5" s="960" t="str">
        <f>'гр (1-4)'!C71</f>
        <v>СОБАКИН Юрий</v>
      </c>
      <c r="D5" s="961"/>
      <c r="E5" s="966"/>
      <c r="G5" s="960" t="str">
        <f>'гр (1-4)'!C65</f>
        <v>СТАШКОВСКИЙ Глеб</v>
      </c>
      <c r="H5" s="960" t="str">
        <f>'гр (1-4)'!C73</f>
        <v>МАСЛАКОВ Антон</v>
      </c>
      <c r="I5" s="961"/>
      <c r="J5" s="966"/>
      <c r="L5" s="960" t="str">
        <f>'гр (1-4)'!C69</f>
        <v>САВИЧЕВ Дмитрий</v>
      </c>
      <c r="M5" s="960" t="str">
        <f>'гр (1-4)'!C75</f>
        <v>ЛУЗАНОВ Даниил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4</v>
      </c>
      <c r="D18" s="962"/>
      <c r="E18" s="963"/>
      <c r="G18" s="957" t="s">
        <v>11956</v>
      </c>
      <c r="H18" s="958">
        <f>C3</f>
        <v>4</v>
      </c>
      <c r="I18" s="962"/>
      <c r="J18" s="963"/>
      <c r="L18" s="957" t="s">
        <v>11956</v>
      </c>
      <c r="M18" s="958">
        <f>C3</f>
        <v>4</v>
      </c>
      <c r="N18" s="961"/>
    </row>
    <row r="19" spans="1:14" x14ac:dyDescent="0.3">
      <c r="B19" s="957" t="s">
        <v>11957</v>
      </c>
      <c r="C19" s="959" t="s">
        <v>11981</v>
      </c>
      <c r="D19" s="961"/>
      <c r="G19" s="957" t="s">
        <v>11957</v>
      </c>
      <c r="H19" s="959" t="s">
        <v>1100</v>
      </c>
      <c r="I19" s="964"/>
      <c r="J19" s="965"/>
      <c r="L19" s="957" t="s">
        <v>11957</v>
      </c>
      <c r="M19" s="959" t="s">
        <v>1099</v>
      </c>
      <c r="N19" s="961"/>
    </row>
    <row r="20" spans="1:14" x14ac:dyDescent="0.3">
      <c r="B20" s="960" t="str">
        <f>'гр (1-4)'!C71</f>
        <v>СОБАКИН Юрий</v>
      </c>
      <c r="C20" s="960" t="str">
        <f>'гр (1-4)'!C65</f>
        <v>СТАШКОВСКИЙ Глеб</v>
      </c>
      <c r="D20" s="961"/>
      <c r="E20" s="966"/>
      <c r="G20" s="960" t="str">
        <f>'гр (1-4)'!C75</f>
        <v>ЛУЗАНОВ Даниил</v>
      </c>
      <c r="H20" s="960" t="str">
        <f>'гр (1-4)'!C67</f>
        <v>БАКШИНСКИЙ Илья</v>
      </c>
      <c r="I20" s="961"/>
      <c r="J20" s="966"/>
      <c r="L20" s="960" t="str">
        <f>'гр (1-4)'!C73</f>
        <v>МАСЛАКОВ Антон</v>
      </c>
      <c r="M20" s="960" t="str">
        <f>'гр (1-4)'!C69</f>
        <v>САВИЧЕВ Дмитрий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4</v>
      </c>
      <c r="D33" s="962"/>
      <c r="E33" s="963"/>
      <c r="G33" s="957" t="s">
        <v>11956</v>
      </c>
      <c r="H33" s="958">
        <f>C3</f>
        <v>4</v>
      </c>
      <c r="I33" s="962"/>
      <c r="J33" s="963"/>
      <c r="L33" s="957" t="s">
        <v>11956</v>
      </c>
      <c r="M33" s="958">
        <f>C3</f>
        <v>4</v>
      </c>
      <c r="N33" s="961"/>
    </row>
    <row r="34" spans="1:14" x14ac:dyDescent="0.3">
      <c r="B34" s="957" t="s">
        <v>11957</v>
      </c>
      <c r="C34" s="959" t="s">
        <v>11971</v>
      </c>
      <c r="D34" s="961"/>
      <c r="G34" s="957" t="s">
        <v>11957</v>
      </c>
      <c r="H34" s="959" t="s">
        <v>1048</v>
      </c>
      <c r="I34" s="964"/>
      <c r="J34" s="965"/>
      <c r="L34" s="957" t="s">
        <v>11957</v>
      </c>
      <c r="M34" s="959" t="s">
        <v>11964</v>
      </c>
      <c r="N34" s="961"/>
    </row>
    <row r="35" spans="1:14" x14ac:dyDescent="0.3">
      <c r="B35" s="960" t="str">
        <f>'гр (1-4)'!C65</f>
        <v>СТАШКОВСКИЙ Глеб</v>
      </c>
      <c r="C35" s="960" t="str">
        <f>'гр (1-4)'!C69</f>
        <v>САВИЧЕВ Дмитрий</v>
      </c>
      <c r="D35" s="961"/>
      <c r="E35" s="966"/>
      <c r="G35" s="960" t="str">
        <f>'гр (1-4)'!C67</f>
        <v>БАКШИНСКИЙ Илья</v>
      </c>
      <c r="H35" s="960" t="str">
        <f>'гр (1-4)'!C73</f>
        <v>МАСЛАКОВ Антон</v>
      </c>
      <c r="I35" s="961"/>
      <c r="J35" s="966"/>
      <c r="L35" s="960" t="str">
        <f>'гр (1-4)'!C71</f>
        <v>СОБАКИН Юрий</v>
      </c>
      <c r="M35" s="960" t="str">
        <f>'гр (1-4)'!C75</f>
        <v>ЛУЗАНОВ Даниил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4</v>
      </c>
      <c r="D48" s="962"/>
      <c r="E48" s="963"/>
      <c r="G48" s="957" t="s">
        <v>11956</v>
      </c>
      <c r="H48" s="958">
        <f>C3</f>
        <v>4</v>
      </c>
      <c r="I48" s="962"/>
      <c r="J48" s="963"/>
      <c r="L48" s="957" t="s">
        <v>11956</v>
      </c>
      <c r="M48" s="958">
        <f>C3</f>
        <v>4</v>
      </c>
      <c r="N48" s="961"/>
    </row>
    <row r="49" spans="1:14" x14ac:dyDescent="0.3">
      <c r="B49" s="957" t="s">
        <v>11957</v>
      </c>
      <c r="C49" s="959" t="s">
        <v>11982</v>
      </c>
      <c r="D49" s="961"/>
      <c r="G49" s="957" t="s">
        <v>11957</v>
      </c>
      <c r="H49" s="959" t="s">
        <v>11974</v>
      </c>
      <c r="I49" s="964"/>
      <c r="J49" s="965"/>
      <c r="L49" s="957" t="s">
        <v>11957</v>
      </c>
      <c r="M49" s="959" t="s">
        <v>11978</v>
      </c>
      <c r="N49" s="961"/>
    </row>
    <row r="50" spans="1:14" x14ac:dyDescent="0.3">
      <c r="B50" s="960" t="str">
        <f>'гр (1-4)'!C69</f>
        <v>САВИЧЕВ Дмитрий</v>
      </c>
      <c r="C50" s="960" t="str">
        <f>'гр (1-4)'!C67</f>
        <v>БАКШИНСКИЙ Илья</v>
      </c>
      <c r="D50" s="961"/>
      <c r="E50" s="966"/>
      <c r="G50" s="960" t="str">
        <f>'гр (1-4)'!C75</f>
        <v>ЛУЗАНОВ Даниил</v>
      </c>
      <c r="H50" s="960" t="str">
        <f>'гр (1-4)'!C65</f>
        <v>СТАШКОВСКИЙ Глеб</v>
      </c>
      <c r="I50" s="961"/>
      <c r="J50" s="966"/>
      <c r="L50" s="960" t="str">
        <f>'гр (1-4)'!C73</f>
        <v>МАСЛАКОВ Антон</v>
      </c>
      <c r="M50" s="960" t="str">
        <f>'гр (1-4)'!C71</f>
        <v>СОБАКИН Юрий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4</v>
      </c>
      <c r="D63" s="962"/>
      <c r="E63" s="963"/>
      <c r="G63" s="957" t="s">
        <v>11956</v>
      </c>
      <c r="H63" s="958">
        <f>C3</f>
        <v>4</v>
      </c>
      <c r="I63" s="962"/>
      <c r="J63" s="963"/>
      <c r="L63" s="957" t="s">
        <v>11956</v>
      </c>
      <c r="M63" s="958">
        <f>C3</f>
        <v>4</v>
      </c>
      <c r="N63" s="961"/>
    </row>
    <row r="64" spans="1:14" x14ac:dyDescent="0.3">
      <c r="B64" s="957" t="s">
        <v>11957</v>
      </c>
      <c r="C64" s="959" t="s">
        <v>1114</v>
      </c>
      <c r="D64" s="961"/>
      <c r="G64" s="957" t="s">
        <v>11957</v>
      </c>
      <c r="H64" s="959" t="s">
        <v>1049</v>
      </c>
      <c r="I64" s="964"/>
      <c r="J64" s="965"/>
      <c r="L64" s="957" t="s">
        <v>11957</v>
      </c>
      <c r="M64" s="959" t="s">
        <v>1033</v>
      </c>
      <c r="N64" s="961"/>
    </row>
    <row r="65" spans="1:14" x14ac:dyDescent="0.3">
      <c r="B65" s="960" t="str">
        <f>'гр (1-4)'!C65</f>
        <v>СТАШКОВСКИЙ Глеб</v>
      </c>
      <c r="C65" s="960" t="str">
        <f>'гр (1-4)'!C67</f>
        <v>БАКШИНСКИЙ Илья</v>
      </c>
      <c r="D65" s="961"/>
      <c r="E65" s="966"/>
      <c r="G65" s="960" t="str">
        <f>'гр (1-4)'!C69</f>
        <v>САВИЧЕВ Дмитрий</v>
      </c>
      <c r="H65" s="960" t="str">
        <f>'гр (1-4)'!C71</f>
        <v>СОБАКИН Юрий</v>
      </c>
      <c r="I65" s="961"/>
      <c r="J65" s="966"/>
      <c r="L65" s="960" t="str">
        <f>'гр (1-4)'!C73</f>
        <v>МАСЛАКОВ Антон</v>
      </c>
      <c r="M65" s="960" t="str">
        <f>'гр (1-4)'!C75</f>
        <v>ЛУЗАНОВ Даниил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</sheetData>
  <mergeCells count="30"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AH84"/>
  <sheetViews>
    <sheetView view="pageBreakPreview" topLeftCell="A58" zoomScale="120" zoomScaleNormal="100" zoomScaleSheetLayoutView="120" workbookViewId="0">
      <selection activeCell="G11" sqref="G11:I11"/>
    </sheetView>
  </sheetViews>
  <sheetFormatPr defaultColWidth="9.33203125" defaultRowHeight="12.75" outlineLevelRow="1" outlineLevelCol="1" x14ac:dyDescent="0.2"/>
  <cols>
    <col min="1" max="1" width="5.6640625" style="91" customWidth="1"/>
    <col min="2" max="2" width="5" style="91" hidden="1" customWidth="1" outlineLevel="1"/>
    <col min="3" max="3" width="30" style="91" customWidth="1" collapsed="1"/>
    <col min="4" max="27" width="2.83203125" style="91" customWidth="1"/>
    <col min="28" max="30" width="2.83203125" style="91" hidden="1" customWidth="1" outlineLevel="1"/>
    <col min="31" max="31" width="3.5" style="91" customWidth="1" collapsed="1"/>
    <col min="32" max="32" width="3.5" style="91" customWidth="1"/>
    <col min="33" max="33" width="9.5" style="91" customWidth="1"/>
    <col min="34" max="34" width="7.83203125" style="91" customWidth="1"/>
    <col min="35" max="51" width="3.5" style="91" customWidth="1"/>
    <col min="52" max="16384" width="9.33203125" style="91"/>
  </cols>
  <sheetData>
    <row r="1" spans="1:34" ht="15.75" x14ac:dyDescent="0.25">
      <c r="C1" s="1123" t="str">
        <f>'Списки участников'!A1</f>
        <v>IV Мемориал Заслуженного тренера России В.А.Воробьева</v>
      </c>
      <c r="D1" s="1123"/>
      <c r="E1" s="1123"/>
      <c r="F1" s="1123"/>
      <c r="G1" s="1123"/>
      <c r="H1" s="1123"/>
      <c r="I1" s="1123"/>
      <c r="J1" s="1123"/>
      <c r="K1" s="1123"/>
      <c r="L1" s="1123"/>
      <c r="M1" s="1123"/>
      <c r="N1" s="1123"/>
      <c r="O1" s="1123"/>
      <c r="P1" s="1123"/>
      <c r="Q1" s="1123"/>
      <c r="R1" s="1123"/>
      <c r="S1" s="1123"/>
      <c r="T1" s="1123"/>
      <c r="U1" s="1123"/>
      <c r="V1" s="1123"/>
      <c r="W1" s="1123"/>
      <c r="X1" s="1123"/>
      <c r="Y1" s="1123"/>
      <c r="Z1" s="1123"/>
      <c r="AA1" s="1123"/>
      <c r="AB1" s="1123"/>
      <c r="AC1" s="1123"/>
      <c r="AD1" s="1123"/>
      <c r="AE1" s="1123"/>
      <c r="AF1" s="1123"/>
      <c r="AG1" s="1123"/>
    </row>
    <row r="2" spans="1:34" ht="15.75" x14ac:dyDescent="0.25">
      <c r="C2" s="453" t="str">
        <f>'Списки участников'!C3</f>
        <v>26-29 мая 2016 г.</v>
      </c>
      <c r="D2" s="1123" t="str">
        <f>'Списки участников'!A2</f>
        <v>среди юношей и девушек 2002 г.р. и моложе</v>
      </c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  <c r="X2" s="1123"/>
      <c r="Y2" s="1123"/>
      <c r="Z2" s="1123"/>
      <c r="AA2" s="1123"/>
      <c r="AB2" s="1156" t="str">
        <f>'Списки участников'!I3</f>
        <v>г. Москва</v>
      </c>
      <c r="AC2" s="1156"/>
      <c r="AD2" s="1156"/>
      <c r="AE2" s="1156"/>
      <c r="AF2" s="1156"/>
      <c r="AG2" s="1156"/>
    </row>
    <row r="3" spans="1:34" ht="15.75" x14ac:dyDescent="0.25">
      <c r="A3" s="135"/>
      <c r="B3" s="135"/>
      <c r="C3" s="804" t="str">
        <f>'Списки участников'!D6</f>
        <v>ЮНОШИ</v>
      </c>
      <c r="D3" s="135"/>
      <c r="E3" s="135"/>
      <c r="F3" s="135"/>
      <c r="G3" s="1157" t="s">
        <v>995</v>
      </c>
      <c r="H3" s="1157"/>
      <c r="I3" s="1157"/>
      <c r="J3" s="1157"/>
      <c r="K3" s="1157"/>
      <c r="L3" s="1157"/>
      <c r="M3" s="1157"/>
      <c r="N3" s="1157"/>
      <c r="O3" s="1157"/>
      <c r="P3" s="1157"/>
      <c r="Q3" s="1157"/>
      <c r="R3" s="1157"/>
      <c r="S3" s="1157"/>
      <c r="T3" s="1157"/>
      <c r="U3" s="1157"/>
      <c r="V3" s="1157"/>
      <c r="W3" s="1157"/>
      <c r="X3" s="1157"/>
      <c r="Y3" s="1157"/>
      <c r="Z3" s="1157"/>
      <c r="AA3" s="1157"/>
      <c r="AB3" s="135"/>
      <c r="AC3" s="135"/>
      <c r="AD3" s="135"/>
      <c r="AE3" s="135"/>
      <c r="AF3" s="135"/>
      <c r="AG3" s="135"/>
      <c r="AH3" s="135"/>
    </row>
    <row r="4" spans="1:34" ht="12" customHeight="1" x14ac:dyDescent="0.2">
      <c r="A4" s="136" t="s">
        <v>3</v>
      </c>
      <c r="B4" s="862"/>
      <c r="C4" s="138" t="s">
        <v>788</v>
      </c>
      <c r="D4" s="1158">
        <v>1</v>
      </c>
      <c r="E4" s="1159"/>
      <c r="F4" s="1160"/>
      <c r="G4" s="1158">
        <v>2</v>
      </c>
      <c r="H4" s="1159"/>
      <c r="I4" s="1160"/>
      <c r="J4" s="1158">
        <v>3</v>
      </c>
      <c r="K4" s="1159"/>
      <c r="L4" s="1160"/>
      <c r="M4" s="1158">
        <v>4</v>
      </c>
      <c r="N4" s="1159"/>
      <c r="O4" s="1160"/>
      <c r="P4" s="1158">
        <v>5</v>
      </c>
      <c r="Q4" s="1159"/>
      <c r="R4" s="1160"/>
      <c r="S4" s="1158">
        <v>6</v>
      </c>
      <c r="T4" s="1159"/>
      <c r="U4" s="1160"/>
      <c r="V4" s="1158">
        <v>7</v>
      </c>
      <c r="W4" s="1159"/>
      <c r="X4" s="1160"/>
      <c r="Y4" s="1158">
        <v>8</v>
      </c>
      <c r="Z4" s="1159"/>
      <c r="AA4" s="1160"/>
      <c r="AB4" s="1158">
        <v>9</v>
      </c>
      <c r="AC4" s="1159"/>
      <c r="AD4" s="1160"/>
      <c r="AE4" s="1161" t="s">
        <v>789</v>
      </c>
      <c r="AF4" s="1162"/>
      <c r="AG4" s="863" t="s">
        <v>790</v>
      </c>
      <c r="AH4" s="455" t="s">
        <v>100</v>
      </c>
    </row>
    <row r="5" spans="1:34" ht="12" customHeight="1" x14ac:dyDescent="0.2">
      <c r="A5" s="1163">
        <v>1</v>
      </c>
      <c r="B5" s="1165">
        <f>жеребьевка!B26</f>
        <v>5</v>
      </c>
      <c r="C5" s="456" t="str">
        <f>IF(B5="","",VLOOKUP(B5,'Списки участников'!A:I,3,FALSE))</f>
        <v>МИРОНОВ Егор</v>
      </c>
      <c r="D5" s="1167"/>
      <c r="E5" s="1167"/>
      <c r="F5" s="1168"/>
      <c r="G5" s="1171">
        <v>2</v>
      </c>
      <c r="H5" s="1172"/>
      <c r="I5" s="1173"/>
      <c r="J5" s="1171">
        <v>2</v>
      </c>
      <c r="K5" s="1172"/>
      <c r="L5" s="1173"/>
      <c r="M5" s="1171">
        <v>2</v>
      </c>
      <c r="N5" s="1172"/>
      <c r="O5" s="1173"/>
      <c r="P5" s="1171">
        <v>2</v>
      </c>
      <c r="Q5" s="1172"/>
      <c r="R5" s="1173"/>
      <c r="S5" s="1171">
        <v>2</v>
      </c>
      <c r="T5" s="1172"/>
      <c r="U5" s="1173"/>
      <c r="V5" s="1171">
        <v>2</v>
      </c>
      <c r="W5" s="1172"/>
      <c r="X5" s="1173"/>
      <c r="Y5" s="1171"/>
      <c r="Z5" s="1172"/>
      <c r="AA5" s="1173"/>
      <c r="AB5" s="1171"/>
      <c r="AC5" s="1172"/>
      <c r="AD5" s="1173"/>
      <c r="AE5" s="1184">
        <f>IF(B5="","",SUM(G5,J5,M5,P5,S5,V5,Y5,AB5,))</f>
        <v>12</v>
      </c>
      <c r="AF5" s="1185"/>
      <c r="AG5" s="1175"/>
      <c r="AH5" s="1174">
        <f>IF(B5="","",RANK(AE5,ГР5О))</f>
        <v>1</v>
      </c>
    </row>
    <row r="6" spans="1:34" ht="12" customHeight="1" x14ac:dyDescent="0.2">
      <c r="A6" s="1164"/>
      <c r="B6" s="1166"/>
      <c r="C6" s="457" t="str">
        <f>IF(B5="","",VLOOKUP(B5,'Списки участников'!A:I,6,FALSE))</f>
        <v>Москва</v>
      </c>
      <c r="D6" s="1169"/>
      <c r="E6" s="1169"/>
      <c r="F6" s="1170"/>
      <c r="G6" s="458">
        <v>2</v>
      </c>
      <c r="H6" s="459" t="str">
        <f>IF(G5="","",":")</f>
        <v>:</v>
      </c>
      <c r="I6" s="460">
        <v>0</v>
      </c>
      <c r="J6" s="458">
        <v>2</v>
      </c>
      <c r="K6" s="459" t="str">
        <f>IF(J5="","",":")</f>
        <v>:</v>
      </c>
      <c r="L6" s="460">
        <v>1</v>
      </c>
      <c r="M6" s="458">
        <v>2</v>
      </c>
      <c r="N6" s="459" t="str">
        <f>IF(M6="","",":")</f>
        <v>:</v>
      </c>
      <c r="O6" s="460">
        <v>0</v>
      </c>
      <c r="P6" s="458">
        <v>2</v>
      </c>
      <c r="Q6" s="459" t="str">
        <f>IF(P6="","",":")</f>
        <v>:</v>
      </c>
      <c r="R6" s="460">
        <v>0</v>
      </c>
      <c r="S6" s="458">
        <v>2</v>
      </c>
      <c r="T6" s="459" t="str">
        <f>IF(S6="","",":")</f>
        <v>:</v>
      </c>
      <c r="U6" s="460">
        <v>0</v>
      </c>
      <c r="V6" s="458">
        <v>2</v>
      </c>
      <c r="W6" s="459" t="str">
        <f>IF(V6="","",":")</f>
        <v>:</v>
      </c>
      <c r="X6" s="460">
        <v>0</v>
      </c>
      <c r="Y6" s="458"/>
      <c r="Z6" s="459" t="str">
        <f>IF(Y6="","",":")</f>
        <v/>
      </c>
      <c r="AA6" s="460"/>
      <c r="AB6" s="458"/>
      <c r="AC6" s="459" t="str">
        <f>IF(AB6="","",":")</f>
        <v/>
      </c>
      <c r="AD6" s="460"/>
      <c r="AE6" s="1186"/>
      <c r="AF6" s="1187"/>
      <c r="AG6" s="1176"/>
      <c r="AH6" s="1174"/>
    </row>
    <row r="7" spans="1:34" ht="12" customHeight="1" x14ac:dyDescent="0.2">
      <c r="A7" s="1163">
        <v>2</v>
      </c>
      <c r="B7" s="1165">
        <f>жеребьевка!B28</f>
        <v>31</v>
      </c>
      <c r="C7" s="456" t="str">
        <f>IF(B7="","",VLOOKUP(B7,'Списки участников'!A:I,3,FALSE))</f>
        <v>МАРКИН Иван</v>
      </c>
      <c r="D7" s="1177">
        <f>IF(G5="","",IF(G6="W",0,IF(G5=2,1,IF(G5=1,2,IF(G5=0,2)))))</f>
        <v>1</v>
      </c>
      <c r="E7" s="1178"/>
      <c r="F7" s="1179"/>
      <c r="G7" s="1180"/>
      <c r="H7" s="1181"/>
      <c r="I7" s="1182"/>
      <c r="J7" s="1171">
        <v>1</v>
      </c>
      <c r="K7" s="1172"/>
      <c r="L7" s="1173"/>
      <c r="M7" s="1171">
        <v>2</v>
      </c>
      <c r="N7" s="1172"/>
      <c r="O7" s="1173"/>
      <c r="P7" s="1171">
        <v>2</v>
      </c>
      <c r="Q7" s="1172"/>
      <c r="R7" s="1173"/>
      <c r="S7" s="1171">
        <v>2</v>
      </c>
      <c r="T7" s="1172"/>
      <c r="U7" s="1173"/>
      <c r="V7" s="1171">
        <v>2</v>
      </c>
      <c r="W7" s="1172"/>
      <c r="X7" s="1173"/>
      <c r="Y7" s="1171"/>
      <c r="Z7" s="1172"/>
      <c r="AA7" s="1173"/>
      <c r="AB7" s="1171"/>
      <c r="AC7" s="1172"/>
      <c r="AD7" s="1173"/>
      <c r="AE7" s="1184">
        <f>IF(B7="","",SUM(D7,J7,M7,P7,S7,V7,Y7,AB7,))</f>
        <v>10</v>
      </c>
      <c r="AF7" s="1185"/>
      <c r="AG7" s="1175"/>
      <c r="AH7" s="1174">
        <f>IF(B7="","",RANK(AE7,ГР5О))</f>
        <v>3</v>
      </c>
    </row>
    <row r="8" spans="1:34" ht="12" customHeight="1" x14ac:dyDescent="0.2">
      <c r="A8" s="1164"/>
      <c r="B8" s="1166"/>
      <c r="C8" s="457" t="str">
        <f>IF(B7="","",VLOOKUP(B7,'Списки участников'!A:I,6,FALSE))</f>
        <v>Москва</v>
      </c>
      <c r="D8" s="461">
        <f>IF(G6="","",IF(I6="l","W",I6))</f>
        <v>0</v>
      </c>
      <c r="E8" s="462" t="str">
        <f>IF(G5="","",":")</f>
        <v>:</v>
      </c>
      <c r="F8" s="463">
        <f>IF(I6="","",IF(G6="W","L",G6))</f>
        <v>2</v>
      </c>
      <c r="G8" s="1183"/>
      <c r="H8" s="1169"/>
      <c r="I8" s="1170"/>
      <c r="J8" s="458">
        <v>0</v>
      </c>
      <c r="K8" s="459" t="str">
        <f>IF(J7="","",":")</f>
        <v>:</v>
      </c>
      <c r="L8" s="460">
        <v>2</v>
      </c>
      <c r="M8" s="458">
        <v>2</v>
      </c>
      <c r="N8" s="459" t="str">
        <f>IF(M7="","",":")</f>
        <v>:</v>
      </c>
      <c r="O8" s="460">
        <v>0</v>
      </c>
      <c r="P8" s="458">
        <v>2</v>
      </c>
      <c r="Q8" s="459" t="str">
        <f>IF(P7="","",":")</f>
        <v>:</v>
      </c>
      <c r="R8" s="460">
        <v>0</v>
      </c>
      <c r="S8" s="458">
        <v>2</v>
      </c>
      <c r="T8" s="459" t="str">
        <f>IF(S8="","",":")</f>
        <v>:</v>
      </c>
      <c r="U8" s="460">
        <v>0</v>
      </c>
      <c r="V8" s="458">
        <v>2</v>
      </c>
      <c r="W8" s="459" t="str">
        <f>IF(V8="","",":")</f>
        <v>:</v>
      </c>
      <c r="X8" s="460">
        <v>0</v>
      </c>
      <c r="Y8" s="458"/>
      <c r="Z8" s="459" t="str">
        <f>IF(Y8="","",":")</f>
        <v/>
      </c>
      <c r="AA8" s="460"/>
      <c r="AB8" s="458"/>
      <c r="AC8" s="459" t="str">
        <f>IF(AB8="","",":")</f>
        <v/>
      </c>
      <c r="AD8" s="460"/>
      <c r="AE8" s="1186"/>
      <c r="AF8" s="1187"/>
      <c r="AG8" s="1176"/>
      <c r="AH8" s="1174"/>
    </row>
    <row r="9" spans="1:34" ht="12" customHeight="1" x14ac:dyDescent="0.2">
      <c r="A9" s="1163">
        <v>3</v>
      </c>
      <c r="B9" s="1165">
        <f>жеребьевка!B30</f>
        <v>39</v>
      </c>
      <c r="C9" s="456" t="str">
        <f>IF(B9="","",VLOOKUP(B9,'Списки участников'!A:I,3,FALSE))</f>
        <v>РОТНОВ Егор</v>
      </c>
      <c r="D9" s="1177">
        <f>IF(J5="","",IF(J6="W",0,IF(J5=2,1,IF(J5=1,2,IF(J5=0,2)))))</f>
        <v>1</v>
      </c>
      <c r="E9" s="1178"/>
      <c r="F9" s="1179"/>
      <c r="G9" s="1171">
        <f>IF(J7="","",IF(J8="W",0,IF(J7=2,1,IF(J7=1,2,IF(J7=0,2)))))</f>
        <v>2</v>
      </c>
      <c r="H9" s="1172"/>
      <c r="I9" s="1173"/>
      <c r="J9" s="1180"/>
      <c r="K9" s="1181"/>
      <c r="L9" s="1182"/>
      <c r="M9" s="1171">
        <v>2</v>
      </c>
      <c r="N9" s="1172"/>
      <c r="O9" s="1173"/>
      <c r="P9" s="1171">
        <v>2</v>
      </c>
      <c r="Q9" s="1172"/>
      <c r="R9" s="1173"/>
      <c r="S9" s="1171">
        <v>2</v>
      </c>
      <c r="T9" s="1172"/>
      <c r="U9" s="1173"/>
      <c r="V9" s="1171">
        <v>2</v>
      </c>
      <c r="W9" s="1172"/>
      <c r="X9" s="1173"/>
      <c r="Y9" s="1171"/>
      <c r="Z9" s="1172"/>
      <c r="AA9" s="1173"/>
      <c r="AB9" s="1171"/>
      <c r="AC9" s="1172"/>
      <c r="AD9" s="1173"/>
      <c r="AE9" s="1184">
        <f>IF(B9="","",SUM(D9,G9,M9,P9,S9,V9,Y9,AB9,))</f>
        <v>11</v>
      </c>
      <c r="AF9" s="1185"/>
      <c r="AG9" s="1188"/>
      <c r="AH9" s="1174">
        <f>IF(B9="","",RANK(AE9,ГР5О))</f>
        <v>2</v>
      </c>
    </row>
    <row r="10" spans="1:34" ht="12" customHeight="1" x14ac:dyDescent="0.2">
      <c r="A10" s="1164"/>
      <c r="B10" s="1166"/>
      <c r="C10" s="457" t="str">
        <f>IF(B9="","",VLOOKUP(B9,'Списки участников'!A:I,6,FALSE))</f>
        <v>Скопин  Ряз.о.</v>
      </c>
      <c r="D10" s="464">
        <f>IF(J6="","",IF(L6="l","W",L6))</f>
        <v>1</v>
      </c>
      <c r="E10" s="459" t="str">
        <f>IF(K6="","",":")</f>
        <v>:</v>
      </c>
      <c r="F10" s="465">
        <f>IF(L6="","",IF(J6="W","L",J6))</f>
        <v>2</v>
      </c>
      <c r="G10" s="464">
        <f>IF(J8="","",IF(L8="l","W",L8))</f>
        <v>2</v>
      </c>
      <c r="H10" s="459" t="str">
        <f>IF(K8="","",":")</f>
        <v>:</v>
      </c>
      <c r="I10" s="465">
        <f>IF(L8="","",IF(J8="W","L",J8))</f>
        <v>0</v>
      </c>
      <c r="J10" s="1183"/>
      <c r="K10" s="1169"/>
      <c r="L10" s="1170"/>
      <c r="M10" s="458">
        <v>2</v>
      </c>
      <c r="N10" s="459" t="str">
        <f>IF(M9="","",":")</f>
        <v>:</v>
      </c>
      <c r="O10" s="460">
        <v>0</v>
      </c>
      <c r="P10" s="458">
        <v>2</v>
      </c>
      <c r="Q10" s="459" t="str">
        <f>IF(P9="","",":")</f>
        <v>:</v>
      </c>
      <c r="R10" s="460">
        <v>0</v>
      </c>
      <c r="S10" s="458">
        <v>2</v>
      </c>
      <c r="T10" s="459" t="str">
        <f>IF(S9="","",":")</f>
        <v>:</v>
      </c>
      <c r="U10" s="460">
        <v>0</v>
      </c>
      <c r="V10" s="458">
        <v>2</v>
      </c>
      <c r="W10" s="459" t="str">
        <f>IF(V10="","",":")</f>
        <v>:</v>
      </c>
      <c r="X10" s="460">
        <v>0</v>
      </c>
      <c r="Y10" s="458"/>
      <c r="Z10" s="459" t="str">
        <f>IF(Y10="","",":")</f>
        <v/>
      </c>
      <c r="AA10" s="460"/>
      <c r="AB10" s="458"/>
      <c r="AC10" s="459" t="str">
        <f>IF(AB10="","",":")</f>
        <v/>
      </c>
      <c r="AD10" s="460"/>
      <c r="AE10" s="1186"/>
      <c r="AF10" s="1187"/>
      <c r="AG10" s="1189"/>
      <c r="AH10" s="1174"/>
    </row>
    <row r="11" spans="1:34" ht="12" customHeight="1" x14ac:dyDescent="0.2">
      <c r="A11" s="1163">
        <v>4</v>
      </c>
      <c r="B11" s="1165">
        <f>жеребьевка!B32</f>
        <v>62</v>
      </c>
      <c r="C11" s="456" t="str">
        <f>IF(B11="","",VLOOKUP(B11,'Списки участников'!A:I,3,FALSE))</f>
        <v>ЛЕДНЕВ Даниил</v>
      </c>
      <c r="D11" s="1171">
        <f>IF(M5="","",IF(M6="W",0,IF(M5=2,1,IF(M5=1,2,IF(M5=0,2)))))</f>
        <v>1</v>
      </c>
      <c r="E11" s="1172"/>
      <c r="F11" s="1173"/>
      <c r="G11" s="1171">
        <f>IF(M7="","",IF(M8="W",0,IF(M7=2,1,IF(M7=1,2,IF(M7=0,2)))))</f>
        <v>1</v>
      </c>
      <c r="H11" s="1172"/>
      <c r="I11" s="1173"/>
      <c r="J11" s="1171">
        <f>IF(M9="","",IF(M10="W",0,IF(M9=2,1,IF(M9=1,2,IF(M9=0,2)))))</f>
        <v>1</v>
      </c>
      <c r="K11" s="1172"/>
      <c r="L11" s="1173"/>
      <c r="M11" s="1181"/>
      <c r="N11" s="1181"/>
      <c r="O11" s="1181"/>
      <c r="P11" s="1171">
        <v>2</v>
      </c>
      <c r="Q11" s="1172"/>
      <c r="R11" s="1173"/>
      <c r="S11" s="1171">
        <v>2</v>
      </c>
      <c r="T11" s="1172"/>
      <c r="U11" s="1173"/>
      <c r="V11" s="1171">
        <v>2</v>
      </c>
      <c r="W11" s="1172"/>
      <c r="X11" s="1173"/>
      <c r="Y11" s="1171"/>
      <c r="Z11" s="1172"/>
      <c r="AA11" s="1173"/>
      <c r="AB11" s="1171"/>
      <c r="AC11" s="1172"/>
      <c r="AD11" s="1173"/>
      <c r="AE11" s="1184">
        <f>IF(B11="","",SUM(D11,J11,G11,P11,S11,V11,Y11,AB11,))</f>
        <v>9</v>
      </c>
      <c r="AF11" s="1185"/>
      <c r="AG11" s="1188"/>
      <c r="AH11" s="1174">
        <f>IF(B11="","",RANK(AE11,ГР5О))</f>
        <v>4</v>
      </c>
    </row>
    <row r="12" spans="1:34" ht="12" customHeight="1" x14ac:dyDescent="0.2">
      <c r="A12" s="1164"/>
      <c r="B12" s="1166"/>
      <c r="C12" s="457" t="str">
        <f>IF(B11="","",VLOOKUP(B11,'Списки участников'!A:I,6,FALSE))</f>
        <v>Москва</v>
      </c>
      <c r="D12" s="464">
        <f>IF(M6="","",IF(O6="l","W",O6))</f>
        <v>0</v>
      </c>
      <c r="E12" s="459" t="str">
        <f>IF(N6="","",":")</f>
        <v>:</v>
      </c>
      <c r="F12" s="465">
        <f>IF(O6="","",IF(M6="W","L",M6))</f>
        <v>2</v>
      </c>
      <c r="G12" s="464">
        <f>IF(M8="","",IF(O8="l","W",O8))</f>
        <v>0</v>
      </c>
      <c r="H12" s="459" t="str">
        <f>IF(N8="","",":")</f>
        <v>:</v>
      </c>
      <c r="I12" s="465">
        <f>IF(O8="","",IF(M8="W","L",M8))</f>
        <v>2</v>
      </c>
      <c r="J12" s="464">
        <f>IF(M10="","",IF(O10="l","W",O10))</f>
        <v>0</v>
      </c>
      <c r="K12" s="459" t="str">
        <f>IF(N10="","",":")</f>
        <v>:</v>
      </c>
      <c r="L12" s="465">
        <f>IF(O10="","",IF(M10="W","L",M10))</f>
        <v>2</v>
      </c>
      <c r="M12" s="1190"/>
      <c r="N12" s="1190"/>
      <c r="O12" s="1190"/>
      <c r="P12" s="458">
        <v>2</v>
      </c>
      <c r="Q12" s="459" t="str">
        <f>IF(P11="","",":")</f>
        <v>:</v>
      </c>
      <c r="R12" s="460">
        <v>0</v>
      </c>
      <c r="S12" s="458">
        <v>2</v>
      </c>
      <c r="T12" s="459" t="str">
        <f>IF(S11="","",":")</f>
        <v>:</v>
      </c>
      <c r="U12" s="460">
        <v>0</v>
      </c>
      <c r="V12" s="458">
        <v>2</v>
      </c>
      <c r="W12" s="459" t="str">
        <f>IF(V11="","",":")</f>
        <v>:</v>
      </c>
      <c r="X12" s="460">
        <v>0</v>
      </c>
      <c r="Y12" s="458"/>
      <c r="Z12" s="459" t="str">
        <f>IF(Y12="","",":")</f>
        <v/>
      </c>
      <c r="AA12" s="460"/>
      <c r="AB12" s="458"/>
      <c r="AC12" s="459" t="str">
        <f>IF(AB12="","",":")</f>
        <v/>
      </c>
      <c r="AD12" s="460"/>
      <c r="AE12" s="1186"/>
      <c r="AF12" s="1187"/>
      <c r="AG12" s="1189"/>
      <c r="AH12" s="1174"/>
    </row>
    <row r="13" spans="1:34" ht="12" customHeight="1" x14ac:dyDescent="0.2">
      <c r="A13" s="1163">
        <v>5</v>
      </c>
      <c r="B13" s="1165">
        <f>жеребьевка!B34</f>
        <v>72</v>
      </c>
      <c r="C13" s="456" t="str">
        <f>IF(B13="","",VLOOKUP(B13,'Списки участников'!A:I,3,FALSE))</f>
        <v>ЦЫГАНКОВ Егор</v>
      </c>
      <c r="D13" s="1171">
        <f>IF(P5="","",IF(P6="W",0,IF(P5=2,1,IF(P5=1,2,IF(P5=0,2)))))</f>
        <v>1</v>
      </c>
      <c r="E13" s="1172"/>
      <c r="F13" s="1173"/>
      <c r="G13" s="1171">
        <f>IF(P7="","",IF(P8="W",0,IF(P7=2,1,IF(P7=1,2,IF(P7=0,2)))))</f>
        <v>1</v>
      </c>
      <c r="H13" s="1172"/>
      <c r="I13" s="1173"/>
      <c r="J13" s="1171">
        <f>IF(P9="","",IF(P10="W",0,IF(P9=2,1,IF(P9=1,2,IF(P9=0,2)))))</f>
        <v>1</v>
      </c>
      <c r="K13" s="1172"/>
      <c r="L13" s="1173"/>
      <c r="M13" s="1171">
        <f>IF(P11="","",IF(P12="W",0,IF(P11=2,1,IF(P11=1,2,IF(P11=0,2)))))</f>
        <v>1</v>
      </c>
      <c r="N13" s="1172"/>
      <c r="O13" s="1173"/>
      <c r="P13" s="1180"/>
      <c r="Q13" s="1181"/>
      <c r="R13" s="1182"/>
      <c r="S13" s="1171">
        <v>2</v>
      </c>
      <c r="T13" s="1172"/>
      <c r="U13" s="1173"/>
      <c r="V13" s="1171">
        <v>1</v>
      </c>
      <c r="W13" s="1172"/>
      <c r="X13" s="1173"/>
      <c r="Y13" s="1171"/>
      <c r="Z13" s="1172"/>
      <c r="AA13" s="1173"/>
      <c r="AB13" s="1171"/>
      <c r="AC13" s="1172"/>
      <c r="AD13" s="1173"/>
      <c r="AE13" s="1184">
        <f>IF(B13="","",SUM(D13,J13,M13,G13,S13,V13,Y13,AB13,))</f>
        <v>7</v>
      </c>
      <c r="AF13" s="1185"/>
      <c r="AG13" s="1188"/>
      <c r="AH13" s="1174">
        <f>IF(B13="","",RANK(AE13,ГР5О))</f>
        <v>6</v>
      </c>
    </row>
    <row r="14" spans="1:34" ht="12" customHeight="1" x14ac:dyDescent="0.2">
      <c r="A14" s="1164"/>
      <c r="B14" s="1166"/>
      <c r="C14" s="457" t="str">
        <f>IF(B13="","",VLOOKUP(B13,'Списки участников'!A:I,6,FALSE))</f>
        <v>Москва</v>
      </c>
      <c r="D14" s="464">
        <f>IF(P6="","",IF(R6="l","W",R6))</f>
        <v>0</v>
      </c>
      <c r="E14" s="459" t="str">
        <f>IF(Q6="","",":")</f>
        <v>:</v>
      </c>
      <c r="F14" s="465">
        <f>IF(R6="","",IF(P6="W","L",P6))</f>
        <v>2</v>
      </c>
      <c r="G14" s="464">
        <f>IF(P8="","",IF(R8="l","W",R8))</f>
        <v>0</v>
      </c>
      <c r="H14" s="459" t="str">
        <f>IF(Q8="","",":")</f>
        <v>:</v>
      </c>
      <c r="I14" s="465">
        <f>IF(R8="","",IF(P8="W","L",P8))</f>
        <v>2</v>
      </c>
      <c r="J14" s="464">
        <f>IF(P10="","",IF(R10="l","W",R10))</f>
        <v>0</v>
      </c>
      <c r="K14" s="459" t="str">
        <f>IF(Q10="","",":")</f>
        <v>:</v>
      </c>
      <c r="L14" s="465">
        <f>IF(R10="","",IF(P10="W","L",P10))</f>
        <v>2</v>
      </c>
      <c r="M14" s="464">
        <f>IF(P12="","",IF(R12="l","W",R12))</f>
        <v>0</v>
      </c>
      <c r="N14" s="459" t="str">
        <f>IF(Q12="","",":")</f>
        <v>:</v>
      </c>
      <c r="O14" s="465">
        <f>IF(R12="","",IF(P12="W","L",P12))</f>
        <v>2</v>
      </c>
      <c r="P14" s="1183"/>
      <c r="Q14" s="1169"/>
      <c r="R14" s="1170"/>
      <c r="S14" s="458">
        <v>2</v>
      </c>
      <c r="T14" s="459" t="str">
        <f>IF(S13="","",":")</f>
        <v>:</v>
      </c>
      <c r="U14" s="460">
        <v>0</v>
      </c>
      <c r="V14" s="458">
        <v>0</v>
      </c>
      <c r="W14" s="459" t="str">
        <f>IF(V13="","",":")</f>
        <v>:</v>
      </c>
      <c r="X14" s="460">
        <v>2</v>
      </c>
      <c r="Y14" s="458"/>
      <c r="Z14" s="459" t="str">
        <f>IF(Y13="","",":")</f>
        <v/>
      </c>
      <c r="AA14" s="460"/>
      <c r="AB14" s="458"/>
      <c r="AC14" s="459" t="str">
        <f>IF(AB14="","",":")</f>
        <v/>
      </c>
      <c r="AD14" s="460"/>
      <c r="AE14" s="1186"/>
      <c r="AF14" s="1187"/>
      <c r="AG14" s="1189"/>
      <c r="AH14" s="1174"/>
    </row>
    <row r="15" spans="1:34" ht="12" customHeight="1" x14ac:dyDescent="0.2">
      <c r="A15" s="1163">
        <v>6</v>
      </c>
      <c r="B15" s="1165">
        <f>жеребьевка!B36</f>
        <v>95</v>
      </c>
      <c r="C15" s="456" t="str">
        <f>IF(B15="","",VLOOKUP(B15,'Списки участников'!A:I,3,FALSE))</f>
        <v>БОЖЕНКОВ Евгений</v>
      </c>
      <c r="D15" s="1171">
        <f>IF(S5="","",IF(S6="W",0,IF(S5=2,1,IF(S5=1,2,IF(S5=0,2)))))</f>
        <v>1</v>
      </c>
      <c r="E15" s="1172"/>
      <c r="F15" s="1173"/>
      <c r="G15" s="1171">
        <f>IF(S7="","",IF(S8="W",0,IF(S7=2,1,IF(S7=1,2,IF(S7=0,2)))))</f>
        <v>1</v>
      </c>
      <c r="H15" s="1172"/>
      <c r="I15" s="1173"/>
      <c r="J15" s="1171">
        <f>IF(S9="","",IF(S10="W",0,IF(S9=2,1,IF(S9=1,2,IF(S9=0,2)))))</f>
        <v>1</v>
      </c>
      <c r="K15" s="1172"/>
      <c r="L15" s="1173"/>
      <c r="M15" s="1171">
        <f>IF(S11="","",IF(S12="W",0,IF(S11=2,1,IF(S11=1,2,IF(S11=0,2)))))</f>
        <v>1</v>
      </c>
      <c r="N15" s="1172"/>
      <c r="O15" s="1173"/>
      <c r="P15" s="1171">
        <f>IF(S13="","",IF(S14="W",0,IF(S13=2,1,IF(S13=1,2,IF(S13=0,2)))))</f>
        <v>1</v>
      </c>
      <c r="Q15" s="1172"/>
      <c r="R15" s="1173"/>
      <c r="S15" s="1180"/>
      <c r="T15" s="1181"/>
      <c r="U15" s="1182"/>
      <c r="V15" s="1171">
        <v>1</v>
      </c>
      <c r="W15" s="1172"/>
      <c r="X15" s="1173"/>
      <c r="Y15" s="1171"/>
      <c r="Z15" s="1172"/>
      <c r="AA15" s="1173"/>
      <c r="AB15" s="1171"/>
      <c r="AC15" s="1172"/>
      <c r="AD15" s="1173"/>
      <c r="AE15" s="1184">
        <f>IF(B15="","",SUM(D15,J15,M15,P15,G15,V15,Y15,AB15,))</f>
        <v>6</v>
      </c>
      <c r="AF15" s="1185"/>
      <c r="AG15" s="1188"/>
      <c r="AH15" s="1174">
        <f>IF(B15="","",RANK(AE15,ГР5О))</f>
        <v>7</v>
      </c>
    </row>
    <row r="16" spans="1:34" ht="12" customHeight="1" x14ac:dyDescent="0.2">
      <c r="A16" s="1164"/>
      <c r="B16" s="1166"/>
      <c r="C16" s="457" t="str">
        <f>IF(B15="","",VLOOKUP(B15,'Списки участников'!A:I,6,FALSE))</f>
        <v>Дмитров</v>
      </c>
      <c r="D16" s="464">
        <f>IF(S6="","",IF(U6="l","W",U6))</f>
        <v>0</v>
      </c>
      <c r="E16" s="459" t="str">
        <f>IF(T6="","",":")</f>
        <v>:</v>
      </c>
      <c r="F16" s="465">
        <f>IF(U6="","",IF(S6="W","L",S6))</f>
        <v>2</v>
      </c>
      <c r="G16" s="464">
        <f>IF(S8="","",IF(U8="l","W",U8))</f>
        <v>0</v>
      </c>
      <c r="H16" s="459" t="str">
        <f>IF(T8="","",":")</f>
        <v>:</v>
      </c>
      <c r="I16" s="465">
        <f>IF(U8="","",IF(S8="W","L",S8))</f>
        <v>2</v>
      </c>
      <c r="J16" s="464">
        <f>IF(S10="","",IF(U10="l","W",U10))</f>
        <v>0</v>
      </c>
      <c r="K16" s="459" t="str">
        <f>IF(T10="","",":")</f>
        <v>:</v>
      </c>
      <c r="L16" s="465">
        <f>IF(U10="","",IF(S10="W","L",S10))</f>
        <v>2</v>
      </c>
      <c r="M16" s="464">
        <f>IF(S12="","",IF(U12="l","W",U12))</f>
        <v>0</v>
      </c>
      <c r="N16" s="459" t="str">
        <f>IF(T12="","",":")</f>
        <v>:</v>
      </c>
      <c r="O16" s="465">
        <f>IF(U12="","",IF(S12="W","L",S12))</f>
        <v>2</v>
      </c>
      <c r="P16" s="464">
        <f>IF(S14="","",IF(U14="l","W",U14))</f>
        <v>0</v>
      </c>
      <c r="Q16" s="459" t="str">
        <f>IF(T14="","",":")</f>
        <v>:</v>
      </c>
      <c r="R16" s="465">
        <f>IF(U14="","",IF(S14="W","L",S14))</f>
        <v>2</v>
      </c>
      <c r="S16" s="1183"/>
      <c r="T16" s="1169"/>
      <c r="U16" s="1170"/>
      <c r="V16" s="458">
        <v>0</v>
      </c>
      <c r="W16" s="1035" t="s">
        <v>12173</v>
      </c>
      <c r="X16" s="460">
        <v>2</v>
      </c>
      <c r="Y16" s="458"/>
      <c r="Z16" s="459" t="str">
        <f>IF(Y15="","",":")</f>
        <v/>
      </c>
      <c r="AA16" s="460"/>
      <c r="AB16" s="458"/>
      <c r="AC16" s="459" t="str">
        <f>IF(AB15="","",":")</f>
        <v/>
      </c>
      <c r="AD16" s="460"/>
      <c r="AE16" s="1186"/>
      <c r="AF16" s="1187"/>
      <c r="AG16" s="1189"/>
      <c r="AH16" s="1174"/>
    </row>
    <row r="17" spans="1:34" ht="12" customHeight="1" x14ac:dyDescent="0.2">
      <c r="A17" s="1163">
        <v>7</v>
      </c>
      <c r="B17" s="1165">
        <v>101</v>
      </c>
      <c r="C17" s="456" t="s">
        <v>12086</v>
      </c>
      <c r="D17" s="1171">
        <f>IF(V5="","",IF(V6="W",0,IF(V5=2,1,IF(V5=1,2,IF(V5=0,2)))))</f>
        <v>1</v>
      </c>
      <c r="E17" s="1172"/>
      <c r="F17" s="1173"/>
      <c r="G17" s="1171">
        <f>IF(V7="","",IF(V8="W",0,IF(V7=2,1,IF(V7=1,2,IF(V7=0,2)))))</f>
        <v>1</v>
      </c>
      <c r="H17" s="1172"/>
      <c r="I17" s="1173"/>
      <c r="J17" s="1171">
        <f>IF(V9="","",IF(V10="W",0,IF(V9=2,1,IF(V9=1,2,IF(V9=0,2)))))</f>
        <v>1</v>
      </c>
      <c r="K17" s="1172"/>
      <c r="L17" s="1173"/>
      <c r="M17" s="1171">
        <f>IF(V11="","",IF(V12="W",0,IF(V11=2,1,IF(V11=1,2,IF(V11=0,2)))))</f>
        <v>1</v>
      </c>
      <c r="N17" s="1172"/>
      <c r="O17" s="1173"/>
      <c r="P17" s="1171">
        <f>IF(V13="","",IF(V14="W",0,IF(V13=2,1,IF(V13=1,2,IF(V13=0,2)))))</f>
        <v>2</v>
      </c>
      <c r="Q17" s="1172"/>
      <c r="R17" s="1173"/>
      <c r="S17" s="1171">
        <f>IF(V15="","",IF(V16="W",0,IF(V15=2,1,IF(V15=1,2,IF(V15=0,2)))))</f>
        <v>2</v>
      </c>
      <c r="T17" s="1172"/>
      <c r="U17" s="1173"/>
      <c r="V17" s="1191"/>
      <c r="W17" s="1167"/>
      <c r="X17" s="1168"/>
      <c r="Y17" s="1171"/>
      <c r="Z17" s="1172"/>
      <c r="AA17" s="1173"/>
      <c r="AB17" s="1171"/>
      <c r="AC17" s="1172"/>
      <c r="AD17" s="1173"/>
      <c r="AE17" s="1184">
        <f>IF(B17="","",SUM(D17,J17,M17,P17,S17,G17,Y17,AB17,))</f>
        <v>8</v>
      </c>
      <c r="AF17" s="1185"/>
      <c r="AG17" s="1188"/>
      <c r="AH17" s="1174">
        <f>IF(B17="","",RANK(AE17,ГР5О))</f>
        <v>5</v>
      </c>
    </row>
    <row r="18" spans="1:34" ht="12" customHeight="1" x14ac:dyDescent="0.2">
      <c r="A18" s="1164"/>
      <c r="B18" s="1166"/>
      <c r="C18" s="457" t="str">
        <f>IF(B17="","",VLOOKUP(B17,'Списки участников'!A:I,6,FALSE))</f>
        <v>Москва</v>
      </c>
      <c r="D18" s="464">
        <f>IF(V6="","",IF(X6="l","W",X6))</f>
        <v>0</v>
      </c>
      <c r="E18" s="459" t="str">
        <f>IF(W6="","",":")</f>
        <v>:</v>
      </c>
      <c r="F18" s="465">
        <f>IF(X6="","",IF(V6="W","L",V6))</f>
        <v>2</v>
      </c>
      <c r="G18" s="464">
        <f>IF(V8="","",IF(X8="l","W",X8))</f>
        <v>0</v>
      </c>
      <c r="H18" s="459" t="str">
        <f>IF(W8="","",":")</f>
        <v>:</v>
      </c>
      <c r="I18" s="465">
        <f>IF(X8="","",IF(V8="W","L",V8))</f>
        <v>2</v>
      </c>
      <c r="J18" s="464">
        <f>IF(V10="","",IF(X10="l","W",X10))</f>
        <v>0</v>
      </c>
      <c r="K18" s="459" t="str">
        <f>IF(W10="","",":")</f>
        <v>:</v>
      </c>
      <c r="L18" s="465">
        <f>IF(X10="","",IF(V10="W","L",V10))</f>
        <v>2</v>
      </c>
      <c r="M18" s="464">
        <f>IF(V12="","",IF(X12="l","W",X12))</f>
        <v>0</v>
      </c>
      <c r="N18" s="459" t="str">
        <f>IF(W12="","",":")</f>
        <v>:</v>
      </c>
      <c r="O18" s="465">
        <f>IF(X12="","",IF(V12="W","L",V12))</f>
        <v>2</v>
      </c>
      <c r="P18" s="464">
        <f>IF(V14="","",IF(X14="l","W",X14))</f>
        <v>2</v>
      </c>
      <c r="Q18" s="459" t="str">
        <f>IF(W14="","",":")</f>
        <v>:</v>
      </c>
      <c r="R18" s="465">
        <f>IF(X14="","",IF(V14="W","L",V14))</f>
        <v>0</v>
      </c>
      <c r="S18" s="464">
        <f>IF(V16="","",IF(X16="l","W",X16))</f>
        <v>2</v>
      </c>
      <c r="T18" s="459" t="str">
        <f>IF(W16="","",":")</f>
        <v>:</v>
      </c>
      <c r="U18" s="465">
        <f>IF(X16="","",IF(V16="W","L",V16))</f>
        <v>0</v>
      </c>
      <c r="V18" s="1183"/>
      <c r="W18" s="1169"/>
      <c r="X18" s="1170"/>
      <c r="Y18" s="458"/>
      <c r="Z18" s="459" t="str">
        <f>IF(Y17="","",":")</f>
        <v/>
      </c>
      <c r="AA18" s="460"/>
      <c r="AB18" s="458"/>
      <c r="AC18" s="459" t="str">
        <f>IF(AB17="","",":")</f>
        <v/>
      </c>
      <c r="AD18" s="460"/>
      <c r="AE18" s="1186"/>
      <c r="AF18" s="1187"/>
      <c r="AG18" s="1189"/>
      <c r="AH18" s="1174"/>
    </row>
    <row r="19" spans="1:34" ht="12" customHeight="1" x14ac:dyDescent="0.2">
      <c r="A19" s="1163">
        <v>8</v>
      </c>
      <c r="B19" s="1165"/>
      <c r="C19" s="456" t="str">
        <f>IF(B19="","",VLOOKUP(B19,'Списки участников'!A:I,3,FALSE))</f>
        <v/>
      </c>
      <c r="D19" s="1171" t="str">
        <f>IF(Y5="","",IF(Y6="W",0,IF(Y5=2,1,IF(Y5=1,2,IF(Y5=0,2)))))</f>
        <v/>
      </c>
      <c r="E19" s="1172"/>
      <c r="F19" s="1173"/>
      <c r="G19" s="1171" t="str">
        <f>IF(Y7="","",IF(Y8="W",0,IF(Y7=2,1,IF(Y7=1,2,IF(Y7=0,2)))))</f>
        <v/>
      </c>
      <c r="H19" s="1172"/>
      <c r="I19" s="1173"/>
      <c r="J19" s="1171" t="str">
        <f>IF(Y9="","",IF(Y10="W",0,IF(Y9=2,1,IF(Y9=1,2,IF(Y9=0,2)))))</f>
        <v/>
      </c>
      <c r="K19" s="1172"/>
      <c r="L19" s="1173"/>
      <c r="M19" s="1171" t="str">
        <f>IF(Y11="","",IF(Y12="W",0,IF(Y11=2,1,IF(Y11=1,2,IF(Y11=0,2)))))</f>
        <v/>
      </c>
      <c r="N19" s="1172"/>
      <c r="O19" s="1173"/>
      <c r="P19" s="1171" t="str">
        <f>IF(Y13="","",IF(Y14="W",0,IF(Y13=2,1,IF(Y13=1,2,IF(Y13=0,2)))))</f>
        <v/>
      </c>
      <c r="Q19" s="1172"/>
      <c r="R19" s="1173"/>
      <c r="S19" s="1171" t="str">
        <f>IF(Y15="","",IF(Y16="W",0,IF(Y15=2,1,IF(Y15=1,2,IF(Y15=0,2)))))</f>
        <v/>
      </c>
      <c r="T19" s="1172"/>
      <c r="U19" s="1173"/>
      <c r="V19" s="1171" t="str">
        <f>IF(Y17="","",IF(Y18="W",0,IF(Y17=2,1,IF(Y17=1,2,IF(Y17=0,2)))))</f>
        <v/>
      </c>
      <c r="W19" s="1172"/>
      <c r="X19" s="1173"/>
      <c r="Y19" s="1180"/>
      <c r="Z19" s="1181"/>
      <c r="AA19" s="1182"/>
      <c r="AB19" s="1171"/>
      <c r="AC19" s="1172"/>
      <c r="AD19" s="1173"/>
      <c r="AE19" s="1184" t="str">
        <f>IF(B19="","",SUM(D19,J19,M19,P19,S19,V19,G19,AB19,))</f>
        <v/>
      </c>
      <c r="AF19" s="1185"/>
      <c r="AG19" s="1188"/>
      <c r="AH19" s="1174" t="str">
        <f>IF(B19="","",RANK(AE19,ГР5О))</f>
        <v/>
      </c>
    </row>
    <row r="20" spans="1:34" ht="12" customHeight="1" x14ac:dyDescent="0.2">
      <c r="A20" s="1164"/>
      <c r="B20" s="1166"/>
      <c r="C20" s="457" t="str">
        <f>IF(B19="","",VLOOKUP(B19,'Списки участников'!A:I,6,FALSE))</f>
        <v/>
      </c>
      <c r="D20" s="464" t="str">
        <f>IF(Y6="","",IF(AA6="l","W",AA6))</f>
        <v/>
      </c>
      <c r="E20" s="459" t="str">
        <f>IF(Z6="","",":")</f>
        <v/>
      </c>
      <c r="F20" s="465" t="str">
        <f>IF(AA6="","",IF(Y6="W","L",Y6))</f>
        <v/>
      </c>
      <c r="G20" s="464" t="str">
        <f>IF(Y8="","",IF(AA8="l","W",AA8))</f>
        <v/>
      </c>
      <c r="H20" s="459" t="str">
        <f>IF(Z8="","",":")</f>
        <v/>
      </c>
      <c r="I20" s="465" t="str">
        <f>IF(AA8="","",IF(Y8="W","L",Y8))</f>
        <v/>
      </c>
      <c r="J20" s="464" t="str">
        <f>IF(Y10="","",IF(AA10="l","W",AA10))</f>
        <v/>
      </c>
      <c r="K20" s="459" t="str">
        <f>IF(Z10="","",":")</f>
        <v/>
      </c>
      <c r="L20" s="465" t="str">
        <f>IF(AA10="","",IF(Y10="W","L",Y10))</f>
        <v/>
      </c>
      <c r="M20" s="464" t="str">
        <f>IF(Y12="","",IF(AA12="l","W",AA12))</f>
        <v/>
      </c>
      <c r="N20" s="459" t="str">
        <f>IF(Z12="","",":")</f>
        <v/>
      </c>
      <c r="O20" s="465" t="str">
        <f>IF(AA12="","",IF(Y12="W","L",Y12))</f>
        <v/>
      </c>
      <c r="P20" s="464" t="str">
        <f>IF(Y14="","",IF(AA14="l","W",AA14))</f>
        <v/>
      </c>
      <c r="Q20" s="459" t="str">
        <f>IF(Z14="","",":")</f>
        <v/>
      </c>
      <c r="R20" s="465" t="str">
        <f>IF(AA14="","",IF(Y14="W","L",Y14))</f>
        <v/>
      </c>
      <c r="S20" s="464" t="str">
        <f>IF(Y16="","",IF(AA16="l","W",AA16))</f>
        <v/>
      </c>
      <c r="T20" s="459" t="str">
        <f>IF(Z16="","",":")</f>
        <v/>
      </c>
      <c r="U20" s="465" t="str">
        <f>IF(AA16="","",IF(Y16="W","L",Y16))</f>
        <v/>
      </c>
      <c r="V20" s="464" t="str">
        <f>IF(Y18="","",IF(AA18="l","W",AA18))</f>
        <v/>
      </c>
      <c r="W20" s="459" t="str">
        <f>IF(Z18="","",":")</f>
        <v/>
      </c>
      <c r="X20" s="465" t="str">
        <f>IF(AA18="","",IF(Y18="W","L",Y18))</f>
        <v/>
      </c>
      <c r="Y20" s="1183"/>
      <c r="Z20" s="1169"/>
      <c r="AA20" s="1170"/>
      <c r="AB20" s="458"/>
      <c r="AC20" s="459" t="str">
        <f>IF(AB19="","",":")</f>
        <v/>
      </c>
      <c r="AD20" s="460"/>
      <c r="AE20" s="1186"/>
      <c r="AF20" s="1187"/>
      <c r="AG20" s="1189"/>
      <c r="AH20" s="1174"/>
    </row>
    <row r="21" spans="1:34" ht="12" hidden="1" customHeight="1" outlineLevel="1" x14ac:dyDescent="0.2">
      <c r="A21" s="1163">
        <v>9</v>
      </c>
      <c r="B21" s="1165">
        <f>жеребьевка!B42</f>
        <v>0</v>
      </c>
      <c r="C21" s="456" t="e">
        <f>IF(B21="","",VLOOKUP(B21,'Списки участников'!A:I,3,FALSE))</f>
        <v>#N/A</v>
      </c>
      <c r="D21" s="1171" t="str">
        <f>IF(AB5="","",IF(AB6="W",0,IF(AB5=2,1,IF(AB5=1,2,IF(AB5=0,2)))))</f>
        <v/>
      </c>
      <c r="E21" s="1172"/>
      <c r="F21" s="1173"/>
      <c r="G21" s="1171" t="str">
        <f>IF(AB7="","",IF(AB8="W",0,IF(AB7=2,1,IF(AB7=1,2,IF(AB7=0,2)))))</f>
        <v/>
      </c>
      <c r="H21" s="1172"/>
      <c r="I21" s="1173"/>
      <c r="J21" s="1171" t="str">
        <f>IF(AB9="","",IF(AB10="W",0,IF(AB9=2,1,IF(AB9=1,2,IF(AB9=0,2)))))</f>
        <v/>
      </c>
      <c r="K21" s="1172"/>
      <c r="L21" s="1173"/>
      <c r="M21" s="1171" t="str">
        <f>IF(AB11="","",IF(AB12="W",0,IF(AB11=2,1,IF(AB11=1,2,IF(AB11=0,2)))))</f>
        <v/>
      </c>
      <c r="N21" s="1172"/>
      <c r="O21" s="1173"/>
      <c r="P21" s="1171" t="str">
        <f>IF(AB13="","",IF(AB14="W",0,IF(AB13=2,1,IF(AB13=1,2,IF(AB13=0,2)))))</f>
        <v/>
      </c>
      <c r="Q21" s="1172"/>
      <c r="R21" s="1173"/>
      <c r="S21" s="1171" t="str">
        <f>IF(AB15="","",IF(AB16="W",0,IF(AB15=2,1,IF(AB15=1,2,IF(AB15=0,2)))))</f>
        <v/>
      </c>
      <c r="T21" s="1172"/>
      <c r="U21" s="1173"/>
      <c r="V21" s="1171" t="str">
        <f>IF(AB17="","",IF(AB18="W",0,IF(AB17=2,1,IF(AB17=1,2,IF(AB17=0,2)))))</f>
        <v/>
      </c>
      <c r="W21" s="1172"/>
      <c r="X21" s="1173"/>
      <c r="Y21" s="1171" t="str">
        <f>IF(AB19="","",IF(AB20="W",0,IF(AB19=2,1,IF(AB19=1,2,IF(AB19=0,2)))))</f>
        <v/>
      </c>
      <c r="Z21" s="1172"/>
      <c r="AA21" s="1173"/>
      <c r="AB21" s="1191"/>
      <c r="AC21" s="1167"/>
      <c r="AD21" s="1168"/>
      <c r="AE21" s="1184">
        <f>IF(B21="","",SUM(D21,J21,M21,P21,S21,V21,Y21,G21,))</f>
        <v>0</v>
      </c>
      <c r="AF21" s="1185"/>
      <c r="AG21" s="1188"/>
      <c r="AH21" s="1174">
        <f>IF(B21="","",RANK(AE21,ГР5О))</f>
        <v>8</v>
      </c>
    </row>
    <row r="22" spans="1:34" ht="12" hidden="1" customHeight="1" outlineLevel="1" x14ac:dyDescent="0.2">
      <c r="A22" s="1164"/>
      <c r="B22" s="1166"/>
      <c r="C22" s="457" t="e">
        <f>IF(B21="","",VLOOKUP(B21,'Списки участников'!A:I,6,FALSE))</f>
        <v>#N/A</v>
      </c>
      <c r="D22" s="464" t="str">
        <f>IF(AB6="","",IF(AD6="l","W",AD6))</f>
        <v/>
      </c>
      <c r="E22" s="459" t="str">
        <f>IF(AC6="","",":")</f>
        <v/>
      </c>
      <c r="F22" s="465" t="str">
        <f>IF(AD6="","",IF(AB6="W","L",AB6))</f>
        <v/>
      </c>
      <c r="G22" s="464" t="str">
        <f>IF(AB8="","",IF(AD8="l","W",AD8))</f>
        <v/>
      </c>
      <c r="H22" s="459" t="str">
        <f>IF(AC8="","",":")</f>
        <v/>
      </c>
      <c r="I22" s="465" t="str">
        <f>IF(AD8="","",IF(AB8="W","L",AB8))</f>
        <v/>
      </c>
      <c r="J22" s="464" t="str">
        <f>IF(AB10="","",IF(AD10="l","W",AD10))</f>
        <v/>
      </c>
      <c r="K22" s="459" t="str">
        <f>IF(AC10="","",":")</f>
        <v/>
      </c>
      <c r="L22" s="465" t="str">
        <f>IF(AD10="","",IF(AB10="W","L",AB10))</f>
        <v/>
      </c>
      <c r="M22" s="464" t="str">
        <f>IF(AB12="","",IF(AD12="l","W",AD12))</f>
        <v/>
      </c>
      <c r="N22" s="459" t="str">
        <f>IF(AC12="","",":")</f>
        <v/>
      </c>
      <c r="O22" s="465" t="str">
        <f>IF(AD12="","",IF(AB12="W","L",AB12))</f>
        <v/>
      </c>
      <c r="P22" s="464" t="str">
        <f>IF(AB14="","",IF(AD14="l","W",AD14))</f>
        <v/>
      </c>
      <c r="Q22" s="459" t="str">
        <f>IF(AC14="","",":")</f>
        <v/>
      </c>
      <c r="R22" s="465" t="str">
        <f>IF(AD14="","",IF(AB14="W","L",AB14))</f>
        <v/>
      </c>
      <c r="S22" s="464" t="str">
        <f>IF(AB16="","",IF(AD16="l","W",AD16))</f>
        <v/>
      </c>
      <c r="T22" s="459" t="str">
        <f>IF(AC16="","",":")</f>
        <v/>
      </c>
      <c r="U22" s="465" t="str">
        <f>IF(AD16="","",IF(AB16="W","L",AB16))</f>
        <v/>
      </c>
      <c r="V22" s="464" t="str">
        <f>IF(AB18="","",IF(AD18="l","W",AD18))</f>
        <v/>
      </c>
      <c r="W22" s="459" t="str">
        <f>IF(AC18="","",":")</f>
        <v/>
      </c>
      <c r="X22" s="465" t="str">
        <f>IF(AD18="","",IF(AB18="W","L",AB18))</f>
        <v/>
      </c>
      <c r="Y22" s="464" t="str">
        <f>IF(AB20="","",IF(AD20="l","W",AD20))</f>
        <v/>
      </c>
      <c r="Z22" s="459" t="str">
        <f>IF(AC20="","",":")</f>
        <v/>
      </c>
      <c r="AA22" s="465" t="str">
        <f>IF(AD20="","",IF(AB20="W","L",AB20))</f>
        <v/>
      </c>
      <c r="AB22" s="1183"/>
      <c r="AC22" s="1169"/>
      <c r="AD22" s="1170"/>
      <c r="AE22" s="1186"/>
      <c r="AF22" s="1187"/>
      <c r="AG22" s="1189"/>
      <c r="AH22" s="1174"/>
    </row>
    <row r="23" spans="1:34" ht="12" customHeight="1" collapsed="1" x14ac:dyDescent="0.25">
      <c r="A23" s="135"/>
      <c r="B23" s="135"/>
      <c r="C23" s="804" t="s">
        <v>765</v>
      </c>
      <c r="D23" s="135"/>
      <c r="E23" s="135"/>
      <c r="F23" s="135"/>
      <c r="G23" s="1192" t="s">
        <v>996</v>
      </c>
      <c r="H23" s="1192"/>
      <c r="I23" s="1192"/>
      <c r="J23" s="1192"/>
      <c r="K23" s="1192"/>
      <c r="L23" s="1192"/>
      <c r="M23" s="1192"/>
      <c r="N23" s="1192"/>
      <c r="O23" s="1192"/>
      <c r="P23" s="1192"/>
      <c r="Q23" s="1192"/>
      <c r="R23" s="1192"/>
      <c r="S23" s="1192"/>
      <c r="T23" s="1192"/>
      <c r="U23" s="1192"/>
      <c r="V23" s="1192"/>
      <c r="W23" s="1192"/>
      <c r="X23" s="1192"/>
      <c r="Y23" s="1192"/>
      <c r="Z23" s="1192"/>
      <c r="AA23" s="1192"/>
      <c r="AB23" s="135"/>
      <c r="AC23" s="135"/>
      <c r="AD23" s="135"/>
      <c r="AE23" s="135"/>
      <c r="AF23" s="135"/>
      <c r="AG23" s="135"/>
      <c r="AH23" s="135"/>
    </row>
    <row r="24" spans="1:34" ht="12" customHeight="1" x14ac:dyDescent="0.2">
      <c r="A24" s="136" t="s">
        <v>3</v>
      </c>
      <c r="B24" s="862"/>
      <c r="C24" s="138" t="s">
        <v>788</v>
      </c>
      <c r="D24" s="1158">
        <v>1</v>
      </c>
      <c r="E24" s="1159"/>
      <c r="F24" s="1160"/>
      <c r="G24" s="1158">
        <v>2</v>
      </c>
      <c r="H24" s="1159"/>
      <c r="I24" s="1160"/>
      <c r="J24" s="1158">
        <v>3</v>
      </c>
      <c r="K24" s="1159"/>
      <c r="L24" s="1160"/>
      <c r="M24" s="1158">
        <v>4</v>
      </c>
      <c r="N24" s="1159"/>
      <c r="O24" s="1160"/>
      <c r="P24" s="1158">
        <v>5</v>
      </c>
      <c r="Q24" s="1159"/>
      <c r="R24" s="1160"/>
      <c r="S24" s="1158">
        <v>6</v>
      </c>
      <c r="T24" s="1159"/>
      <c r="U24" s="1160"/>
      <c r="V24" s="1158">
        <v>7</v>
      </c>
      <c r="W24" s="1159"/>
      <c r="X24" s="1160"/>
      <c r="Y24" s="1158">
        <v>8</v>
      </c>
      <c r="Z24" s="1159"/>
      <c r="AA24" s="1160"/>
      <c r="AB24" s="1158">
        <v>9</v>
      </c>
      <c r="AC24" s="1159"/>
      <c r="AD24" s="1160"/>
      <c r="AE24" s="1161" t="s">
        <v>789</v>
      </c>
      <c r="AF24" s="1162"/>
      <c r="AG24" s="863" t="s">
        <v>790</v>
      </c>
      <c r="AH24" s="455" t="s">
        <v>100</v>
      </c>
    </row>
    <row r="25" spans="1:34" ht="12" customHeight="1" x14ac:dyDescent="0.2">
      <c r="A25" s="1163">
        <v>1</v>
      </c>
      <c r="B25" s="1193">
        <f>жеребьевка!G26</f>
        <v>6</v>
      </c>
      <c r="C25" s="456" t="str">
        <f>IF(B25="","",VLOOKUP(B25,'Списки участников'!A:I,3,FALSE))</f>
        <v>БАТАЛОВ Анатолий</v>
      </c>
      <c r="D25" s="1167"/>
      <c r="E25" s="1167"/>
      <c r="F25" s="1168"/>
      <c r="G25" s="1171">
        <v>2</v>
      </c>
      <c r="H25" s="1172"/>
      <c r="I25" s="1173"/>
      <c r="J25" s="1171">
        <v>2</v>
      </c>
      <c r="K25" s="1172"/>
      <c r="L25" s="1173"/>
      <c r="M25" s="1171">
        <v>2</v>
      </c>
      <c r="N25" s="1172"/>
      <c r="O25" s="1173"/>
      <c r="P25" s="1171">
        <v>2</v>
      </c>
      <c r="Q25" s="1172"/>
      <c r="R25" s="1173"/>
      <c r="S25" s="1171">
        <v>2</v>
      </c>
      <c r="T25" s="1172"/>
      <c r="U25" s="1173"/>
      <c r="V25" s="1171">
        <v>2</v>
      </c>
      <c r="W25" s="1172"/>
      <c r="X25" s="1173"/>
      <c r="Y25" s="1171"/>
      <c r="Z25" s="1172"/>
      <c r="AA25" s="1173"/>
      <c r="AB25" s="1171"/>
      <c r="AC25" s="1172"/>
      <c r="AD25" s="1173"/>
      <c r="AE25" s="1184">
        <f>IF(B25="","",SUM(G25,J25,M25,P25,S25,V25,Y25,AB25,))</f>
        <v>12</v>
      </c>
      <c r="AF25" s="1185"/>
      <c r="AG25" s="1175"/>
      <c r="AH25" s="1174">
        <f>IF(B25="","",RANK(AE25,ГР6О))</f>
        <v>1</v>
      </c>
    </row>
    <row r="26" spans="1:34" ht="12" customHeight="1" x14ac:dyDescent="0.2">
      <c r="A26" s="1164"/>
      <c r="B26" s="1194"/>
      <c r="C26" s="457" t="str">
        <f>IF(B25="","",VLOOKUP(B25,'Списки участников'!A:I,6,FALSE))</f>
        <v>Жуковский</v>
      </c>
      <c r="D26" s="1169"/>
      <c r="E26" s="1169"/>
      <c r="F26" s="1170"/>
      <c r="G26" s="458">
        <v>2</v>
      </c>
      <c r="H26" s="459" t="str">
        <f>IF(G25="","",":")</f>
        <v>:</v>
      </c>
      <c r="I26" s="460">
        <v>0</v>
      </c>
      <c r="J26" s="458">
        <v>2</v>
      </c>
      <c r="K26" s="459" t="str">
        <f>IF(J25="","",":")</f>
        <v>:</v>
      </c>
      <c r="L26" s="460">
        <v>0</v>
      </c>
      <c r="M26" s="458">
        <v>2</v>
      </c>
      <c r="N26" s="459" t="str">
        <f>IF(M26="","",":")</f>
        <v>:</v>
      </c>
      <c r="O26" s="460">
        <v>0</v>
      </c>
      <c r="P26" s="458">
        <v>2</v>
      </c>
      <c r="Q26" s="459" t="str">
        <f>IF(P26="","",":")</f>
        <v>:</v>
      </c>
      <c r="R26" s="460">
        <v>0</v>
      </c>
      <c r="S26" s="458">
        <v>2</v>
      </c>
      <c r="T26" s="459" t="str">
        <f>IF(S26="","",":")</f>
        <v>:</v>
      </c>
      <c r="U26" s="460">
        <v>0</v>
      </c>
      <c r="V26" s="458">
        <v>2</v>
      </c>
      <c r="W26" s="459" t="str">
        <f>IF(V26="","",":")</f>
        <v>:</v>
      </c>
      <c r="X26" s="460">
        <v>0</v>
      </c>
      <c r="Y26" s="458"/>
      <c r="Z26" s="459" t="str">
        <f>IF(Y26="","",":")</f>
        <v/>
      </c>
      <c r="AA26" s="460"/>
      <c r="AB26" s="458"/>
      <c r="AC26" s="459" t="str">
        <f>IF(AB26="","",":")</f>
        <v/>
      </c>
      <c r="AD26" s="460"/>
      <c r="AE26" s="1186"/>
      <c r="AF26" s="1187"/>
      <c r="AG26" s="1176"/>
      <c r="AH26" s="1174"/>
    </row>
    <row r="27" spans="1:34" ht="12" customHeight="1" x14ac:dyDescent="0.2">
      <c r="A27" s="1163">
        <v>2</v>
      </c>
      <c r="B27" s="1193">
        <f>жеребьевка!G28</f>
        <v>29</v>
      </c>
      <c r="C27" s="456" t="str">
        <f>IF(B27="","",VLOOKUP(B27,'Списки участников'!A:I,3,FALSE))</f>
        <v>МОСПАНОВ Илья</v>
      </c>
      <c r="D27" s="1177">
        <f>IF(G25="","",IF(G26="W",0,IF(G25=2,1,IF(G25=1,2,IF(G25=0,2)))))</f>
        <v>1</v>
      </c>
      <c r="E27" s="1178"/>
      <c r="F27" s="1179"/>
      <c r="G27" s="1180"/>
      <c r="H27" s="1181"/>
      <c r="I27" s="1182"/>
      <c r="J27" s="1171">
        <v>2</v>
      </c>
      <c r="K27" s="1172"/>
      <c r="L27" s="1173"/>
      <c r="M27" s="1171">
        <v>2</v>
      </c>
      <c r="N27" s="1172"/>
      <c r="O27" s="1173"/>
      <c r="P27" s="1171">
        <v>2</v>
      </c>
      <c r="Q27" s="1172"/>
      <c r="R27" s="1173"/>
      <c r="S27" s="1171">
        <v>2</v>
      </c>
      <c r="T27" s="1172"/>
      <c r="U27" s="1173"/>
      <c r="V27" s="1171">
        <v>2</v>
      </c>
      <c r="W27" s="1172"/>
      <c r="X27" s="1173"/>
      <c r="Y27" s="1171"/>
      <c r="Z27" s="1172"/>
      <c r="AA27" s="1173"/>
      <c r="AB27" s="1171"/>
      <c r="AC27" s="1172"/>
      <c r="AD27" s="1173"/>
      <c r="AE27" s="1184">
        <f>IF(B27="","",SUM(D27,J27,M27,P27,S27,V27,Y27,AB27,))</f>
        <v>11</v>
      </c>
      <c r="AF27" s="1185"/>
      <c r="AG27" s="1175"/>
      <c r="AH27" s="1174">
        <f>IF(B27="","",RANK(AE27,ГР6О))</f>
        <v>2</v>
      </c>
    </row>
    <row r="28" spans="1:34" ht="12" customHeight="1" x14ac:dyDescent="0.2">
      <c r="A28" s="1164"/>
      <c r="B28" s="1194"/>
      <c r="C28" s="457" t="str">
        <f>IF(B27="","",VLOOKUP(B27,'Списки участников'!A:I,6,FALSE))</f>
        <v>Москва</v>
      </c>
      <c r="D28" s="461">
        <f>IF(G26="","",IF(I26="l","W",I26))</f>
        <v>0</v>
      </c>
      <c r="E28" s="462" t="str">
        <f>IF(G25="","",":")</f>
        <v>:</v>
      </c>
      <c r="F28" s="463">
        <f>IF(I26="","",IF(G26="W","L",G26))</f>
        <v>2</v>
      </c>
      <c r="G28" s="1183"/>
      <c r="H28" s="1169"/>
      <c r="I28" s="1170"/>
      <c r="J28" s="458">
        <v>2</v>
      </c>
      <c r="K28" s="459" t="str">
        <f>IF(J27="","",":")</f>
        <v>:</v>
      </c>
      <c r="L28" s="460">
        <v>1</v>
      </c>
      <c r="M28" s="458">
        <v>2</v>
      </c>
      <c r="N28" s="459" t="str">
        <f>IF(M27="","",":")</f>
        <v>:</v>
      </c>
      <c r="O28" s="460">
        <v>0</v>
      </c>
      <c r="P28" s="458">
        <v>2</v>
      </c>
      <c r="Q28" s="459" t="str">
        <f>IF(P27="","",":")</f>
        <v>:</v>
      </c>
      <c r="R28" s="460">
        <v>0</v>
      </c>
      <c r="S28" s="458">
        <v>2</v>
      </c>
      <c r="T28" s="459" t="str">
        <f>IF(S28="","",":")</f>
        <v>:</v>
      </c>
      <c r="U28" s="460">
        <v>0</v>
      </c>
      <c r="V28" s="458">
        <v>2</v>
      </c>
      <c r="W28" s="459" t="str">
        <f>IF(V28="","",":")</f>
        <v>:</v>
      </c>
      <c r="X28" s="460">
        <v>0</v>
      </c>
      <c r="Y28" s="458"/>
      <c r="Z28" s="459" t="str">
        <f>IF(Y28="","",":")</f>
        <v/>
      </c>
      <c r="AA28" s="460"/>
      <c r="AB28" s="458"/>
      <c r="AC28" s="459" t="str">
        <f>IF(AB28="","",":")</f>
        <v/>
      </c>
      <c r="AD28" s="460"/>
      <c r="AE28" s="1186"/>
      <c r="AF28" s="1187"/>
      <c r="AG28" s="1176"/>
      <c r="AH28" s="1174"/>
    </row>
    <row r="29" spans="1:34" ht="12" customHeight="1" x14ac:dyDescent="0.2">
      <c r="A29" s="1163">
        <v>3</v>
      </c>
      <c r="B29" s="1193">
        <f>жеребьевка!G30</f>
        <v>40</v>
      </c>
      <c r="C29" s="456" t="str">
        <f>IF(B29="","",VLOOKUP(B29,'Списки участников'!A:I,3,FALSE))</f>
        <v>НАСИРОВ Федор</v>
      </c>
      <c r="D29" s="1177">
        <f>IF(J25="","",IF(J26="W",0,IF(J25=2,1,IF(J25=1,2,IF(J25=0,2)))))</f>
        <v>1</v>
      </c>
      <c r="E29" s="1178"/>
      <c r="F29" s="1179"/>
      <c r="G29" s="1171">
        <f>IF(J27="","",IF(J28="W",0,IF(J27=2,1,IF(J27=1,2,IF(J27=0,2)))))</f>
        <v>1</v>
      </c>
      <c r="H29" s="1172"/>
      <c r="I29" s="1173"/>
      <c r="J29" s="1180"/>
      <c r="K29" s="1181"/>
      <c r="L29" s="1182"/>
      <c r="M29" s="1171">
        <v>2</v>
      </c>
      <c r="N29" s="1172"/>
      <c r="O29" s="1173"/>
      <c r="P29" s="1171">
        <v>2</v>
      </c>
      <c r="Q29" s="1172"/>
      <c r="R29" s="1173"/>
      <c r="S29" s="1171">
        <v>2</v>
      </c>
      <c r="T29" s="1172"/>
      <c r="U29" s="1173"/>
      <c r="V29" s="1171">
        <v>2</v>
      </c>
      <c r="W29" s="1172"/>
      <c r="X29" s="1173"/>
      <c r="Y29" s="1171"/>
      <c r="Z29" s="1172"/>
      <c r="AA29" s="1173"/>
      <c r="AB29" s="1171"/>
      <c r="AC29" s="1172"/>
      <c r="AD29" s="1173"/>
      <c r="AE29" s="1184">
        <f>IF(B29="","",SUM(G29,D29,M29,P29,S29,V29,Y29,AB29,))</f>
        <v>10</v>
      </c>
      <c r="AF29" s="1185"/>
      <c r="AG29" s="1188"/>
      <c r="AH29" s="1174">
        <f>IF(B29="","",RANK(AE29,ГР6О))</f>
        <v>3</v>
      </c>
    </row>
    <row r="30" spans="1:34" ht="12" customHeight="1" x14ac:dyDescent="0.2">
      <c r="A30" s="1164"/>
      <c r="B30" s="1195"/>
      <c r="C30" s="457" t="str">
        <f>IF(B29="","",VLOOKUP(B29,'Списки участников'!A:I,6,FALSE))</f>
        <v>Орехово-Зуево</v>
      </c>
      <c r="D30" s="464">
        <f>IF(J26="","",IF(L26="l","W",L26))</f>
        <v>0</v>
      </c>
      <c r="E30" s="459" t="str">
        <f>IF(K26="","",":")</f>
        <v>:</v>
      </c>
      <c r="F30" s="465">
        <f>IF(L26="","",IF(J26="W","L",J26))</f>
        <v>2</v>
      </c>
      <c r="G30" s="464">
        <f>IF(J28="","",IF(L28="l","W",L28))</f>
        <v>1</v>
      </c>
      <c r="H30" s="459" t="str">
        <f>IF(K28="","",":")</f>
        <v>:</v>
      </c>
      <c r="I30" s="465">
        <f>IF(L28="","",IF(J28="W","L",J28))</f>
        <v>2</v>
      </c>
      <c r="J30" s="1183"/>
      <c r="K30" s="1169"/>
      <c r="L30" s="1170"/>
      <c r="M30" s="458">
        <v>2</v>
      </c>
      <c r="N30" s="459" t="str">
        <f>IF(M29="","",":")</f>
        <v>:</v>
      </c>
      <c r="O30" s="460">
        <v>0</v>
      </c>
      <c r="P30" s="458">
        <v>2</v>
      </c>
      <c r="Q30" s="459" t="str">
        <f>IF(P29="","",":")</f>
        <v>:</v>
      </c>
      <c r="R30" s="460">
        <v>0</v>
      </c>
      <c r="S30" s="458">
        <v>2</v>
      </c>
      <c r="T30" s="459" t="str">
        <f>IF(S29="","",":")</f>
        <v>:</v>
      </c>
      <c r="U30" s="460">
        <v>0</v>
      </c>
      <c r="V30" s="458">
        <v>2</v>
      </c>
      <c r="W30" s="459" t="str">
        <f>IF(V30="","",":")</f>
        <v>:</v>
      </c>
      <c r="X30" s="460">
        <v>1</v>
      </c>
      <c r="Y30" s="458"/>
      <c r="Z30" s="459" t="str">
        <f>IF(Y30="","",":")</f>
        <v/>
      </c>
      <c r="AA30" s="460"/>
      <c r="AB30" s="458"/>
      <c r="AC30" s="459" t="str">
        <f>IF(AB30="","",":")</f>
        <v/>
      </c>
      <c r="AD30" s="460"/>
      <c r="AE30" s="1186"/>
      <c r="AF30" s="1187"/>
      <c r="AG30" s="1189"/>
      <c r="AH30" s="1174"/>
    </row>
    <row r="31" spans="1:34" ht="12" customHeight="1" x14ac:dyDescent="0.2">
      <c r="A31" s="1163">
        <v>4</v>
      </c>
      <c r="B31" s="1193">
        <f>жеребьевка!G32</f>
        <v>61</v>
      </c>
      <c r="C31" s="456" t="str">
        <f>IF(B31="","",VLOOKUP(B31,'Списки участников'!A:I,3,FALSE))</f>
        <v>БУРГАСОВ Владимир</v>
      </c>
      <c r="D31" s="1171">
        <f>IF(M25="","",IF(M26="W",0,IF(M25=2,1,IF(M25=1,2,IF(M25=0,2)))))</f>
        <v>1</v>
      </c>
      <c r="E31" s="1172"/>
      <c r="F31" s="1173"/>
      <c r="G31" s="1171">
        <f>IF(M27="","",IF(M28="W",0,IF(M27=2,1,IF(M27=1,2,IF(M27=0,2)))))</f>
        <v>1</v>
      </c>
      <c r="H31" s="1172"/>
      <c r="I31" s="1173"/>
      <c r="J31" s="1171">
        <f>IF(M29="","",IF(M30="W",0,IF(M29=2,1,IF(M29=1,2,IF(M29=0,2)))))</f>
        <v>1</v>
      </c>
      <c r="K31" s="1172"/>
      <c r="L31" s="1173"/>
      <c r="M31" s="1181"/>
      <c r="N31" s="1181"/>
      <c r="O31" s="1181"/>
      <c r="P31" s="1171">
        <v>1</v>
      </c>
      <c r="Q31" s="1172"/>
      <c r="R31" s="1173"/>
      <c r="S31" s="1171">
        <v>2</v>
      </c>
      <c r="T31" s="1172"/>
      <c r="U31" s="1173"/>
      <c r="V31" s="1171">
        <v>2</v>
      </c>
      <c r="W31" s="1172"/>
      <c r="X31" s="1173"/>
      <c r="Y31" s="1171"/>
      <c r="Z31" s="1172"/>
      <c r="AA31" s="1173"/>
      <c r="AB31" s="1171"/>
      <c r="AC31" s="1172"/>
      <c r="AD31" s="1173"/>
      <c r="AE31" s="1184">
        <f>IF(B31="","",SUM(G31,J31,D31,P31,S31,V31,Y31,AB31,))</f>
        <v>8</v>
      </c>
      <c r="AF31" s="1185"/>
      <c r="AG31" s="1188"/>
      <c r="AH31" s="1174">
        <f>IF(B31="","",RANK(AE31,ГР6О))</f>
        <v>5</v>
      </c>
    </row>
    <row r="32" spans="1:34" ht="12" customHeight="1" x14ac:dyDescent="0.2">
      <c r="A32" s="1164"/>
      <c r="B32" s="1195"/>
      <c r="C32" s="457" t="str">
        <f>IF(B31="","",VLOOKUP(B31,'Списки участников'!A:I,6,FALSE))</f>
        <v>Москва</v>
      </c>
      <c r="D32" s="464">
        <f>IF(M26="","",IF(O26="l","W",O26))</f>
        <v>0</v>
      </c>
      <c r="E32" s="459" t="str">
        <f>IF(N26="","",":")</f>
        <v>:</v>
      </c>
      <c r="F32" s="465">
        <f>IF(O26="","",IF(M26="W","L",M26))</f>
        <v>2</v>
      </c>
      <c r="G32" s="464">
        <f>IF(M28="","",IF(O28="l","W",O28))</f>
        <v>0</v>
      </c>
      <c r="H32" s="459" t="str">
        <f>IF(N28="","",":")</f>
        <v>:</v>
      </c>
      <c r="I32" s="465">
        <f>IF(O28="","",IF(M28="W","L",M28))</f>
        <v>2</v>
      </c>
      <c r="J32" s="464">
        <f>IF(M30="","",IF(O30="l","W",O30))</f>
        <v>0</v>
      </c>
      <c r="K32" s="459" t="str">
        <f>IF(N30="","",":")</f>
        <v>:</v>
      </c>
      <c r="L32" s="465">
        <f>IF(O30="","",IF(M30="W","L",M30))</f>
        <v>2</v>
      </c>
      <c r="M32" s="1190"/>
      <c r="N32" s="1190"/>
      <c r="O32" s="1190"/>
      <c r="P32" s="458">
        <v>1</v>
      </c>
      <c r="Q32" s="459" t="str">
        <f>IF(P31="","",":")</f>
        <v>:</v>
      </c>
      <c r="R32" s="460">
        <v>2</v>
      </c>
      <c r="S32" s="458">
        <v>2</v>
      </c>
      <c r="T32" s="459" t="str">
        <f>IF(S31="","",":")</f>
        <v>:</v>
      </c>
      <c r="U32" s="460">
        <v>0</v>
      </c>
      <c r="V32" s="458">
        <v>2</v>
      </c>
      <c r="W32" s="459" t="str">
        <f>IF(V31="","",":")</f>
        <v>:</v>
      </c>
      <c r="X32" s="460">
        <v>0</v>
      </c>
      <c r="Y32" s="458"/>
      <c r="Z32" s="459" t="str">
        <f>IF(Y32="","",":")</f>
        <v/>
      </c>
      <c r="AA32" s="460"/>
      <c r="AB32" s="458"/>
      <c r="AC32" s="459" t="str">
        <f>IF(AB32="","",":")</f>
        <v/>
      </c>
      <c r="AD32" s="460"/>
      <c r="AE32" s="1186"/>
      <c r="AF32" s="1187"/>
      <c r="AG32" s="1189"/>
      <c r="AH32" s="1174"/>
    </row>
    <row r="33" spans="1:34" ht="12" customHeight="1" x14ac:dyDescent="0.2">
      <c r="A33" s="1163">
        <v>5</v>
      </c>
      <c r="B33" s="1196">
        <f>жеребьевка!G34</f>
        <v>71</v>
      </c>
      <c r="C33" s="456" t="str">
        <f>IF(B33="","",VLOOKUP(B33,'Списки участников'!A:I,3,FALSE))</f>
        <v>ЦЫГАНКОВ Вадим</v>
      </c>
      <c r="D33" s="1171">
        <f>IF(P25="","",IF(P26="W",0,IF(P25=2,1,IF(P25=1,2,IF(P25=0,2)))))</f>
        <v>1</v>
      </c>
      <c r="E33" s="1172"/>
      <c r="F33" s="1173"/>
      <c r="G33" s="1171">
        <f>IF(P27="","",IF(P28="W",0,IF(P27=2,1,IF(P27=1,2,IF(P27=0,2)))))</f>
        <v>1</v>
      </c>
      <c r="H33" s="1172"/>
      <c r="I33" s="1173"/>
      <c r="J33" s="1171">
        <f>IF(P29="","",IF(P30="W",0,IF(P29=2,1,IF(P29=1,2,IF(P29=0,2)))))</f>
        <v>1</v>
      </c>
      <c r="K33" s="1172"/>
      <c r="L33" s="1173"/>
      <c r="M33" s="1171">
        <f>IF(P31="","",IF(P32="W",0,IF(P31=2,1,IF(P31=1,2,IF(P31=0,2)))))</f>
        <v>2</v>
      </c>
      <c r="N33" s="1172"/>
      <c r="O33" s="1173"/>
      <c r="P33" s="1180"/>
      <c r="Q33" s="1181"/>
      <c r="R33" s="1182"/>
      <c r="S33" s="1171">
        <v>2</v>
      </c>
      <c r="T33" s="1172"/>
      <c r="U33" s="1173"/>
      <c r="V33" s="1171">
        <v>2</v>
      </c>
      <c r="W33" s="1172"/>
      <c r="X33" s="1173"/>
      <c r="Y33" s="1171"/>
      <c r="Z33" s="1172"/>
      <c r="AA33" s="1173"/>
      <c r="AB33" s="1171"/>
      <c r="AC33" s="1172"/>
      <c r="AD33" s="1173"/>
      <c r="AE33" s="1184">
        <f>IF(B33="","",SUM(G33,J33,M33,D33,S33,V33,Y33,AB33,))</f>
        <v>9</v>
      </c>
      <c r="AF33" s="1185"/>
      <c r="AG33" s="1188"/>
      <c r="AH33" s="1174">
        <f>IF(B33="","",RANK(AE33,ГР6О))</f>
        <v>4</v>
      </c>
    </row>
    <row r="34" spans="1:34" ht="12" customHeight="1" x14ac:dyDescent="0.2">
      <c r="A34" s="1164"/>
      <c r="B34" s="1197"/>
      <c r="C34" s="457" t="str">
        <f>IF(B33="","",VLOOKUP(B33,'Списки участников'!A:I,6,FALSE))</f>
        <v>Москва</v>
      </c>
      <c r="D34" s="464">
        <f>IF(P26="","",IF(R26="l","W",R26))</f>
        <v>0</v>
      </c>
      <c r="E34" s="459" t="str">
        <f>IF(Q26="","",":")</f>
        <v>:</v>
      </c>
      <c r="F34" s="465">
        <f>IF(R26="","",IF(P26="W","L",P26))</f>
        <v>2</v>
      </c>
      <c r="G34" s="464">
        <f>IF(P28="","",IF(R28="l","W",R28))</f>
        <v>0</v>
      </c>
      <c r="H34" s="459" t="str">
        <f>IF(Q28="","",":")</f>
        <v>:</v>
      </c>
      <c r="I34" s="465">
        <f>IF(R28="","",IF(P28="W","L",P28))</f>
        <v>2</v>
      </c>
      <c r="J34" s="464">
        <f>IF(P30="","",IF(R30="l","W",R30))</f>
        <v>0</v>
      </c>
      <c r="K34" s="459" t="str">
        <f>IF(Q30="","",":")</f>
        <v>:</v>
      </c>
      <c r="L34" s="465">
        <f>IF(R30="","",IF(P30="W","L",P30))</f>
        <v>2</v>
      </c>
      <c r="M34" s="464">
        <f>IF(P32="","",IF(R32="l","W",R32))</f>
        <v>2</v>
      </c>
      <c r="N34" s="459" t="str">
        <f>IF(Q32="","",":")</f>
        <v>:</v>
      </c>
      <c r="O34" s="465">
        <f>IF(R32="","",IF(P32="W","L",P32))</f>
        <v>1</v>
      </c>
      <c r="P34" s="1183"/>
      <c r="Q34" s="1169"/>
      <c r="R34" s="1170"/>
      <c r="S34" s="458">
        <v>2</v>
      </c>
      <c r="T34" s="459" t="str">
        <f>IF(S33="","",":")</f>
        <v>:</v>
      </c>
      <c r="U34" s="460">
        <v>0</v>
      </c>
      <c r="V34" s="458">
        <v>2</v>
      </c>
      <c r="W34" s="459" t="str">
        <f>IF(V33="","",":")</f>
        <v>:</v>
      </c>
      <c r="X34" s="460">
        <v>0</v>
      </c>
      <c r="Y34" s="458"/>
      <c r="Z34" s="459" t="str">
        <f>IF(Y33="","",":")</f>
        <v/>
      </c>
      <c r="AA34" s="460"/>
      <c r="AB34" s="458"/>
      <c r="AC34" s="459" t="str">
        <f>IF(AB34="","",":")</f>
        <v/>
      </c>
      <c r="AD34" s="460"/>
      <c r="AE34" s="1186"/>
      <c r="AF34" s="1187"/>
      <c r="AG34" s="1189"/>
      <c r="AH34" s="1174"/>
    </row>
    <row r="35" spans="1:34" ht="12" customHeight="1" x14ac:dyDescent="0.2">
      <c r="A35" s="1163">
        <v>6</v>
      </c>
      <c r="B35" s="1196">
        <f>жеребьевка!G36</f>
        <v>96</v>
      </c>
      <c r="C35" s="456" t="str">
        <f>IF(B35="","",VLOOKUP(B35,'Списки участников'!A:I,3,FALSE))</f>
        <v>КОБЗЕВ Прохор</v>
      </c>
      <c r="D35" s="1171">
        <f>IF(S25="","",IF(S26="W",0,IF(S25=2,1,IF(S25=1,2,IF(S25=0,2)))))</f>
        <v>1</v>
      </c>
      <c r="E35" s="1172"/>
      <c r="F35" s="1173"/>
      <c r="G35" s="1171">
        <f>IF(S27="","",IF(S28="W",0,IF(S27=2,1,IF(S27=1,2,IF(S27=0,2)))))</f>
        <v>1</v>
      </c>
      <c r="H35" s="1172"/>
      <c r="I35" s="1173"/>
      <c r="J35" s="1171">
        <f>IF(S29="","",IF(S30="W",0,IF(S29=2,1,IF(S29=1,2,IF(S29=0,2)))))</f>
        <v>1</v>
      </c>
      <c r="K35" s="1172"/>
      <c r="L35" s="1173"/>
      <c r="M35" s="1171">
        <f>IF(S31="","",IF(S32="W",0,IF(S31=2,1,IF(S31=1,2,IF(S31=0,2)))))</f>
        <v>1</v>
      </c>
      <c r="N35" s="1172"/>
      <c r="O35" s="1173"/>
      <c r="P35" s="1171">
        <f>IF(S33="","",IF(S34="W",0,IF(S33=2,1,IF(S33=1,2,IF(S33=0,2)))))</f>
        <v>1</v>
      </c>
      <c r="Q35" s="1172"/>
      <c r="R35" s="1173"/>
      <c r="S35" s="1180"/>
      <c r="T35" s="1181"/>
      <c r="U35" s="1182"/>
      <c r="V35" s="1171">
        <v>1</v>
      </c>
      <c r="W35" s="1172"/>
      <c r="X35" s="1173"/>
      <c r="Y35" s="1171"/>
      <c r="Z35" s="1172"/>
      <c r="AA35" s="1173"/>
      <c r="AB35" s="1171"/>
      <c r="AC35" s="1172"/>
      <c r="AD35" s="1173"/>
      <c r="AE35" s="1184">
        <f>IF(B35="","",SUM(G35,J35,M35,P35,D35,V35,Y35,AB35,))</f>
        <v>6</v>
      </c>
      <c r="AF35" s="1185"/>
      <c r="AG35" s="1188"/>
      <c r="AH35" s="1174">
        <f>IF(B35="","",RANK(AE35,ГР6О))</f>
        <v>7</v>
      </c>
    </row>
    <row r="36" spans="1:34" ht="12" customHeight="1" x14ac:dyDescent="0.2">
      <c r="A36" s="1164"/>
      <c r="B36" s="1197"/>
      <c r="C36" s="457" t="str">
        <f>IF(B35="","",VLOOKUP(B35,'Списки участников'!A:I,6,FALSE))</f>
        <v>Людиново  Кал.обл.</v>
      </c>
      <c r="D36" s="464">
        <f>IF(S26="","",IF(U26="l","W",U26))</f>
        <v>0</v>
      </c>
      <c r="E36" s="459" t="str">
        <f>IF(T26="","",":")</f>
        <v>:</v>
      </c>
      <c r="F36" s="465">
        <f>IF(U26="","",IF(S26="W","L",S26))</f>
        <v>2</v>
      </c>
      <c r="G36" s="464">
        <f>IF(S28="","",IF(U28="l","W",U28))</f>
        <v>0</v>
      </c>
      <c r="H36" s="459" t="str">
        <f>IF(Q28="","",":")</f>
        <v>:</v>
      </c>
      <c r="I36" s="465">
        <f>IF(U28="","",IF(S28="W","L",S28))</f>
        <v>2</v>
      </c>
      <c r="J36" s="464">
        <f>IF(S30="","",IF(U30="l","W",U30))</f>
        <v>0</v>
      </c>
      <c r="K36" s="459" t="str">
        <f>IF(T30="","",":")</f>
        <v>:</v>
      </c>
      <c r="L36" s="465">
        <f>IF(U30="","",IF(S30="W","L",S30))</f>
        <v>2</v>
      </c>
      <c r="M36" s="464">
        <f>IF(S32="","",IF(U32="l","W",U32))</f>
        <v>0</v>
      </c>
      <c r="N36" s="459" t="str">
        <f>IF(T32="","",":")</f>
        <v>:</v>
      </c>
      <c r="O36" s="465">
        <f>IF(U32="","",IF(S32="W","L",S32))</f>
        <v>2</v>
      </c>
      <c r="P36" s="464">
        <f>IF(S34="","",IF(U34="l","W",U34))</f>
        <v>0</v>
      </c>
      <c r="Q36" s="459" t="str">
        <f>IF(T34="","",":")</f>
        <v>:</v>
      </c>
      <c r="R36" s="465">
        <f>IF(U34="","",IF(S34="W","L",S34))</f>
        <v>2</v>
      </c>
      <c r="S36" s="1183"/>
      <c r="T36" s="1169"/>
      <c r="U36" s="1170"/>
      <c r="V36" s="458">
        <v>0</v>
      </c>
      <c r="W36" s="459" t="str">
        <f>IF(V35="","",":")</f>
        <v>:</v>
      </c>
      <c r="X36" s="460">
        <v>2</v>
      </c>
      <c r="Y36" s="458"/>
      <c r="Z36" s="459" t="str">
        <f>IF(Y35="","",":")</f>
        <v/>
      </c>
      <c r="AA36" s="460"/>
      <c r="AB36" s="458"/>
      <c r="AC36" s="459" t="str">
        <f>IF(AB35="","",":")</f>
        <v/>
      </c>
      <c r="AD36" s="460"/>
      <c r="AE36" s="1186"/>
      <c r="AF36" s="1187"/>
      <c r="AG36" s="1189"/>
      <c r="AH36" s="1174"/>
    </row>
    <row r="37" spans="1:34" ht="12" customHeight="1" x14ac:dyDescent="0.2">
      <c r="A37" s="1163">
        <v>7</v>
      </c>
      <c r="B37" s="1196">
        <f>жеребьевка!G38</f>
        <v>106</v>
      </c>
      <c r="C37" s="456" t="str">
        <f>IF(B37="","",VLOOKUP(B37,'Списки участников'!A:I,3,FALSE))</f>
        <v>НОВОСЕЛОВ Марк</v>
      </c>
      <c r="D37" s="1171">
        <f>IF(V25="","",IF(V26="W",0,IF(V25=2,1,IF(V25=1,2,IF(V25=0,2)))))</f>
        <v>1</v>
      </c>
      <c r="E37" s="1172"/>
      <c r="F37" s="1173"/>
      <c r="G37" s="1171">
        <f>IF(V27="","",IF(V28="W",0,IF(V27=2,1,IF(V27=1,2,IF(V27=0,2)))))</f>
        <v>1</v>
      </c>
      <c r="H37" s="1172"/>
      <c r="I37" s="1173"/>
      <c r="J37" s="1171">
        <f>IF(V29="","",IF(V30="W",0,IF(V29=2,1,IF(V29=1,2,IF(V29=0,2)))))</f>
        <v>1</v>
      </c>
      <c r="K37" s="1172"/>
      <c r="L37" s="1173"/>
      <c r="M37" s="1171">
        <f>IF(V31="","",IF(V32="W",0,IF(V31=2,1,IF(V31=1,2,IF(V31=0,2)))))</f>
        <v>1</v>
      </c>
      <c r="N37" s="1172"/>
      <c r="O37" s="1173"/>
      <c r="P37" s="1171">
        <f>IF(V33="","",IF(V34="W",0,IF(V33=2,1,IF(V33=1,2,IF(V33=0,2)))))</f>
        <v>1</v>
      </c>
      <c r="Q37" s="1172"/>
      <c r="R37" s="1173"/>
      <c r="S37" s="1171">
        <f>IF(V35="","",IF(V36="W",0,IF(V35=2,1,IF(V35=1,2,IF(V35=0,2)))))</f>
        <v>2</v>
      </c>
      <c r="T37" s="1172"/>
      <c r="U37" s="1173"/>
      <c r="V37" s="1191"/>
      <c r="W37" s="1167"/>
      <c r="X37" s="1168"/>
      <c r="Y37" s="1171"/>
      <c r="Z37" s="1172"/>
      <c r="AA37" s="1173"/>
      <c r="AB37" s="1171"/>
      <c r="AC37" s="1172"/>
      <c r="AD37" s="1173"/>
      <c r="AE37" s="1184">
        <f>IF(B37="","",SUM(G37,J37,M37,P37,S37,D37,Y37,AB37,))</f>
        <v>7</v>
      </c>
      <c r="AF37" s="1185"/>
      <c r="AG37" s="1188"/>
      <c r="AH37" s="1174">
        <f>IF(B37="","",RANK(AE37,ГР6О))</f>
        <v>6</v>
      </c>
    </row>
    <row r="38" spans="1:34" ht="12" customHeight="1" x14ac:dyDescent="0.2">
      <c r="A38" s="1164"/>
      <c r="B38" s="1197"/>
      <c r="C38" s="457" t="str">
        <f>IF(B37="","",VLOOKUP(B37,'Списки участников'!A:I,6,FALSE))</f>
        <v>Дмский р-н, Мос о.</v>
      </c>
      <c r="D38" s="464">
        <f>IF(V26="","",IF(X26="l","W",X26))</f>
        <v>0</v>
      </c>
      <c r="E38" s="459" t="str">
        <f>IF(W26="","",":")</f>
        <v>:</v>
      </c>
      <c r="F38" s="465">
        <f>IF(X26="","",IF(V26="W","L",V26))</f>
        <v>2</v>
      </c>
      <c r="G38" s="464">
        <f>IF(V28="","",IF(X28="l","W",X28))</f>
        <v>0</v>
      </c>
      <c r="H38" s="459" t="str">
        <f>IF(W28="","",":")</f>
        <v>:</v>
      </c>
      <c r="I38" s="465">
        <f>IF(X28="","",IF(V28="W","L",V28))</f>
        <v>2</v>
      </c>
      <c r="J38" s="464">
        <f>IF(V30="","",IF(X30="l","W",X30))</f>
        <v>1</v>
      </c>
      <c r="K38" s="459" t="str">
        <f>IF(W30="","",":")</f>
        <v>:</v>
      </c>
      <c r="L38" s="465">
        <f>IF(X30="","",IF(V30="W","L",V30))</f>
        <v>2</v>
      </c>
      <c r="M38" s="464">
        <f>IF(V32="","",IF(X32="l","W",X32))</f>
        <v>0</v>
      </c>
      <c r="N38" s="459" t="str">
        <f>IF(W32="","",":")</f>
        <v>:</v>
      </c>
      <c r="O38" s="465">
        <f>IF(X32="","",IF(V32="W","L",V32))</f>
        <v>2</v>
      </c>
      <c r="P38" s="464">
        <f>IF(V34="","",IF(X34="l","W",X34))</f>
        <v>0</v>
      </c>
      <c r="Q38" s="459" t="str">
        <f>IF(W34="","",":")</f>
        <v>:</v>
      </c>
      <c r="R38" s="465">
        <f>IF(X34="","",IF(V34="W","L",V34))</f>
        <v>2</v>
      </c>
      <c r="S38" s="464">
        <f>IF(V36="","",IF(X36="l","W",X36))</f>
        <v>2</v>
      </c>
      <c r="T38" s="459" t="str">
        <f>IF(W36="","",":")</f>
        <v>:</v>
      </c>
      <c r="U38" s="465">
        <f>IF(X36="","",IF(V36="W","L",V36))</f>
        <v>0</v>
      </c>
      <c r="V38" s="1183"/>
      <c r="W38" s="1169"/>
      <c r="X38" s="1170"/>
      <c r="Y38" s="458"/>
      <c r="Z38" s="459" t="str">
        <f>IF(Y37="","",":")</f>
        <v/>
      </c>
      <c r="AA38" s="460"/>
      <c r="AB38" s="458"/>
      <c r="AC38" s="459" t="str">
        <f>IF(AB37="","",":")</f>
        <v/>
      </c>
      <c r="AD38" s="460"/>
      <c r="AE38" s="1186"/>
      <c r="AF38" s="1187"/>
      <c r="AG38" s="1189"/>
      <c r="AH38" s="1174"/>
    </row>
    <row r="39" spans="1:34" ht="12" customHeight="1" x14ac:dyDescent="0.2">
      <c r="A39" s="1163">
        <v>8</v>
      </c>
      <c r="B39" s="1196"/>
      <c r="C39" s="456" t="str">
        <f>IF(B39="","",VLOOKUP(B39,'Списки участников'!A:I,3,FALSE))</f>
        <v/>
      </c>
      <c r="D39" s="1171" t="str">
        <f>IF(Y25="","",IF(Y26="W",0,IF(Y25=2,1,IF(Y25=1,2,IF(Y25=0,2)))))</f>
        <v/>
      </c>
      <c r="E39" s="1172"/>
      <c r="F39" s="1173"/>
      <c r="G39" s="1171" t="str">
        <f>IF(Y27="","",IF(Y28="W",0,IF(Y27=2,1,IF(Y27=1,2,IF(Y27=0,2)))))</f>
        <v/>
      </c>
      <c r="H39" s="1172"/>
      <c r="I39" s="1173"/>
      <c r="J39" s="1171" t="str">
        <f>IF(Y29="","",IF(Y30="W",0,IF(Y29=2,1,IF(Y29=1,2,IF(Y29=0,2)))))</f>
        <v/>
      </c>
      <c r="K39" s="1172"/>
      <c r="L39" s="1173"/>
      <c r="M39" s="1171" t="str">
        <f>IF(Y31="","",IF(Y32="W",0,IF(Y31=2,1,IF(Y31=1,2,IF(Y31=0,2)))))</f>
        <v/>
      </c>
      <c r="N39" s="1172"/>
      <c r="O39" s="1173"/>
      <c r="P39" s="1171" t="str">
        <f>IF(Y33="","",IF(Y34="W",0,IF(Y33=2,1,IF(Y33=1,2,IF(Y33=0,2)))))</f>
        <v/>
      </c>
      <c r="Q39" s="1172"/>
      <c r="R39" s="1173"/>
      <c r="S39" s="1171" t="str">
        <f>IF(Y35="","",IF(Y36="W",0,IF(Y35=2,1,IF(Y35=1,2,IF(Y35=0,2)))))</f>
        <v/>
      </c>
      <c r="T39" s="1172"/>
      <c r="U39" s="1173"/>
      <c r="V39" s="1171" t="str">
        <f>IF(Y37="","",IF(Y38="W",0,IF(Y37=2,1,IF(Y37=1,2,IF(Y37=0,2)))))</f>
        <v/>
      </c>
      <c r="W39" s="1172"/>
      <c r="X39" s="1173"/>
      <c r="Y39" s="1180"/>
      <c r="Z39" s="1181"/>
      <c r="AA39" s="1182"/>
      <c r="AB39" s="1171"/>
      <c r="AC39" s="1172"/>
      <c r="AD39" s="1173"/>
      <c r="AE39" s="1184" t="str">
        <f>IF(B39="","",SUM(G39,J39,M39,P39,S39,V39,D39,AB39,))</f>
        <v/>
      </c>
      <c r="AF39" s="1185"/>
      <c r="AG39" s="1188"/>
      <c r="AH39" s="1174" t="str">
        <f>IF(B39="","",RANK(AE39,ГР6О))</f>
        <v/>
      </c>
    </row>
    <row r="40" spans="1:34" ht="12" customHeight="1" x14ac:dyDescent="0.2">
      <c r="A40" s="1164"/>
      <c r="B40" s="1197"/>
      <c r="C40" s="457" t="str">
        <f>IF(B39="","",VLOOKUP(B39,'Списки участников'!A:I,6,FALSE))</f>
        <v/>
      </c>
      <c r="D40" s="464" t="str">
        <f>IF(Y26="","",IF(AA26="l","W",AA26))</f>
        <v/>
      </c>
      <c r="E40" s="459" t="str">
        <f>IF(Z26="","",":")</f>
        <v/>
      </c>
      <c r="F40" s="465" t="str">
        <f>IF(AA26="","",IF(Y26="W","L",Y26))</f>
        <v/>
      </c>
      <c r="G40" s="464" t="str">
        <f>IF(Y28="","",IF(AA28="l","W",AA28))</f>
        <v/>
      </c>
      <c r="H40" s="459" t="str">
        <f>IF(Z28="","",":")</f>
        <v/>
      </c>
      <c r="I40" s="465" t="str">
        <f>IF(AA28="","",IF(Y28="W","L",Y28))</f>
        <v/>
      </c>
      <c r="J40" s="464" t="str">
        <f>IF(Y30="","",IF(AA30="l","W",AA30))</f>
        <v/>
      </c>
      <c r="K40" s="459" t="str">
        <f>IF(Z30="","",":")</f>
        <v/>
      </c>
      <c r="L40" s="465" t="str">
        <f>IF(AA30="","",IF(Y30="W","L",Y30))</f>
        <v/>
      </c>
      <c r="M40" s="464" t="str">
        <f>IF(Y32="","",IF(AA32="l","W",AA32))</f>
        <v/>
      </c>
      <c r="N40" s="459" t="str">
        <f>IF(Z32="","",":")</f>
        <v/>
      </c>
      <c r="O40" s="465" t="str">
        <f>IF(AA32="","",IF(Y32="W","L",Y32))</f>
        <v/>
      </c>
      <c r="P40" s="464" t="str">
        <f>IF(Y34="","",IF(AA34="l","W",AA34))</f>
        <v/>
      </c>
      <c r="Q40" s="459" t="str">
        <f>IF(Z34="","",":")</f>
        <v/>
      </c>
      <c r="R40" s="465" t="str">
        <f>IF(AA34="","",IF(Y34="W","L",Y34))</f>
        <v/>
      </c>
      <c r="S40" s="464" t="str">
        <f>IF(Y36="","",IF(AA36="l","W",AA36))</f>
        <v/>
      </c>
      <c r="T40" s="459" t="str">
        <f>IF(Z36="","",":")</f>
        <v/>
      </c>
      <c r="U40" s="465" t="str">
        <f>IF(AA36="","",IF(Y36="W","L",Y36))</f>
        <v/>
      </c>
      <c r="V40" s="464" t="str">
        <f>IF(Y38="","",IF(AA38="l","W",AA38))</f>
        <v/>
      </c>
      <c r="W40" s="459" t="str">
        <f>IF(Z38="","",":")</f>
        <v/>
      </c>
      <c r="X40" s="465" t="str">
        <f>IF(AA38="","",IF(Y38="W","L",Y38))</f>
        <v/>
      </c>
      <c r="Y40" s="1183"/>
      <c r="Z40" s="1169"/>
      <c r="AA40" s="1170"/>
      <c r="AB40" s="458"/>
      <c r="AC40" s="459" t="str">
        <f>IF(AB39="","",":")</f>
        <v/>
      </c>
      <c r="AD40" s="460"/>
      <c r="AE40" s="1186"/>
      <c r="AF40" s="1187"/>
      <c r="AG40" s="1189"/>
      <c r="AH40" s="1174"/>
    </row>
    <row r="41" spans="1:34" ht="12" hidden="1" customHeight="1" outlineLevel="1" x14ac:dyDescent="0.2">
      <c r="A41" s="1163">
        <v>9</v>
      </c>
      <c r="B41" s="1165">
        <f>жеребьевка!G42</f>
        <v>0</v>
      </c>
      <c r="C41" s="456" t="e">
        <f>IF(B41="","",VLOOKUP(B41,'Списки участников'!A:I,3,FALSE))</f>
        <v>#N/A</v>
      </c>
      <c r="D41" s="1171" t="str">
        <f>IF(AB25="","",IF(AB26="W",0,IF(AB25=2,1,IF(AB25=1,2,IF(AB25=0,2)))))</f>
        <v/>
      </c>
      <c r="E41" s="1172"/>
      <c r="F41" s="1173"/>
      <c r="G41" s="1171" t="str">
        <f>IF(AB27="","",IF(AB28="W",0,IF(AB27=2,1,IF(AB27=1,2,IF(AB27=0,2)))))</f>
        <v/>
      </c>
      <c r="H41" s="1172"/>
      <c r="I41" s="1173"/>
      <c r="J41" s="1171" t="str">
        <f>IF(AB29="","",IF(AB30="W",0,IF(AB29=2,1,IF(AB29=1,2,IF(AB29=0,2)))))</f>
        <v/>
      </c>
      <c r="K41" s="1172"/>
      <c r="L41" s="1173"/>
      <c r="M41" s="1171" t="str">
        <f>IF(AB31="","",IF(AB32="W",0,IF(AB31=2,1,IF(AB31=1,2,IF(AB31=0,2)))))</f>
        <v/>
      </c>
      <c r="N41" s="1172"/>
      <c r="O41" s="1173"/>
      <c r="P41" s="1171" t="str">
        <f>IF(AB33="","",IF(AB34="W",0,IF(AB33=2,1,IF(AB33=1,2,IF(AB33=0,2)))))</f>
        <v/>
      </c>
      <c r="Q41" s="1172"/>
      <c r="R41" s="1173"/>
      <c r="S41" s="1171" t="str">
        <f>IF(AB35="","",IF(AB36="W",0,IF(AB35=2,1,IF(AB35=1,2,IF(AB35=0,2)))))</f>
        <v/>
      </c>
      <c r="T41" s="1172"/>
      <c r="U41" s="1173"/>
      <c r="V41" s="1171" t="str">
        <f>IF(AB37="","",IF(AB38="W",0,IF(AB37=2,1,IF(AB37=1,2,IF(AB37=0,2)))))</f>
        <v/>
      </c>
      <c r="W41" s="1172"/>
      <c r="X41" s="1173"/>
      <c r="Y41" s="1171" t="str">
        <f>IF(AB39="","",IF(AB40="W",0,IF(AB39=2,1,IF(AB39=1,2,IF(AB39=0,2)))))</f>
        <v/>
      </c>
      <c r="Z41" s="1172"/>
      <c r="AA41" s="1173"/>
      <c r="AB41" s="1191"/>
      <c r="AC41" s="1167"/>
      <c r="AD41" s="1168"/>
      <c r="AE41" s="1184">
        <f>IF(B41="","",SUM(G41,J41,M41,P41,S41,V41,Y41,D41,))</f>
        <v>0</v>
      </c>
      <c r="AF41" s="1185"/>
      <c r="AG41" s="1188"/>
      <c r="AH41" s="1174">
        <f>IF(B41="","",RANK(AE41,ГР6О))</f>
        <v>8</v>
      </c>
    </row>
    <row r="42" spans="1:34" ht="12" hidden="1" customHeight="1" outlineLevel="1" x14ac:dyDescent="0.2">
      <c r="A42" s="1164"/>
      <c r="B42" s="1166"/>
      <c r="C42" s="457" t="e">
        <f>IF(B41="","",VLOOKUP(B41,'Списки участников'!A:I,6,FALSE))</f>
        <v>#N/A</v>
      </c>
      <c r="D42" s="464" t="str">
        <f>IF(AB26="","",IF(AD26="l","W",AD26))</f>
        <v/>
      </c>
      <c r="E42" s="459" t="str">
        <f>IF(AC26="","",":")</f>
        <v/>
      </c>
      <c r="F42" s="465" t="str">
        <f>IF(AD26="","",IF(AB26="W","L",AB26))</f>
        <v/>
      </c>
      <c r="G42" s="464" t="str">
        <f>IF(AB28="","",IF(AD28="l","W",AD28))</f>
        <v/>
      </c>
      <c r="H42" s="459" t="str">
        <f>IF(AC28="","",":")</f>
        <v/>
      </c>
      <c r="I42" s="465" t="str">
        <f>IF(AD28="","",IF(AB28="W","L",AB28))</f>
        <v/>
      </c>
      <c r="J42" s="464" t="str">
        <f>IF(AB30="","",IF(AD30="l","W",AD30))</f>
        <v/>
      </c>
      <c r="K42" s="459" t="str">
        <f>IF(AC30="","",":")</f>
        <v/>
      </c>
      <c r="L42" s="465" t="str">
        <f>IF(AD30="","",IF(AB30="W","L",AB30))</f>
        <v/>
      </c>
      <c r="M42" s="464" t="str">
        <f>IF(AB32="","",IF(AD32="l","W",AD32))</f>
        <v/>
      </c>
      <c r="N42" s="459" t="str">
        <f>IF(AC32="","",":")</f>
        <v/>
      </c>
      <c r="O42" s="465" t="str">
        <f>IF(AD32="","",IF(AB32="W","L",AB32))</f>
        <v/>
      </c>
      <c r="P42" s="464" t="str">
        <f>IF(AB34="","",IF(AD34="l","W",AD34))</f>
        <v/>
      </c>
      <c r="Q42" s="459" t="str">
        <f>IF(AC34="","",":")</f>
        <v/>
      </c>
      <c r="R42" s="465" t="str">
        <f>IF(AD34="","",IF(AB34="W","L",AB34))</f>
        <v/>
      </c>
      <c r="S42" s="464" t="str">
        <f>IF(AB36="","",IF(AD36="l","W",AD36))</f>
        <v/>
      </c>
      <c r="T42" s="459" t="str">
        <f>IF(AC36="","",":")</f>
        <v/>
      </c>
      <c r="U42" s="465" t="str">
        <f>IF(AD36="","",IF(AB36="W","L",AB36))</f>
        <v/>
      </c>
      <c r="V42" s="464" t="str">
        <f>IF(AB38="","",IF(AD38="l","W",AD38))</f>
        <v/>
      </c>
      <c r="W42" s="459" t="str">
        <f>IF(AC38="","",":")</f>
        <v/>
      </c>
      <c r="X42" s="465" t="str">
        <f>IF(AD38="","",IF(AB38="W","L",AB38))</f>
        <v/>
      </c>
      <c r="Y42" s="464" t="str">
        <f>IF(AB40="","",IF(AD40="l","W",AD40))</f>
        <v/>
      </c>
      <c r="Z42" s="459" t="str">
        <f>IF(AC40="","",":")</f>
        <v/>
      </c>
      <c r="AA42" s="465" t="str">
        <f>IF(AD40="","",IF(AB40="W","L",AB40))</f>
        <v/>
      </c>
      <c r="AB42" s="1183"/>
      <c r="AC42" s="1169"/>
      <c r="AD42" s="1170"/>
      <c r="AE42" s="1186"/>
      <c r="AF42" s="1187"/>
      <c r="AG42" s="1189"/>
      <c r="AH42" s="1174"/>
    </row>
    <row r="43" spans="1:34" ht="12" customHeight="1" collapsed="1" x14ac:dyDescent="0.25">
      <c r="A43" s="135"/>
      <c r="B43" s="135"/>
      <c r="C43" s="954" t="s">
        <v>765</v>
      </c>
      <c r="D43" s="135"/>
      <c r="E43" s="135"/>
      <c r="F43" s="135"/>
      <c r="G43" s="1192" t="s">
        <v>997</v>
      </c>
      <c r="H43" s="1192"/>
      <c r="I43" s="1192"/>
      <c r="J43" s="1192"/>
      <c r="K43" s="1192"/>
      <c r="L43" s="1192"/>
      <c r="M43" s="1192"/>
      <c r="N43" s="1192"/>
      <c r="O43" s="1192"/>
      <c r="P43" s="1192"/>
      <c r="Q43" s="1192"/>
      <c r="R43" s="1192"/>
      <c r="S43" s="1192"/>
      <c r="T43" s="1192"/>
      <c r="U43" s="1192"/>
      <c r="V43" s="1192"/>
      <c r="W43" s="1192"/>
      <c r="X43" s="1192"/>
      <c r="Y43" s="1192"/>
      <c r="Z43" s="1192"/>
      <c r="AA43" s="1192"/>
      <c r="AB43" s="135"/>
      <c r="AC43" s="135"/>
      <c r="AD43" s="135"/>
      <c r="AE43" s="135"/>
      <c r="AF43" s="135"/>
      <c r="AG43" s="135"/>
      <c r="AH43" s="135"/>
    </row>
    <row r="44" spans="1:34" ht="12" customHeight="1" x14ac:dyDescent="0.2">
      <c r="A44" s="136" t="s">
        <v>3</v>
      </c>
      <c r="B44" s="862"/>
      <c r="C44" s="138" t="s">
        <v>788</v>
      </c>
      <c r="D44" s="1158">
        <v>1</v>
      </c>
      <c r="E44" s="1159"/>
      <c r="F44" s="1160"/>
      <c r="G44" s="1158">
        <v>2</v>
      </c>
      <c r="H44" s="1159"/>
      <c r="I44" s="1160"/>
      <c r="J44" s="1158">
        <v>3</v>
      </c>
      <c r="K44" s="1159"/>
      <c r="L44" s="1160"/>
      <c r="M44" s="1158">
        <v>4</v>
      </c>
      <c r="N44" s="1159"/>
      <c r="O44" s="1160"/>
      <c r="P44" s="1158">
        <v>5</v>
      </c>
      <c r="Q44" s="1159"/>
      <c r="R44" s="1160"/>
      <c r="S44" s="1158">
        <v>6</v>
      </c>
      <c r="T44" s="1159"/>
      <c r="U44" s="1160"/>
      <c r="V44" s="1158">
        <v>7</v>
      </c>
      <c r="W44" s="1159"/>
      <c r="X44" s="1160"/>
      <c r="Y44" s="1158">
        <v>8</v>
      </c>
      <c r="Z44" s="1159"/>
      <c r="AA44" s="1160"/>
      <c r="AB44" s="1158">
        <v>9</v>
      </c>
      <c r="AC44" s="1159"/>
      <c r="AD44" s="1160"/>
      <c r="AE44" s="1161" t="s">
        <v>789</v>
      </c>
      <c r="AF44" s="1162"/>
      <c r="AG44" s="863" t="s">
        <v>790</v>
      </c>
      <c r="AH44" s="455" t="s">
        <v>100</v>
      </c>
    </row>
    <row r="45" spans="1:34" ht="12" customHeight="1" x14ac:dyDescent="0.2">
      <c r="A45" s="1163">
        <v>1</v>
      </c>
      <c r="B45" s="1193">
        <f>жеребьевка!L26</f>
        <v>7</v>
      </c>
      <c r="C45" s="456" t="str">
        <f>IF(B45="","",VLOOKUP(B45,'Списки участников'!A:I,3,FALSE))</f>
        <v>КАЛИМУЛЛИН Камиль</v>
      </c>
      <c r="D45" s="1167"/>
      <c r="E45" s="1167"/>
      <c r="F45" s="1168"/>
      <c r="G45" s="1171">
        <v>2</v>
      </c>
      <c r="H45" s="1172"/>
      <c r="I45" s="1173"/>
      <c r="J45" s="1171">
        <v>2</v>
      </c>
      <c r="K45" s="1172"/>
      <c r="L45" s="1173"/>
      <c r="M45" s="1171">
        <v>2</v>
      </c>
      <c r="N45" s="1172"/>
      <c r="O45" s="1173"/>
      <c r="P45" s="1171">
        <v>2</v>
      </c>
      <c r="Q45" s="1172"/>
      <c r="R45" s="1173"/>
      <c r="S45" s="1171">
        <v>2</v>
      </c>
      <c r="T45" s="1172"/>
      <c r="U45" s="1173"/>
      <c r="V45" s="1171">
        <v>2</v>
      </c>
      <c r="W45" s="1172"/>
      <c r="X45" s="1173"/>
      <c r="Y45" s="1171"/>
      <c r="Z45" s="1172"/>
      <c r="AA45" s="1173"/>
      <c r="AB45" s="1171"/>
      <c r="AC45" s="1172"/>
      <c r="AD45" s="1173"/>
      <c r="AE45" s="1184">
        <f>IF(B45="","",SUM(G45,J45,M45,P45,S45,V45,Y45,AB45,))</f>
        <v>12</v>
      </c>
      <c r="AF45" s="1185"/>
      <c r="AG45" s="1175"/>
      <c r="AH45" s="1174">
        <f>IF(B45="","",RANK(AE45,ГР7О))</f>
        <v>1</v>
      </c>
    </row>
    <row r="46" spans="1:34" ht="12" customHeight="1" x14ac:dyDescent="0.2">
      <c r="A46" s="1164"/>
      <c r="B46" s="1194"/>
      <c r="C46" s="457" t="str">
        <f>IF(B45="","",VLOOKUP(B45,'Списки участников'!A:I,6,FALSE))</f>
        <v>Москва</v>
      </c>
      <c r="D46" s="1169"/>
      <c r="E46" s="1169"/>
      <c r="F46" s="1170"/>
      <c r="G46" s="458">
        <v>2</v>
      </c>
      <c r="H46" s="459" t="str">
        <f>IF(G45="","",":")</f>
        <v>:</v>
      </c>
      <c r="I46" s="460">
        <v>0</v>
      </c>
      <c r="J46" s="458">
        <v>2</v>
      </c>
      <c r="K46" s="459" t="str">
        <f>IF(J45="","",":")</f>
        <v>:</v>
      </c>
      <c r="L46" s="460">
        <v>0</v>
      </c>
      <c r="M46" s="458">
        <v>2</v>
      </c>
      <c r="N46" s="459" t="str">
        <f>IF(M46="","",":")</f>
        <v>:</v>
      </c>
      <c r="O46" s="460">
        <v>0</v>
      </c>
      <c r="P46" s="458">
        <v>2</v>
      </c>
      <c r="Q46" s="459" t="str">
        <f>IF(P46="","",":")</f>
        <v>:</v>
      </c>
      <c r="R46" s="460">
        <v>0</v>
      </c>
      <c r="S46" s="458">
        <v>2</v>
      </c>
      <c r="T46" s="459" t="str">
        <f>IF(S46="","",":")</f>
        <v>:</v>
      </c>
      <c r="U46" s="460">
        <v>0</v>
      </c>
      <c r="V46" s="458">
        <v>2</v>
      </c>
      <c r="W46" s="459" t="str">
        <f>IF(V46="","",":")</f>
        <v>:</v>
      </c>
      <c r="X46" s="460">
        <v>0</v>
      </c>
      <c r="Y46" s="458"/>
      <c r="Z46" s="459" t="str">
        <f>IF(Y46="","",":")</f>
        <v/>
      </c>
      <c r="AA46" s="460"/>
      <c r="AB46" s="458"/>
      <c r="AC46" s="459" t="str">
        <f>IF(AB46="","",":")</f>
        <v/>
      </c>
      <c r="AD46" s="460"/>
      <c r="AE46" s="1186"/>
      <c r="AF46" s="1187"/>
      <c r="AG46" s="1176"/>
      <c r="AH46" s="1174"/>
    </row>
    <row r="47" spans="1:34" ht="12" customHeight="1" x14ac:dyDescent="0.2">
      <c r="A47" s="1163">
        <v>2</v>
      </c>
      <c r="B47" s="1193">
        <f>жеребьевка!L28</f>
        <v>28</v>
      </c>
      <c r="C47" s="456" t="str">
        <f>IF(B47="","",VLOOKUP(B47,'Списки участников'!A:I,3,FALSE))</f>
        <v>НИКИШАЕВ Матвей</v>
      </c>
      <c r="D47" s="1177">
        <f>IF(G45="","",IF(G46="W",0,IF(G45=2,1,IF(G45=1,2,IF(G45=0,2)))))</f>
        <v>1</v>
      </c>
      <c r="E47" s="1178"/>
      <c r="F47" s="1179"/>
      <c r="G47" s="1180"/>
      <c r="H47" s="1181"/>
      <c r="I47" s="1182"/>
      <c r="J47" s="1171">
        <v>1</v>
      </c>
      <c r="K47" s="1172"/>
      <c r="L47" s="1173"/>
      <c r="M47" s="1171">
        <v>2</v>
      </c>
      <c r="N47" s="1172"/>
      <c r="O47" s="1173"/>
      <c r="P47" s="1171">
        <v>2</v>
      </c>
      <c r="Q47" s="1172"/>
      <c r="R47" s="1173"/>
      <c r="S47" s="1171">
        <v>2</v>
      </c>
      <c r="T47" s="1172"/>
      <c r="U47" s="1173"/>
      <c r="V47" s="1171">
        <v>2</v>
      </c>
      <c r="W47" s="1172"/>
      <c r="X47" s="1173"/>
      <c r="Y47" s="1171"/>
      <c r="Z47" s="1172"/>
      <c r="AA47" s="1173"/>
      <c r="AB47" s="1171"/>
      <c r="AC47" s="1172"/>
      <c r="AD47" s="1173"/>
      <c r="AE47" s="1184">
        <f>IF(B47="","",SUM(D47,J47,M47,P47,S47,V47,Y47,AB47,))</f>
        <v>10</v>
      </c>
      <c r="AF47" s="1185"/>
      <c r="AG47" s="1175">
        <v>1.26</v>
      </c>
      <c r="AH47" s="1174">
        <f>IF(B47="","",RANK(AE47,ГР7О))</f>
        <v>2</v>
      </c>
    </row>
    <row r="48" spans="1:34" ht="12" customHeight="1" x14ac:dyDescent="0.2">
      <c r="A48" s="1164"/>
      <c r="B48" s="1194"/>
      <c r="C48" s="457" t="str">
        <f>IF(B47="","",VLOOKUP(B47,'Списки участников'!A:I,6,FALSE))</f>
        <v>Москва</v>
      </c>
      <c r="D48" s="461">
        <f>IF(G46="","",IF(I46="l","W",I46))</f>
        <v>0</v>
      </c>
      <c r="E48" s="462" t="str">
        <f>IF(G45="","",":")</f>
        <v>:</v>
      </c>
      <c r="F48" s="463">
        <f>IF(I46="","",IF(G46="W","L",G46))</f>
        <v>2</v>
      </c>
      <c r="G48" s="1183"/>
      <c r="H48" s="1169"/>
      <c r="I48" s="1170"/>
      <c r="J48" s="458">
        <v>0</v>
      </c>
      <c r="K48" s="459" t="str">
        <f>IF(J47="","",":")</f>
        <v>:</v>
      </c>
      <c r="L48" s="460">
        <v>2</v>
      </c>
      <c r="M48" s="458">
        <v>2</v>
      </c>
      <c r="N48" s="459" t="str">
        <f>IF(M47="","",":")</f>
        <v>:</v>
      </c>
      <c r="O48" s="460">
        <v>0</v>
      </c>
      <c r="P48" s="458">
        <v>2</v>
      </c>
      <c r="Q48" s="459" t="str">
        <f>IF(P47="","",":")</f>
        <v>:</v>
      </c>
      <c r="R48" s="460">
        <v>0</v>
      </c>
      <c r="S48" s="458">
        <v>2</v>
      </c>
      <c r="T48" s="459" t="str">
        <f>IF(S48="","",":")</f>
        <v>:</v>
      </c>
      <c r="U48" s="460">
        <v>0</v>
      </c>
      <c r="V48" s="458">
        <v>2</v>
      </c>
      <c r="W48" s="459" t="str">
        <f>IF(V48="","",":")</f>
        <v>:</v>
      </c>
      <c r="X48" s="460">
        <v>0</v>
      </c>
      <c r="Y48" s="458"/>
      <c r="Z48" s="459" t="str">
        <f>IF(Y48="","",":")</f>
        <v/>
      </c>
      <c r="AA48" s="460"/>
      <c r="AB48" s="458"/>
      <c r="AC48" s="459" t="str">
        <f>IF(AB48="","",":")</f>
        <v/>
      </c>
      <c r="AD48" s="460"/>
      <c r="AE48" s="1186"/>
      <c r="AF48" s="1187"/>
      <c r="AG48" s="1176"/>
      <c r="AH48" s="1174"/>
    </row>
    <row r="49" spans="1:34" ht="12" customHeight="1" x14ac:dyDescent="0.2">
      <c r="A49" s="1163">
        <v>3</v>
      </c>
      <c r="B49" s="1193">
        <f>жеребьевка!L30</f>
        <v>41</v>
      </c>
      <c r="C49" s="456" t="str">
        <f>IF(B49="","",VLOOKUP(B49,'Списки участников'!A:I,3,FALSE))</f>
        <v>ДУБРОВСКИЙ Иван</v>
      </c>
      <c r="D49" s="1177">
        <f>IF(J45="","",IF(J46="W",0,IF(J45=2,1,IF(J45=1,2,IF(J45=0,2)))))</f>
        <v>1</v>
      </c>
      <c r="E49" s="1178"/>
      <c r="F49" s="1179"/>
      <c r="G49" s="1171">
        <f>IF(J47="","",IF(J48="W",0,IF(J47=2,1,IF(J47=1,2,IF(J47=0,2)))))</f>
        <v>2</v>
      </c>
      <c r="H49" s="1172"/>
      <c r="I49" s="1173"/>
      <c r="J49" s="1180"/>
      <c r="K49" s="1181"/>
      <c r="L49" s="1182"/>
      <c r="M49" s="1171">
        <v>2</v>
      </c>
      <c r="N49" s="1172"/>
      <c r="O49" s="1173"/>
      <c r="P49" s="1171">
        <v>2</v>
      </c>
      <c r="Q49" s="1172"/>
      <c r="R49" s="1173"/>
      <c r="S49" s="1171">
        <v>2</v>
      </c>
      <c r="T49" s="1172"/>
      <c r="U49" s="1173"/>
      <c r="V49" s="1171">
        <v>1</v>
      </c>
      <c r="W49" s="1172"/>
      <c r="X49" s="1173"/>
      <c r="Y49" s="1171"/>
      <c r="Z49" s="1172"/>
      <c r="AA49" s="1173"/>
      <c r="AB49" s="1171"/>
      <c r="AC49" s="1172"/>
      <c r="AD49" s="1173"/>
      <c r="AE49" s="1184">
        <f>IF(B49="","",SUM(G49,D49,M49,P49,S49,V49,Y49,AB49,))</f>
        <v>10</v>
      </c>
      <c r="AF49" s="1185"/>
      <c r="AG49" s="1188">
        <v>0.97</v>
      </c>
      <c r="AH49" s="1174">
        <v>3</v>
      </c>
    </row>
    <row r="50" spans="1:34" ht="12" customHeight="1" x14ac:dyDescent="0.2">
      <c r="A50" s="1164"/>
      <c r="B50" s="1194"/>
      <c r="C50" s="457" t="str">
        <f>IF(B49="","",VLOOKUP(B49,'Списки участников'!A:I,6,FALSE))</f>
        <v>Калуга</v>
      </c>
      <c r="D50" s="464">
        <f>IF(J46="","",IF(L46="l","W",L46))</f>
        <v>0</v>
      </c>
      <c r="E50" s="459" t="str">
        <f>IF(K46="","",":")</f>
        <v>:</v>
      </c>
      <c r="F50" s="465">
        <f>IF(L46="","",IF(J46="W","L",J46))</f>
        <v>2</v>
      </c>
      <c r="G50" s="464">
        <f>IF(J48="","",IF(L48="l","W",L48))</f>
        <v>2</v>
      </c>
      <c r="H50" s="459" t="str">
        <f>IF(K48="","",":")</f>
        <v>:</v>
      </c>
      <c r="I50" s="465">
        <f>IF(L48="","",IF(J48="W","L",J48))</f>
        <v>0</v>
      </c>
      <c r="J50" s="1183"/>
      <c r="K50" s="1169"/>
      <c r="L50" s="1170"/>
      <c r="M50" s="458">
        <v>2</v>
      </c>
      <c r="N50" s="459" t="str">
        <f>IF(M49="","",":")</f>
        <v>:</v>
      </c>
      <c r="O50" s="460">
        <v>0</v>
      </c>
      <c r="P50" s="458">
        <v>2</v>
      </c>
      <c r="Q50" s="459" t="str">
        <f>IF(P49="","",":")</f>
        <v>:</v>
      </c>
      <c r="R50" s="460">
        <v>0</v>
      </c>
      <c r="S50" s="458">
        <v>2</v>
      </c>
      <c r="T50" s="459" t="str">
        <f>IF(S49="","",":")</f>
        <v>:</v>
      </c>
      <c r="U50" s="460">
        <v>0</v>
      </c>
      <c r="V50" s="458">
        <v>0</v>
      </c>
      <c r="W50" s="459" t="str">
        <f>IF(V50="","",":")</f>
        <v>:</v>
      </c>
      <c r="X50" s="460">
        <v>2</v>
      </c>
      <c r="Y50" s="458"/>
      <c r="Z50" s="459" t="str">
        <f>IF(Y50="","",":")</f>
        <v/>
      </c>
      <c r="AA50" s="460"/>
      <c r="AB50" s="458"/>
      <c r="AC50" s="459" t="str">
        <f>IF(AB50="","",":")</f>
        <v/>
      </c>
      <c r="AD50" s="460"/>
      <c r="AE50" s="1186"/>
      <c r="AF50" s="1187"/>
      <c r="AG50" s="1189"/>
      <c r="AH50" s="1174"/>
    </row>
    <row r="51" spans="1:34" ht="12" customHeight="1" x14ac:dyDescent="0.2">
      <c r="A51" s="1163">
        <v>4</v>
      </c>
      <c r="B51" s="1193">
        <f>жеребьевка!L32</f>
        <v>60</v>
      </c>
      <c r="C51" s="456" t="str">
        <f>IF(B51="","",VLOOKUP(B51,'Списки участников'!A:I,3,FALSE))</f>
        <v>АВЕРИН Денис</v>
      </c>
      <c r="D51" s="1171">
        <f>IF(M45="","",IF(M46="W",0,IF(M45=2,1,IF(M45=1,2,IF(M45=0,2)))))</f>
        <v>1</v>
      </c>
      <c r="E51" s="1172"/>
      <c r="F51" s="1173"/>
      <c r="G51" s="1171">
        <f>IF(M47="","",IF(M48="W",0,IF(M47=2,1,IF(M47=1,2,IF(M47=0,2)))))</f>
        <v>1</v>
      </c>
      <c r="H51" s="1172"/>
      <c r="I51" s="1173"/>
      <c r="J51" s="1171">
        <f>IF(M49="","",IF(M50="W",0,IF(M49=2,1,IF(M49=1,2,IF(M49=0,2)))))</f>
        <v>1</v>
      </c>
      <c r="K51" s="1172"/>
      <c r="L51" s="1173"/>
      <c r="M51" s="1181"/>
      <c r="N51" s="1181"/>
      <c r="O51" s="1181"/>
      <c r="P51" s="1171">
        <v>2</v>
      </c>
      <c r="Q51" s="1172"/>
      <c r="R51" s="1173"/>
      <c r="S51" s="1171">
        <v>2</v>
      </c>
      <c r="T51" s="1172"/>
      <c r="U51" s="1173"/>
      <c r="V51" s="1171">
        <v>1</v>
      </c>
      <c r="W51" s="1172"/>
      <c r="X51" s="1173"/>
      <c r="Y51" s="1171"/>
      <c r="Z51" s="1172"/>
      <c r="AA51" s="1173"/>
      <c r="AB51" s="1171"/>
      <c r="AC51" s="1172"/>
      <c r="AD51" s="1173"/>
      <c r="AE51" s="1184">
        <f>IF(B51="","",SUM(G51,J51,D51,P51,S51,V51,Y51,AB51,))</f>
        <v>8</v>
      </c>
      <c r="AF51" s="1185"/>
      <c r="AG51" s="1188"/>
      <c r="AH51" s="1174">
        <f>IF(B51="","",RANK(AE51,ГР7О))</f>
        <v>5</v>
      </c>
    </row>
    <row r="52" spans="1:34" ht="12" customHeight="1" x14ac:dyDescent="0.2">
      <c r="A52" s="1164"/>
      <c r="B52" s="1195"/>
      <c r="C52" s="457" t="str">
        <f>IF(B51="","",VLOOKUP(B51,'Списки участников'!A:I,6,FALSE))</f>
        <v>Электросталь</v>
      </c>
      <c r="D52" s="464">
        <f>IF(M46="","",IF(O46="l","W",O46))</f>
        <v>0</v>
      </c>
      <c r="E52" s="459" t="str">
        <f>IF(N46="","",":")</f>
        <v>:</v>
      </c>
      <c r="F52" s="465">
        <f>IF(O46="","",IF(M46="W","L",M46))</f>
        <v>2</v>
      </c>
      <c r="G52" s="464">
        <f>IF(M48="","",IF(O48="l","W",O48))</f>
        <v>0</v>
      </c>
      <c r="H52" s="459" t="str">
        <f>IF(N48="","",":")</f>
        <v>:</v>
      </c>
      <c r="I52" s="465">
        <f>IF(O48="","",IF(M48="W","L",M48))</f>
        <v>2</v>
      </c>
      <c r="J52" s="464">
        <f>IF(M50="","",IF(O50="l","W",O50))</f>
        <v>0</v>
      </c>
      <c r="K52" s="459" t="str">
        <f>IF(N50="","",":")</f>
        <v>:</v>
      </c>
      <c r="L52" s="465">
        <f>IF(O50="","",IF(M50="W","L",M50))</f>
        <v>2</v>
      </c>
      <c r="M52" s="1190"/>
      <c r="N52" s="1190"/>
      <c r="O52" s="1190"/>
      <c r="P52" s="458">
        <v>2</v>
      </c>
      <c r="Q52" s="459" t="str">
        <f>IF(P51="","",":")</f>
        <v>:</v>
      </c>
      <c r="R52" s="460">
        <v>1</v>
      </c>
      <c r="S52" s="458">
        <v>2</v>
      </c>
      <c r="T52" s="459" t="str">
        <f>IF(S51="","",":")</f>
        <v>:</v>
      </c>
      <c r="U52" s="460">
        <v>1</v>
      </c>
      <c r="V52" s="458">
        <v>1</v>
      </c>
      <c r="W52" s="459" t="str">
        <f>IF(V51="","",":")</f>
        <v>:</v>
      </c>
      <c r="X52" s="460">
        <v>2</v>
      </c>
      <c r="Y52" s="458"/>
      <c r="Z52" s="459" t="str">
        <f>IF(Y52="","",":")</f>
        <v/>
      </c>
      <c r="AA52" s="460"/>
      <c r="AB52" s="458"/>
      <c r="AC52" s="459" t="str">
        <f>IF(AB52="","",":")</f>
        <v/>
      </c>
      <c r="AD52" s="460"/>
      <c r="AE52" s="1186"/>
      <c r="AF52" s="1187"/>
      <c r="AG52" s="1189"/>
      <c r="AH52" s="1174"/>
    </row>
    <row r="53" spans="1:34" ht="12" customHeight="1" x14ac:dyDescent="0.2">
      <c r="A53" s="1163">
        <v>5</v>
      </c>
      <c r="B53" s="1193">
        <f>жеребьевка!L34</f>
        <v>73</v>
      </c>
      <c r="C53" s="456" t="str">
        <f>IF(B53="","",VLOOKUP(B53,'Списки участников'!A:I,3,FALSE))</f>
        <v>РЫЖОВ Петр</v>
      </c>
      <c r="D53" s="1171">
        <f>IF(P45="","",IF(P46="W",0,IF(P45=2,1,IF(P45=1,2,IF(P45=0,2)))))</f>
        <v>1</v>
      </c>
      <c r="E53" s="1172"/>
      <c r="F53" s="1173"/>
      <c r="G53" s="1171">
        <f>IF(P47="","",IF(P48="W",0,IF(P47=2,1,IF(P47=1,2,IF(P47=0,2)))))</f>
        <v>1</v>
      </c>
      <c r="H53" s="1172"/>
      <c r="I53" s="1173"/>
      <c r="J53" s="1171">
        <f>IF(P49="","",IF(P50="W",0,IF(P49=2,1,IF(P49=1,2,IF(P49=0,2)))))</f>
        <v>1</v>
      </c>
      <c r="K53" s="1172"/>
      <c r="L53" s="1173"/>
      <c r="M53" s="1171">
        <f>IF(P51="","",IF(P52="W",0,IF(P51=2,1,IF(P51=1,2,IF(P51=0,2)))))</f>
        <v>1</v>
      </c>
      <c r="N53" s="1172"/>
      <c r="O53" s="1173"/>
      <c r="P53" s="1180"/>
      <c r="Q53" s="1181"/>
      <c r="R53" s="1182"/>
      <c r="S53" s="1171">
        <v>2</v>
      </c>
      <c r="T53" s="1172"/>
      <c r="U53" s="1173"/>
      <c r="V53" s="1171">
        <v>1</v>
      </c>
      <c r="W53" s="1172"/>
      <c r="X53" s="1173"/>
      <c r="Y53" s="1171"/>
      <c r="Z53" s="1172"/>
      <c r="AA53" s="1173"/>
      <c r="AB53" s="1171"/>
      <c r="AC53" s="1172"/>
      <c r="AD53" s="1173"/>
      <c r="AE53" s="1184">
        <f>IF(B53="","",SUM(G53,J53,M53,D53,S53,V53,Y53,AB53,))</f>
        <v>7</v>
      </c>
      <c r="AF53" s="1185"/>
      <c r="AG53" s="1188"/>
      <c r="AH53" s="1174">
        <f>IF(B53="","",RANK(AE53,ГР7О))</f>
        <v>6</v>
      </c>
    </row>
    <row r="54" spans="1:34" ht="12" customHeight="1" x14ac:dyDescent="0.2">
      <c r="A54" s="1164"/>
      <c r="B54" s="1195"/>
      <c r="C54" s="457" t="str">
        <f>IF(B53="","",VLOOKUP(B53,'Списки участников'!A:I,6,FALSE))</f>
        <v>Москва</v>
      </c>
      <c r="D54" s="464">
        <f>IF(P46="","",IF(R46="l","W",R46))</f>
        <v>0</v>
      </c>
      <c r="E54" s="459" t="str">
        <f>IF(Q46="","",":")</f>
        <v>:</v>
      </c>
      <c r="F54" s="465">
        <f>IF(R46="","",IF(P46="W","L",P46))</f>
        <v>2</v>
      </c>
      <c r="G54" s="464">
        <f>IF(P48="","",IF(R48="l","W",R48))</f>
        <v>0</v>
      </c>
      <c r="H54" s="459" t="str">
        <f>IF(Q48="","",":")</f>
        <v>:</v>
      </c>
      <c r="I54" s="465">
        <f>IF(R48="","",IF(P48="W","L",P48))</f>
        <v>2</v>
      </c>
      <c r="J54" s="464">
        <f>IF(P50="","",IF(R50="l","W",R50))</f>
        <v>0</v>
      </c>
      <c r="K54" s="459" t="str">
        <f>IF(Q50="","",":")</f>
        <v>:</v>
      </c>
      <c r="L54" s="465">
        <f>IF(R50="","",IF(P50="W","L",P50))</f>
        <v>2</v>
      </c>
      <c r="M54" s="464">
        <f>IF(P52="","",IF(R52="l","W",R52))</f>
        <v>1</v>
      </c>
      <c r="N54" s="459" t="str">
        <f>IF(Q52="","",":")</f>
        <v>:</v>
      </c>
      <c r="O54" s="465">
        <f>IF(R52="","",IF(P52="W","L",P52))</f>
        <v>2</v>
      </c>
      <c r="P54" s="1183"/>
      <c r="Q54" s="1169"/>
      <c r="R54" s="1170"/>
      <c r="S54" s="458">
        <v>2</v>
      </c>
      <c r="T54" s="459" t="str">
        <f>IF(S53="","",":")</f>
        <v>:</v>
      </c>
      <c r="U54" s="460">
        <v>1</v>
      </c>
      <c r="V54" s="458">
        <v>1</v>
      </c>
      <c r="W54" s="459" t="str">
        <f>IF(V53="","",":")</f>
        <v>:</v>
      </c>
      <c r="X54" s="460">
        <v>2</v>
      </c>
      <c r="Y54" s="458"/>
      <c r="Z54" s="459" t="str">
        <f>IF(Y53="","",":")</f>
        <v/>
      </c>
      <c r="AA54" s="460"/>
      <c r="AB54" s="458"/>
      <c r="AC54" s="459" t="str">
        <f>IF(AB54="","",":")</f>
        <v/>
      </c>
      <c r="AD54" s="460"/>
      <c r="AE54" s="1186"/>
      <c r="AF54" s="1187"/>
      <c r="AG54" s="1189"/>
      <c r="AH54" s="1174"/>
    </row>
    <row r="55" spans="1:34" ht="12" customHeight="1" x14ac:dyDescent="0.2">
      <c r="A55" s="1163">
        <v>6</v>
      </c>
      <c r="B55" s="1196">
        <f>жеребьевка!L36</f>
        <v>92</v>
      </c>
      <c r="C55" s="456" t="str">
        <f>IF(B55="","",VLOOKUP(B55,'Списки участников'!A:I,3,FALSE))</f>
        <v>СОРОКИН Николай</v>
      </c>
      <c r="D55" s="1171">
        <f>IF(S45="","",IF(S46="W",0,IF(S45=2,1,IF(S45=1,2,IF(S45=0,2)))))</f>
        <v>1</v>
      </c>
      <c r="E55" s="1172"/>
      <c r="F55" s="1173"/>
      <c r="G55" s="1171">
        <f>IF(S47="","",IF(S48="W",0,IF(S47=2,1,IF(S47=1,2,IF(S47=0,2)))))</f>
        <v>1</v>
      </c>
      <c r="H55" s="1172"/>
      <c r="I55" s="1173"/>
      <c r="J55" s="1171">
        <f>IF(S49="","",IF(S50="W",0,IF(S49=2,1,IF(S49=1,2,IF(S49=0,2)))))</f>
        <v>1</v>
      </c>
      <c r="K55" s="1172"/>
      <c r="L55" s="1173"/>
      <c r="M55" s="1171">
        <f>IF(S51="","",IF(S52="W",0,IF(S51=2,1,IF(S51=1,2,IF(S51=0,2)))))</f>
        <v>1</v>
      </c>
      <c r="N55" s="1172"/>
      <c r="O55" s="1173"/>
      <c r="P55" s="1171">
        <f>IF(S53="","",IF(S54="W",0,IF(S53=2,1,IF(S53=1,2,IF(S53=0,2)))))</f>
        <v>1</v>
      </c>
      <c r="Q55" s="1172"/>
      <c r="R55" s="1173"/>
      <c r="S55" s="1180"/>
      <c r="T55" s="1181"/>
      <c r="U55" s="1182"/>
      <c r="V55" s="1171">
        <v>1</v>
      </c>
      <c r="W55" s="1172"/>
      <c r="X55" s="1173"/>
      <c r="Y55" s="1171"/>
      <c r="Z55" s="1172"/>
      <c r="AA55" s="1173"/>
      <c r="AB55" s="1171"/>
      <c r="AC55" s="1172"/>
      <c r="AD55" s="1173"/>
      <c r="AE55" s="1184">
        <f>IF(B55="","",SUM(G55,J55,M55,P55,D55,V55,Y55,AB55,))</f>
        <v>6</v>
      </c>
      <c r="AF55" s="1185"/>
      <c r="AG55" s="1188"/>
      <c r="AH55" s="1174">
        <f>IF(B55="","",RANK(AE55,ГР7О))</f>
        <v>7</v>
      </c>
    </row>
    <row r="56" spans="1:34" ht="12" customHeight="1" x14ac:dyDescent="0.2">
      <c r="A56" s="1164"/>
      <c r="B56" s="1197"/>
      <c r="C56" s="457" t="str">
        <f>IF(B55="","",VLOOKUP(B55,'Списки участников'!A:I,6,FALSE))</f>
        <v>Ильинский</v>
      </c>
      <c r="D56" s="464">
        <f>IF(S46="","",IF(U46="l","W",U46))</f>
        <v>0</v>
      </c>
      <c r="E56" s="459" t="str">
        <f>IF(T46="","",":")</f>
        <v>:</v>
      </c>
      <c r="F56" s="465">
        <f>IF(U46="","",IF(S46="W","L",S46))</f>
        <v>2</v>
      </c>
      <c r="G56" s="464">
        <f>IF(S48="","",IF(U48="l","W",U48))</f>
        <v>0</v>
      </c>
      <c r="H56" s="459" t="str">
        <f>IF(T48="","",":")</f>
        <v>:</v>
      </c>
      <c r="I56" s="465">
        <f>IF(U48="","",IF(S48="W","L",S48))</f>
        <v>2</v>
      </c>
      <c r="J56" s="464">
        <f>IF(S50="","",IF(U50="l","W",U50))</f>
        <v>0</v>
      </c>
      <c r="K56" s="459" t="str">
        <f>IF(T50="","",":")</f>
        <v>:</v>
      </c>
      <c r="L56" s="465">
        <f>IF(U50="","",IF(S50="W","L",S50))</f>
        <v>2</v>
      </c>
      <c r="M56" s="464">
        <f>IF(S52="","",IF(U52="l","W",U52))</f>
        <v>1</v>
      </c>
      <c r="N56" s="459" t="str">
        <f>IF(T52="","",":")</f>
        <v>:</v>
      </c>
      <c r="O56" s="465">
        <f>IF(U52="","",IF(S52="W","L",S52))</f>
        <v>2</v>
      </c>
      <c r="P56" s="464">
        <f>IF(S54="","",IF(U54="l","W",U54))</f>
        <v>1</v>
      </c>
      <c r="Q56" s="459" t="str">
        <f>IF(T54="","",":")</f>
        <v>:</v>
      </c>
      <c r="R56" s="465">
        <f>IF(U54="","",IF(S54="W","L",S54))</f>
        <v>2</v>
      </c>
      <c r="S56" s="1183"/>
      <c r="T56" s="1169"/>
      <c r="U56" s="1170"/>
      <c r="V56" s="458">
        <v>0</v>
      </c>
      <c r="W56" s="459" t="str">
        <f>IF(V55="","",":")</f>
        <v>:</v>
      </c>
      <c r="X56" s="460">
        <v>2</v>
      </c>
      <c r="Y56" s="458"/>
      <c r="Z56" s="459" t="str">
        <f>IF(Y55="","",":")</f>
        <v/>
      </c>
      <c r="AA56" s="460"/>
      <c r="AB56" s="458"/>
      <c r="AC56" s="459" t="str">
        <f>IF(AB55="","",":")</f>
        <v/>
      </c>
      <c r="AD56" s="460"/>
      <c r="AE56" s="1186"/>
      <c r="AF56" s="1187"/>
      <c r="AG56" s="1189"/>
      <c r="AH56" s="1174"/>
    </row>
    <row r="57" spans="1:34" ht="12" customHeight="1" x14ac:dyDescent="0.2">
      <c r="A57" s="1163">
        <v>7</v>
      </c>
      <c r="B57" s="1196">
        <f>жеребьевка!L38</f>
        <v>112</v>
      </c>
      <c r="C57" s="456" t="str">
        <f>IF(B57="","",VLOOKUP(B57,'Списки участников'!A:I,3,FALSE))</f>
        <v>ЧЕРНОВ Артемий</v>
      </c>
      <c r="D57" s="1171">
        <f>IF(V45="","",IF(V46="W",0,IF(V45=2,1,IF(V45=1,2,IF(V45=0,2)))))</f>
        <v>1</v>
      </c>
      <c r="E57" s="1172"/>
      <c r="F57" s="1173"/>
      <c r="G57" s="1171">
        <f>IF(V47="","",IF(V48="W",0,IF(V47=2,1,IF(V47=1,2,IF(V47=0,2)))))</f>
        <v>1</v>
      </c>
      <c r="H57" s="1172"/>
      <c r="I57" s="1173"/>
      <c r="J57" s="1171">
        <f>IF(V49="","",IF(V50="W",0,IF(V49=2,1,IF(V49=1,2,IF(V49=0,2)))))</f>
        <v>2</v>
      </c>
      <c r="K57" s="1172"/>
      <c r="L57" s="1173"/>
      <c r="M57" s="1171">
        <f>IF(V51="","",IF(V52="W",0,IF(V51=2,1,IF(V51=1,2,IF(V51=0,2)))))</f>
        <v>2</v>
      </c>
      <c r="N57" s="1172"/>
      <c r="O57" s="1173"/>
      <c r="P57" s="1171">
        <f>IF(V53="","",IF(V54="W",0,IF(V53=2,1,IF(V53=1,2,IF(V53=0,2)))))</f>
        <v>2</v>
      </c>
      <c r="Q57" s="1172"/>
      <c r="R57" s="1173"/>
      <c r="S57" s="1171">
        <f>IF(V55="","",IF(V56="W",0,IF(V55=2,1,IF(V55=1,2,IF(V55=0,2)))))</f>
        <v>2</v>
      </c>
      <c r="T57" s="1172"/>
      <c r="U57" s="1173"/>
      <c r="V57" s="1191"/>
      <c r="W57" s="1167"/>
      <c r="X57" s="1168"/>
      <c r="Y57" s="1171"/>
      <c r="Z57" s="1172"/>
      <c r="AA57" s="1173"/>
      <c r="AB57" s="1171"/>
      <c r="AC57" s="1172"/>
      <c r="AD57" s="1173"/>
      <c r="AE57" s="1184">
        <f>IF(B57="","",SUM(G57,J57,M57,P57,S57,D57,Y57,AB57,))</f>
        <v>10</v>
      </c>
      <c r="AF57" s="1185"/>
      <c r="AG57" s="1188">
        <v>0.81</v>
      </c>
      <c r="AH57" s="1174">
        <v>4</v>
      </c>
    </row>
    <row r="58" spans="1:34" ht="12" customHeight="1" x14ac:dyDescent="0.2">
      <c r="A58" s="1164"/>
      <c r="B58" s="1197"/>
      <c r="C58" s="457" t="str">
        <f>IF(B57="","",VLOOKUP(B57,'Списки участников'!A:I,6,FALSE))</f>
        <v>Москва</v>
      </c>
      <c r="D58" s="464">
        <f>IF(V46="","",IF(X46="l","W",X46))</f>
        <v>0</v>
      </c>
      <c r="E58" s="459" t="str">
        <f>IF(W46="","",":")</f>
        <v>:</v>
      </c>
      <c r="F58" s="465">
        <f>IF(X46="","",IF(V46="W","L",V46))</f>
        <v>2</v>
      </c>
      <c r="G58" s="464">
        <f>IF(V48="","",IF(X48="l","W",X48))</f>
        <v>0</v>
      </c>
      <c r="H58" s="459" t="str">
        <f>IF(W48="","",":")</f>
        <v>:</v>
      </c>
      <c r="I58" s="465">
        <f>IF(X48="","",IF(V48="W","L",V48))</f>
        <v>2</v>
      </c>
      <c r="J58" s="464">
        <f>IF(V50="","",IF(X50="l","W",X50))</f>
        <v>2</v>
      </c>
      <c r="K58" s="459" t="str">
        <f>IF(W50="","",":")</f>
        <v>:</v>
      </c>
      <c r="L58" s="465">
        <f>IF(X50="","",IF(V50="W","L",V50))</f>
        <v>0</v>
      </c>
      <c r="M58" s="464">
        <f>IF(V52="","",IF(X52="l","W",X52))</f>
        <v>2</v>
      </c>
      <c r="N58" s="459" t="str">
        <f>IF(W52="","",":")</f>
        <v>:</v>
      </c>
      <c r="O58" s="465">
        <f>IF(X52="","",IF(V52="W","L",V52))</f>
        <v>1</v>
      </c>
      <c r="P58" s="464">
        <f>IF(V54="","",IF(X54="l","W",X54))</f>
        <v>2</v>
      </c>
      <c r="Q58" s="459" t="str">
        <f>IF(W54="","",":")</f>
        <v>:</v>
      </c>
      <c r="R58" s="465">
        <f>IF(X54="","",IF(V54="W","L",V54))</f>
        <v>1</v>
      </c>
      <c r="S58" s="464">
        <f>IF(V56="","",IF(X56="l","W",X56))</f>
        <v>2</v>
      </c>
      <c r="T58" s="459" t="str">
        <f>IF(W56="","",":")</f>
        <v>:</v>
      </c>
      <c r="U58" s="465">
        <f>IF(X56="","",IF(V56="W","L",V56))</f>
        <v>0</v>
      </c>
      <c r="V58" s="1183"/>
      <c r="W58" s="1169"/>
      <c r="X58" s="1170"/>
      <c r="Y58" s="458"/>
      <c r="Z58" s="459" t="str">
        <f>IF(Y57="","",":")</f>
        <v/>
      </c>
      <c r="AA58" s="460"/>
      <c r="AB58" s="458"/>
      <c r="AC58" s="459" t="str">
        <f>IF(AB57="","",":")</f>
        <v/>
      </c>
      <c r="AD58" s="460"/>
      <c r="AE58" s="1186"/>
      <c r="AF58" s="1187"/>
      <c r="AG58" s="1189"/>
      <c r="AH58" s="1174"/>
    </row>
    <row r="59" spans="1:34" ht="12" customHeight="1" x14ac:dyDescent="0.2">
      <c r="A59" s="1163">
        <v>8</v>
      </c>
      <c r="B59" s="1196"/>
      <c r="C59" s="456" t="str">
        <f>IF(B59="","",VLOOKUP(B59,'Списки участников'!A:I,3,FALSE))</f>
        <v/>
      </c>
      <c r="D59" s="1171" t="str">
        <f>IF(Y45="","",IF(Y46="W",0,IF(Y45=2,1,IF(Y45=1,2,IF(Y45=0,2)))))</f>
        <v/>
      </c>
      <c r="E59" s="1172"/>
      <c r="F59" s="1173"/>
      <c r="G59" s="1171" t="str">
        <f>IF(Y47="","",IF(Y48="W",0,IF(Y47=2,1,IF(Y47=1,2,IF(Y47=0,2)))))</f>
        <v/>
      </c>
      <c r="H59" s="1172"/>
      <c r="I59" s="1173"/>
      <c r="J59" s="1171" t="str">
        <f>IF(Y49="","",IF(Y50="W",0,IF(Y49=2,1,IF(Y49=1,2,IF(Y49=0,2)))))</f>
        <v/>
      </c>
      <c r="K59" s="1172"/>
      <c r="L59" s="1173"/>
      <c r="M59" s="1171" t="str">
        <f>IF(Y51="","",IF(Y52="W",0,IF(Y51=2,1,IF(Y51=1,2,IF(Y51=0,2)))))</f>
        <v/>
      </c>
      <c r="N59" s="1172"/>
      <c r="O59" s="1173"/>
      <c r="P59" s="1171" t="str">
        <f>IF(Y53="","",IF(Y54="W",0,IF(Y53=2,1,IF(Y53=1,2,IF(Y53=0,2)))))</f>
        <v/>
      </c>
      <c r="Q59" s="1172"/>
      <c r="R59" s="1173"/>
      <c r="S59" s="1171" t="str">
        <f>IF(Y55="","",IF(Y56="W",0,IF(Y55=2,1,IF(Y55=1,2,IF(Y55=0,2)))))</f>
        <v/>
      </c>
      <c r="T59" s="1172"/>
      <c r="U59" s="1173"/>
      <c r="V59" s="1171" t="str">
        <f>IF(Y57="","",IF(Y58="W",0,IF(Y57=2,1,IF(Y57=1,2,IF(Y57=0,2)))))</f>
        <v/>
      </c>
      <c r="W59" s="1172"/>
      <c r="X59" s="1173"/>
      <c r="Y59" s="1180"/>
      <c r="Z59" s="1181"/>
      <c r="AA59" s="1182"/>
      <c r="AB59" s="1171"/>
      <c r="AC59" s="1172"/>
      <c r="AD59" s="1173"/>
      <c r="AE59" s="1184" t="str">
        <f>IF(B59="","",SUM(G59,J59,M59,P59,S59,V59,D59,AB59,))</f>
        <v/>
      </c>
      <c r="AF59" s="1185"/>
      <c r="AG59" s="1188"/>
      <c r="AH59" s="1174" t="str">
        <f>IF(B59="","",RANK(AE59,ГР7О))</f>
        <v/>
      </c>
    </row>
    <row r="60" spans="1:34" ht="12" customHeight="1" x14ac:dyDescent="0.2">
      <c r="A60" s="1164"/>
      <c r="B60" s="1197"/>
      <c r="C60" s="457" t="str">
        <f>IF(B59="","",VLOOKUP(B59,'Списки участников'!A:I,6,FALSE))</f>
        <v/>
      </c>
      <c r="D60" s="464" t="str">
        <f>IF(Y46="","",IF(AA46="l","W",AA46))</f>
        <v/>
      </c>
      <c r="E60" s="459" t="str">
        <f>IF(Z46="","",":")</f>
        <v/>
      </c>
      <c r="F60" s="465" t="str">
        <f>IF(AA46="","",IF(Y46="W","L",Y46))</f>
        <v/>
      </c>
      <c r="G60" s="464" t="str">
        <f>IF(Y48="","",IF(AA48="l","W",AA48))</f>
        <v/>
      </c>
      <c r="H60" s="459" t="str">
        <f>IF(Z48="","",":")</f>
        <v/>
      </c>
      <c r="I60" s="465" t="str">
        <f>IF(AA48="","",IF(Y48="W","L",Y48))</f>
        <v/>
      </c>
      <c r="J60" s="464" t="str">
        <f>IF(Y50="","",IF(AA50="l","W",AA50))</f>
        <v/>
      </c>
      <c r="K60" s="459" t="str">
        <f>IF(Z50="","",":")</f>
        <v/>
      </c>
      <c r="L60" s="465" t="str">
        <f>IF(AA50="","",IF(Y50="W","L",Y50))</f>
        <v/>
      </c>
      <c r="M60" s="464" t="str">
        <f>IF(Y52="","",IF(AA52="l","W",AA52))</f>
        <v/>
      </c>
      <c r="N60" s="459" t="str">
        <f>IF(Z52="","",":")</f>
        <v/>
      </c>
      <c r="O60" s="465" t="str">
        <f>IF(AA52="","",IF(Y52="W","L",Y52))</f>
        <v/>
      </c>
      <c r="P60" s="464" t="str">
        <f>IF(Y54="","",IF(AA54="l","W",AA54))</f>
        <v/>
      </c>
      <c r="Q60" s="459" t="str">
        <f>IF(Z54="","",":")</f>
        <v/>
      </c>
      <c r="R60" s="465" t="str">
        <f>IF(AA54="","",IF(Y54="W","L",Y54))</f>
        <v/>
      </c>
      <c r="S60" s="464" t="str">
        <f>IF(Y56="","",IF(AA56="l","W",AA56))</f>
        <v/>
      </c>
      <c r="T60" s="459" t="str">
        <f>IF(Z56="","",":")</f>
        <v/>
      </c>
      <c r="U60" s="465" t="str">
        <f>IF(AA56="","",IF(Y56="W","L",Y56))</f>
        <v/>
      </c>
      <c r="V60" s="464" t="str">
        <f>IF(Y58="","",IF(AA58="l","W",AA58))</f>
        <v/>
      </c>
      <c r="W60" s="459" t="str">
        <f>IF(Z58="","",":")</f>
        <v/>
      </c>
      <c r="X60" s="465" t="str">
        <f>IF(AA58="","",IF(Y58="W","L",Y58))</f>
        <v/>
      </c>
      <c r="Y60" s="1183"/>
      <c r="Z60" s="1169"/>
      <c r="AA60" s="1170"/>
      <c r="AB60" s="458"/>
      <c r="AC60" s="459" t="str">
        <f>IF(AB59="","",":")</f>
        <v/>
      </c>
      <c r="AD60" s="460"/>
      <c r="AE60" s="1186"/>
      <c r="AF60" s="1187"/>
      <c r="AG60" s="1189"/>
      <c r="AH60" s="1174"/>
    </row>
    <row r="61" spans="1:34" ht="12" hidden="1" customHeight="1" outlineLevel="1" x14ac:dyDescent="0.2">
      <c r="A61" s="1163">
        <v>9</v>
      </c>
      <c r="B61" s="1165">
        <f>жеребьевка!L42</f>
        <v>0</v>
      </c>
      <c r="C61" s="456" t="e">
        <f>IF(B61="","",VLOOKUP(B61,'Списки участников'!A:I,3,FALSE))</f>
        <v>#N/A</v>
      </c>
      <c r="D61" s="1171" t="str">
        <f>IF(AB45="","",IF(AB46="W",0,IF(AB45=2,1,IF(AB45=1,2,IF(AB45=0,2)))))</f>
        <v/>
      </c>
      <c r="E61" s="1172"/>
      <c r="F61" s="1173"/>
      <c r="G61" s="1171" t="str">
        <f>IF(AB47="","",IF(AB48="W",0,IF(AB47=2,1,IF(AB47=1,2,IF(AB47=0,2)))))</f>
        <v/>
      </c>
      <c r="H61" s="1172"/>
      <c r="I61" s="1173"/>
      <c r="J61" s="1171" t="str">
        <f>IF(AB49="","",IF(AB50="W",0,IF(AB49=2,1,IF(AB49=1,2,IF(AB49=0,2)))))</f>
        <v/>
      </c>
      <c r="K61" s="1172"/>
      <c r="L61" s="1173"/>
      <c r="M61" s="1171" t="str">
        <f>IF(AB51="","",IF(AB52="W",0,IF(AB51=2,1,IF(AB51=1,2,IF(AB51=0,2)))))</f>
        <v/>
      </c>
      <c r="N61" s="1172"/>
      <c r="O61" s="1173"/>
      <c r="P61" s="1171" t="str">
        <f>IF(AB53="","",IF(AB54="W",0,IF(AB53=2,1,IF(AB53=1,2,IF(AB53=0,2)))))</f>
        <v/>
      </c>
      <c r="Q61" s="1172"/>
      <c r="R61" s="1173"/>
      <c r="S61" s="1171" t="str">
        <f>IF(AB55="","",IF(AB56="W",0,IF(AB55=2,1,IF(AB55=1,2,IF(AB55=0,2)))))</f>
        <v/>
      </c>
      <c r="T61" s="1172"/>
      <c r="U61" s="1173"/>
      <c r="V61" s="1171" t="str">
        <f>IF(AB57="","",IF(AB58="W",0,IF(AB57=2,1,IF(AB57=1,2,IF(AB57=0,2)))))</f>
        <v/>
      </c>
      <c r="W61" s="1172"/>
      <c r="X61" s="1173"/>
      <c r="Y61" s="1171" t="str">
        <f>IF(AB59="","",IF(AB60="W",0,IF(AB59=2,1,IF(AB59=1,2,IF(AB59=0,2)))))</f>
        <v/>
      </c>
      <c r="Z61" s="1172"/>
      <c r="AA61" s="1173"/>
      <c r="AB61" s="1191"/>
      <c r="AC61" s="1167"/>
      <c r="AD61" s="1168"/>
      <c r="AE61" s="1184">
        <f>IF(B61="","",SUM(G61,J61,M61,P61,S61,V61,Y61,D61,))</f>
        <v>0</v>
      </c>
      <c r="AF61" s="1185"/>
      <c r="AG61" s="1188"/>
      <c r="AH61" s="1174">
        <f>IF(B61="","",RANK(AE61,ГР7О))</f>
        <v>8</v>
      </c>
    </row>
    <row r="62" spans="1:34" ht="12" hidden="1" customHeight="1" outlineLevel="1" x14ac:dyDescent="0.2">
      <c r="A62" s="1164"/>
      <c r="B62" s="1166"/>
      <c r="C62" s="457" t="e">
        <f>IF(B61="","",VLOOKUP(B61,'Списки участников'!A:I,6,FALSE))</f>
        <v>#N/A</v>
      </c>
      <c r="D62" s="464" t="str">
        <f>IF(AB46="","",IF(AD46="l","W",AD46))</f>
        <v/>
      </c>
      <c r="E62" s="459" t="str">
        <f>IF(AC46="","",":")</f>
        <v/>
      </c>
      <c r="F62" s="465" t="str">
        <f>IF(AD46="","",IF(AB46="W","L",AB46))</f>
        <v/>
      </c>
      <c r="G62" s="464" t="str">
        <f>IF(AB48="","",IF(AD48="l","W",AD48))</f>
        <v/>
      </c>
      <c r="H62" s="459" t="str">
        <f>IF(AC48="","",":")</f>
        <v/>
      </c>
      <c r="I62" s="465" t="str">
        <f>IF(AD48="","",IF(AB48="W","L",AB48))</f>
        <v/>
      </c>
      <c r="J62" s="464" t="str">
        <f>IF(AB50="","",IF(AD50="l","W",AD50))</f>
        <v/>
      </c>
      <c r="K62" s="459" t="str">
        <f>IF(AC50="","",":")</f>
        <v/>
      </c>
      <c r="L62" s="465" t="str">
        <f>IF(AD50="","",IF(AB50="W","L",AB50))</f>
        <v/>
      </c>
      <c r="M62" s="464" t="str">
        <f>IF(AB52="","",IF(AD52="l","W",AD52))</f>
        <v/>
      </c>
      <c r="N62" s="459" t="str">
        <f>IF(AC52="","",":")</f>
        <v/>
      </c>
      <c r="O62" s="465" t="str">
        <f>IF(AD52="","",IF(AB52="W","L",AB52))</f>
        <v/>
      </c>
      <c r="P62" s="464" t="str">
        <f>IF(AB54="","",IF(AD54="l","W",AD54))</f>
        <v/>
      </c>
      <c r="Q62" s="459" t="str">
        <f>IF(AC54="","",":")</f>
        <v/>
      </c>
      <c r="R62" s="465" t="str">
        <f>IF(AD54="","",IF(AB54="W","L",AB54))</f>
        <v/>
      </c>
      <c r="S62" s="464" t="str">
        <f>IF(AB56="","",IF(AD56="l","W",AD56))</f>
        <v/>
      </c>
      <c r="T62" s="459" t="str">
        <f>IF(AC56="","",":")</f>
        <v/>
      </c>
      <c r="U62" s="465" t="str">
        <f>IF(AD56="","",IF(AB56="W","L",AB56))</f>
        <v/>
      </c>
      <c r="V62" s="464" t="str">
        <f>IF(AB58="","",IF(AD58="l","W",AD58))</f>
        <v/>
      </c>
      <c r="W62" s="459" t="str">
        <f>IF(AC58="","",":")</f>
        <v/>
      </c>
      <c r="X62" s="465" t="str">
        <f>IF(AD58="","",IF(AB58="W","L",AB58))</f>
        <v/>
      </c>
      <c r="Y62" s="464" t="str">
        <f>IF(AB60="","",IF(AD60="l","W",AD60))</f>
        <v/>
      </c>
      <c r="Z62" s="459" t="str">
        <f>IF(AC60="","",":")</f>
        <v/>
      </c>
      <c r="AA62" s="465" t="str">
        <f>IF(AD60="","",IF(AB60="W","L",AB60))</f>
        <v/>
      </c>
      <c r="AB62" s="1183"/>
      <c r="AC62" s="1169"/>
      <c r="AD62" s="1170"/>
      <c r="AE62" s="1186"/>
      <c r="AF62" s="1187"/>
      <c r="AG62" s="1189"/>
      <c r="AH62" s="1174"/>
    </row>
    <row r="63" spans="1:34" ht="12" customHeight="1" collapsed="1" x14ac:dyDescent="0.25">
      <c r="A63" s="135"/>
      <c r="B63" s="135"/>
      <c r="C63" s="954" t="s">
        <v>765</v>
      </c>
      <c r="D63" s="135"/>
      <c r="E63" s="135"/>
      <c r="F63" s="135"/>
      <c r="G63" s="1192" t="s">
        <v>998</v>
      </c>
      <c r="H63" s="1192"/>
      <c r="I63" s="1192"/>
      <c r="J63" s="1192"/>
      <c r="K63" s="1192"/>
      <c r="L63" s="1192"/>
      <c r="M63" s="1192"/>
      <c r="N63" s="1192"/>
      <c r="O63" s="1192"/>
      <c r="P63" s="1192"/>
      <c r="Q63" s="1192"/>
      <c r="R63" s="1192"/>
      <c r="S63" s="1192"/>
      <c r="T63" s="1192"/>
      <c r="U63" s="1192"/>
      <c r="V63" s="1192"/>
      <c r="W63" s="1192"/>
      <c r="X63" s="1192"/>
      <c r="Y63" s="1192"/>
      <c r="Z63" s="1192"/>
      <c r="AA63" s="1192"/>
      <c r="AB63" s="135"/>
      <c r="AC63" s="135"/>
      <c r="AD63" s="135"/>
      <c r="AE63" s="135"/>
      <c r="AF63" s="135"/>
      <c r="AG63" s="135"/>
      <c r="AH63" s="135"/>
    </row>
    <row r="64" spans="1:34" ht="12" customHeight="1" x14ac:dyDescent="0.2">
      <c r="A64" s="136" t="s">
        <v>3</v>
      </c>
      <c r="B64" s="862"/>
      <c r="C64" s="138" t="s">
        <v>788</v>
      </c>
      <c r="D64" s="1158">
        <v>1</v>
      </c>
      <c r="E64" s="1159"/>
      <c r="F64" s="1160"/>
      <c r="G64" s="1158">
        <v>2</v>
      </c>
      <c r="H64" s="1159"/>
      <c r="I64" s="1160"/>
      <c r="J64" s="1158">
        <v>3</v>
      </c>
      <c r="K64" s="1159"/>
      <c r="L64" s="1160"/>
      <c r="M64" s="1158">
        <v>4</v>
      </c>
      <c r="N64" s="1159"/>
      <c r="O64" s="1160"/>
      <c r="P64" s="1158">
        <v>5</v>
      </c>
      <c r="Q64" s="1159"/>
      <c r="R64" s="1160"/>
      <c r="S64" s="1158">
        <v>6</v>
      </c>
      <c r="T64" s="1159"/>
      <c r="U64" s="1160"/>
      <c r="V64" s="1158">
        <v>7</v>
      </c>
      <c r="W64" s="1159"/>
      <c r="X64" s="1160"/>
      <c r="Y64" s="1158">
        <v>8</v>
      </c>
      <c r="Z64" s="1159"/>
      <c r="AA64" s="1160"/>
      <c r="AB64" s="1158">
        <v>9</v>
      </c>
      <c r="AC64" s="1159"/>
      <c r="AD64" s="1160"/>
      <c r="AE64" s="1161" t="s">
        <v>789</v>
      </c>
      <c r="AF64" s="1162"/>
      <c r="AG64" s="863" t="s">
        <v>790</v>
      </c>
      <c r="AH64" s="455" t="s">
        <v>100</v>
      </c>
    </row>
    <row r="65" spans="1:34" ht="12" customHeight="1" x14ac:dyDescent="0.2">
      <c r="A65" s="1163">
        <v>1</v>
      </c>
      <c r="B65" s="1165">
        <f>жеребьевка!Q26</f>
        <v>8</v>
      </c>
      <c r="C65" s="456" t="str">
        <f>IF(B65="","",VLOOKUP(B65,'Списки участников'!A:I,3,FALSE))</f>
        <v>МУКОВ Руслан</v>
      </c>
      <c r="D65" s="1167"/>
      <c r="E65" s="1167"/>
      <c r="F65" s="1168"/>
      <c r="G65" s="1171">
        <v>1</v>
      </c>
      <c r="H65" s="1172"/>
      <c r="I65" s="1173"/>
      <c r="J65" s="1171">
        <v>2</v>
      </c>
      <c r="K65" s="1172"/>
      <c r="L65" s="1173"/>
      <c r="M65" s="1171">
        <v>2</v>
      </c>
      <c r="N65" s="1172"/>
      <c r="O65" s="1173"/>
      <c r="P65" s="1171">
        <v>2</v>
      </c>
      <c r="Q65" s="1172"/>
      <c r="R65" s="1173"/>
      <c r="S65" s="1171">
        <v>2</v>
      </c>
      <c r="T65" s="1172"/>
      <c r="U65" s="1173"/>
      <c r="V65" s="1171">
        <v>2</v>
      </c>
      <c r="W65" s="1172"/>
      <c r="X65" s="1173"/>
      <c r="Y65" s="1171"/>
      <c r="Z65" s="1172"/>
      <c r="AA65" s="1173"/>
      <c r="AB65" s="1171"/>
      <c r="AC65" s="1172"/>
      <c r="AD65" s="1173"/>
      <c r="AE65" s="1184">
        <f>IF(B65="","",SUM(G65,J65,M65,P65,S65,V65,Y65,AB65,))</f>
        <v>11</v>
      </c>
      <c r="AF65" s="1185"/>
      <c r="AG65" s="1175"/>
      <c r="AH65" s="1174">
        <f>IF(B65="","",RANK(AE65,ГР8О))</f>
        <v>2</v>
      </c>
    </row>
    <row r="66" spans="1:34" ht="12" customHeight="1" x14ac:dyDescent="0.2">
      <c r="A66" s="1164"/>
      <c r="B66" s="1166"/>
      <c r="C66" s="457" t="str">
        <f>IF(B65="","",VLOOKUP(B65,'Списки участников'!A:I,6,FALSE))</f>
        <v>Нальчик</v>
      </c>
      <c r="D66" s="1169"/>
      <c r="E66" s="1169"/>
      <c r="F66" s="1170"/>
      <c r="G66" s="458">
        <v>0</v>
      </c>
      <c r="H66" s="459" t="str">
        <f>IF(G65="","",":")</f>
        <v>:</v>
      </c>
      <c r="I66" s="460">
        <v>2</v>
      </c>
      <c r="J66" s="458">
        <v>2</v>
      </c>
      <c r="K66" s="459" t="str">
        <f>IF(J65="","",":")</f>
        <v>:</v>
      </c>
      <c r="L66" s="460">
        <v>0</v>
      </c>
      <c r="M66" s="458">
        <v>2</v>
      </c>
      <c r="N66" s="459" t="str">
        <f>IF(M66="","",":")</f>
        <v>:</v>
      </c>
      <c r="O66" s="460">
        <v>0</v>
      </c>
      <c r="P66" s="458">
        <v>2</v>
      </c>
      <c r="Q66" s="459" t="str">
        <f>IF(P66="","",":")</f>
        <v>:</v>
      </c>
      <c r="R66" s="460">
        <v>0</v>
      </c>
      <c r="S66" s="458">
        <v>2</v>
      </c>
      <c r="T66" s="459" t="str">
        <f>IF(S66="","",":")</f>
        <v>:</v>
      </c>
      <c r="U66" s="460">
        <v>0</v>
      </c>
      <c r="V66" s="458">
        <v>2</v>
      </c>
      <c r="W66" s="459" t="str">
        <f>IF(V66="","",":")</f>
        <v>:</v>
      </c>
      <c r="X66" s="460">
        <v>0</v>
      </c>
      <c r="Y66" s="458"/>
      <c r="Z66" s="459" t="str">
        <f>IF(Y66="","",":")</f>
        <v/>
      </c>
      <c r="AA66" s="460"/>
      <c r="AB66" s="458"/>
      <c r="AC66" s="459" t="str">
        <f>IF(AB66="","",":")</f>
        <v/>
      </c>
      <c r="AD66" s="460"/>
      <c r="AE66" s="1186"/>
      <c r="AF66" s="1187"/>
      <c r="AG66" s="1176"/>
      <c r="AH66" s="1174"/>
    </row>
    <row r="67" spans="1:34" ht="12" customHeight="1" x14ac:dyDescent="0.2">
      <c r="A67" s="1163">
        <v>2</v>
      </c>
      <c r="B67" s="1165">
        <f>жеребьевка!Q28</f>
        <v>27</v>
      </c>
      <c r="C67" s="456" t="str">
        <f>IF(B67="","",VLOOKUP(B67,'Списки участников'!A:I,3,FALSE))</f>
        <v>АВЕРИН Тимофей</v>
      </c>
      <c r="D67" s="1177">
        <f>IF(G65="","",IF(G66="W",0,IF(G65=2,1,IF(G65=1,2,IF(G65=0,2)))))</f>
        <v>2</v>
      </c>
      <c r="E67" s="1178"/>
      <c r="F67" s="1179"/>
      <c r="G67" s="1180"/>
      <c r="H67" s="1181"/>
      <c r="I67" s="1182"/>
      <c r="J67" s="1171">
        <v>2</v>
      </c>
      <c r="K67" s="1172"/>
      <c r="L67" s="1173"/>
      <c r="M67" s="1171">
        <v>2</v>
      </c>
      <c r="N67" s="1172"/>
      <c r="O67" s="1173"/>
      <c r="P67" s="1171">
        <v>2</v>
      </c>
      <c r="Q67" s="1172"/>
      <c r="R67" s="1173"/>
      <c r="S67" s="1171">
        <v>2</v>
      </c>
      <c r="T67" s="1172"/>
      <c r="U67" s="1173"/>
      <c r="V67" s="1171">
        <v>2</v>
      </c>
      <c r="W67" s="1172"/>
      <c r="X67" s="1173"/>
      <c r="Y67" s="1171"/>
      <c r="Z67" s="1172"/>
      <c r="AA67" s="1173"/>
      <c r="AB67" s="1171"/>
      <c r="AC67" s="1172"/>
      <c r="AD67" s="1173"/>
      <c r="AE67" s="1184">
        <f>IF(B67="","",SUM(D67,J67,M67,P67,S67,V67,Y67,AB67,))</f>
        <v>12</v>
      </c>
      <c r="AF67" s="1185"/>
      <c r="AG67" s="1175"/>
      <c r="AH67" s="1174">
        <f>IF(B67="","",RANK(AE67,ГР8О))</f>
        <v>1</v>
      </c>
    </row>
    <row r="68" spans="1:34" ht="12" customHeight="1" x14ac:dyDescent="0.2">
      <c r="A68" s="1164"/>
      <c r="B68" s="1166"/>
      <c r="C68" s="457" t="str">
        <f>IF(B67="","",VLOOKUP(B67,'Списки участников'!A:I,6,FALSE))</f>
        <v>Москва</v>
      </c>
      <c r="D68" s="461">
        <f>IF(G66="","",IF(I66="l","W",I66))</f>
        <v>2</v>
      </c>
      <c r="E68" s="462" t="str">
        <f>IF(G65="","",":")</f>
        <v>:</v>
      </c>
      <c r="F68" s="463">
        <f>IF(I66="","",IF(G66="W","L",G66))</f>
        <v>0</v>
      </c>
      <c r="G68" s="1183"/>
      <c r="H68" s="1169"/>
      <c r="I68" s="1170"/>
      <c r="J68" s="458">
        <v>1</v>
      </c>
      <c r="K68" s="459" t="str">
        <f>IF(J67="","",":")</f>
        <v>:</v>
      </c>
      <c r="L68" s="460">
        <v>1</v>
      </c>
      <c r="M68" s="458">
        <v>2</v>
      </c>
      <c r="N68" s="459" t="str">
        <f>IF(M67="","",":")</f>
        <v>:</v>
      </c>
      <c r="O68" s="460">
        <v>0</v>
      </c>
      <c r="P68" s="458">
        <v>2</v>
      </c>
      <c r="Q68" s="459" t="str">
        <f>IF(P67="","",":")</f>
        <v>:</v>
      </c>
      <c r="R68" s="460">
        <v>0</v>
      </c>
      <c r="S68" s="458">
        <v>2</v>
      </c>
      <c r="T68" s="459" t="str">
        <f>IF(S68="","",":")</f>
        <v>:</v>
      </c>
      <c r="U68" s="460">
        <v>0</v>
      </c>
      <c r="V68" s="458">
        <v>2</v>
      </c>
      <c r="W68" s="459" t="str">
        <f>IF(V68="","",":")</f>
        <v>:</v>
      </c>
      <c r="X68" s="460">
        <v>0</v>
      </c>
      <c r="Y68" s="458"/>
      <c r="Z68" s="459" t="str">
        <f>IF(Y68="","",":")</f>
        <v/>
      </c>
      <c r="AA68" s="460"/>
      <c r="AB68" s="458"/>
      <c r="AC68" s="459" t="str">
        <f>IF(AB68="","",":")</f>
        <v/>
      </c>
      <c r="AD68" s="460"/>
      <c r="AE68" s="1186"/>
      <c r="AF68" s="1187"/>
      <c r="AG68" s="1176"/>
      <c r="AH68" s="1174"/>
    </row>
    <row r="69" spans="1:34" ht="12" customHeight="1" x14ac:dyDescent="0.2">
      <c r="A69" s="1163">
        <v>3</v>
      </c>
      <c r="B69" s="1165">
        <f>жеребьевка!Q30</f>
        <v>42</v>
      </c>
      <c r="C69" s="456" t="str">
        <f>IF(B69="","",VLOOKUP(B69,'Списки участников'!A:I,3,FALSE))</f>
        <v>СИТНИКОВ Кирилл</v>
      </c>
      <c r="D69" s="1177">
        <f>IF(J65="","",IF(J66="W",0,IF(J65=2,1,IF(J65=1,2,IF(J65=0,2)))))</f>
        <v>1</v>
      </c>
      <c r="E69" s="1178"/>
      <c r="F69" s="1179"/>
      <c r="G69" s="1171">
        <f>IF(J67="","",IF(J68="W",0,IF(J67=2,1,IF(J67=1,2,IF(J67=0,2)))))</f>
        <v>1</v>
      </c>
      <c r="H69" s="1172"/>
      <c r="I69" s="1173"/>
      <c r="J69" s="1180"/>
      <c r="K69" s="1181"/>
      <c r="L69" s="1182"/>
      <c r="M69" s="1171">
        <v>2</v>
      </c>
      <c r="N69" s="1172"/>
      <c r="O69" s="1173"/>
      <c r="P69" s="1171">
        <v>2</v>
      </c>
      <c r="Q69" s="1172"/>
      <c r="R69" s="1173"/>
      <c r="S69" s="1171">
        <v>2</v>
      </c>
      <c r="T69" s="1172"/>
      <c r="U69" s="1173"/>
      <c r="V69" s="1171">
        <v>2</v>
      </c>
      <c r="W69" s="1172"/>
      <c r="X69" s="1173"/>
      <c r="Y69" s="1171"/>
      <c r="Z69" s="1172"/>
      <c r="AA69" s="1173"/>
      <c r="AB69" s="1171"/>
      <c r="AC69" s="1172"/>
      <c r="AD69" s="1173"/>
      <c r="AE69" s="1184">
        <f>IF(B69="","",SUM(G69,D69,M69,P69,S69,V69,Y69,AB69,))</f>
        <v>10</v>
      </c>
      <c r="AF69" s="1185"/>
      <c r="AG69" s="1188"/>
      <c r="AH69" s="1174">
        <f>IF(B69="","",RANK(AE69,ГР8О))</f>
        <v>3</v>
      </c>
    </row>
    <row r="70" spans="1:34" ht="12" customHeight="1" x14ac:dyDescent="0.2">
      <c r="A70" s="1164"/>
      <c r="B70" s="1166"/>
      <c r="C70" s="457" t="str">
        <f>IF(B69="","",VLOOKUP(B69,'Списки участников'!A:I,6,FALSE))</f>
        <v>Рязань</v>
      </c>
      <c r="D70" s="464">
        <f>IF(J66="","",IF(L66="l","W",L66))</f>
        <v>0</v>
      </c>
      <c r="E70" s="459" t="str">
        <f>IF(K66="","",":")</f>
        <v>:</v>
      </c>
      <c r="F70" s="465">
        <f>IF(L66="","",IF(J66="W","L",J66))</f>
        <v>2</v>
      </c>
      <c r="G70" s="464">
        <f>IF(J68="","",IF(L68="l","W",L68))</f>
        <v>1</v>
      </c>
      <c r="H70" s="459" t="str">
        <f>IF(K68="","",":")</f>
        <v>:</v>
      </c>
      <c r="I70" s="465">
        <f>IF(L68="","",IF(J68="W","L",J68))</f>
        <v>1</v>
      </c>
      <c r="J70" s="1183"/>
      <c r="K70" s="1169"/>
      <c r="L70" s="1170"/>
      <c r="M70" s="458">
        <v>2</v>
      </c>
      <c r="N70" s="459" t="str">
        <f>IF(M69="","",":")</f>
        <v>:</v>
      </c>
      <c r="O70" s="460">
        <v>0</v>
      </c>
      <c r="P70" s="458">
        <v>2</v>
      </c>
      <c r="Q70" s="459" t="str">
        <f>IF(P69="","",":")</f>
        <v>:</v>
      </c>
      <c r="R70" s="460">
        <v>0</v>
      </c>
      <c r="S70" s="458">
        <v>2</v>
      </c>
      <c r="T70" s="459" t="str">
        <f>IF(S69="","",":")</f>
        <v>:</v>
      </c>
      <c r="U70" s="460">
        <v>0</v>
      </c>
      <c r="V70" s="458">
        <v>2</v>
      </c>
      <c r="W70" s="459" t="str">
        <f>IF(V70="","",":")</f>
        <v>:</v>
      </c>
      <c r="X70" s="460">
        <v>0</v>
      </c>
      <c r="Y70" s="458"/>
      <c r="Z70" s="459" t="str">
        <f>IF(Y70="","",":")</f>
        <v/>
      </c>
      <c r="AA70" s="460"/>
      <c r="AB70" s="458"/>
      <c r="AC70" s="459" t="str">
        <f>IF(AB70="","",":")</f>
        <v/>
      </c>
      <c r="AD70" s="460"/>
      <c r="AE70" s="1186"/>
      <c r="AF70" s="1187"/>
      <c r="AG70" s="1189"/>
      <c r="AH70" s="1174"/>
    </row>
    <row r="71" spans="1:34" ht="12" customHeight="1" x14ac:dyDescent="0.2">
      <c r="A71" s="1163">
        <v>4</v>
      </c>
      <c r="B71" s="1165">
        <f>жеребьевка!Q32</f>
        <v>59</v>
      </c>
      <c r="C71" s="456" t="str">
        <f>IF(B71="","",VLOOKUP(B71,'Списки участников'!A:I,3,FALSE))</f>
        <v>СУРОВЦЕВ Денис</v>
      </c>
      <c r="D71" s="1171">
        <f>IF(M65="","",IF(M66="W",0,IF(M65=2,1,IF(M65=1,2,IF(M65=0,2)))))</f>
        <v>1</v>
      </c>
      <c r="E71" s="1172"/>
      <c r="F71" s="1173"/>
      <c r="G71" s="1171">
        <f>IF(M67="","",IF(M68="W",0,IF(M67=2,1,IF(M67=1,2,IF(M67=0,2)))))</f>
        <v>1</v>
      </c>
      <c r="H71" s="1172"/>
      <c r="I71" s="1173"/>
      <c r="J71" s="1171">
        <f>IF(M69="","",IF(M70="W",0,IF(M69=2,1,IF(M69=1,2,IF(M69=0,2)))))</f>
        <v>1</v>
      </c>
      <c r="K71" s="1172"/>
      <c r="L71" s="1173"/>
      <c r="M71" s="1181"/>
      <c r="N71" s="1181"/>
      <c r="O71" s="1181"/>
      <c r="P71" s="1171">
        <v>1</v>
      </c>
      <c r="Q71" s="1172"/>
      <c r="R71" s="1173"/>
      <c r="S71" s="1171">
        <v>2</v>
      </c>
      <c r="T71" s="1172"/>
      <c r="U71" s="1173"/>
      <c r="V71" s="1171">
        <v>2</v>
      </c>
      <c r="W71" s="1172"/>
      <c r="X71" s="1173"/>
      <c r="Y71" s="1171"/>
      <c r="Z71" s="1172"/>
      <c r="AA71" s="1173"/>
      <c r="AB71" s="1171"/>
      <c r="AC71" s="1172"/>
      <c r="AD71" s="1173"/>
      <c r="AE71" s="1184">
        <f>IF(B71="","",SUM(G71,J71,D71,P71,S71,V71,Y71,AB71,))</f>
        <v>8</v>
      </c>
      <c r="AF71" s="1185"/>
      <c r="AG71" s="1188"/>
      <c r="AH71" s="1174">
        <f>IF(B71="","",RANK(AE71,ГР8О))</f>
        <v>5</v>
      </c>
    </row>
    <row r="72" spans="1:34" ht="12" customHeight="1" x14ac:dyDescent="0.2">
      <c r="A72" s="1164"/>
      <c r="B72" s="1166"/>
      <c r="C72" s="457" t="str">
        <f>IF(B71="","",VLOOKUP(B71,'Списки участников'!A:I,6,FALSE))</f>
        <v>Ильинский</v>
      </c>
      <c r="D72" s="464">
        <f>IF(M66="","",IF(O66="l","W",O66))</f>
        <v>0</v>
      </c>
      <c r="E72" s="459" t="str">
        <f>IF(N66="","",":")</f>
        <v>:</v>
      </c>
      <c r="F72" s="465">
        <f>IF(O66="","",IF(M66="W","L",M66))</f>
        <v>2</v>
      </c>
      <c r="G72" s="464">
        <f>IF(M68="","",IF(O68="l","W",O68))</f>
        <v>0</v>
      </c>
      <c r="H72" s="459" t="str">
        <f>IF(N68="","",":")</f>
        <v>:</v>
      </c>
      <c r="I72" s="465">
        <f>IF(O68="","",IF(M68="W","L",M68))</f>
        <v>2</v>
      </c>
      <c r="J72" s="464">
        <f>IF(M70="","",IF(O70="l","W",O70))</f>
        <v>0</v>
      </c>
      <c r="K72" s="459" t="str">
        <f>IF(N70="","",":")</f>
        <v>:</v>
      </c>
      <c r="L72" s="465">
        <f>IF(O70="","",IF(M70="W","L",M70))</f>
        <v>2</v>
      </c>
      <c r="M72" s="1190"/>
      <c r="N72" s="1190"/>
      <c r="O72" s="1190"/>
      <c r="P72" s="458">
        <v>1</v>
      </c>
      <c r="Q72" s="459" t="str">
        <f>IF(P71="","",":")</f>
        <v>:</v>
      </c>
      <c r="R72" s="460">
        <v>2</v>
      </c>
      <c r="S72" s="458">
        <v>2</v>
      </c>
      <c r="T72" s="459" t="str">
        <f>IF(S71="","",":")</f>
        <v>:</v>
      </c>
      <c r="U72" s="460">
        <v>0</v>
      </c>
      <c r="V72" s="458">
        <v>2</v>
      </c>
      <c r="W72" s="459" t="str">
        <f>IF(V71="","",":")</f>
        <v>:</v>
      </c>
      <c r="X72" s="460">
        <v>1</v>
      </c>
      <c r="Y72" s="458"/>
      <c r="Z72" s="459" t="str">
        <f>IF(Y72="","",":")</f>
        <v/>
      </c>
      <c r="AA72" s="460"/>
      <c r="AB72" s="458"/>
      <c r="AC72" s="459" t="str">
        <f>IF(AB72="","",":")</f>
        <v/>
      </c>
      <c r="AD72" s="460"/>
      <c r="AE72" s="1186"/>
      <c r="AF72" s="1187"/>
      <c r="AG72" s="1189"/>
      <c r="AH72" s="1174"/>
    </row>
    <row r="73" spans="1:34" ht="12" customHeight="1" x14ac:dyDescent="0.2">
      <c r="A73" s="1163">
        <v>5</v>
      </c>
      <c r="B73" s="1165">
        <f>жеребьевка!Q34</f>
        <v>74</v>
      </c>
      <c r="C73" s="456" t="str">
        <f>IF(B73="","",VLOOKUP(B73,'Списки участников'!A:I,3,FALSE))</f>
        <v>ДИНИСЕНКО Тимофей</v>
      </c>
      <c r="D73" s="1171">
        <f>IF(P65="","",IF(P66="W",0,IF(P65=2,1,IF(P65=1,2,IF(P65=0,2)))))</f>
        <v>1</v>
      </c>
      <c r="E73" s="1172"/>
      <c r="F73" s="1173"/>
      <c r="G73" s="1171">
        <f>IF(P67="","",IF(P68="W",0,IF(P67=2,1,IF(P67=1,2,IF(P67=0,2)))))</f>
        <v>1</v>
      </c>
      <c r="H73" s="1172"/>
      <c r="I73" s="1173"/>
      <c r="J73" s="1171">
        <f>IF(P69="","",IF(P70="W",0,IF(P69=2,1,IF(P69=1,2,IF(P69=0,2)))))</f>
        <v>1</v>
      </c>
      <c r="K73" s="1172"/>
      <c r="L73" s="1173"/>
      <c r="M73" s="1171">
        <f>IF(P71="","",IF(P72="W",0,IF(P71=2,1,IF(P71=1,2,IF(P71=0,2)))))</f>
        <v>2</v>
      </c>
      <c r="N73" s="1172"/>
      <c r="O73" s="1173"/>
      <c r="P73" s="1180"/>
      <c r="Q73" s="1181"/>
      <c r="R73" s="1182"/>
      <c r="S73" s="1171">
        <v>2</v>
      </c>
      <c r="T73" s="1172"/>
      <c r="U73" s="1173"/>
      <c r="V73" s="1171">
        <v>2</v>
      </c>
      <c r="W73" s="1172"/>
      <c r="X73" s="1173"/>
      <c r="Y73" s="1171"/>
      <c r="Z73" s="1172"/>
      <c r="AA73" s="1173"/>
      <c r="AB73" s="1171"/>
      <c r="AC73" s="1172"/>
      <c r="AD73" s="1173"/>
      <c r="AE73" s="1184">
        <f>IF(B73="","",SUM(G73,J73,M73,D73,S73,V73,Y73,AB73,))</f>
        <v>9</v>
      </c>
      <c r="AF73" s="1185"/>
      <c r="AG73" s="1188"/>
      <c r="AH73" s="1174">
        <f>IF(B73="","",RANK(AE73,ГР8О))</f>
        <v>4</v>
      </c>
    </row>
    <row r="74" spans="1:34" ht="12" customHeight="1" x14ac:dyDescent="0.2">
      <c r="A74" s="1164"/>
      <c r="B74" s="1166"/>
      <c r="C74" s="457" t="str">
        <f>IF(B73="","",VLOOKUP(B73,'Списки участников'!A:I,6,FALSE))</f>
        <v>Москва</v>
      </c>
      <c r="D74" s="464">
        <f>IF(P66="","",IF(R66="l","W",R66))</f>
        <v>0</v>
      </c>
      <c r="E74" s="459" t="str">
        <f>IF(Q66="","",":")</f>
        <v>:</v>
      </c>
      <c r="F74" s="465">
        <f>IF(R66="","",IF(P66="W","L",P66))</f>
        <v>2</v>
      </c>
      <c r="G74" s="464">
        <f>IF(P68="","",IF(R68="l","W",R68))</f>
        <v>0</v>
      </c>
      <c r="H74" s="459" t="str">
        <f>IF(Q68="","",":")</f>
        <v>:</v>
      </c>
      <c r="I74" s="465">
        <f>IF(R68="","",IF(P68="W","L",P68))</f>
        <v>2</v>
      </c>
      <c r="J74" s="464">
        <f>IF(P70="","",IF(R70="l","W",R70))</f>
        <v>0</v>
      </c>
      <c r="K74" s="459" t="str">
        <f>IF(Q70="","",":")</f>
        <v>:</v>
      </c>
      <c r="L74" s="465">
        <f>IF(R70="","",IF(P70="W","L",P70))</f>
        <v>2</v>
      </c>
      <c r="M74" s="464">
        <f>IF(P72="","",IF(R72="l","W",R72))</f>
        <v>2</v>
      </c>
      <c r="N74" s="459" t="str">
        <f>IF(Q72="","",":")</f>
        <v>:</v>
      </c>
      <c r="O74" s="465">
        <f>IF(R72="","",IF(P72="W","L",P72))</f>
        <v>1</v>
      </c>
      <c r="P74" s="1183"/>
      <c r="Q74" s="1169"/>
      <c r="R74" s="1170"/>
      <c r="S74" s="458">
        <v>2</v>
      </c>
      <c r="T74" s="459" t="str">
        <f>IF(S73="","",":")</f>
        <v>:</v>
      </c>
      <c r="U74" s="460">
        <v>0</v>
      </c>
      <c r="V74" s="458">
        <v>2</v>
      </c>
      <c r="W74" s="459" t="str">
        <f>IF(V73="","",":")</f>
        <v>:</v>
      </c>
      <c r="X74" s="460">
        <v>0</v>
      </c>
      <c r="Y74" s="458"/>
      <c r="Z74" s="459" t="str">
        <f>IF(Y73="","",":")</f>
        <v/>
      </c>
      <c r="AA74" s="460"/>
      <c r="AB74" s="458"/>
      <c r="AC74" s="459" t="str">
        <f>IF(AB74="","",":")</f>
        <v/>
      </c>
      <c r="AD74" s="460"/>
      <c r="AE74" s="1186"/>
      <c r="AF74" s="1187"/>
      <c r="AG74" s="1189"/>
      <c r="AH74" s="1174"/>
    </row>
    <row r="75" spans="1:34" ht="12" customHeight="1" x14ac:dyDescent="0.2">
      <c r="A75" s="1163">
        <v>6</v>
      </c>
      <c r="B75" s="1165">
        <f>жеребьевка!Q36</f>
        <v>93</v>
      </c>
      <c r="C75" s="456" t="str">
        <f>IF(B75="","",VLOOKUP(B75,'Списки участников'!A:I,3,FALSE))</f>
        <v>ЗАЙЦЕВ Сергей</v>
      </c>
      <c r="D75" s="1171">
        <f>IF(S65="","",IF(S66="W",0,IF(S65=2,1,IF(S65=1,2,IF(S65=0,2)))))</f>
        <v>1</v>
      </c>
      <c r="E75" s="1172"/>
      <c r="F75" s="1173"/>
      <c r="G75" s="1171">
        <f>IF(S67="","",IF(S68="W",0,IF(S67=2,1,IF(S67=1,2,IF(S67=0,2)))))</f>
        <v>1</v>
      </c>
      <c r="H75" s="1172"/>
      <c r="I75" s="1173"/>
      <c r="J75" s="1171">
        <f>IF(S69="","",IF(S70="W",0,IF(S69=2,1,IF(S69=1,2,IF(S69=0,2)))))</f>
        <v>1</v>
      </c>
      <c r="K75" s="1172"/>
      <c r="L75" s="1173"/>
      <c r="M75" s="1171">
        <f>IF(S71="","",IF(S72="W",0,IF(S71=2,1,IF(S71=1,2,IF(S71=0,2)))))</f>
        <v>1</v>
      </c>
      <c r="N75" s="1172"/>
      <c r="O75" s="1173"/>
      <c r="P75" s="1171">
        <f>IF(S73="","",IF(S74="W",0,IF(S73=2,1,IF(S73=1,2,IF(S73=0,2)))))</f>
        <v>1</v>
      </c>
      <c r="Q75" s="1172"/>
      <c r="R75" s="1173"/>
      <c r="S75" s="1180"/>
      <c r="T75" s="1181"/>
      <c r="U75" s="1182"/>
      <c r="V75" s="1171">
        <v>1</v>
      </c>
      <c r="W75" s="1172"/>
      <c r="X75" s="1173"/>
      <c r="Y75" s="1171"/>
      <c r="Z75" s="1172"/>
      <c r="AA75" s="1173"/>
      <c r="AB75" s="1171"/>
      <c r="AC75" s="1172"/>
      <c r="AD75" s="1173"/>
      <c r="AE75" s="1184">
        <f>IF(B75="","",SUM(G75,J75,M75,P75,D75,V75,Y75,AB75,))</f>
        <v>6</v>
      </c>
      <c r="AF75" s="1185"/>
      <c r="AG75" s="1188"/>
      <c r="AH75" s="1174">
        <f>IF(B75="","",RANK(AE75,ГР8О))</f>
        <v>7</v>
      </c>
    </row>
    <row r="76" spans="1:34" ht="12" customHeight="1" x14ac:dyDescent="0.2">
      <c r="A76" s="1164"/>
      <c r="B76" s="1166"/>
      <c r="C76" s="457" t="str">
        <f>IF(B75="","",VLOOKUP(B75,'Списки участников'!A:I,6,FALSE))</f>
        <v>Дмитров</v>
      </c>
      <c r="D76" s="464">
        <f>IF(S66="","",IF(U66="l","W",U66))</f>
        <v>0</v>
      </c>
      <c r="E76" s="459" t="str">
        <f>IF(T66="","",":")</f>
        <v>:</v>
      </c>
      <c r="F76" s="465">
        <f>IF(U66="","",IF(S66="W","L",S66))</f>
        <v>2</v>
      </c>
      <c r="G76" s="464">
        <f>IF(S68="","",IF(U68="l","W",U68))</f>
        <v>0</v>
      </c>
      <c r="H76" s="459" t="str">
        <f>IF(T68="","",":")</f>
        <v>:</v>
      </c>
      <c r="I76" s="465">
        <f>IF(U68="","",IF(S68="W","L",S68))</f>
        <v>2</v>
      </c>
      <c r="J76" s="464">
        <f>IF(S70="","",IF(U70="l","W",U70))</f>
        <v>0</v>
      </c>
      <c r="K76" s="459" t="str">
        <f>IF(T70="","",":")</f>
        <v>:</v>
      </c>
      <c r="L76" s="465">
        <f>IF(U70="","",IF(S70="W","L",S70))</f>
        <v>2</v>
      </c>
      <c r="M76" s="464">
        <f>IF(S72="","",IF(U72="l","W",U72))</f>
        <v>0</v>
      </c>
      <c r="N76" s="459" t="str">
        <f>IF(T72="","",":")</f>
        <v>:</v>
      </c>
      <c r="O76" s="465">
        <f>IF(U72="","",IF(S72="W","L",S72))</f>
        <v>2</v>
      </c>
      <c r="P76" s="464">
        <f>IF(S74="","",IF(U74="l","W",U74))</f>
        <v>0</v>
      </c>
      <c r="Q76" s="459" t="str">
        <f>IF(T74="","",":")</f>
        <v>:</v>
      </c>
      <c r="R76" s="465">
        <f>IF(U74="","",IF(S74="W","L",S74))</f>
        <v>2</v>
      </c>
      <c r="S76" s="1183"/>
      <c r="T76" s="1169"/>
      <c r="U76" s="1170"/>
      <c r="V76" s="458">
        <v>0</v>
      </c>
      <c r="W76" s="459" t="str">
        <f>IF(V75="","",":")</f>
        <v>:</v>
      </c>
      <c r="X76" s="460">
        <v>2</v>
      </c>
      <c r="Y76" s="458"/>
      <c r="Z76" s="459" t="str">
        <f>IF(Y75="","",":")</f>
        <v/>
      </c>
      <c r="AA76" s="460"/>
      <c r="AB76" s="458"/>
      <c r="AC76" s="459" t="str">
        <f>IF(AB75="","",":")</f>
        <v/>
      </c>
      <c r="AD76" s="460"/>
      <c r="AE76" s="1186"/>
      <c r="AF76" s="1187"/>
      <c r="AG76" s="1189"/>
      <c r="AH76" s="1174"/>
    </row>
    <row r="77" spans="1:34" ht="12" customHeight="1" x14ac:dyDescent="0.2">
      <c r="A77" s="1163">
        <v>7</v>
      </c>
      <c r="B77" s="1165">
        <f>жеребьевка!Q38</f>
        <v>111</v>
      </c>
      <c r="C77" s="456" t="str">
        <f>IF(B77="","",VLOOKUP(B77,'Списки участников'!A:I,3,FALSE))</f>
        <v>ТАДЖИБАЕВ Артур</v>
      </c>
      <c r="D77" s="1171">
        <f>IF(V65="","",IF(V66="W",0,IF(V65=2,1,IF(V65=1,2,IF(V65=0,2)))))</f>
        <v>1</v>
      </c>
      <c r="E77" s="1172"/>
      <c r="F77" s="1173"/>
      <c r="G77" s="1171">
        <f>IF(V67="","",IF(V68="W",0,IF(V67=2,1,IF(V67=1,2,IF(V67=0,2)))))</f>
        <v>1</v>
      </c>
      <c r="H77" s="1172"/>
      <c r="I77" s="1173"/>
      <c r="J77" s="1171">
        <f>IF(V69="","",IF(V70="W",0,IF(V69=2,1,IF(V69=1,2,IF(V69=0,2)))))</f>
        <v>1</v>
      </c>
      <c r="K77" s="1172"/>
      <c r="L77" s="1173"/>
      <c r="M77" s="1171">
        <f>IF(V71="","",IF(V72="W",0,IF(V71=2,1,IF(V71=1,2,IF(V71=0,2)))))</f>
        <v>1</v>
      </c>
      <c r="N77" s="1172"/>
      <c r="O77" s="1173"/>
      <c r="P77" s="1171">
        <f>IF(V73="","",IF(V74="W",0,IF(V73=2,1,IF(V73=1,2,IF(V73=0,2)))))</f>
        <v>1</v>
      </c>
      <c r="Q77" s="1172"/>
      <c r="R77" s="1173"/>
      <c r="S77" s="1171">
        <f>IF(V75="","",IF(V76="W",0,IF(V75=2,1,IF(V75=1,2,IF(V75=0,2)))))</f>
        <v>2</v>
      </c>
      <c r="T77" s="1172"/>
      <c r="U77" s="1173"/>
      <c r="V77" s="1191"/>
      <c r="W77" s="1167"/>
      <c r="X77" s="1168"/>
      <c r="Y77" s="1171"/>
      <c r="Z77" s="1172"/>
      <c r="AA77" s="1173"/>
      <c r="AB77" s="1171"/>
      <c r="AC77" s="1172"/>
      <c r="AD77" s="1173"/>
      <c r="AE77" s="1184">
        <f>IF(B77="","",SUM(G77,J77,M77,P77,S77,D77,Y77,AB77,))</f>
        <v>7</v>
      </c>
      <c r="AF77" s="1185"/>
      <c r="AG77" s="1188"/>
      <c r="AH77" s="1174">
        <f>IF(B77="","",RANK(AE77,ГР8О))</f>
        <v>6</v>
      </c>
    </row>
    <row r="78" spans="1:34" ht="12" customHeight="1" x14ac:dyDescent="0.2">
      <c r="A78" s="1164"/>
      <c r="B78" s="1166"/>
      <c r="C78" s="457" t="str">
        <f>IF(B77="","",VLOOKUP(B77,'Списки участников'!A:I,6,FALSE))</f>
        <v>Дмитров</v>
      </c>
      <c r="D78" s="464">
        <f>IF(V66="","",IF(X66="l","W",X66))</f>
        <v>0</v>
      </c>
      <c r="E78" s="459" t="str">
        <f>IF(W66="","",":")</f>
        <v>:</v>
      </c>
      <c r="F78" s="465">
        <f>IF(X66="","",IF(V66="W","L",V66))</f>
        <v>2</v>
      </c>
      <c r="G78" s="464">
        <f>IF(V68="","",IF(X68="l","W",X68))</f>
        <v>0</v>
      </c>
      <c r="H78" s="459" t="str">
        <f>IF(W68="","",":")</f>
        <v>:</v>
      </c>
      <c r="I78" s="465">
        <f>IF(X68="","",IF(V68="W","L",V68))</f>
        <v>2</v>
      </c>
      <c r="J78" s="464">
        <f>IF(V70="","",IF(X70="l","W",X70))</f>
        <v>0</v>
      </c>
      <c r="K78" s="459" t="str">
        <f>IF(W70="","",":")</f>
        <v>:</v>
      </c>
      <c r="L78" s="465">
        <f>IF(X70="","",IF(V70="W","L",V70))</f>
        <v>2</v>
      </c>
      <c r="M78" s="464">
        <f>IF(V72="","",IF(X72="l","W",X72))</f>
        <v>1</v>
      </c>
      <c r="N78" s="459" t="str">
        <f>IF(W72="","",":")</f>
        <v>:</v>
      </c>
      <c r="O78" s="465">
        <f>IF(X72="","",IF(V72="W","L",V72))</f>
        <v>2</v>
      </c>
      <c r="P78" s="464">
        <f>IF(V74="","",IF(X74="l","W",X74))</f>
        <v>0</v>
      </c>
      <c r="Q78" s="459" t="str">
        <f>IF(W74="","",":")</f>
        <v>:</v>
      </c>
      <c r="R78" s="465">
        <f>IF(X74="","",IF(V74="W","L",V74))</f>
        <v>2</v>
      </c>
      <c r="S78" s="464">
        <f>IF(V76="","",IF(X76="l","W",X76))</f>
        <v>2</v>
      </c>
      <c r="T78" s="459" t="str">
        <f>IF(W76="","",":")</f>
        <v>:</v>
      </c>
      <c r="U78" s="465">
        <f>IF(X76="","",IF(V76="W","L",V76))</f>
        <v>0</v>
      </c>
      <c r="V78" s="1183"/>
      <c r="W78" s="1169"/>
      <c r="X78" s="1170"/>
      <c r="Y78" s="458"/>
      <c r="Z78" s="459" t="str">
        <f>IF(Y77="","",":")</f>
        <v/>
      </c>
      <c r="AA78" s="460"/>
      <c r="AB78" s="458"/>
      <c r="AC78" s="459" t="str">
        <f>IF(AB77="","",":")</f>
        <v/>
      </c>
      <c r="AD78" s="460"/>
      <c r="AE78" s="1186"/>
      <c r="AF78" s="1187"/>
      <c r="AG78" s="1189"/>
      <c r="AH78" s="1174"/>
    </row>
    <row r="79" spans="1:34" ht="12" customHeight="1" x14ac:dyDescent="0.2">
      <c r="A79" s="1163">
        <v>8</v>
      </c>
      <c r="B79" s="1165"/>
      <c r="C79" s="456" t="str">
        <f>IF(B79="","",VLOOKUP(B79,'Списки участников'!A:I,3,FALSE))</f>
        <v/>
      </c>
      <c r="D79" s="1171" t="str">
        <f>IF(Y65="","",IF(Y66="W",0,IF(Y65=2,1,IF(Y65=1,2,IF(Y65=0,2)))))</f>
        <v/>
      </c>
      <c r="E79" s="1172"/>
      <c r="F79" s="1173"/>
      <c r="G79" s="1171" t="str">
        <f>IF(Y67="","",IF(Y68="W",0,IF(Y67=2,1,IF(Y67=1,2,IF(Y67=0,2)))))</f>
        <v/>
      </c>
      <c r="H79" s="1172"/>
      <c r="I79" s="1173"/>
      <c r="J79" s="1171" t="str">
        <f>IF(Y69="","",IF(Y70="W",0,IF(Y69=2,1,IF(Y69=1,2,IF(Y69=0,2)))))</f>
        <v/>
      </c>
      <c r="K79" s="1172"/>
      <c r="L79" s="1173"/>
      <c r="M79" s="1171" t="str">
        <f>IF(Y71="","",IF(Y72="W",0,IF(Y71=2,1,IF(Y71=1,2,IF(Y71=0,2)))))</f>
        <v/>
      </c>
      <c r="N79" s="1172"/>
      <c r="O79" s="1173"/>
      <c r="P79" s="1171" t="str">
        <f>IF(Y73="","",IF(Y74="W",0,IF(Y73=2,1,IF(Y73=1,2,IF(Y73=0,2)))))</f>
        <v/>
      </c>
      <c r="Q79" s="1172"/>
      <c r="R79" s="1173"/>
      <c r="S79" s="1171" t="str">
        <f>IF(Y75="","",IF(Y76="W",0,IF(Y75=2,1,IF(Y75=1,2,IF(Y75=0,2)))))</f>
        <v/>
      </c>
      <c r="T79" s="1172"/>
      <c r="U79" s="1173"/>
      <c r="V79" s="1171" t="str">
        <f>IF(Y77="","",IF(Y78="W",0,IF(Y77=2,1,IF(Y77=1,2,IF(Y77=0,2)))))</f>
        <v/>
      </c>
      <c r="W79" s="1172"/>
      <c r="X79" s="1173"/>
      <c r="Y79" s="1180"/>
      <c r="Z79" s="1181"/>
      <c r="AA79" s="1182"/>
      <c r="AB79" s="1171"/>
      <c r="AC79" s="1172"/>
      <c r="AD79" s="1173"/>
      <c r="AE79" s="1184" t="str">
        <f>IF(B79="","",SUM(G79,J79,M79,P79,S79,V79,D79,AB79,))</f>
        <v/>
      </c>
      <c r="AF79" s="1185"/>
      <c r="AG79" s="1188"/>
      <c r="AH79" s="1174" t="str">
        <f>IF(B79="","",RANK(AE79,ГР8О))</f>
        <v/>
      </c>
    </row>
    <row r="80" spans="1:34" ht="12" customHeight="1" x14ac:dyDescent="0.2">
      <c r="A80" s="1164"/>
      <c r="B80" s="1166"/>
      <c r="C80" s="457" t="str">
        <f>IF(B79="","",VLOOKUP(B79,'Списки участников'!A:I,6,FALSE))</f>
        <v/>
      </c>
      <c r="D80" s="464" t="str">
        <f>IF(Y66="","",IF(AA66="l","W",AA66))</f>
        <v/>
      </c>
      <c r="E80" s="459" t="str">
        <f>IF(Z66="","",":")</f>
        <v/>
      </c>
      <c r="F80" s="465" t="str">
        <f>IF(AA66="","",IF(Y66="W","L",Y66))</f>
        <v/>
      </c>
      <c r="G80" s="464" t="str">
        <f>IF(Y68="","",IF(AA68="l","W",AA68))</f>
        <v/>
      </c>
      <c r="H80" s="459" t="str">
        <f>IF(Z68="","",":")</f>
        <v/>
      </c>
      <c r="I80" s="465" t="str">
        <f>IF(AA68="","",IF(Y68="W","L",Y68))</f>
        <v/>
      </c>
      <c r="J80" s="464" t="str">
        <f>IF(Y70="","",IF(AA70="l","W",AA70))</f>
        <v/>
      </c>
      <c r="K80" s="459" t="str">
        <f>IF(Z70="","",":")</f>
        <v/>
      </c>
      <c r="L80" s="465" t="str">
        <f>IF(AA70="","",IF(Y70="W","L",Y70))</f>
        <v/>
      </c>
      <c r="M80" s="464" t="str">
        <f>IF(Y72="","",IF(AA72="l","W",AA72))</f>
        <v/>
      </c>
      <c r="N80" s="459" t="str">
        <f>IF(Z72="","",":")</f>
        <v/>
      </c>
      <c r="O80" s="465" t="str">
        <f>IF(AA72="","",IF(Y72="W","L",Y72))</f>
        <v/>
      </c>
      <c r="P80" s="464" t="str">
        <f>IF(Y74="","",IF(AA74="l","W",AA74))</f>
        <v/>
      </c>
      <c r="Q80" s="459" t="str">
        <f>IF(Z74="","",":")</f>
        <v/>
      </c>
      <c r="R80" s="465" t="str">
        <f>IF(AA74="","",IF(Y74="W","L",Y74))</f>
        <v/>
      </c>
      <c r="S80" s="464" t="str">
        <f>IF(Y76="","",IF(AA76="l","W",AA76))</f>
        <v/>
      </c>
      <c r="T80" s="459" t="str">
        <f>IF(Z76="","",":")</f>
        <v/>
      </c>
      <c r="U80" s="465" t="str">
        <f>IF(AA76="","",IF(Y76="W","L",Y76))</f>
        <v/>
      </c>
      <c r="V80" s="464" t="str">
        <f>IF(Y78="","",IF(AA78="l","W",AA78))</f>
        <v/>
      </c>
      <c r="W80" s="459" t="str">
        <f>IF(Z78="","",":")</f>
        <v/>
      </c>
      <c r="X80" s="465" t="str">
        <f>IF(AA78="","",IF(Y78="W","L",Y78))</f>
        <v/>
      </c>
      <c r="Y80" s="1183"/>
      <c r="Z80" s="1169"/>
      <c r="AA80" s="1170"/>
      <c r="AB80" s="458"/>
      <c r="AC80" s="459" t="str">
        <f>IF(AB79="","",":")</f>
        <v/>
      </c>
      <c r="AD80" s="460"/>
      <c r="AE80" s="1186"/>
      <c r="AF80" s="1187"/>
      <c r="AG80" s="1189"/>
      <c r="AH80" s="1174"/>
    </row>
    <row r="81" spans="1:34" ht="12" hidden="1" customHeight="1" outlineLevel="1" x14ac:dyDescent="0.2">
      <c r="A81" s="1163">
        <v>9</v>
      </c>
      <c r="B81" s="1165">
        <f>жеребьевка!Q42</f>
        <v>0</v>
      </c>
      <c r="C81" s="456" t="e">
        <f>IF(B81="","",VLOOKUP(B81,'Списки участников'!A:I,3,FALSE))</f>
        <v>#N/A</v>
      </c>
      <c r="D81" s="1171" t="str">
        <f>IF(AB65="","",IF(AB66="W",0,IF(AB65=2,1,IF(AB65=1,2,IF(AB65=0,2)))))</f>
        <v/>
      </c>
      <c r="E81" s="1172"/>
      <c r="F81" s="1173"/>
      <c r="G81" s="1171" t="str">
        <f>IF(AB67="","",IF(AB68="W",0,IF(AB67=2,1,IF(AB67=1,2,IF(AB67=0,2)))))</f>
        <v/>
      </c>
      <c r="H81" s="1172"/>
      <c r="I81" s="1173"/>
      <c r="J81" s="1171" t="str">
        <f>IF(AB69="","",IF(AB70="W",0,IF(AB69=2,1,IF(AB69=1,2,IF(AB69=0,2)))))</f>
        <v/>
      </c>
      <c r="K81" s="1172"/>
      <c r="L81" s="1173"/>
      <c r="M81" s="1171" t="str">
        <f>IF(AB71="","",IF(AB72="W",0,IF(AB71=2,1,IF(AB71=1,2,IF(AB71=0,2)))))</f>
        <v/>
      </c>
      <c r="N81" s="1172"/>
      <c r="O81" s="1173"/>
      <c r="P81" s="1171" t="str">
        <f>IF(AB73="","",IF(AB74="W",0,IF(AB73=2,1,IF(AB73=1,2,IF(AB73=0,2)))))</f>
        <v/>
      </c>
      <c r="Q81" s="1172"/>
      <c r="R81" s="1173"/>
      <c r="S81" s="1171" t="str">
        <f>IF(AB75="","",IF(AB76="W",0,IF(AB75=2,1,IF(AB75=1,2,IF(AB75=0,2)))))</f>
        <v/>
      </c>
      <c r="T81" s="1172"/>
      <c r="U81" s="1173"/>
      <c r="V81" s="1171" t="str">
        <f>IF(AB77="","",IF(AB78="W",0,IF(AB77=2,1,IF(AB77=1,2,IF(AB77=0,2)))))</f>
        <v/>
      </c>
      <c r="W81" s="1172"/>
      <c r="X81" s="1173"/>
      <c r="Y81" s="1171" t="str">
        <f>IF(AB79="","",IF(AB80="W",0,IF(AB79=2,1,IF(AB79=1,2,IF(AB79=0,2)))))</f>
        <v/>
      </c>
      <c r="Z81" s="1172"/>
      <c r="AA81" s="1173"/>
      <c r="AB81" s="1191"/>
      <c r="AC81" s="1167"/>
      <c r="AD81" s="1168"/>
      <c r="AE81" s="1184">
        <f>IF(B81="","",SUM(G81,J81,M81,P81,S81,V81,Y81,D81,))</f>
        <v>0</v>
      </c>
      <c r="AF81" s="1185"/>
      <c r="AG81" s="1188"/>
      <c r="AH81" s="1174">
        <f>IF(B81="","",RANK(AE81,ГР8О))</f>
        <v>8</v>
      </c>
    </row>
    <row r="82" spans="1:34" ht="12" hidden="1" customHeight="1" outlineLevel="1" x14ac:dyDescent="0.2">
      <c r="A82" s="1164"/>
      <c r="B82" s="1166"/>
      <c r="C82" s="457" t="e">
        <f>IF(B81="","",VLOOKUP(B81,'Списки участников'!A:I,6,FALSE))</f>
        <v>#N/A</v>
      </c>
      <c r="D82" s="464" t="str">
        <f>IF(AB66="","",IF(AD66="l","W",AD66))</f>
        <v/>
      </c>
      <c r="E82" s="459" t="str">
        <f>IF(AC66="","",":")</f>
        <v/>
      </c>
      <c r="F82" s="465" t="str">
        <f>IF(AD66="","",IF(AB66="W","L",AB66))</f>
        <v/>
      </c>
      <c r="G82" s="464" t="str">
        <f>IF(AB68="","",IF(AD68="l","W",AD68))</f>
        <v/>
      </c>
      <c r="H82" s="459" t="str">
        <f>IF(AC68="","",":")</f>
        <v/>
      </c>
      <c r="I82" s="465" t="str">
        <f>IF(AD68="","",IF(AB68="W","L",AB68))</f>
        <v/>
      </c>
      <c r="J82" s="464" t="str">
        <f>IF(AB70="","",IF(AD70="l","W",AD70))</f>
        <v/>
      </c>
      <c r="K82" s="459" t="str">
        <f>IF(AC70="","",":")</f>
        <v/>
      </c>
      <c r="L82" s="465" t="str">
        <f>IF(AD70="","",IF(AB70="W","L",AB70))</f>
        <v/>
      </c>
      <c r="M82" s="464" t="str">
        <f>IF(AB72="","",IF(AD72="l","W",AD72))</f>
        <v/>
      </c>
      <c r="N82" s="459" t="str">
        <f>IF(AC72="","",":")</f>
        <v/>
      </c>
      <c r="O82" s="465" t="str">
        <f>IF(AD72="","",IF(AB72="W","L",AB72))</f>
        <v/>
      </c>
      <c r="P82" s="464" t="str">
        <f>IF(AB74="","",IF(AD74="l","W",AD74))</f>
        <v/>
      </c>
      <c r="Q82" s="459" t="str">
        <f>IF(AC74="","",":")</f>
        <v/>
      </c>
      <c r="R82" s="465" t="str">
        <f>IF(AD74="","",IF(AB74="W","L",AB74))</f>
        <v/>
      </c>
      <c r="S82" s="464" t="str">
        <f>IF(AB76="","",IF(AD76="l","W",AD76))</f>
        <v/>
      </c>
      <c r="T82" s="459" t="str">
        <f>IF(AC76="","",":")</f>
        <v/>
      </c>
      <c r="U82" s="465" t="str">
        <f>IF(AD76="","",IF(AB76="W","L",AB76))</f>
        <v/>
      </c>
      <c r="V82" s="464" t="str">
        <f>IF(AB78="","",IF(AD78="l","W",AD78))</f>
        <v/>
      </c>
      <c r="W82" s="459" t="str">
        <f>IF(AC78="","",":")</f>
        <v/>
      </c>
      <c r="X82" s="465" t="str">
        <f>IF(AD78="","",IF(AB78="W","L",AB78))</f>
        <v/>
      </c>
      <c r="Y82" s="464" t="str">
        <f>IF(AB80="","",IF(AD80="l","W",AD80))</f>
        <v/>
      </c>
      <c r="Z82" s="459" t="str">
        <f>IF(AC80="","",":")</f>
        <v/>
      </c>
      <c r="AA82" s="465" t="str">
        <f>IF(AD80="","",IF(AB80="W","L",AB80))</f>
        <v/>
      </c>
      <c r="AB82" s="1183"/>
      <c r="AC82" s="1169"/>
      <c r="AD82" s="1170"/>
      <c r="AE82" s="1186"/>
      <c r="AF82" s="1187"/>
      <c r="AG82" s="1189"/>
      <c r="AH82" s="1174"/>
    </row>
    <row r="83" spans="1:34" collapsed="1" x14ac:dyDescent="0.2"/>
    <row r="84" spans="1:34" ht="15.75" x14ac:dyDescent="0.25">
      <c r="C84" s="468" t="s">
        <v>791</v>
      </c>
      <c r="D84" s="1198" t="str">
        <f>'Списки участников'!I121</f>
        <v>В.А. Коваль</v>
      </c>
      <c r="E84" s="1198"/>
      <c r="F84" s="1198"/>
      <c r="G84" s="1198"/>
      <c r="H84" s="1198"/>
      <c r="I84" s="1198"/>
      <c r="J84" s="1198"/>
      <c r="K84" s="1198"/>
      <c r="L84" s="468"/>
      <c r="M84" s="468"/>
      <c r="N84" s="468"/>
      <c r="O84" s="468"/>
      <c r="P84" s="468"/>
      <c r="Q84" s="1198" t="s">
        <v>792</v>
      </c>
      <c r="R84" s="1198"/>
      <c r="S84" s="1198"/>
      <c r="T84" s="1198"/>
      <c r="U84" s="1198"/>
      <c r="V84" s="1198"/>
      <c r="W84" s="1198"/>
      <c r="X84" s="1198"/>
      <c r="Y84" s="468"/>
      <c r="Z84" s="468"/>
      <c r="AA84" s="468"/>
      <c r="AB84" s="468"/>
      <c r="AC84" s="1198" t="str">
        <f>'Списки участников'!I122</f>
        <v>А.С. Рожкова</v>
      </c>
      <c r="AD84" s="1198"/>
      <c r="AE84" s="1198"/>
      <c r="AF84" s="1198"/>
      <c r="AG84" s="1198"/>
    </row>
  </sheetData>
  <mergeCells count="554">
    <mergeCell ref="A81:A82"/>
    <mergeCell ref="B81:B82"/>
    <mergeCell ref="D81:F81"/>
    <mergeCell ref="G81:I81"/>
    <mergeCell ref="J81:L81"/>
    <mergeCell ref="AE81:AF82"/>
    <mergeCell ref="AG81:AG82"/>
    <mergeCell ref="AH81:AH82"/>
    <mergeCell ref="D84:K84"/>
    <mergeCell ref="Q84:X84"/>
    <mergeCell ref="AC84:AG84"/>
    <mergeCell ref="M81:O81"/>
    <mergeCell ref="P81:R81"/>
    <mergeCell ref="S81:U81"/>
    <mergeCell ref="V81:X81"/>
    <mergeCell ref="Y81:AA81"/>
    <mergeCell ref="AB81:AD82"/>
    <mergeCell ref="Y77:AA77"/>
    <mergeCell ref="AB77:AD77"/>
    <mergeCell ref="AE77:AF78"/>
    <mergeCell ref="AG77:AG78"/>
    <mergeCell ref="Y79:AA80"/>
    <mergeCell ref="AB79:AD79"/>
    <mergeCell ref="AE79:AF80"/>
    <mergeCell ref="AG79:AG80"/>
    <mergeCell ref="AH79:AH80"/>
    <mergeCell ref="A79:A80"/>
    <mergeCell ref="B79:B80"/>
    <mergeCell ref="D79:F79"/>
    <mergeCell ref="G79:I79"/>
    <mergeCell ref="J79:L79"/>
    <mergeCell ref="M79:O79"/>
    <mergeCell ref="P79:R79"/>
    <mergeCell ref="S79:U79"/>
    <mergeCell ref="V79:X79"/>
    <mergeCell ref="A75:A76"/>
    <mergeCell ref="B75:B76"/>
    <mergeCell ref="D75:F75"/>
    <mergeCell ref="G75:I75"/>
    <mergeCell ref="J75:L75"/>
    <mergeCell ref="AE75:AF76"/>
    <mergeCell ref="AG75:AG76"/>
    <mergeCell ref="AH75:AH76"/>
    <mergeCell ref="A77:A78"/>
    <mergeCell ref="B77:B78"/>
    <mergeCell ref="D77:F77"/>
    <mergeCell ref="G77:I77"/>
    <mergeCell ref="J77:L77"/>
    <mergeCell ref="M77:O77"/>
    <mergeCell ref="P77:R77"/>
    <mergeCell ref="M75:O75"/>
    <mergeCell ref="P75:R75"/>
    <mergeCell ref="S75:U76"/>
    <mergeCell ref="V75:X75"/>
    <mergeCell ref="Y75:AA75"/>
    <mergeCell ref="AB75:AD75"/>
    <mergeCell ref="AH77:AH78"/>
    <mergeCell ref="S77:U77"/>
    <mergeCell ref="V77:X78"/>
    <mergeCell ref="AH71:AH72"/>
    <mergeCell ref="A73:A74"/>
    <mergeCell ref="B73:B74"/>
    <mergeCell ref="D73:F73"/>
    <mergeCell ref="G73:I73"/>
    <mergeCell ref="J73:L73"/>
    <mergeCell ref="M73:O73"/>
    <mergeCell ref="P73:R74"/>
    <mergeCell ref="S73:U73"/>
    <mergeCell ref="V73:X73"/>
    <mergeCell ref="S71:U71"/>
    <mergeCell ref="V71:X71"/>
    <mergeCell ref="Y71:AA71"/>
    <mergeCell ref="AB71:AD71"/>
    <mergeCell ref="AE71:AF72"/>
    <mergeCell ref="AG71:AG72"/>
    <mergeCell ref="Y73:AA73"/>
    <mergeCell ref="AB73:AD73"/>
    <mergeCell ref="AE73:AF74"/>
    <mergeCell ref="AG73:AG74"/>
    <mergeCell ref="AH73:AH74"/>
    <mergeCell ref="A71:A72"/>
    <mergeCell ref="B71:B72"/>
    <mergeCell ref="D71:F71"/>
    <mergeCell ref="G71:I71"/>
    <mergeCell ref="J71:L71"/>
    <mergeCell ref="M71:O72"/>
    <mergeCell ref="P71:R71"/>
    <mergeCell ref="M69:O69"/>
    <mergeCell ref="P69:R69"/>
    <mergeCell ref="AB67:AD67"/>
    <mergeCell ref="AE67:AF68"/>
    <mergeCell ref="AG67:AG68"/>
    <mergeCell ref="AH67:AH68"/>
    <mergeCell ref="A69:A70"/>
    <mergeCell ref="B69:B70"/>
    <mergeCell ref="D69:F69"/>
    <mergeCell ref="G69:I69"/>
    <mergeCell ref="J69:L70"/>
    <mergeCell ref="AE69:AF70"/>
    <mergeCell ref="AG69:AG70"/>
    <mergeCell ref="AH69:AH70"/>
    <mergeCell ref="S69:U69"/>
    <mergeCell ref="V69:X69"/>
    <mergeCell ref="Y69:AA69"/>
    <mergeCell ref="AB69:AD69"/>
    <mergeCell ref="A65:A66"/>
    <mergeCell ref="B65:B66"/>
    <mergeCell ref="D65:F66"/>
    <mergeCell ref="G65:I65"/>
    <mergeCell ref="J65:L65"/>
    <mergeCell ref="M65:O65"/>
    <mergeCell ref="P65:R65"/>
    <mergeCell ref="AH65:AH66"/>
    <mergeCell ref="A67:A68"/>
    <mergeCell ref="B67:B68"/>
    <mergeCell ref="D67:F67"/>
    <mergeCell ref="G67:I68"/>
    <mergeCell ref="J67:L67"/>
    <mergeCell ref="M67:O67"/>
    <mergeCell ref="P67:R67"/>
    <mergeCell ref="S67:U67"/>
    <mergeCell ref="V67:X67"/>
    <mergeCell ref="S65:U65"/>
    <mergeCell ref="V65:X65"/>
    <mergeCell ref="Y65:AA65"/>
    <mergeCell ref="AB65:AD65"/>
    <mergeCell ref="AE65:AF66"/>
    <mergeCell ref="AG65:AG66"/>
    <mergeCell ref="Y67:AA67"/>
    <mergeCell ref="AG61:AG62"/>
    <mergeCell ref="AH61:AH62"/>
    <mergeCell ref="G63:AA63"/>
    <mergeCell ref="D64:F64"/>
    <mergeCell ref="G64:I64"/>
    <mergeCell ref="J64:L64"/>
    <mergeCell ref="M64:O64"/>
    <mergeCell ref="P64:R64"/>
    <mergeCell ref="S64:U64"/>
    <mergeCell ref="V64:X64"/>
    <mergeCell ref="P61:R61"/>
    <mergeCell ref="S61:U61"/>
    <mergeCell ref="V61:X61"/>
    <mergeCell ref="Y61:AA61"/>
    <mergeCell ref="AB61:AD62"/>
    <mergeCell ref="AE61:AF62"/>
    <mergeCell ref="Y64:AA64"/>
    <mergeCell ref="AB64:AD64"/>
    <mergeCell ref="AE64:AF64"/>
    <mergeCell ref="A61:A62"/>
    <mergeCell ref="B61:B62"/>
    <mergeCell ref="D61:F61"/>
    <mergeCell ref="G61:I61"/>
    <mergeCell ref="J61:L61"/>
    <mergeCell ref="M61:O61"/>
    <mergeCell ref="V59:X59"/>
    <mergeCell ref="Y59:AA60"/>
    <mergeCell ref="AB59:AD59"/>
    <mergeCell ref="AE59:AF60"/>
    <mergeCell ref="AG59:AG60"/>
    <mergeCell ref="AH59:AH60"/>
    <mergeCell ref="AG57:AG58"/>
    <mergeCell ref="AH57:AH58"/>
    <mergeCell ref="A59:A60"/>
    <mergeCell ref="B59:B60"/>
    <mergeCell ref="D59:F59"/>
    <mergeCell ref="G59:I59"/>
    <mergeCell ref="J59:L59"/>
    <mergeCell ref="M59:O59"/>
    <mergeCell ref="P59:R59"/>
    <mergeCell ref="S59:U59"/>
    <mergeCell ref="P57:R57"/>
    <mergeCell ref="S57:U57"/>
    <mergeCell ref="V57:X58"/>
    <mergeCell ref="Y57:AA57"/>
    <mergeCell ref="AB57:AD57"/>
    <mergeCell ref="AE57:AF58"/>
    <mergeCell ref="A57:A58"/>
    <mergeCell ref="B57:B58"/>
    <mergeCell ref="D57:F57"/>
    <mergeCell ref="G57:I57"/>
    <mergeCell ref="J57:L57"/>
    <mergeCell ref="M57:O57"/>
    <mergeCell ref="V55:X55"/>
    <mergeCell ref="Y55:AA55"/>
    <mergeCell ref="AB55:AD55"/>
    <mergeCell ref="AE55:AF56"/>
    <mergeCell ref="AG55:AG56"/>
    <mergeCell ref="AH55:AH56"/>
    <mergeCell ref="AG53:AG54"/>
    <mergeCell ref="AH53:AH54"/>
    <mergeCell ref="V53:X53"/>
    <mergeCell ref="Y53:AA53"/>
    <mergeCell ref="AB53:AD53"/>
    <mergeCell ref="AE53:AF54"/>
    <mergeCell ref="A55:A56"/>
    <mergeCell ref="B55:B56"/>
    <mergeCell ref="D55:F55"/>
    <mergeCell ref="G55:I55"/>
    <mergeCell ref="J55:L55"/>
    <mergeCell ref="M55:O55"/>
    <mergeCell ref="P55:R55"/>
    <mergeCell ref="S55:U56"/>
    <mergeCell ref="P53:R54"/>
    <mergeCell ref="S53:U53"/>
    <mergeCell ref="A53:A54"/>
    <mergeCell ref="B53:B54"/>
    <mergeCell ref="D53:F53"/>
    <mergeCell ref="G53:I53"/>
    <mergeCell ref="J53:L53"/>
    <mergeCell ref="M53:O53"/>
    <mergeCell ref="V51:X51"/>
    <mergeCell ref="Y51:AA51"/>
    <mergeCell ref="AB51:AD51"/>
    <mergeCell ref="AE51:AF52"/>
    <mergeCell ref="AG51:AG52"/>
    <mergeCell ref="AH51:AH52"/>
    <mergeCell ref="AG49:AG50"/>
    <mergeCell ref="AH49:AH50"/>
    <mergeCell ref="A51:A52"/>
    <mergeCell ref="B51:B52"/>
    <mergeCell ref="D51:F51"/>
    <mergeCell ref="G51:I51"/>
    <mergeCell ref="J51:L51"/>
    <mergeCell ref="M51:O52"/>
    <mergeCell ref="P51:R51"/>
    <mergeCell ref="S51:U51"/>
    <mergeCell ref="P49:R49"/>
    <mergeCell ref="S49:U49"/>
    <mergeCell ref="V49:X49"/>
    <mergeCell ref="Y49:AA49"/>
    <mergeCell ref="AB49:AD49"/>
    <mergeCell ref="AE49:AF50"/>
    <mergeCell ref="A49:A50"/>
    <mergeCell ref="B49:B50"/>
    <mergeCell ref="D49:F49"/>
    <mergeCell ref="G49:I49"/>
    <mergeCell ref="J49:L50"/>
    <mergeCell ref="M49:O49"/>
    <mergeCell ref="V47:X47"/>
    <mergeCell ref="Y47:AA47"/>
    <mergeCell ref="AB47:AD47"/>
    <mergeCell ref="AE47:AF48"/>
    <mergeCell ref="AG47:AG48"/>
    <mergeCell ref="AH47:AH48"/>
    <mergeCell ref="AG45:AG46"/>
    <mergeCell ref="AH45:AH46"/>
    <mergeCell ref="A47:A48"/>
    <mergeCell ref="B47:B48"/>
    <mergeCell ref="D47:F47"/>
    <mergeCell ref="G47:I48"/>
    <mergeCell ref="J47:L47"/>
    <mergeCell ref="M47:O47"/>
    <mergeCell ref="P47:R47"/>
    <mergeCell ref="S47:U47"/>
    <mergeCell ref="P45:R45"/>
    <mergeCell ref="S45:U45"/>
    <mergeCell ref="V45:X45"/>
    <mergeCell ref="Y45:AA45"/>
    <mergeCell ref="AB45:AD45"/>
    <mergeCell ref="AE45:AF46"/>
    <mergeCell ref="A45:A46"/>
    <mergeCell ref="B45:B46"/>
    <mergeCell ref="D45:F46"/>
    <mergeCell ref="G45:I45"/>
    <mergeCell ref="J45:L45"/>
    <mergeCell ref="M45:O45"/>
    <mergeCell ref="D44:F44"/>
    <mergeCell ref="G44:I44"/>
    <mergeCell ref="J44:L44"/>
    <mergeCell ref="M44:O44"/>
    <mergeCell ref="A41:A42"/>
    <mergeCell ref="B41:B42"/>
    <mergeCell ref="D41:F41"/>
    <mergeCell ref="G41:I41"/>
    <mergeCell ref="J41:L41"/>
    <mergeCell ref="AE41:AF42"/>
    <mergeCell ref="V44:X44"/>
    <mergeCell ref="Y44:AA44"/>
    <mergeCell ref="AB44:AD44"/>
    <mergeCell ref="AE44:AF44"/>
    <mergeCell ref="P44:R44"/>
    <mergeCell ref="S44:U44"/>
    <mergeCell ref="AG41:AG42"/>
    <mergeCell ref="AH41:AH42"/>
    <mergeCell ref="G43:AA43"/>
    <mergeCell ref="V41:X41"/>
    <mergeCell ref="Y41:AA41"/>
    <mergeCell ref="AB41:AD42"/>
    <mergeCell ref="M41:O41"/>
    <mergeCell ref="P41:R41"/>
    <mergeCell ref="S41:U41"/>
    <mergeCell ref="Y37:AA37"/>
    <mergeCell ref="AB37:AD37"/>
    <mergeCell ref="AE37:AF38"/>
    <mergeCell ref="AG37:AG38"/>
    <mergeCell ref="Y39:AA40"/>
    <mergeCell ref="AB39:AD39"/>
    <mergeCell ref="AE39:AF40"/>
    <mergeCell ref="AG39:AG40"/>
    <mergeCell ref="AH39:AH40"/>
    <mergeCell ref="A39:A40"/>
    <mergeCell ref="B39:B40"/>
    <mergeCell ref="D39:F39"/>
    <mergeCell ref="G39:I39"/>
    <mergeCell ref="J39:L39"/>
    <mergeCell ref="M39:O39"/>
    <mergeCell ref="P39:R39"/>
    <mergeCell ref="S39:U39"/>
    <mergeCell ref="V39:X39"/>
    <mergeCell ref="A35:A36"/>
    <mergeCell ref="B35:B36"/>
    <mergeCell ref="D35:F35"/>
    <mergeCell ref="G35:I35"/>
    <mergeCell ref="J35:L35"/>
    <mergeCell ref="AE35:AF36"/>
    <mergeCell ref="AG35:AG36"/>
    <mergeCell ref="AH35:AH36"/>
    <mergeCell ref="A37:A38"/>
    <mergeCell ref="B37:B38"/>
    <mergeCell ref="D37:F37"/>
    <mergeCell ref="G37:I37"/>
    <mergeCell ref="J37:L37"/>
    <mergeCell ref="M37:O37"/>
    <mergeCell ref="P37:R37"/>
    <mergeCell ref="M35:O35"/>
    <mergeCell ref="P35:R35"/>
    <mergeCell ref="S35:U36"/>
    <mergeCell ref="V35:X35"/>
    <mergeCell ref="Y35:AA35"/>
    <mergeCell ref="AB35:AD35"/>
    <mergeCell ref="AH37:AH38"/>
    <mergeCell ref="S37:U37"/>
    <mergeCell ref="V37:X38"/>
    <mergeCell ref="AH31:AH32"/>
    <mergeCell ref="A33:A34"/>
    <mergeCell ref="B33:B34"/>
    <mergeCell ref="D33:F33"/>
    <mergeCell ref="G33:I33"/>
    <mergeCell ref="J33:L33"/>
    <mergeCell ref="M33:O33"/>
    <mergeCell ref="P33:R34"/>
    <mergeCell ref="S33:U33"/>
    <mergeCell ref="V33:X33"/>
    <mergeCell ref="S31:U31"/>
    <mergeCell ref="V31:X31"/>
    <mergeCell ref="Y31:AA31"/>
    <mergeCell ref="AB31:AD31"/>
    <mergeCell ref="AE31:AF32"/>
    <mergeCell ref="AG31:AG32"/>
    <mergeCell ref="Y33:AA33"/>
    <mergeCell ref="AB33:AD33"/>
    <mergeCell ref="AE33:AF34"/>
    <mergeCell ref="AG33:AG34"/>
    <mergeCell ref="AH33:AH34"/>
    <mergeCell ref="A31:A32"/>
    <mergeCell ref="B31:B32"/>
    <mergeCell ref="D31:F31"/>
    <mergeCell ref="G31:I31"/>
    <mergeCell ref="J31:L31"/>
    <mergeCell ref="M31:O32"/>
    <mergeCell ref="P31:R31"/>
    <mergeCell ref="M29:O29"/>
    <mergeCell ref="P29:R29"/>
    <mergeCell ref="AB27:AD27"/>
    <mergeCell ref="AE27:AF28"/>
    <mergeCell ref="AG27:AG28"/>
    <mergeCell ref="AH27:AH28"/>
    <mergeCell ref="A29:A30"/>
    <mergeCell ref="B29:B30"/>
    <mergeCell ref="D29:F29"/>
    <mergeCell ref="G29:I29"/>
    <mergeCell ref="J29:L30"/>
    <mergeCell ref="AE29:AF30"/>
    <mergeCell ref="AG29:AG30"/>
    <mergeCell ref="AH29:AH30"/>
    <mergeCell ref="S29:U29"/>
    <mergeCell ref="V29:X29"/>
    <mergeCell ref="Y29:AA29"/>
    <mergeCell ref="AB29:AD29"/>
    <mergeCell ref="A25:A26"/>
    <mergeCell ref="B25:B26"/>
    <mergeCell ref="D25:F26"/>
    <mergeCell ref="G25:I25"/>
    <mergeCell ref="J25:L25"/>
    <mergeCell ref="M25:O25"/>
    <mergeCell ref="P25:R25"/>
    <mergeCell ref="AH25:AH26"/>
    <mergeCell ref="A27:A28"/>
    <mergeCell ref="B27:B28"/>
    <mergeCell ref="D27:F27"/>
    <mergeCell ref="G27:I28"/>
    <mergeCell ref="J27:L27"/>
    <mergeCell ref="M27:O27"/>
    <mergeCell ref="P27:R27"/>
    <mergeCell ref="S27:U27"/>
    <mergeCell ref="V27:X27"/>
    <mergeCell ref="S25:U25"/>
    <mergeCell ref="V25:X25"/>
    <mergeCell ref="Y25:AA25"/>
    <mergeCell ref="AB25:AD25"/>
    <mergeCell ref="AE25:AF26"/>
    <mergeCell ref="AG25:AG26"/>
    <mergeCell ref="Y27:AA27"/>
    <mergeCell ref="AG21:AG22"/>
    <mergeCell ref="AH21:AH22"/>
    <mergeCell ref="G23:AA23"/>
    <mergeCell ref="D24:F24"/>
    <mergeCell ref="G24:I24"/>
    <mergeCell ref="J24:L24"/>
    <mergeCell ref="M24:O24"/>
    <mergeCell ref="P24:R24"/>
    <mergeCell ref="S24:U24"/>
    <mergeCell ref="V24:X24"/>
    <mergeCell ref="P21:R21"/>
    <mergeCell ref="S21:U21"/>
    <mergeCell ref="V21:X21"/>
    <mergeCell ref="Y21:AA21"/>
    <mergeCell ref="AB21:AD22"/>
    <mergeCell ref="AE21:AF22"/>
    <mergeCell ref="Y24:AA24"/>
    <mergeCell ref="AB24:AD24"/>
    <mergeCell ref="AE24:AF24"/>
    <mergeCell ref="A21:A22"/>
    <mergeCell ref="B21:B22"/>
    <mergeCell ref="D21:F21"/>
    <mergeCell ref="G21:I21"/>
    <mergeCell ref="J21:L21"/>
    <mergeCell ref="M21:O21"/>
    <mergeCell ref="V19:X19"/>
    <mergeCell ref="Y19:AA20"/>
    <mergeCell ref="AB19:AD19"/>
    <mergeCell ref="AE19:AF20"/>
    <mergeCell ref="AG19:AG20"/>
    <mergeCell ref="AH19:AH20"/>
    <mergeCell ref="AG17:AG18"/>
    <mergeCell ref="AH17:AH18"/>
    <mergeCell ref="A19:A20"/>
    <mergeCell ref="B19:B20"/>
    <mergeCell ref="D19:F19"/>
    <mergeCell ref="G19:I19"/>
    <mergeCell ref="J19:L19"/>
    <mergeCell ref="M19:O19"/>
    <mergeCell ref="P19:R19"/>
    <mergeCell ref="S19:U19"/>
    <mergeCell ref="P17:R17"/>
    <mergeCell ref="S17:U17"/>
    <mergeCell ref="V17:X18"/>
    <mergeCell ref="Y17:AA17"/>
    <mergeCell ref="AB17:AD17"/>
    <mergeCell ref="AE17:AF18"/>
    <mergeCell ref="A17:A18"/>
    <mergeCell ref="B17:B18"/>
    <mergeCell ref="D17:F17"/>
    <mergeCell ref="G17:I17"/>
    <mergeCell ref="J17:L17"/>
    <mergeCell ref="M17:O17"/>
    <mergeCell ref="V15:X15"/>
    <mergeCell ref="Y15:AA15"/>
    <mergeCell ref="AB15:AD15"/>
    <mergeCell ref="AE15:AF16"/>
    <mergeCell ref="AG15:AG16"/>
    <mergeCell ref="AH15:AH16"/>
    <mergeCell ref="AG13:AG14"/>
    <mergeCell ref="AH13:AH14"/>
    <mergeCell ref="V13:X13"/>
    <mergeCell ref="Y13:AA13"/>
    <mergeCell ref="AB13:AD13"/>
    <mergeCell ref="AE13:AF14"/>
    <mergeCell ref="A15:A16"/>
    <mergeCell ref="B15:B16"/>
    <mergeCell ref="D15:F15"/>
    <mergeCell ref="G15:I15"/>
    <mergeCell ref="J15:L15"/>
    <mergeCell ref="M15:O15"/>
    <mergeCell ref="P15:R15"/>
    <mergeCell ref="S15:U16"/>
    <mergeCell ref="P13:R14"/>
    <mergeCell ref="S13:U13"/>
    <mergeCell ref="A13:A14"/>
    <mergeCell ref="B13:B14"/>
    <mergeCell ref="D13:F13"/>
    <mergeCell ref="G13:I13"/>
    <mergeCell ref="J13:L13"/>
    <mergeCell ref="M13:O13"/>
    <mergeCell ref="V11:X11"/>
    <mergeCell ref="Y11:AA11"/>
    <mergeCell ref="AB11:AD11"/>
    <mergeCell ref="AE11:AF12"/>
    <mergeCell ref="AG11:AG12"/>
    <mergeCell ref="AH11:AH12"/>
    <mergeCell ref="AG9:AG10"/>
    <mergeCell ref="AH9:AH10"/>
    <mergeCell ref="A11:A12"/>
    <mergeCell ref="B11:B12"/>
    <mergeCell ref="D11:F11"/>
    <mergeCell ref="G11:I11"/>
    <mergeCell ref="J11:L11"/>
    <mergeCell ref="M11:O12"/>
    <mergeCell ref="P11:R11"/>
    <mergeCell ref="S11:U11"/>
    <mergeCell ref="P9:R9"/>
    <mergeCell ref="S9:U9"/>
    <mergeCell ref="V9:X9"/>
    <mergeCell ref="Y9:AA9"/>
    <mergeCell ref="AB9:AD9"/>
    <mergeCell ref="AE9:AF10"/>
    <mergeCell ref="A9:A10"/>
    <mergeCell ref="B9:B10"/>
    <mergeCell ref="D9:F9"/>
    <mergeCell ref="G9:I9"/>
    <mergeCell ref="J9:L10"/>
    <mergeCell ref="M9:O9"/>
    <mergeCell ref="V7:X7"/>
    <mergeCell ref="Y7:AA7"/>
    <mergeCell ref="AB7:AD7"/>
    <mergeCell ref="AE7:AF8"/>
    <mergeCell ref="AG7:AG8"/>
    <mergeCell ref="A5:A6"/>
    <mergeCell ref="B5:B6"/>
    <mergeCell ref="D5:F6"/>
    <mergeCell ref="G5:I5"/>
    <mergeCell ref="J5:L5"/>
    <mergeCell ref="M5:O5"/>
    <mergeCell ref="AH7:AH8"/>
    <mergeCell ref="AG5:AG6"/>
    <mergeCell ref="AH5:AH6"/>
    <mergeCell ref="A7:A8"/>
    <mergeCell ref="B7:B8"/>
    <mergeCell ref="D7:F7"/>
    <mergeCell ref="G7:I8"/>
    <mergeCell ref="J7:L7"/>
    <mergeCell ref="M7:O7"/>
    <mergeCell ref="P7:R7"/>
    <mergeCell ref="S7:U7"/>
    <mergeCell ref="P5:R5"/>
    <mergeCell ref="S5:U5"/>
    <mergeCell ref="V5:X5"/>
    <mergeCell ref="Y5:AA5"/>
    <mergeCell ref="AB5:AD5"/>
    <mergeCell ref="AE5:AF6"/>
    <mergeCell ref="C1:AG1"/>
    <mergeCell ref="D2:AA2"/>
    <mergeCell ref="AB2:AG2"/>
    <mergeCell ref="G3:AA3"/>
    <mergeCell ref="D4:F4"/>
    <mergeCell ref="G4:I4"/>
    <mergeCell ref="J4:L4"/>
    <mergeCell ref="M4:O4"/>
    <mergeCell ref="P4:R4"/>
    <mergeCell ref="S4:U4"/>
    <mergeCell ref="V4:X4"/>
    <mergeCell ref="Y4:AA4"/>
    <mergeCell ref="AB4:AD4"/>
    <mergeCell ref="AE4:AF4"/>
  </mergeCells>
  <pageMargins left="0.31496062992125984" right="0.31496062992125984" top="0.35433070866141736" bottom="0.35433070866141736" header="0.31496062992125984" footer="0.31496062992125984"/>
  <pageSetup paperSize="9" scale="7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A106" zoomScale="60" zoomScaleNormal="100" workbookViewId="0">
      <selection activeCell="I71" sqref="I67:I71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5</v>
      </c>
      <c r="D3" s="962"/>
      <c r="E3" s="963"/>
      <c r="G3" s="957" t="s">
        <v>11956</v>
      </c>
      <c r="H3" s="958">
        <f>C3</f>
        <v>5</v>
      </c>
      <c r="I3" s="962"/>
      <c r="J3" s="963"/>
      <c r="L3" s="957" t="s">
        <v>11956</v>
      </c>
      <c r="M3" s="958">
        <f>C3</f>
        <v>5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'гр (5-8)'!C7</f>
        <v>МАРКИН Иван</v>
      </c>
      <c r="C5" s="960" t="str">
        <f>'гр (5-8)'!C15</f>
        <v>БОЖЕНКОВ Евгений</v>
      </c>
      <c r="D5" s="961"/>
      <c r="E5" s="966"/>
      <c r="G5" s="960" t="str">
        <f>'гр (5-8)'!C9</f>
        <v>РОТНОВ Егор</v>
      </c>
      <c r="H5" s="960" t="str">
        <f>'гр (5-8)'!C13</f>
        <v>ЦЫГАНКОВ Егор</v>
      </c>
      <c r="I5" s="961"/>
      <c r="J5" s="966"/>
      <c r="L5" s="960" t="str">
        <f>'гр (5-8)'!C5</f>
        <v>МИРОНОВ Егор</v>
      </c>
      <c r="M5" s="960" t="str">
        <f>'гр (5-8)'!C17</f>
        <v>МЕДВЕДЕВ Матвей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5</v>
      </c>
      <c r="D18" s="962"/>
      <c r="E18" s="963"/>
      <c r="G18" s="957" t="s">
        <v>11956</v>
      </c>
      <c r="H18" s="958">
        <f>C3</f>
        <v>5</v>
      </c>
      <c r="I18" s="962"/>
      <c r="J18" s="963"/>
      <c r="L18" s="957" t="s">
        <v>11956</v>
      </c>
      <c r="M18" s="958">
        <f>C3</f>
        <v>5</v>
      </c>
      <c r="N18" s="961"/>
    </row>
    <row r="19" spans="1:14" x14ac:dyDescent="0.3">
      <c r="B19" s="957" t="s">
        <v>11957</v>
      </c>
      <c r="C19" s="959" t="s">
        <v>11958</v>
      </c>
      <c r="D19" s="961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960" t="str">
        <f>'гр (5-8)'!C11</f>
        <v>ЛЕДНЕВ Даниил</v>
      </c>
      <c r="C20" s="960" t="str">
        <f>'гр (5-8)'!C19</f>
        <v/>
      </c>
      <c r="D20" s="961"/>
      <c r="E20" s="966"/>
      <c r="G20" s="960" t="str">
        <f>'гр (5-8)'!C13</f>
        <v>ЦЫГАНКОВ Егор</v>
      </c>
      <c r="H20" s="960" t="str">
        <f>'гр (5-8)'!C7</f>
        <v>МАРКИН Иван</v>
      </c>
      <c r="I20" s="961"/>
      <c r="J20" s="966"/>
      <c r="L20" s="960" t="str">
        <f>'гр (5-8)'!C15</f>
        <v>БОЖЕНКОВ Евгений</v>
      </c>
      <c r="M20" s="960" t="str">
        <f>'гр (5-8)'!C5</f>
        <v>МИРОНОВ Егор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5</v>
      </c>
      <c r="D33" s="962"/>
      <c r="E33" s="963"/>
      <c r="G33" s="957" t="s">
        <v>11956</v>
      </c>
      <c r="H33" s="958">
        <f>C3</f>
        <v>5</v>
      </c>
      <c r="I33" s="962"/>
      <c r="J33" s="963"/>
      <c r="L33" s="957" t="s">
        <v>11956</v>
      </c>
      <c r="M33" s="958">
        <f>C3</f>
        <v>5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'гр (5-8)'!C19</f>
        <v/>
      </c>
      <c r="C35" s="960" t="str">
        <f>'гр (5-8)'!C9</f>
        <v>РОТНОВ Егор</v>
      </c>
      <c r="D35" s="961"/>
      <c r="E35" s="966"/>
      <c r="G35" s="960" t="str">
        <f>'гр (5-8)'!C17</f>
        <v>МЕДВЕДЕВ Матвей</v>
      </c>
      <c r="H35" s="960" t="str">
        <f>'гр (5-8)'!C11</f>
        <v>ЛЕДНЕВ Даниил</v>
      </c>
      <c r="I35" s="961"/>
      <c r="J35" s="966"/>
      <c r="L35" s="960" t="str">
        <f>'гр (5-8)'!C5</f>
        <v>МИРОНОВ Егор</v>
      </c>
      <c r="M35" s="960" t="str">
        <f>'гр (5-8)'!C13</f>
        <v>ЦЫГАНКОВ Егор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5</v>
      </c>
      <c r="D48" s="962"/>
      <c r="E48" s="963"/>
      <c r="G48" s="957" t="s">
        <v>11956</v>
      </c>
      <c r="H48" s="958">
        <f>C3</f>
        <v>5</v>
      </c>
      <c r="I48" s="962"/>
      <c r="J48" s="963"/>
      <c r="L48" s="957" t="s">
        <v>11956</v>
      </c>
      <c r="M48" s="958">
        <f>C3</f>
        <v>5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'гр (5-8)'!C7</f>
        <v>МАРКИН Иван</v>
      </c>
      <c r="C50" s="960" t="str">
        <f>'гр (5-8)'!C19</f>
        <v/>
      </c>
      <c r="D50" s="961"/>
      <c r="E50" s="966"/>
      <c r="G50" s="960" t="str">
        <f>'гр (5-8)'!C11</f>
        <v>ЛЕДНЕВ Даниил</v>
      </c>
      <c r="H50" s="960" t="str">
        <f>'гр (5-8)'!C15</f>
        <v>БОЖЕНКОВ Евгений</v>
      </c>
      <c r="I50" s="961"/>
      <c r="J50" s="966"/>
      <c r="L50" s="960" t="str">
        <f>'гр (5-8)'!C9</f>
        <v>РОТНОВ Егор</v>
      </c>
      <c r="M50" s="960" t="str">
        <f>'гр (5-8)'!C17</f>
        <v>МЕДВЕДЕВ Матвей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5</v>
      </c>
      <c r="D63" s="962"/>
      <c r="E63" s="963"/>
      <c r="G63" s="957" t="s">
        <v>11956</v>
      </c>
      <c r="H63" s="958">
        <f>C3</f>
        <v>5</v>
      </c>
      <c r="I63" s="962"/>
      <c r="J63" s="963"/>
      <c r="L63" s="957" t="s">
        <v>11956</v>
      </c>
      <c r="M63" s="958">
        <f>C3</f>
        <v>5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'гр (5-8)'!C19</f>
        <v/>
      </c>
      <c r="C65" s="960" t="str">
        <f>'гр (5-8)'!C5</f>
        <v>МИРОНОВ Егор</v>
      </c>
      <c r="D65" s="961"/>
      <c r="E65" s="966"/>
      <c r="G65" s="960" t="str">
        <f>'гр (5-8)'!C13</f>
        <v>ЦЫГАНКОВ Егор</v>
      </c>
      <c r="H65" s="960" t="str">
        <f>'гр (5-8)'!C11</f>
        <v>ЛЕДНЕВ Даниил</v>
      </c>
      <c r="I65" s="961"/>
      <c r="J65" s="966"/>
      <c r="L65" s="960" t="str">
        <f>'гр (5-8)'!C17</f>
        <v>МЕДВЕДЕВ Матвей</v>
      </c>
      <c r="M65" s="960" t="str">
        <f>'гр (5-8)'!C7</f>
        <v>МАРКИН Иван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Групповой этап</v>
      </c>
      <c r="C77" s="1199"/>
      <c r="D77" s="955"/>
      <c r="E77" s="956"/>
      <c r="G77" s="1199" t="str">
        <f>B2</f>
        <v>Групповой этап</v>
      </c>
      <c r="H77" s="1199"/>
      <c r="I77" s="955"/>
      <c r="J77" s="956"/>
      <c r="L77" s="1199" t="str">
        <f>B2</f>
        <v>Групповой этап</v>
      </c>
      <c r="M77" s="1199"/>
      <c r="N77" s="961"/>
    </row>
    <row r="78" spans="1:14" x14ac:dyDescent="0.3">
      <c r="B78" s="957" t="s">
        <v>11956</v>
      </c>
      <c r="C78" s="958">
        <f>C3</f>
        <v>5</v>
      </c>
      <c r="D78" s="962"/>
      <c r="E78" s="963"/>
      <c r="G78" s="957" t="s">
        <v>11956</v>
      </c>
      <c r="H78" s="958">
        <f>C3</f>
        <v>5</v>
      </c>
      <c r="I78" s="962"/>
      <c r="J78" s="963"/>
      <c r="L78" s="957" t="s">
        <v>11956</v>
      </c>
      <c r="M78" s="958">
        <f>C3</f>
        <v>5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'гр (5-8)'!C15</f>
        <v>БОЖЕНКОВ Евгений</v>
      </c>
      <c r="C80" s="960" t="str">
        <f>'гр (5-8)'!C9</f>
        <v>РОТНОВ Егор</v>
      </c>
      <c r="D80" s="961"/>
      <c r="E80" s="966"/>
      <c r="G80" s="960" t="str">
        <f>'гр (5-8)'!C5</f>
        <v>МИРОНОВ Егор</v>
      </c>
      <c r="H80" s="960" t="str">
        <f>'гр (5-8)'!C9</f>
        <v>РОТНОВ Егор</v>
      </c>
      <c r="I80" s="961"/>
      <c r="J80" s="966"/>
      <c r="L80" s="960" t="str">
        <f>'гр (5-8)'!C7</f>
        <v>МАРКИН Иван</v>
      </c>
      <c r="M80" s="960" t="str">
        <f>'гр (5-8)'!C11</f>
        <v>ЛЕДНЕВ Даниил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Групповой этап</v>
      </c>
      <c r="C92" s="1199"/>
      <c r="D92" s="955"/>
      <c r="E92" s="956"/>
      <c r="G92" s="1199" t="str">
        <f>B2</f>
        <v>Групповой этап</v>
      </c>
      <c r="H92" s="1199"/>
      <c r="I92" s="955"/>
      <c r="J92" s="956"/>
      <c r="L92" s="1199" t="str">
        <f>B2</f>
        <v>Групповой этап</v>
      </c>
      <c r="M92" s="1199"/>
      <c r="N92" s="961"/>
    </row>
    <row r="93" spans="1:14" x14ac:dyDescent="0.3">
      <c r="B93" s="957" t="s">
        <v>11956</v>
      </c>
      <c r="C93" s="958">
        <f>C3</f>
        <v>5</v>
      </c>
      <c r="D93" s="962"/>
      <c r="E93" s="963"/>
      <c r="G93" s="957" t="s">
        <v>11956</v>
      </c>
      <c r="H93" s="958">
        <f>C3</f>
        <v>5</v>
      </c>
      <c r="I93" s="962"/>
      <c r="J93" s="963"/>
      <c r="L93" s="957" t="s">
        <v>11956</v>
      </c>
      <c r="M93" s="958">
        <f>C3</f>
        <v>5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'гр (5-8)'!C13</f>
        <v>ЦЫГАНКОВ Егор</v>
      </c>
      <c r="C95" s="960" t="str">
        <f>'гр (5-8)'!C17</f>
        <v>МЕДВЕДЕВ Матвей</v>
      </c>
      <c r="D95" s="961"/>
      <c r="E95" s="966"/>
      <c r="G95" s="960" t="str">
        <f>'гр (5-8)'!C15</f>
        <v>БОЖЕНКОВ Евгений</v>
      </c>
      <c r="H95" s="960" t="str">
        <f>'гр (5-8)'!C19</f>
        <v/>
      </c>
      <c r="I95" s="961"/>
      <c r="J95" s="966"/>
      <c r="L95" s="960" t="str">
        <f>'гр (5-8)'!C11</f>
        <v>ЛЕДНЕВ Даниил</v>
      </c>
      <c r="M95" s="960" t="str">
        <f>'гр (5-8)'!C5</f>
        <v>МИРОНОВ Егор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Групповой этап</v>
      </c>
      <c r="C107" s="1199"/>
      <c r="D107" s="955"/>
      <c r="E107" s="956"/>
      <c r="G107" s="1199" t="str">
        <f>B2</f>
        <v>Групповой этап</v>
      </c>
      <c r="H107" s="1199"/>
      <c r="I107" s="955"/>
      <c r="J107" s="956"/>
      <c r="L107" s="1199" t="str">
        <f>B2</f>
        <v>Групповой этап</v>
      </c>
      <c r="M107" s="1199"/>
      <c r="N107" s="961"/>
    </row>
    <row r="108" spans="1:14" x14ac:dyDescent="0.3">
      <c r="B108" s="957" t="s">
        <v>11956</v>
      </c>
      <c r="C108" s="958">
        <f>C3</f>
        <v>5</v>
      </c>
      <c r="D108" s="962"/>
      <c r="E108" s="963"/>
      <c r="G108" s="957" t="s">
        <v>11956</v>
      </c>
      <c r="H108" s="958">
        <f>C3</f>
        <v>5</v>
      </c>
      <c r="I108" s="962"/>
      <c r="J108" s="963"/>
      <c r="L108" s="957" t="s">
        <v>11956</v>
      </c>
      <c r="M108" s="958">
        <f>C3</f>
        <v>5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'гр (5-8)'!C9</f>
        <v>РОТНОВ Егор</v>
      </c>
      <c r="C110" s="960" t="str">
        <f>'гр (5-8)'!C7</f>
        <v>МАРКИН Иван</v>
      </c>
      <c r="D110" s="961"/>
      <c r="E110" s="966"/>
      <c r="G110" s="960" t="str">
        <f>'гр (5-8)'!C17</f>
        <v>МЕДВЕДЕВ Матвей</v>
      </c>
      <c r="H110" s="960" t="str">
        <f>'гр (5-8)'!C15</f>
        <v>БОЖЕНКОВ Евгений</v>
      </c>
      <c r="I110" s="961"/>
      <c r="J110" s="966"/>
      <c r="L110" s="960" t="str">
        <f>'гр (5-8)'!C19</f>
        <v/>
      </c>
      <c r="M110" s="960" t="str">
        <f>'гр (5-8)'!C13</f>
        <v>ЦЫГАНКОВ Егор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Групповой этап</v>
      </c>
      <c r="C122" s="1199"/>
      <c r="D122" s="955"/>
      <c r="E122" s="956"/>
      <c r="G122" s="1199" t="str">
        <f>B2</f>
        <v>Групповой этап</v>
      </c>
      <c r="H122" s="1199"/>
      <c r="I122" s="955"/>
      <c r="J122" s="956"/>
      <c r="L122" s="1199" t="str">
        <f>B2</f>
        <v>Групповой этап</v>
      </c>
      <c r="M122" s="1199"/>
      <c r="N122" s="961"/>
    </row>
    <row r="123" spans="1:14" x14ac:dyDescent="0.3">
      <c r="B123" s="957" t="s">
        <v>11956</v>
      </c>
      <c r="C123" s="958">
        <f>C3</f>
        <v>5</v>
      </c>
      <c r="D123" s="962"/>
      <c r="E123" s="963"/>
      <c r="G123" s="957" t="s">
        <v>11956</v>
      </c>
      <c r="H123" s="958">
        <f>C3</f>
        <v>5</v>
      </c>
      <c r="I123" s="962"/>
      <c r="J123" s="963"/>
      <c r="L123" s="957" t="s">
        <v>11956</v>
      </c>
      <c r="M123" s="958">
        <f>C3</f>
        <v>5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'гр (5-8)'!C5</f>
        <v>МИРОНОВ Егор</v>
      </c>
      <c r="C125" s="960" t="str">
        <f>'гр (5-8)'!C7</f>
        <v>МАРКИН Иван</v>
      </c>
      <c r="D125" s="961"/>
      <c r="E125" s="966"/>
      <c r="G125" s="960" t="str">
        <f>'гр (5-8)'!C9</f>
        <v>РОТНОВ Егор</v>
      </c>
      <c r="H125" s="960" t="str">
        <f>'гр (5-8)'!C11</f>
        <v>ЛЕДНЕВ Даниил</v>
      </c>
      <c r="I125" s="961"/>
      <c r="J125" s="966"/>
      <c r="L125" s="960" t="str">
        <f>'гр (5-8)'!C13</f>
        <v>ЦЫГАНКОВ Егор</v>
      </c>
      <c r="M125" s="960" t="str">
        <f>'гр (5-8)'!C15</f>
        <v>БОЖЕНКОВ Евгений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Групповой этап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 t="s">
        <v>11956</v>
      </c>
      <c r="C138" s="975">
        <f>C3</f>
        <v>5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'гр (5-8)'!C17</f>
        <v>МЕДВЕДЕВ Матвей</v>
      </c>
      <c r="C140" s="960" t="str">
        <f>'гр (5-8)'!C19</f>
        <v/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4" manualBreakCount="4">
    <brk id="30" max="16383" man="1"/>
    <brk id="60" max="16383" man="1"/>
    <brk id="90" max="16383" man="1"/>
    <brk id="120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75"/>
  <sheetViews>
    <sheetView topLeftCell="B59" workbookViewId="0">
      <selection activeCell="M66" sqref="M66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5</v>
      </c>
      <c r="D3" s="962"/>
      <c r="E3" s="963"/>
      <c r="G3" s="957" t="s">
        <v>11956</v>
      </c>
      <c r="H3" s="958">
        <f>C3</f>
        <v>5</v>
      </c>
      <c r="I3" s="962"/>
      <c r="J3" s="963"/>
      <c r="L3" s="957" t="s">
        <v>11956</v>
      </c>
      <c r="M3" s="958">
        <f>C3</f>
        <v>5</v>
      </c>
      <c r="N3" s="961"/>
    </row>
    <row r="4" spans="1:14" x14ac:dyDescent="0.3">
      <c r="B4" s="957" t="s">
        <v>11957</v>
      </c>
      <c r="C4" s="959" t="s">
        <v>11970</v>
      </c>
      <c r="D4" s="961"/>
      <c r="G4" s="957" t="s">
        <v>11957</v>
      </c>
      <c r="H4" s="959" t="s">
        <v>11967</v>
      </c>
      <c r="I4" s="964"/>
      <c r="J4" s="965"/>
      <c r="L4" s="957" t="s">
        <v>11957</v>
      </c>
      <c r="M4" s="959" t="s">
        <v>1040</v>
      </c>
      <c r="N4" s="961"/>
    </row>
    <row r="5" spans="1:14" x14ac:dyDescent="0.3">
      <c r="B5" s="960" t="str">
        <f>'гр (5-8)'!C7</f>
        <v>МАРКИН Иван</v>
      </c>
      <c r="C5" s="960" t="str">
        <f>'гр (5-8)'!C11</f>
        <v>ЛЕДНЕВ Даниил</v>
      </c>
      <c r="D5" s="961"/>
      <c r="E5" s="966"/>
      <c r="G5" s="960" t="str">
        <f>'гр (5-8)'!C5</f>
        <v>МИРОНОВ Егор</v>
      </c>
      <c r="H5" s="960" t="str">
        <f>'гр (5-8)'!C13</f>
        <v>ЦЫГАНКОВ Егор</v>
      </c>
      <c r="I5" s="961"/>
      <c r="J5" s="966"/>
      <c r="L5" s="960" t="str">
        <f>'гр (5-8)'!C9</f>
        <v>РОТНОВ Егор</v>
      </c>
      <c r="M5" s="960" t="str">
        <f>'гр (5-8)'!C15</f>
        <v>БОЖЕНКОВ Евгений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5</v>
      </c>
      <c r="D18" s="962"/>
      <c r="E18" s="963"/>
      <c r="G18" s="957" t="s">
        <v>11956</v>
      </c>
      <c r="H18" s="958">
        <f>C3</f>
        <v>5</v>
      </c>
      <c r="I18" s="962"/>
      <c r="J18" s="963"/>
      <c r="L18" s="957" t="s">
        <v>11956</v>
      </c>
      <c r="M18" s="958">
        <f>C3</f>
        <v>5</v>
      </c>
      <c r="N18" s="961"/>
    </row>
    <row r="19" spans="1:14" x14ac:dyDescent="0.3">
      <c r="B19" s="957" t="s">
        <v>11957</v>
      </c>
      <c r="C19" s="959" t="s">
        <v>11981</v>
      </c>
      <c r="D19" s="961"/>
      <c r="G19" s="957" t="s">
        <v>11957</v>
      </c>
      <c r="H19" s="959" t="s">
        <v>1100</v>
      </c>
      <c r="I19" s="964"/>
      <c r="J19" s="965"/>
      <c r="L19" s="957" t="s">
        <v>11957</v>
      </c>
      <c r="M19" s="959" t="s">
        <v>1099</v>
      </c>
      <c r="N19" s="961"/>
    </row>
    <row r="20" spans="1:14" x14ac:dyDescent="0.3">
      <c r="B20" s="960" t="str">
        <f>'гр (5-8)'!C11</f>
        <v>ЛЕДНЕВ Даниил</v>
      </c>
      <c r="C20" s="960" t="str">
        <f>'гр (5-8)'!C5</f>
        <v>МИРОНОВ Егор</v>
      </c>
      <c r="D20" s="961"/>
      <c r="E20" s="966"/>
      <c r="G20" s="960" t="str">
        <f>'гр (5-8)'!C15</f>
        <v>БОЖЕНКОВ Евгений</v>
      </c>
      <c r="H20" s="960" t="str">
        <f>'гр (5-8)'!C7</f>
        <v>МАРКИН Иван</v>
      </c>
      <c r="I20" s="961"/>
      <c r="J20" s="966"/>
      <c r="L20" s="960" t="str">
        <f>'гр (5-8)'!C13</f>
        <v>ЦЫГАНКОВ Егор</v>
      </c>
      <c r="M20" s="960" t="str">
        <f>'гр (5-8)'!C9</f>
        <v>РОТНОВ Егор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5</v>
      </c>
      <c r="D33" s="962"/>
      <c r="E33" s="963"/>
      <c r="G33" s="957" t="s">
        <v>11956</v>
      </c>
      <c r="H33" s="958">
        <f>C3</f>
        <v>5</v>
      </c>
      <c r="I33" s="962"/>
      <c r="J33" s="963"/>
      <c r="L33" s="957" t="s">
        <v>11956</v>
      </c>
      <c r="M33" s="958">
        <f>C3</f>
        <v>5</v>
      </c>
      <c r="N33" s="961"/>
    </row>
    <row r="34" spans="1:14" x14ac:dyDescent="0.3">
      <c r="B34" s="957" t="s">
        <v>11957</v>
      </c>
      <c r="C34" s="959" t="s">
        <v>11971</v>
      </c>
      <c r="D34" s="961"/>
      <c r="G34" s="957" t="s">
        <v>11957</v>
      </c>
      <c r="H34" s="959" t="s">
        <v>1048</v>
      </c>
      <c r="I34" s="964"/>
      <c r="J34" s="965"/>
      <c r="L34" s="957" t="s">
        <v>11957</v>
      </c>
      <c r="M34" s="959" t="s">
        <v>11964</v>
      </c>
      <c r="N34" s="961"/>
    </row>
    <row r="35" spans="1:14" x14ac:dyDescent="0.3">
      <c r="B35" s="960" t="str">
        <f>'гр (5-8)'!C5</f>
        <v>МИРОНОВ Егор</v>
      </c>
      <c r="C35" s="960" t="str">
        <f>'гр (5-8)'!C9</f>
        <v>РОТНОВ Егор</v>
      </c>
      <c r="D35" s="961"/>
      <c r="E35" s="966"/>
      <c r="G35" s="960" t="str">
        <f>'гр (5-8)'!C7</f>
        <v>МАРКИН Иван</v>
      </c>
      <c r="H35" s="960" t="str">
        <f>'гр (5-8)'!C13</f>
        <v>ЦЫГАНКОВ Егор</v>
      </c>
      <c r="I35" s="961"/>
      <c r="J35" s="966"/>
      <c r="L35" s="960" t="str">
        <f>'гр (5-8)'!C11</f>
        <v>ЛЕДНЕВ Даниил</v>
      </c>
      <c r="M35" s="960" t="str">
        <f>'гр (5-8)'!C15</f>
        <v>БОЖЕНКОВ Евгений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5</v>
      </c>
      <c r="D48" s="962"/>
      <c r="E48" s="963"/>
      <c r="G48" s="957" t="s">
        <v>11956</v>
      </c>
      <c r="H48" s="958">
        <f>C3</f>
        <v>5</v>
      </c>
      <c r="I48" s="962"/>
      <c r="J48" s="963"/>
      <c r="L48" s="957" t="s">
        <v>11956</v>
      </c>
      <c r="M48" s="958">
        <f>C3</f>
        <v>5</v>
      </c>
      <c r="N48" s="961"/>
    </row>
    <row r="49" spans="1:14" x14ac:dyDescent="0.3">
      <c r="B49" s="957" t="s">
        <v>11957</v>
      </c>
      <c r="C49" s="959" t="s">
        <v>11982</v>
      </c>
      <c r="D49" s="961"/>
      <c r="G49" s="957" t="s">
        <v>11957</v>
      </c>
      <c r="H49" s="959" t="s">
        <v>11974</v>
      </c>
      <c r="I49" s="964"/>
      <c r="J49" s="965"/>
      <c r="L49" s="957" t="s">
        <v>11957</v>
      </c>
      <c r="M49" s="959" t="s">
        <v>11978</v>
      </c>
      <c r="N49" s="961"/>
    </row>
    <row r="50" spans="1:14" x14ac:dyDescent="0.3">
      <c r="B50" s="960" t="str">
        <f>'гр (5-8)'!C9</f>
        <v>РОТНОВ Егор</v>
      </c>
      <c r="C50" s="960" t="str">
        <f>'гр (5-8)'!C7</f>
        <v>МАРКИН Иван</v>
      </c>
      <c r="D50" s="961"/>
      <c r="E50" s="966"/>
      <c r="G50" s="960" t="str">
        <f>'гр (5-8)'!C15</f>
        <v>БОЖЕНКОВ Евгений</v>
      </c>
      <c r="H50" s="960" t="str">
        <f>'гр (5-8)'!C5</f>
        <v>МИРОНОВ Егор</v>
      </c>
      <c r="I50" s="961"/>
      <c r="J50" s="966"/>
      <c r="L50" s="960" t="str">
        <f>'гр (5-8)'!C13</f>
        <v>ЦЫГАНКОВ Егор</v>
      </c>
      <c r="M50" s="960" t="str">
        <f>'гр (5-8)'!C11</f>
        <v>ЛЕДНЕВ Даниил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5</v>
      </c>
      <c r="D63" s="962"/>
      <c r="E63" s="963"/>
      <c r="G63" s="957" t="s">
        <v>11956</v>
      </c>
      <c r="H63" s="958">
        <f>C3</f>
        <v>5</v>
      </c>
      <c r="I63" s="962"/>
      <c r="J63" s="963"/>
      <c r="L63" s="957" t="s">
        <v>11956</v>
      </c>
      <c r="M63" s="958">
        <f>C3</f>
        <v>5</v>
      </c>
      <c r="N63" s="961"/>
    </row>
    <row r="64" spans="1:14" x14ac:dyDescent="0.3">
      <c r="B64" s="957" t="s">
        <v>11957</v>
      </c>
      <c r="C64" s="959" t="s">
        <v>1114</v>
      </c>
      <c r="D64" s="961"/>
      <c r="G64" s="957" t="s">
        <v>11957</v>
      </c>
      <c r="H64" s="959" t="s">
        <v>1049</v>
      </c>
      <c r="I64" s="964"/>
      <c r="J64" s="965"/>
      <c r="L64" s="957" t="s">
        <v>11957</v>
      </c>
      <c r="M64" s="959" t="s">
        <v>1033</v>
      </c>
      <c r="N64" s="961"/>
    </row>
    <row r="65" spans="1:14" x14ac:dyDescent="0.3">
      <c r="B65" s="960" t="str">
        <f>'гр (5-8)'!C5</f>
        <v>МИРОНОВ Егор</v>
      </c>
      <c r="C65" s="960" t="str">
        <f>'гр (5-8)'!C7</f>
        <v>МАРКИН Иван</v>
      </c>
      <c r="D65" s="961"/>
      <c r="E65" s="966"/>
      <c r="G65" s="960" t="str">
        <f>'гр (5-8)'!C9</f>
        <v>РОТНОВ Егор</v>
      </c>
      <c r="H65" s="960" t="str">
        <f>'гр (5-8)'!C11</f>
        <v>ЛЕДНЕВ Даниил</v>
      </c>
      <c r="I65" s="961"/>
      <c r="J65" s="966"/>
      <c r="L65" s="960" t="str">
        <f>'гр (5-8)'!C13</f>
        <v>ЦЫГАНКОВ Егор</v>
      </c>
      <c r="M65" s="960" t="str">
        <f>'гр (5-8)'!C15</f>
        <v>БОЖЕНКОВ Евгений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</sheetData>
  <mergeCells count="30"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A125" zoomScale="60" zoomScaleNormal="100" workbookViewId="0">
      <selection activeCell="C6" sqref="C6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6</v>
      </c>
      <c r="D3" s="962"/>
      <c r="E3" s="963"/>
      <c r="G3" s="957" t="s">
        <v>11956</v>
      </c>
      <c r="H3" s="958">
        <f>C3</f>
        <v>6</v>
      </c>
      <c r="I3" s="962"/>
      <c r="J3" s="963"/>
      <c r="L3" s="957" t="s">
        <v>11956</v>
      </c>
      <c r="M3" s="958">
        <f>C3</f>
        <v>6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'гр (5-8)'!C27</f>
        <v>МОСПАНОВ Илья</v>
      </c>
      <c r="C5" s="960" t="str">
        <f>'гр (5-8)'!C35</f>
        <v>КОБЗЕВ Прохор</v>
      </c>
      <c r="D5" s="961"/>
      <c r="E5" s="966"/>
      <c r="G5" s="960" t="str">
        <f>'гр (5-8)'!C29</f>
        <v>НАСИРОВ Федор</v>
      </c>
      <c r="H5" s="960" t="str">
        <f>'гр (5-8)'!C33</f>
        <v>ЦЫГАНКОВ Вадим</v>
      </c>
      <c r="I5" s="961"/>
      <c r="J5" s="966"/>
      <c r="L5" s="960" t="str">
        <f>'гр (5-8)'!C25</f>
        <v>БАТАЛОВ Анатолий</v>
      </c>
      <c r="M5" s="960" t="str">
        <f>'гр (5-8)'!C37</f>
        <v>НОВОСЕЛОВ Марк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6</v>
      </c>
      <c r="D18" s="962"/>
      <c r="E18" s="963"/>
      <c r="G18" s="957" t="s">
        <v>11956</v>
      </c>
      <c r="H18" s="958">
        <f>C3</f>
        <v>6</v>
      </c>
      <c r="I18" s="962"/>
      <c r="J18" s="963"/>
      <c r="L18" s="957" t="s">
        <v>11956</v>
      </c>
      <c r="M18" s="958">
        <f>C3</f>
        <v>6</v>
      </c>
      <c r="N18" s="961"/>
    </row>
    <row r="19" spans="1:14" x14ac:dyDescent="0.3">
      <c r="B19" s="957" t="s">
        <v>11957</v>
      </c>
      <c r="C19" s="959" t="s">
        <v>11958</v>
      </c>
      <c r="D19" s="961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960" t="str">
        <f>'гр (5-8)'!C31</f>
        <v>БУРГАСОВ Владимир</v>
      </c>
      <c r="C20" s="960" t="str">
        <f>'гр (5-8)'!C39</f>
        <v/>
      </c>
      <c r="D20" s="961"/>
      <c r="E20" s="966"/>
      <c r="G20" s="960" t="str">
        <f>'гр (5-8)'!C33</f>
        <v>ЦЫГАНКОВ Вадим</v>
      </c>
      <c r="H20" s="960" t="str">
        <f>'гр (5-8)'!C27</f>
        <v>МОСПАНОВ Илья</v>
      </c>
      <c r="I20" s="961"/>
      <c r="J20" s="966"/>
      <c r="L20" s="960" t="str">
        <f>'гр (5-8)'!C35</f>
        <v>КОБЗЕВ Прохор</v>
      </c>
      <c r="M20" s="960" t="str">
        <f>'гр (5-8)'!C25</f>
        <v>БАТАЛОВ Анатолий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6</v>
      </c>
      <c r="D33" s="962"/>
      <c r="E33" s="963"/>
      <c r="G33" s="957" t="s">
        <v>11956</v>
      </c>
      <c r="H33" s="958">
        <f>C3</f>
        <v>6</v>
      </c>
      <c r="I33" s="962"/>
      <c r="J33" s="963"/>
      <c r="L33" s="957" t="s">
        <v>11956</v>
      </c>
      <c r="M33" s="958">
        <f>C3</f>
        <v>6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'гр (5-8)'!C39</f>
        <v/>
      </c>
      <c r="C35" s="960" t="str">
        <f>'гр (5-8)'!C29</f>
        <v>НАСИРОВ Федор</v>
      </c>
      <c r="D35" s="961"/>
      <c r="E35" s="966"/>
      <c r="G35" s="960" t="str">
        <f>'гр (5-8)'!C37</f>
        <v>НОВОСЕЛОВ Марк</v>
      </c>
      <c r="H35" s="960" t="str">
        <f>'гр (5-8)'!C31</f>
        <v>БУРГАСОВ Владимир</v>
      </c>
      <c r="I35" s="961"/>
      <c r="J35" s="966"/>
      <c r="L35" s="960" t="str">
        <f>'гр (5-8)'!C25</f>
        <v>БАТАЛОВ Анатолий</v>
      </c>
      <c r="M35" s="960" t="str">
        <f>'гр (5-8)'!C33</f>
        <v>ЦЫГАНКОВ Вадим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6</v>
      </c>
      <c r="D48" s="962"/>
      <c r="E48" s="963"/>
      <c r="G48" s="957" t="s">
        <v>11956</v>
      </c>
      <c r="H48" s="958">
        <f>C3</f>
        <v>6</v>
      </c>
      <c r="I48" s="962"/>
      <c r="J48" s="963"/>
      <c r="L48" s="957" t="s">
        <v>11956</v>
      </c>
      <c r="M48" s="958">
        <f>C3</f>
        <v>6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'гр (5-8)'!C27</f>
        <v>МОСПАНОВ Илья</v>
      </c>
      <c r="C50" s="960" t="str">
        <f>'гр (5-8)'!C39</f>
        <v/>
      </c>
      <c r="D50" s="961"/>
      <c r="E50" s="966"/>
      <c r="G50" s="960" t="str">
        <f>'гр (5-8)'!C31</f>
        <v>БУРГАСОВ Владимир</v>
      </c>
      <c r="H50" s="960" t="str">
        <f>'гр (5-8)'!C35</f>
        <v>КОБЗЕВ Прохор</v>
      </c>
      <c r="I50" s="961"/>
      <c r="J50" s="966"/>
      <c r="L50" s="960" t="str">
        <f>'гр (5-8)'!C29</f>
        <v>НАСИРОВ Федор</v>
      </c>
      <c r="M50" s="960" t="str">
        <f>'гр (5-8)'!C37</f>
        <v>НОВОСЕЛОВ Марк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6</v>
      </c>
      <c r="D63" s="962"/>
      <c r="E63" s="963"/>
      <c r="G63" s="957" t="s">
        <v>11956</v>
      </c>
      <c r="H63" s="958">
        <f>C3</f>
        <v>6</v>
      </c>
      <c r="I63" s="962"/>
      <c r="J63" s="963"/>
      <c r="L63" s="957" t="s">
        <v>11956</v>
      </c>
      <c r="M63" s="958">
        <f>C3</f>
        <v>6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'гр (5-8)'!C39</f>
        <v/>
      </c>
      <c r="C65" s="960" t="str">
        <f>'гр (5-8)'!C25</f>
        <v>БАТАЛОВ Анатолий</v>
      </c>
      <c r="D65" s="961"/>
      <c r="E65" s="966"/>
      <c r="G65" s="960" t="str">
        <f>'гр (5-8)'!C33</f>
        <v>ЦЫГАНКОВ Вадим</v>
      </c>
      <c r="H65" s="960" t="str">
        <f>'гр (5-8)'!C31</f>
        <v>БУРГАСОВ Владимир</v>
      </c>
      <c r="I65" s="961"/>
      <c r="J65" s="966"/>
      <c r="L65" s="960" t="str">
        <f>'гр (5-8)'!C37</f>
        <v>НОВОСЕЛОВ Марк</v>
      </c>
      <c r="M65" s="960" t="str">
        <f>'гр (5-8)'!C27</f>
        <v>МОСПАНОВ Илья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Групповой этап</v>
      </c>
      <c r="C77" s="1199"/>
      <c r="D77" s="955"/>
      <c r="E77" s="956"/>
      <c r="G77" s="1199" t="str">
        <f>B2</f>
        <v>Групповой этап</v>
      </c>
      <c r="H77" s="1199"/>
      <c r="I77" s="955"/>
      <c r="J77" s="956"/>
      <c r="L77" s="1199" t="str">
        <f>B2</f>
        <v>Групповой этап</v>
      </c>
      <c r="M77" s="1199"/>
      <c r="N77" s="961"/>
    </row>
    <row r="78" spans="1:14" x14ac:dyDescent="0.3">
      <c r="B78" s="957" t="s">
        <v>11956</v>
      </c>
      <c r="C78" s="958">
        <f>C3</f>
        <v>6</v>
      </c>
      <c r="D78" s="962"/>
      <c r="E78" s="963"/>
      <c r="G78" s="957" t="s">
        <v>11956</v>
      </c>
      <c r="H78" s="958">
        <f>C3</f>
        <v>6</v>
      </c>
      <c r="I78" s="962"/>
      <c r="J78" s="963"/>
      <c r="L78" s="957" t="s">
        <v>11956</v>
      </c>
      <c r="M78" s="958">
        <f>C3</f>
        <v>6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'гр (5-8)'!C35</f>
        <v>КОБЗЕВ Прохор</v>
      </c>
      <c r="C80" s="960" t="str">
        <f>'гр (5-8)'!C29</f>
        <v>НАСИРОВ Федор</v>
      </c>
      <c r="D80" s="961"/>
      <c r="E80" s="966"/>
      <c r="G80" s="960" t="str">
        <f>'гр (5-8)'!C25</f>
        <v>БАТАЛОВ Анатолий</v>
      </c>
      <c r="H80" s="960" t="str">
        <f>'гр (5-8)'!C29</f>
        <v>НАСИРОВ Федор</v>
      </c>
      <c r="I80" s="961"/>
      <c r="J80" s="966"/>
      <c r="L80" s="960" t="str">
        <f>'гр (5-8)'!C27</f>
        <v>МОСПАНОВ Илья</v>
      </c>
      <c r="M80" s="960" t="str">
        <f>'гр (5-8)'!C31</f>
        <v>БУРГАСОВ Владимир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Групповой этап</v>
      </c>
      <c r="C92" s="1199"/>
      <c r="D92" s="955"/>
      <c r="E92" s="956"/>
      <c r="G92" s="1199" t="str">
        <f>B2</f>
        <v>Групповой этап</v>
      </c>
      <c r="H92" s="1199"/>
      <c r="I92" s="955"/>
      <c r="J92" s="956"/>
      <c r="L92" s="1199" t="str">
        <f>B2</f>
        <v>Групповой этап</v>
      </c>
      <c r="M92" s="1199"/>
      <c r="N92" s="961"/>
    </row>
    <row r="93" spans="1:14" x14ac:dyDescent="0.3">
      <c r="B93" s="957" t="s">
        <v>11956</v>
      </c>
      <c r="C93" s="958">
        <f>C3</f>
        <v>6</v>
      </c>
      <c r="D93" s="962"/>
      <c r="E93" s="963"/>
      <c r="G93" s="957" t="s">
        <v>11956</v>
      </c>
      <c r="H93" s="958">
        <f>C3</f>
        <v>6</v>
      </c>
      <c r="I93" s="962"/>
      <c r="J93" s="963"/>
      <c r="L93" s="957" t="s">
        <v>11956</v>
      </c>
      <c r="M93" s="958">
        <f>C3</f>
        <v>6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'гр (5-8)'!C33</f>
        <v>ЦЫГАНКОВ Вадим</v>
      </c>
      <c r="C95" s="960" t="str">
        <f>'гр (5-8)'!C37</f>
        <v>НОВОСЕЛОВ Марк</v>
      </c>
      <c r="D95" s="961"/>
      <c r="E95" s="966"/>
      <c r="G95" s="960" t="str">
        <f>'гр (5-8)'!C35</f>
        <v>КОБЗЕВ Прохор</v>
      </c>
      <c r="H95" s="960" t="str">
        <f>'гр (5-8)'!C39</f>
        <v/>
      </c>
      <c r="I95" s="961"/>
      <c r="J95" s="966"/>
      <c r="L95" s="960" t="str">
        <f>'гр (5-8)'!C31</f>
        <v>БУРГАСОВ Владимир</v>
      </c>
      <c r="M95" s="960" t="str">
        <f>'гр (5-8)'!C25</f>
        <v>БАТАЛОВ Анатолий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Групповой этап</v>
      </c>
      <c r="C107" s="1199"/>
      <c r="D107" s="955"/>
      <c r="E107" s="956"/>
      <c r="G107" s="1199" t="str">
        <f>B2</f>
        <v>Групповой этап</v>
      </c>
      <c r="H107" s="1199"/>
      <c r="I107" s="955"/>
      <c r="J107" s="956"/>
      <c r="L107" s="1199" t="str">
        <f>B2</f>
        <v>Групповой этап</v>
      </c>
      <c r="M107" s="1199"/>
      <c r="N107" s="961"/>
    </row>
    <row r="108" spans="1:14" x14ac:dyDescent="0.3">
      <c r="B108" s="957" t="s">
        <v>11956</v>
      </c>
      <c r="C108" s="958">
        <f>C3</f>
        <v>6</v>
      </c>
      <c r="D108" s="962"/>
      <c r="E108" s="963"/>
      <c r="G108" s="957" t="s">
        <v>11956</v>
      </c>
      <c r="H108" s="958">
        <f>C3</f>
        <v>6</v>
      </c>
      <c r="I108" s="962"/>
      <c r="J108" s="963"/>
      <c r="L108" s="957" t="s">
        <v>11956</v>
      </c>
      <c r="M108" s="958">
        <f>C3</f>
        <v>6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'гр (5-8)'!C29</f>
        <v>НАСИРОВ Федор</v>
      </c>
      <c r="C110" s="960" t="str">
        <f>'гр (5-8)'!C27</f>
        <v>МОСПАНОВ Илья</v>
      </c>
      <c r="D110" s="961"/>
      <c r="E110" s="966"/>
      <c r="G110" s="960" t="str">
        <f>'гр (5-8)'!C37</f>
        <v>НОВОСЕЛОВ Марк</v>
      </c>
      <c r="H110" s="960" t="str">
        <f>'гр (5-8)'!C35</f>
        <v>КОБЗЕВ Прохор</v>
      </c>
      <c r="I110" s="961"/>
      <c r="J110" s="966"/>
      <c r="L110" s="960" t="str">
        <f>'гр (5-8)'!C39</f>
        <v/>
      </c>
      <c r="M110" s="960" t="str">
        <f>'гр (5-8)'!C33</f>
        <v>ЦЫГАНКОВ Вадим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Групповой этап</v>
      </c>
      <c r="C122" s="1199"/>
      <c r="D122" s="955"/>
      <c r="E122" s="956"/>
      <c r="G122" s="1199" t="str">
        <f>B2</f>
        <v>Групповой этап</v>
      </c>
      <c r="H122" s="1199"/>
      <c r="I122" s="955"/>
      <c r="J122" s="956"/>
      <c r="L122" s="1199" t="str">
        <f>B2</f>
        <v>Групповой этап</v>
      </c>
      <c r="M122" s="1199"/>
      <c r="N122" s="961"/>
    </row>
    <row r="123" spans="1:14" x14ac:dyDescent="0.3">
      <c r="B123" s="957" t="s">
        <v>11956</v>
      </c>
      <c r="C123" s="958">
        <f>C3</f>
        <v>6</v>
      </c>
      <c r="D123" s="962"/>
      <c r="E123" s="963"/>
      <c r="G123" s="957" t="s">
        <v>11956</v>
      </c>
      <c r="H123" s="958">
        <f>C3</f>
        <v>6</v>
      </c>
      <c r="I123" s="962"/>
      <c r="J123" s="963"/>
      <c r="L123" s="957" t="s">
        <v>11956</v>
      </c>
      <c r="M123" s="958">
        <f>C3</f>
        <v>6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'гр (5-8)'!C25</f>
        <v>БАТАЛОВ Анатолий</v>
      </c>
      <c r="C125" s="960" t="str">
        <f>'гр (5-8)'!C27</f>
        <v>МОСПАНОВ Илья</v>
      </c>
      <c r="D125" s="961"/>
      <c r="E125" s="966"/>
      <c r="G125" s="960" t="str">
        <f>'гр (5-8)'!C29</f>
        <v>НАСИРОВ Федор</v>
      </c>
      <c r="H125" s="960" t="str">
        <f>'гр (5-8)'!C31</f>
        <v>БУРГАСОВ Владимир</v>
      </c>
      <c r="I125" s="961"/>
      <c r="J125" s="966"/>
      <c r="L125" s="960" t="str">
        <f>'гр (5-8)'!C33</f>
        <v>ЦЫГАНКОВ Вадим</v>
      </c>
      <c r="M125" s="960" t="str">
        <f>'гр (5-8)'!C35</f>
        <v>КОБЗЕВ Прохор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Групповой этап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 t="s">
        <v>11956</v>
      </c>
      <c r="C138" s="975">
        <f>C3</f>
        <v>6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'гр (5-8)'!C37</f>
        <v>НОВОСЕЛОВ Марк</v>
      </c>
      <c r="C140" s="960" t="str">
        <f>'гр (5-8)'!C39</f>
        <v/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4" manualBreakCount="4">
    <brk id="30" max="16383" man="1"/>
    <brk id="60" max="16383" man="1"/>
    <brk id="90" max="16383" man="1"/>
    <brk id="120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75"/>
  <sheetViews>
    <sheetView topLeftCell="B55" workbookViewId="0">
      <selection activeCell="M66" sqref="M66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6</v>
      </c>
      <c r="D3" s="962"/>
      <c r="E3" s="963"/>
      <c r="G3" s="957" t="s">
        <v>11956</v>
      </c>
      <c r="H3" s="958">
        <f>C3</f>
        <v>6</v>
      </c>
      <c r="I3" s="962"/>
      <c r="J3" s="963"/>
      <c r="L3" s="957" t="s">
        <v>11956</v>
      </c>
      <c r="M3" s="958">
        <f>C3</f>
        <v>6</v>
      </c>
      <c r="N3" s="961"/>
    </row>
    <row r="4" spans="1:14" x14ac:dyDescent="0.3">
      <c r="B4" s="957" t="s">
        <v>11957</v>
      </c>
      <c r="C4" s="959" t="s">
        <v>11970</v>
      </c>
      <c r="D4" s="961"/>
      <c r="G4" s="957" t="s">
        <v>11957</v>
      </c>
      <c r="H4" s="959" t="s">
        <v>11967</v>
      </c>
      <c r="I4" s="964"/>
      <c r="J4" s="965"/>
      <c r="L4" s="957" t="s">
        <v>11957</v>
      </c>
      <c r="M4" s="959" t="s">
        <v>1040</v>
      </c>
      <c r="N4" s="961"/>
    </row>
    <row r="5" spans="1:14" x14ac:dyDescent="0.3">
      <c r="B5" s="960" t="str">
        <f>'гр (5-8)'!C27</f>
        <v>МОСПАНОВ Илья</v>
      </c>
      <c r="C5" s="960" t="str">
        <f>'гр (5-8)'!C31</f>
        <v>БУРГАСОВ Владимир</v>
      </c>
      <c r="D5" s="961"/>
      <c r="E5" s="966"/>
      <c r="G5" s="960" t="str">
        <f>'гр (5-8)'!C25</f>
        <v>БАТАЛОВ Анатолий</v>
      </c>
      <c r="H5" s="960" t="str">
        <f>'гр (5-8)'!C33</f>
        <v>ЦЫГАНКОВ Вадим</v>
      </c>
      <c r="I5" s="961"/>
      <c r="J5" s="966"/>
      <c r="L5" s="960" t="str">
        <f>'гр (5-8)'!C29</f>
        <v>НАСИРОВ Федор</v>
      </c>
      <c r="M5" s="960" t="str">
        <f>'гр (5-8)'!C35</f>
        <v>КОБЗЕВ Прохор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6</v>
      </c>
      <c r="D18" s="962"/>
      <c r="E18" s="963"/>
      <c r="G18" s="957" t="s">
        <v>11956</v>
      </c>
      <c r="H18" s="958">
        <f>C3</f>
        <v>6</v>
      </c>
      <c r="I18" s="962"/>
      <c r="J18" s="963"/>
      <c r="L18" s="957" t="s">
        <v>11956</v>
      </c>
      <c r="M18" s="958">
        <f>C3</f>
        <v>6</v>
      </c>
      <c r="N18" s="961"/>
    </row>
    <row r="19" spans="1:14" x14ac:dyDescent="0.3">
      <c r="B19" s="957" t="s">
        <v>11957</v>
      </c>
      <c r="C19" s="959" t="s">
        <v>11981</v>
      </c>
      <c r="D19" s="961"/>
      <c r="G19" s="957" t="s">
        <v>11957</v>
      </c>
      <c r="H19" s="959" t="s">
        <v>1100</v>
      </c>
      <c r="I19" s="964"/>
      <c r="J19" s="965"/>
      <c r="L19" s="957" t="s">
        <v>11957</v>
      </c>
      <c r="M19" s="959" t="s">
        <v>1099</v>
      </c>
      <c r="N19" s="961"/>
    </row>
    <row r="20" spans="1:14" x14ac:dyDescent="0.3">
      <c r="B20" s="960" t="str">
        <f>'гр (5-8)'!C31</f>
        <v>БУРГАСОВ Владимир</v>
      </c>
      <c r="C20" s="960" t="str">
        <f>'гр (5-8)'!C25</f>
        <v>БАТАЛОВ Анатолий</v>
      </c>
      <c r="D20" s="961"/>
      <c r="E20" s="966"/>
      <c r="G20" s="960" t="str">
        <f>'гр (5-8)'!C35</f>
        <v>КОБЗЕВ Прохор</v>
      </c>
      <c r="H20" s="960" t="str">
        <f>'гр (5-8)'!C27</f>
        <v>МОСПАНОВ Илья</v>
      </c>
      <c r="I20" s="961"/>
      <c r="J20" s="966"/>
      <c r="L20" s="960" t="str">
        <f>'гр (5-8)'!C33</f>
        <v>ЦЫГАНКОВ Вадим</v>
      </c>
      <c r="M20" s="960" t="str">
        <f>'гр (5-8)'!C29</f>
        <v>НАСИРОВ Федор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6</v>
      </c>
      <c r="D33" s="962"/>
      <c r="E33" s="963"/>
      <c r="G33" s="957" t="s">
        <v>11956</v>
      </c>
      <c r="H33" s="958">
        <f>C3</f>
        <v>6</v>
      </c>
      <c r="I33" s="962"/>
      <c r="J33" s="963"/>
      <c r="L33" s="957" t="s">
        <v>11956</v>
      </c>
      <c r="M33" s="958">
        <f>C3</f>
        <v>6</v>
      </c>
      <c r="N33" s="961"/>
    </row>
    <row r="34" spans="1:14" x14ac:dyDescent="0.3">
      <c r="B34" s="957" t="s">
        <v>11957</v>
      </c>
      <c r="C34" s="959" t="s">
        <v>11971</v>
      </c>
      <c r="D34" s="961"/>
      <c r="G34" s="957" t="s">
        <v>11957</v>
      </c>
      <c r="H34" s="959" t="s">
        <v>1048</v>
      </c>
      <c r="I34" s="964"/>
      <c r="J34" s="965"/>
      <c r="L34" s="957" t="s">
        <v>11957</v>
      </c>
      <c r="M34" s="959" t="s">
        <v>11964</v>
      </c>
      <c r="N34" s="961"/>
    </row>
    <row r="35" spans="1:14" x14ac:dyDescent="0.3">
      <c r="B35" s="960" t="str">
        <f>'гр (5-8)'!C25</f>
        <v>БАТАЛОВ Анатолий</v>
      </c>
      <c r="C35" s="960" t="str">
        <f>'гр (5-8)'!C29</f>
        <v>НАСИРОВ Федор</v>
      </c>
      <c r="D35" s="961"/>
      <c r="E35" s="966"/>
      <c r="G35" s="960" t="str">
        <f>'гр (5-8)'!C27</f>
        <v>МОСПАНОВ Илья</v>
      </c>
      <c r="H35" s="960" t="str">
        <f>'гр (5-8)'!C33</f>
        <v>ЦЫГАНКОВ Вадим</v>
      </c>
      <c r="I35" s="961"/>
      <c r="J35" s="966"/>
      <c r="L35" s="960" t="str">
        <f>'гр (5-8)'!C31</f>
        <v>БУРГАСОВ Владимир</v>
      </c>
      <c r="M35" s="960" t="str">
        <f>'гр (5-8)'!C35</f>
        <v>КОБЗЕВ Прохор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6</v>
      </c>
      <c r="D48" s="962"/>
      <c r="E48" s="963"/>
      <c r="G48" s="957" t="s">
        <v>11956</v>
      </c>
      <c r="H48" s="958">
        <f>C3</f>
        <v>6</v>
      </c>
      <c r="I48" s="962"/>
      <c r="J48" s="963"/>
      <c r="L48" s="957" t="s">
        <v>11956</v>
      </c>
      <c r="M48" s="958">
        <f>C3</f>
        <v>6</v>
      </c>
      <c r="N48" s="961"/>
    </row>
    <row r="49" spans="1:14" x14ac:dyDescent="0.3">
      <c r="B49" s="957" t="s">
        <v>11957</v>
      </c>
      <c r="C49" s="959" t="s">
        <v>11982</v>
      </c>
      <c r="D49" s="961"/>
      <c r="G49" s="957" t="s">
        <v>11957</v>
      </c>
      <c r="H49" s="959" t="s">
        <v>11974</v>
      </c>
      <c r="I49" s="964"/>
      <c r="J49" s="965"/>
      <c r="L49" s="957" t="s">
        <v>11957</v>
      </c>
      <c r="M49" s="959" t="s">
        <v>11978</v>
      </c>
      <c r="N49" s="961"/>
    </row>
    <row r="50" spans="1:14" x14ac:dyDescent="0.3">
      <c r="B50" s="960" t="str">
        <f>'гр (5-8)'!C29</f>
        <v>НАСИРОВ Федор</v>
      </c>
      <c r="C50" s="960" t="str">
        <f>'гр (5-8)'!C27</f>
        <v>МОСПАНОВ Илья</v>
      </c>
      <c r="D50" s="961"/>
      <c r="E50" s="966"/>
      <c r="G50" s="960" t="str">
        <f>'гр (5-8)'!C35</f>
        <v>КОБЗЕВ Прохор</v>
      </c>
      <c r="H50" s="960" t="str">
        <f>'гр (5-8)'!C25</f>
        <v>БАТАЛОВ Анатолий</v>
      </c>
      <c r="I50" s="961"/>
      <c r="J50" s="966"/>
      <c r="L50" s="960" t="str">
        <f>'гр (5-8)'!C33</f>
        <v>ЦЫГАНКОВ Вадим</v>
      </c>
      <c r="M50" s="960" t="str">
        <f>'гр (5-8)'!C31</f>
        <v>БУРГАСОВ Владимир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6</v>
      </c>
      <c r="D63" s="962"/>
      <c r="E63" s="963"/>
      <c r="G63" s="957" t="s">
        <v>11956</v>
      </c>
      <c r="H63" s="958">
        <f>C3</f>
        <v>6</v>
      </c>
      <c r="I63" s="962"/>
      <c r="J63" s="963"/>
      <c r="L63" s="957" t="s">
        <v>11956</v>
      </c>
      <c r="M63" s="958">
        <f>C3</f>
        <v>6</v>
      </c>
      <c r="N63" s="961"/>
    </row>
    <row r="64" spans="1:14" x14ac:dyDescent="0.3">
      <c r="B64" s="957" t="s">
        <v>11957</v>
      </c>
      <c r="C64" s="959" t="s">
        <v>1114</v>
      </c>
      <c r="D64" s="961"/>
      <c r="G64" s="957" t="s">
        <v>11957</v>
      </c>
      <c r="H64" s="959" t="s">
        <v>1049</v>
      </c>
      <c r="I64" s="964"/>
      <c r="J64" s="965"/>
      <c r="L64" s="957" t="s">
        <v>11957</v>
      </c>
      <c r="M64" s="959" t="s">
        <v>1033</v>
      </c>
      <c r="N64" s="961"/>
    </row>
    <row r="65" spans="1:14" x14ac:dyDescent="0.3">
      <c r="B65" s="960" t="str">
        <f>'гр (5-8)'!C25</f>
        <v>БАТАЛОВ Анатолий</v>
      </c>
      <c r="C65" s="960" t="str">
        <f>'гр (5-8)'!C27</f>
        <v>МОСПАНОВ Илья</v>
      </c>
      <c r="D65" s="961"/>
      <c r="E65" s="966"/>
      <c r="G65" s="960" t="str">
        <f>'гр (5-8)'!C29</f>
        <v>НАСИРОВ Федор</v>
      </c>
      <c r="H65" s="960" t="str">
        <f>'гр (5-8)'!C31</f>
        <v>БУРГАСОВ Владимир</v>
      </c>
      <c r="I65" s="961"/>
      <c r="J65" s="966"/>
      <c r="L65" s="960" t="str">
        <f>'гр (5-8)'!C33</f>
        <v>ЦЫГАНКОВ Вадим</v>
      </c>
      <c r="M65" s="960" t="str">
        <f>'гр (5-8)'!C35</f>
        <v>КОБЗЕВ Прохор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</sheetData>
  <mergeCells count="30"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A133" zoomScale="60" zoomScaleNormal="100" workbookViewId="0">
      <selection activeCell="G11" sqref="G11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7</v>
      </c>
      <c r="D3" s="962"/>
      <c r="E3" s="963"/>
      <c r="G3" s="957" t="s">
        <v>11956</v>
      </c>
      <c r="H3" s="958">
        <f>C3</f>
        <v>7</v>
      </c>
      <c r="I3" s="962"/>
      <c r="J3" s="963"/>
      <c r="L3" s="957" t="s">
        <v>11956</v>
      </c>
      <c r="M3" s="958">
        <f>C3</f>
        <v>7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'гр (5-8)'!C47</f>
        <v>НИКИШАЕВ Матвей</v>
      </c>
      <c r="C5" s="960" t="str">
        <f>'гр (5-8)'!C55</f>
        <v>СОРОКИН Николай</v>
      </c>
      <c r="D5" s="961"/>
      <c r="E5" s="966"/>
      <c r="G5" s="960" t="str">
        <f>'гр (5-8)'!C49</f>
        <v>ДУБРОВСКИЙ Иван</v>
      </c>
      <c r="H5" s="960" t="str">
        <f>'гр (5-8)'!C53</f>
        <v>РЫЖОВ Петр</v>
      </c>
      <c r="I5" s="961"/>
      <c r="J5" s="966"/>
      <c r="L5" s="960" t="str">
        <f>'гр (5-8)'!C45</f>
        <v>КАЛИМУЛЛИН Камиль</v>
      </c>
      <c r="M5" s="960" t="str">
        <f>'гр (5-8)'!C57</f>
        <v>ЧЕРНОВ Артемий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7</v>
      </c>
      <c r="D18" s="962"/>
      <c r="E18" s="963"/>
      <c r="G18" s="957" t="s">
        <v>11956</v>
      </c>
      <c r="H18" s="958">
        <f>C3</f>
        <v>7</v>
      </c>
      <c r="I18" s="962"/>
      <c r="J18" s="963"/>
      <c r="L18" s="957" t="s">
        <v>11956</v>
      </c>
      <c r="M18" s="958">
        <f>C3</f>
        <v>7</v>
      </c>
      <c r="N18" s="961"/>
    </row>
    <row r="19" spans="1:14" x14ac:dyDescent="0.3">
      <c r="B19" s="957" t="s">
        <v>11957</v>
      </c>
      <c r="C19" s="959" t="s">
        <v>11958</v>
      </c>
      <c r="D19" s="961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960" t="str">
        <f>'гр (5-8)'!C51</f>
        <v>АВЕРИН Денис</v>
      </c>
      <c r="C20" s="960" t="str">
        <f>'гр (5-8)'!C59</f>
        <v/>
      </c>
      <c r="D20" s="961"/>
      <c r="E20" s="966"/>
      <c r="G20" s="960" t="str">
        <f>'гр (5-8)'!C53</f>
        <v>РЫЖОВ Петр</v>
      </c>
      <c r="H20" s="960" t="str">
        <f>'гр (5-8)'!C47</f>
        <v>НИКИШАЕВ Матвей</v>
      </c>
      <c r="I20" s="961"/>
      <c r="J20" s="966"/>
      <c r="L20" s="960" t="str">
        <f>'гр (5-8)'!C55</f>
        <v>СОРОКИН Николай</v>
      </c>
      <c r="M20" s="960" t="str">
        <f>'гр (5-8)'!C45</f>
        <v>КАЛИМУЛЛИН Камиль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7</v>
      </c>
      <c r="D33" s="962"/>
      <c r="E33" s="963"/>
      <c r="G33" s="957" t="s">
        <v>11956</v>
      </c>
      <c r="H33" s="958">
        <f>C3</f>
        <v>7</v>
      </c>
      <c r="I33" s="962"/>
      <c r="J33" s="963"/>
      <c r="L33" s="957" t="s">
        <v>11956</v>
      </c>
      <c r="M33" s="958">
        <f>C3</f>
        <v>7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'гр (5-8)'!C59</f>
        <v/>
      </c>
      <c r="C35" s="960" t="str">
        <f>'гр (5-8)'!C49</f>
        <v>ДУБРОВСКИЙ Иван</v>
      </c>
      <c r="D35" s="961"/>
      <c r="E35" s="966"/>
      <c r="G35" s="960" t="str">
        <f>'гр (5-8)'!C57</f>
        <v>ЧЕРНОВ Артемий</v>
      </c>
      <c r="H35" s="960" t="str">
        <f>'гр (5-8)'!C51</f>
        <v>АВЕРИН Денис</v>
      </c>
      <c r="I35" s="961"/>
      <c r="J35" s="966"/>
      <c r="L35" s="960" t="str">
        <f>'гр (5-8)'!C45</f>
        <v>КАЛИМУЛЛИН Камиль</v>
      </c>
      <c r="M35" s="960" t="str">
        <f>'гр (5-8)'!C53</f>
        <v>РЫЖОВ Петр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7</v>
      </c>
      <c r="D48" s="962"/>
      <c r="E48" s="963"/>
      <c r="G48" s="957" t="s">
        <v>11956</v>
      </c>
      <c r="H48" s="958">
        <f>C3</f>
        <v>7</v>
      </c>
      <c r="I48" s="962"/>
      <c r="J48" s="963"/>
      <c r="L48" s="957" t="s">
        <v>11956</v>
      </c>
      <c r="M48" s="958">
        <f>C3</f>
        <v>7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'гр (5-8)'!C47</f>
        <v>НИКИШАЕВ Матвей</v>
      </c>
      <c r="C50" s="960" t="str">
        <f>'гр (5-8)'!C59</f>
        <v/>
      </c>
      <c r="D50" s="961"/>
      <c r="E50" s="966"/>
      <c r="G50" s="960" t="str">
        <f>'гр (5-8)'!C51</f>
        <v>АВЕРИН Денис</v>
      </c>
      <c r="H50" s="960" t="str">
        <f>'гр (5-8)'!C55</f>
        <v>СОРОКИН Николай</v>
      </c>
      <c r="I50" s="961"/>
      <c r="J50" s="966"/>
      <c r="L50" s="960" t="str">
        <f>'гр (5-8)'!C49</f>
        <v>ДУБРОВСКИЙ Иван</v>
      </c>
      <c r="M50" s="960" t="str">
        <f>'гр (5-8)'!C57</f>
        <v>ЧЕРНОВ Артемий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7</v>
      </c>
      <c r="D63" s="962"/>
      <c r="E63" s="963"/>
      <c r="G63" s="957" t="s">
        <v>11956</v>
      </c>
      <c r="H63" s="958">
        <f>C3</f>
        <v>7</v>
      </c>
      <c r="I63" s="962"/>
      <c r="J63" s="963"/>
      <c r="L63" s="957" t="s">
        <v>11956</v>
      </c>
      <c r="M63" s="958">
        <f>C3</f>
        <v>7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'гр (5-8)'!C59</f>
        <v/>
      </c>
      <c r="C65" s="960" t="str">
        <f>'гр (5-8)'!C45</f>
        <v>КАЛИМУЛЛИН Камиль</v>
      </c>
      <c r="D65" s="961"/>
      <c r="E65" s="966"/>
      <c r="G65" s="960" t="str">
        <f>'гр (5-8)'!C53</f>
        <v>РЫЖОВ Петр</v>
      </c>
      <c r="H65" s="960" t="str">
        <f>'гр (5-8)'!C51</f>
        <v>АВЕРИН Денис</v>
      </c>
      <c r="I65" s="961"/>
      <c r="J65" s="966"/>
      <c r="L65" s="960" t="str">
        <f>'гр (5-8)'!C57</f>
        <v>ЧЕРНОВ Артемий</v>
      </c>
      <c r="M65" s="960" t="str">
        <f>'гр (5-8)'!C47</f>
        <v>НИКИШАЕВ Матвей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Групповой этап</v>
      </c>
      <c r="C77" s="1199"/>
      <c r="D77" s="955"/>
      <c r="E77" s="956"/>
      <c r="G77" s="1199" t="str">
        <f>B2</f>
        <v>Групповой этап</v>
      </c>
      <c r="H77" s="1199"/>
      <c r="I77" s="955"/>
      <c r="J77" s="956"/>
      <c r="L77" s="1199" t="str">
        <f>B2</f>
        <v>Групповой этап</v>
      </c>
      <c r="M77" s="1199"/>
      <c r="N77" s="961"/>
    </row>
    <row r="78" spans="1:14" x14ac:dyDescent="0.3">
      <c r="B78" s="957" t="s">
        <v>11956</v>
      </c>
      <c r="C78" s="958">
        <f>C3</f>
        <v>7</v>
      </c>
      <c r="D78" s="962"/>
      <c r="E78" s="963"/>
      <c r="G78" s="957" t="s">
        <v>11956</v>
      </c>
      <c r="H78" s="958">
        <f>C3</f>
        <v>7</v>
      </c>
      <c r="I78" s="962"/>
      <c r="J78" s="963"/>
      <c r="L78" s="957" t="s">
        <v>11956</v>
      </c>
      <c r="M78" s="958">
        <f>C3</f>
        <v>7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'гр (5-8)'!C55</f>
        <v>СОРОКИН Николай</v>
      </c>
      <c r="C80" s="960" t="str">
        <f>'гр (5-8)'!C49</f>
        <v>ДУБРОВСКИЙ Иван</v>
      </c>
      <c r="D80" s="961"/>
      <c r="E80" s="966"/>
      <c r="G80" s="960" t="str">
        <f>'гр (5-8)'!C45</f>
        <v>КАЛИМУЛЛИН Камиль</v>
      </c>
      <c r="H80" s="960" t="str">
        <f>'гр (5-8)'!C49</f>
        <v>ДУБРОВСКИЙ Иван</v>
      </c>
      <c r="I80" s="961"/>
      <c r="J80" s="966"/>
      <c r="L80" s="960" t="str">
        <f>'гр (5-8)'!C47</f>
        <v>НИКИШАЕВ Матвей</v>
      </c>
      <c r="M80" s="960" t="str">
        <f>'гр (5-8)'!C51</f>
        <v>АВЕРИН Денис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Групповой этап</v>
      </c>
      <c r="C92" s="1199"/>
      <c r="D92" s="955"/>
      <c r="E92" s="956"/>
      <c r="G92" s="1199" t="str">
        <f>B2</f>
        <v>Групповой этап</v>
      </c>
      <c r="H92" s="1199"/>
      <c r="I92" s="955"/>
      <c r="J92" s="956"/>
      <c r="L92" s="1199" t="str">
        <f>B2</f>
        <v>Групповой этап</v>
      </c>
      <c r="M92" s="1199"/>
      <c r="N92" s="961"/>
    </row>
    <row r="93" spans="1:14" x14ac:dyDescent="0.3">
      <c r="B93" s="957" t="s">
        <v>11956</v>
      </c>
      <c r="C93" s="958">
        <f>C3</f>
        <v>7</v>
      </c>
      <c r="D93" s="962"/>
      <c r="E93" s="963"/>
      <c r="G93" s="957" t="s">
        <v>11956</v>
      </c>
      <c r="H93" s="958">
        <f>C3</f>
        <v>7</v>
      </c>
      <c r="I93" s="962"/>
      <c r="J93" s="963"/>
      <c r="L93" s="957" t="s">
        <v>11956</v>
      </c>
      <c r="M93" s="958">
        <f>C3</f>
        <v>7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'гр (5-8)'!C53</f>
        <v>РЫЖОВ Петр</v>
      </c>
      <c r="C95" s="960" t="str">
        <f>'гр (5-8)'!C57</f>
        <v>ЧЕРНОВ Артемий</v>
      </c>
      <c r="D95" s="961"/>
      <c r="E95" s="966"/>
      <c r="G95" s="960" t="str">
        <f>'гр (5-8)'!C55</f>
        <v>СОРОКИН Николай</v>
      </c>
      <c r="H95" s="960" t="str">
        <f>'гр (5-8)'!C59</f>
        <v/>
      </c>
      <c r="I95" s="961"/>
      <c r="J95" s="966"/>
      <c r="L95" s="960" t="str">
        <f>'гр (5-8)'!C51</f>
        <v>АВЕРИН Денис</v>
      </c>
      <c r="M95" s="960" t="str">
        <f>'гр (5-8)'!C45</f>
        <v>КАЛИМУЛЛИН Камиль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Групповой этап</v>
      </c>
      <c r="C107" s="1199"/>
      <c r="D107" s="955"/>
      <c r="E107" s="956"/>
      <c r="G107" s="1199" t="str">
        <f>B2</f>
        <v>Групповой этап</v>
      </c>
      <c r="H107" s="1199"/>
      <c r="I107" s="955"/>
      <c r="J107" s="956"/>
      <c r="L107" s="1199" t="str">
        <f>B2</f>
        <v>Групповой этап</v>
      </c>
      <c r="M107" s="1199"/>
      <c r="N107" s="961"/>
    </row>
    <row r="108" spans="1:14" x14ac:dyDescent="0.3">
      <c r="B108" s="957" t="s">
        <v>11956</v>
      </c>
      <c r="C108" s="958">
        <f>C3</f>
        <v>7</v>
      </c>
      <c r="D108" s="962"/>
      <c r="E108" s="963"/>
      <c r="G108" s="957" t="s">
        <v>11956</v>
      </c>
      <c r="H108" s="958">
        <f>C3</f>
        <v>7</v>
      </c>
      <c r="I108" s="962"/>
      <c r="J108" s="963"/>
      <c r="L108" s="957" t="s">
        <v>11956</v>
      </c>
      <c r="M108" s="958">
        <f>C3</f>
        <v>7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'гр (5-8)'!C49</f>
        <v>ДУБРОВСКИЙ Иван</v>
      </c>
      <c r="C110" s="960" t="str">
        <f>'гр (5-8)'!C47</f>
        <v>НИКИШАЕВ Матвей</v>
      </c>
      <c r="D110" s="961"/>
      <c r="E110" s="966"/>
      <c r="G110" s="960" t="str">
        <f>'гр (5-8)'!C57</f>
        <v>ЧЕРНОВ Артемий</v>
      </c>
      <c r="H110" s="960" t="str">
        <f>'гр (5-8)'!C55</f>
        <v>СОРОКИН Николай</v>
      </c>
      <c r="I110" s="961"/>
      <c r="J110" s="966"/>
      <c r="L110" s="960" t="str">
        <f>'гр (5-8)'!C59</f>
        <v/>
      </c>
      <c r="M110" s="960" t="str">
        <f>'гр (5-8)'!C53</f>
        <v>РЫЖОВ Петр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Групповой этап</v>
      </c>
      <c r="C122" s="1199"/>
      <c r="D122" s="955"/>
      <c r="E122" s="956"/>
      <c r="G122" s="1199" t="str">
        <f>B2</f>
        <v>Групповой этап</v>
      </c>
      <c r="H122" s="1199"/>
      <c r="I122" s="955"/>
      <c r="J122" s="956"/>
      <c r="L122" s="1199" t="str">
        <f>B2</f>
        <v>Групповой этап</v>
      </c>
      <c r="M122" s="1199"/>
      <c r="N122" s="961"/>
    </row>
    <row r="123" spans="1:14" x14ac:dyDescent="0.3">
      <c r="B123" s="957" t="s">
        <v>11956</v>
      </c>
      <c r="C123" s="958">
        <f>C3</f>
        <v>7</v>
      </c>
      <c r="D123" s="962"/>
      <c r="E123" s="963"/>
      <c r="G123" s="957" t="s">
        <v>11956</v>
      </c>
      <c r="H123" s="958">
        <f>C3</f>
        <v>7</v>
      </c>
      <c r="I123" s="962"/>
      <c r="J123" s="963"/>
      <c r="L123" s="957" t="s">
        <v>11956</v>
      </c>
      <c r="M123" s="958">
        <f>C3</f>
        <v>7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'гр (5-8)'!C45</f>
        <v>КАЛИМУЛЛИН Камиль</v>
      </c>
      <c r="C125" s="960" t="str">
        <f>'гр (5-8)'!C47</f>
        <v>НИКИШАЕВ Матвей</v>
      </c>
      <c r="D125" s="961"/>
      <c r="E125" s="966"/>
      <c r="G125" s="960" t="str">
        <f>'гр (5-8)'!C49</f>
        <v>ДУБРОВСКИЙ Иван</v>
      </c>
      <c r="H125" s="960" t="str">
        <f>'гр (5-8)'!C51</f>
        <v>АВЕРИН Денис</v>
      </c>
      <c r="I125" s="961"/>
      <c r="J125" s="966"/>
      <c r="L125" s="960" t="str">
        <f>'гр (5-8)'!C53</f>
        <v>РЫЖОВ Петр</v>
      </c>
      <c r="M125" s="960" t="str">
        <f>'гр (5-8)'!C55</f>
        <v>СОРОКИН Николай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Групповой этап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 t="s">
        <v>11956</v>
      </c>
      <c r="C138" s="975">
        <f>C3</f>
        <v>7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'гр (5-8)'!C57</f>
        <v>ЧЕРНОВ Артемий</v>
      </c>
      <c r="C140" s="960" t="str">
        <f>'гр (5-8)'!C59</f>
        <v/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4" manualBreakCount="4">
    <brk id="30" max="16383" man="1"/>
    <brk id="60" max="16383" man="1"/>
    <brk id="90" max="16383" man="1"/>
    <brk id="12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75"/>
  <sheetViews>
    <sheetView topLeftCell="B54" workbookViewId="0">
      <selection activeCell="M66" sqref="M66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7</v>
      </c>
      <c r="D3" s="962"/>
      <c r="E3" s="963"/>
      <c r="G3" s="957" t="s">
        <v>11956</v>
      </c>
      <c r="H3" s="958">
        <f>C3</f>
        <v>7</v>
      </c>
      <c r="I3" s="962"/>
      <c r="J3" s="963"/>
      <c r="L3" s="957" t="s">
        <v>11956</v>
      </c>
      <c r="M3" s="958">
        <f>C3</f>
        <v>7</v>
      </c>
      <c r="N3" s="961"/>
    </row>
    <row r="4" spans="1:14" x14ac:dyDescent="0.3">
      <c r="B4" s="957" t="s">
        <v>11957</v>
      </c>
      <c r="C4" s="959" t="s">
        <v>11970</v>
      </c>
      <c r="D4" s="961"/>
      <c r="G4" s="957" t="s">
        <v>11957</v>
      </c>
      <c r="H4" s="959" t="s">
        <v>11967</v>
      </c>
      <c r="I4" s="964"/>
      <c r="J4" s="965"/>
      <c r="L4" s="957" t="s">
        <v>11957</v>
      </c>
      <c r="M4" s="959" t="s">
        <v>1040</v>
      </c>
      <c r="N4" s="961"/>
    </row>
    <row r="5" spans="1:14" x14ac:dyDescent="0.3">
      <c r="B5" s="960" t="str">
        <f>'гр (5-8)'!C47</f>
        <v>НИКИШАЕВ Матвей</v>
      </c>
      <c r="C5" s="960" t="str">
        <f>'гр (5-8)'!C51</f>
        <v>АВЕРИН Денис</v>
      </c>
      <c r="D5" s="961"/>
      <c r="E5" s="966"/>
      <c r="G5" s="960" t="str">
        <f>'гр (5-8)'!C45</f>
        <v>КАЛИМУЛЛИН Камиль</v>
      </c>
      <c r="H5" s="960" t="str">
        <f>'гр (5-8)'!C55</f>
        <v>СОРОКИН Николай</v>
      </c>
      <c r="I5" s="961"/>
      <c r="J5" s="966"/>
      <c r="L5" s="960" t="str">
        <f>'гр (5-8)'!C49</f>
        <v>ДУБРОВСКИЙ Иван</v>
      </c>
      <c r="M5" s="960" t="str">
        <f>'гр (5-8)'!C55</f>
        <v>СОРОКИН Николай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7</v>
      </c>
      <c r="D18" s="962"/>
      <c r="E18" s="963"/>
      <c r="G18" s="957" t="s">
        <v>11956</v>
      </c>
      <c r="H18" s="958">
        <f>C3</f>
        <v>7</v>
      </c>
      <c r="I18" s="962"/>
      <c r="J18" s="963"/>
      <c r="L18" s="957" t="s">
        <v>11956</v>
      </c>
      <c r="M18" s="958">
        <f>C3</f>
        <v>7</v>
      </c>
      <c r="N18" s="961"/>
    </row>
    <row r="19" spans="1:14" x14ac:dyDescent="0.3">
      <c r="B19" s="957" t="s">
        <v>11957</v>
      </c>
      <c r="C19" s="959" t="s">
        <v>11981</v>
      </c>
      <c r="D19" s="961"/>
      <c r="G19" s="957" t="s">
        <v>11957</v>
      </c>
      <c r="H19" s="959" t="s">
        <v>1100</v>
      </c>
      <c r="I19" s="964"/>
      <c r="J19" s="965"/>
      <c r="L19" s="957" t="s">
        <v>11957</v>
      </c>
      <c r="M19" s="959" t="s">
        <v>1099</v>
      </c>
      <c r="N19" s="961"/>
    </row>
    <row r="20" spans="1:14" x14ac:dyDescent="0.3">
      <c r="B20" s="960" t="str">
        <f>'гр (5-8)'!C51</f>
        <v>АВЕРИН Денис</v>
      </c>
      <c r="C20" s="960" t="str">
        <f>'гр (5-8)'!C45</f>
        <v>КАЛИМУЛЛИН Камиль</v>
      </c>
      <c r="D20" s="961"/>
      <c r="E20" s="966"/>
      <c r="G20" s="960" t="str">
        <f>'гр (5-8)'!C55</f>
        <v>СОРОКИН Николай</v>
      </c>
      <c r="H20" s="960" t="str">
        <f>'гр (5-8)'!C47</f>
        <v>НИКИШАЕВ Матвей</v>
      </c>
      <c r="I20" s="961"/>
      <c r="J20" s="966"/>
      <c r="L20" s="960" t="str">
        <f>'гр (5-8)'!C53</f>
        <v>РЫЖОВ Петр</v>
      </c>
      <c r="M20" s="960" t="str">
        <f>'гр (5-8)'!C49</f>
        <v>ДУБРОВСКИЙ Иван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7</v>
      </c>
      <c r="D33" s="962"/>
      <c r="E33" s="963"/>
      <c r="G33" s="957" t="s">
        <v>11956</v>
      </c>
      <c r="H33" s="958">
        <f>C3</f>
        <v>7</v>
      </c>
      <c r="I33" s="962"/>
      <c r="J33" s="963"/>
      <c r="L33" s="957" t="s">
        <v>11956</v>
      </c>
      <c r="M33" s="958">
        <f>C3</f>
        <v>7</v>
      </c>
      <c r="N33" s="961"/>
    </row>
    <row r="34" spans="1:14" x14ac:dyDescent="0.3">
      <c r="B34" s="957" t="s">
        <v>11957</v>
      </c>
      <c r="C34" s="959" t="s">
        <v>11971</v>
      </c>
      <c r="D34" s="961"/>
      <c r="G34" s="957" t="s">
        <v>11957</v>
      </c>
      <c r="H34" s="959" t="s">
        <v>1048</v>
      </c>
      <c r="I34" s="964"/>
      <c r="J34" s="965"/>
      <c r="L34" s="957" t="s">
        <v>11957</v>
      </c>
      <c r="M34" s="959" t="s">
        <v>11964</v>
      </c>
      <c r="N34" s="961"/>
    </row>
    <row r="35" spans="1:14" x14ac:dyDescent="0.3">
      <c r="B35" s="960" t="str">
        <f>'гр (5-8)'!C45</f>
        <v>КАЛИМУЛЛИН Камиль</v>
      </c>
      <c r="C35" s="960" t="str">
        <f>'гр (5-8)'!C49</f>
        <v>ДУБРОВСКИЙ Иван</v>
      </c>
      <c r="D35" s="961"/>
      <c r="E35" s="966"/>
      <c r="G35" s="960" t="str">
        <f>'гр (5-8)'!C47</f>
        <v>НИКИШАЕВ Матвей</v>
      </c>
      <c r="H35" s="960" t="str">
        <f>'гр (5-8)'!C53</f>
        <v>РЫЖОВ Петр</v>
      </c>
      <c r="I35" s="961"/>
      <c r="J35" s="966"/>
      <c r="L35" s="960" t="str">
        <f>'гр (5-8)'!C51</f>
        <v>АВЕРИН Денис</v>
      </c>
      <c r="M35" s="960" t="str">
        <f>'гр (5-8)'!C55</f>
        <v>СОРОКИН Николай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7</v>
      </c>
      <c r="D48" s="962"/>
      <c r="E48" s="963"/>
      <c r="G48" s="957" t="s">
        <v>11956</v>
      </c>
      <c r="H48" s="958">
        <f>C3</f>
        <v>7</v>
      </c>
      <c r="I48" s="962"/>
      <c r="J48" s="963"/>
      <c r="L48" s="957" t="s">
        <v>11956</v>
      </c>
      <c r="M48" s="958">
        <f>C3</f>
        <v>7</v>
      </c>
      <c r="N48" s="961"/>
    </row>
    <row r="49" spans="1:14" x14ac:dyDescent="0.3">
      <c r="B49" s="957" t="s">
        <v>11957</v>
      </c>
      <c r="C49" s="959" t="s">
        <v>11982</v>
      </c>
      <c r="D49" s="961"/>
      <c r="G49" s="957" t="s">
        <v>11957</v>
      </c>
      <c r="H49" s="959" t="s">
        <v>11974</v>
      </c>
      <c r="I49" s="964"/>
      <c r="J49" s="965"/>
      <c r="L49" s="957" t="s">
        <v>11957</v>
      </c>
      <c r="M49" s="959" t="s">
        <v>11978</v>
      </c>
      <c r="N49" s="961"/>
    </row>
    <row r="50" spans="1:14" x14ac:dyDescent="0.3">
      <c r="B50" s="960" t="str">
        <f>'гр (5-8)'!C49</f>
        <v>ДУБРОВСКИЙ Иван</v>
      </c>
      <c r="C50" s="960" t="str">
        <f>'гр (5-8)'!C47</f>
        <v>НИКИШАЕВ Матвей</v>
      </c>
      <c r="D50" s="961"/>
      <c r="E50" s="966"/>
      <c r="G50" s="960" t="str">
        <f>'гр (5-8)'!C55</f>
        <v>СОРОКИН Николай</v>
      </c>
      <c r="H50" s="960" t="str">
        <f>'гр (5-8)'!C45</f>
        <v>КАЛИМУЛЛИН Камиль</v>
      </c>
      <c r="I50" s="961"/>
      <c r="J50" s="966"/>
      <c r="L50" s="960" t="str">
        <f>'гр (5-8)'!C53</f>
        <v>РЫЖОВ Петр</v>
      </c>
      <c r="M50" s="960" t="str">
        <f>'гр (5-8)'!C51</f>
        <v>АВЕРИН Денис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7</v>
      </c>
      <c r="D63" s="962"/>
      <c r="E63" s="963"/>
      <c r="G63" s="957" t="s">
        <v>11956</v>
      </c>
      <c r="H63" s="958">
        <f>C3</f>
        <v>7</v>
      </c>
      <c r="I63" s="962"/>
      <c r="J63" s="963"/>
      <c r="L63" s="957" t="s">
        <v>11956</v>
      </c>
      <c r="M63" s="958">
        <f>C3</f>
        <v>7</v>
      </c>
      <c r="N63" s="961"/>
    </row>
    <row r="64" spans="1:14" x14ac:dyDescent="0.3">
      <c r="B64" s="957" t="s">
        <v>11957</v>
      </c>
      <c r="C64" s="959" t="s">
        <v>1114</v>
      </c>
      <c r="D64" s="961"/>
      <c r="G64" s="957" t="s">
        <v>11957</v>
      </c>
      <c r="H64" s="959" t="s">
        <v>1049</v>
      </c>
      <c r="I64" s="964"/>
      <c r="J64" s="965"/>
      <c r="L64" s="957" t="s">
        <v>11957</v>
      </c>
      <c r="M64" s="959" t="s">
        <v>1033</v>
      </c>
      <c r="N64" s="961"/>
    </row>
    <row r="65" spans="1:14" x14ac:dyDescent="0.3">
      <c r="B65" s="960" t="str">
        <f>'гр (5-8)'!C45</f>
        <v>КАЛИМУЛЛИН Камиль</v>
      </c>
      <c r="C65" s="960" t="str">
        <f>'гр (5-8)'!C47</f>
        <v>НИКИШАЕВ Матвей</v>
      </c>
      <c r="D65" s="961"/>
      <c r="E65" s="966"/>
      <c r="G65" s="960" t="str">
        <f>'гр (5-8)'!C49</f>
        <v>ДУБРОВСКИЙ Иван</v>
      </c>
      <c r="H65" s="960" t="str">
        <f>'гр (5-8)'!C51</f>
        <v>АВЕРИН Денис</v>
      </c>
      <c r="I65" s="961"/>
      <c r="J65" s="966"/>
      <c r="L65" s="960" t="str">
        <f>'гр (5-8)'!C53</f>
        <v>РЫЖОВ Петр</v>
      </c>
      <c r="M65" s="960" t="str">
        <f>'гр (5-8)'!C55</f>
        <v>СОРОКИН Николай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</sheetData>
  <mergeCells count="30"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0"/>
  <sheetViews>
    <sheetView topLeftCell="A19" workbookViewId="0">
      <selection activeCell="L82" sqref="L82:L83"/>
    </sheetView>
  </sheetViews>
  <sheetFormatPr defaultRowHeight="12.75" outlineLevelCol="1" x14ac:dyDescent="0.2"/>
  <cols>
    <col min="1" max="1" width="6.6640625" style="91" customWidth="1"/>
    <col min="2" max="2" width="6.1640625" style="91" customWidth="1"/>
    <col min="3" max="3" width="19.6640625" style="91" customWidth="1"/>
    <col min="4" max="4" width="19.6640625" style="91" customWidth="1" outlineLevel="1"/>
    <col min="5" max="5" width="6" style="91" customWidth="1"/>
    <col min="6" max="6" width="6.6640625" style="91" customWidth="1"/>
    <col min="7" max="7" width="6.1640625" style="91" customWidth="1"/>
    <col min="8" max="8" width="19.5" style="91" customWidth="1"/>
    <col min="9" max="9" width="19.5" style="91" customWidth="1" outlineLevel="1"/>
    <col min="10" max="10" width="5" style="91" customWidth="1"/>
    <col min="11" max="11" width="6.6640625" style="91" customWidth="1"/>
    <col min="12" max="12" width="6.1640625" style="91" customWidth="1"/>
    <col min="13" max="13" width="19.5" style="91" customWidth="1"/>
    <col min="14" max="14" width="19.5" style="91" customWidth="1" outlineLevel="1"/>
    <col min="15" max="15" width="6" style="91" customWidth="1"/>
    <col min="16" max="16" width="6.6640625" style="91" customWidth="1"/>
    <col min="17" max="17" width="5.83203125" style="91" customWidth="1"/>
    <col min="18" max="18" width="19.5" style="91" customWidth="1"/>
    <col min="19" max="19" width="19.5" style="91" customWidth="1" outlineLevel="1"/>
    <col min="20" max="20" width="5.6640625" style="91" customWidth="1"/>
    <col min="21" max="28" width="4.83203125" style="91" customWidth="1"/>
  </cols>
  <sheetData>
    <row r="1" spans="1:28" ht="16.5" thickBot="1" x14ac:dyDescent="0.25">
      <c r="A1" s="1137" t="str">
        <f>IF(U3=Y3,"КОНЕЦ ЖЕРЕБЬЕВКИ !","ЕЩЕ НЕТ !")</f>
        <v>КОНЕЦ ЖЕРЕБЬЕВКИ !</v>
      </c>
      <c r="B1" s="1137"/>
      <c r="C1" s="1137"/>
      <c r="D1" s="1137"/>
      <c r="E1" s="1137"/>
      <c r="F1" s="1137"/>
      <c r="G1" s="1137"/>
      <c r="H1" s="1137"/>
      <c r="I1" s="1137"/>
      <c r="J1" s="1137"/>
      <c r="K1" s="1137"/>
      <c r="L1" s="1137"/>
      <c r="M1" s="1137"/>
      <c r="N1" s="1137"/>
      <c r="O1" s="1137"/>
      <c r="P1" s="1137"/>
      <c r="Q1" s="1137"/>
      <c r="R1" s="1137"/>
      <c r="S1" s="943"/>
    </row>
    <row r="2" spans="1:28" ht="15.75" x14ac:dyDescent="0.2">
      <c r="A2" s="1138" t="s">
        <v>990</v>
      </c>
      <c r="B2" s="1139"/>
      <c r="C2" s="1140"/>
      <c r="D2" s="304"/>
      <c r="F2" s="1138" t="s">
        <v>9446</v>
      </c>
      <c r="G2" s="1139"/>
      <c r="H2" s="1139"/>
      <c r="I2" s="304"/>
      <c r="K2" s="1138" t="s">
        <v>992</v>
      </c>
      <c r="L2" s="1139"/>
      <c r="M2" s="1139"/>
      <c r="N2" s="304"/>
      <c r="P2" s="1138" t="s">
        <v>993</v>
      </c>
      <c r="Q2" s="1139"/>
      <c r="R2" s="1139"/>
      <c r="S2" s="304"/>
      <c r="U2" s="1127" t="s">
        <v>9447</v>
      </c>
      <c r="V2" s="1128"/>
      <c r="W2" s="1128"/>
      <c r="X2" s="1129"/>
      <c r="Y2" s="1130" t="s">
        <v>9448</v>
      </c>
      <c r="Z2" s="1128"/>
      <c r="AA2" s="1128"/>
      <c r="AB2" s="1131"/>
    </row>
    <row r="3" spans="1:28" ht="16.5" thickBot="1" x14ac:dyDescent="0.3">
      <c r="A3" s="944" t="s">
        <v>3</v>
      </c>
      <c r="B3" s="945"/>
      <c r="C3" s="1132" t="s">
        <v>9449</v>
      </c>
      <c r="D3" s="1133"/>
      <c r="F3" s="944" t="s">
        <v>3</v>
      </c>
      <c r="G3" s="945"/>
      <c r="H3" s="1132" t="s">
        <v>9449</v>
      </c>
      <c r="I3" s="1133"/>
      <c r="K3" s="944" t="s">
        <v>3</v>
      </c>
      <c r="L3" s="945"/>
      <c r="M3" s="1132" t="s">
        <v>9449</v>
      </c>
      <c r="N3" s="1133"/>
      <c r="P3" s="944" t="s">
        <v>3</v>
      </c>
      <c r="Q3" s="945"/>
      <c r="R3" s="1132" t="s">
        <v>9449</v>
      </c>
      <c r="S3" s="1133"/>
      <c r="U3" s="1134">
        <f>SUM('Списки участников'!T9:T72)</f>
        <v>0</v>
      </c>
      <c r="V3" s="1135"/>
      <c r="W3" s="1135"/>
      <c r="X3" s="1135"/>
      <c r="Y3" s="1135">
        <f>SUM(AC4:AJ43)</f>
        <v>0</v>
      </c>
      <c r="Z3" s="1135"/>
      <c r="AA3" s="1135"/>
      <c r="AB3" s="1136"/>
    </row>
    <row r="4" spans="1:28" ht="15" x14ac:dyDescent="0.2">
      <c r="A4" s="1145">
        <v>1</v>
      </c>
      <c r="B4" s="1149">
        <v>1</v>
      </c>
      <c r="C4" s="946" t="str">
        <f>IF(B4="","",VLOOKUP(B4,'Списки участников'!$A:$J,3,FALSE))</f>
        <v>БОКОВ Максим Андреевич</v>
      </c>
      <c r="D4" s="947" t="str">
        <f>IF(B4="","",VLOOKUP(B4,'Списки участников'!$A:$J,9,FALSE))</f>
        <v>Ступаченко Л.Н.</v>
      </c>
      <c r="F4" s="1145">
        <v>1</v>
      </c>
      <c r="G4" s="1149">
        <v>2</v>
      </c>
      <c r="H4" s="946" t="str">
        <f>IF(G4="","",VLOOKUP(G4,'Списки участников'!$A:$J,3,FALSE))</f>
        <v>СОДЫЛЬ Максим</v>
      </c>
      <c r="I4" s="947" t="str">
        <f>IF(G4="","",VLOOKUP(G4,'Списки участников'!$A:$J,9,FALSE))</f>
        <v>Савинов Ю.Н.. Биткина В.В.. Сорин М.Б.</v>
      </c>
      <c r="K4" s="1145">
        <v>1</v>
      </c>
      <c r="L4" s="1149">
        <v>3</v>
      </c>
      <c r="M4" s="946" t="str">
        <f>IF(L4="","",VLOOKUP(L4,'Списки участников'!$A:$J,3,FALSE))</f>
        <v>РАМС Сергей</v>
      </c>
      <c r="N4" s="947" t="str">
        <f>IF(L4="","",VLOOKUP(L4,'Списки участников'!$A:$J,9,FALSE))</f>
        <v>Ремизов В.Н.</v>
      </c>
      <c r="P4" s="1145">
        <v>1</v>
      </c>
      <c r="Q4" s="1149">
        <v>4</v>
      </c>
      <c r="R4" s="946" t="str">
        <f>IF(Q4="","",VLOOKUP(Q4,'Списки участников'!$A:$J,3,FALSE))</f>
        <v>СТАШКОВСКИЙ Глеб</v>
      </c>
      <c r="S4" s="947" t="str">
        <f>IF(Q4="","",VLOOKUP(Q4,'Списки участников'!$A:$J,9,FALSE))</f>
        <v>Лошкарева Н.Г.</v>
      </c>
      <c r="U4" s="1151">
        <f>IF(B4="","",B4)</f>
        <v>1</v>
      </c>
      <c r="V4" s="1142">
        <f t="shared" ref="V4:V6" si="0">IF(G4="","",G4)</f>
        <v>2</v>
      </c>
      <c r="W4" s="1141">
        <f>IF(L4="","",L4)</f>
        <v>3</v>
      </c>
      <c r="X4" s="1141">
        <f>IF(Q4="","",Q4)</f>
        <v>4</v>
      </c>
      <c r="Y4" s="1141">
        <f>IF(B26="","",B26)</f>
        <v>5</v>
      </c>
      <c r="Z4" s="1141">
        <f>IF(G26="","",G26)</f>
        <v>6</v>
      </c>
      <c r="AA4" s="1141">
        <f>IF(L26="","",L26)</f>
        <v>7</v>
      </c>
      <c r="AB4" s="1143">
        <f>IF(Q26="","",Q26)</f>
        <v>8</v>
      </c>
    </row>
    <row r="5" spans="1:28" ht="15.75" thickBot="1" x14ac:dyDescent="0.25">
      <c r="A5" s="1146"/>
      <c r="B5" s="1150"/>
      <c r="C5" s="948" t="str">
        <f>IF(B4="","",VLOOKUP(B4,'Списки участников'!$A:$J,6,FALSE))</f>
        <v>Москва</v>
      </c>
      <c r="D5" s="949"/>
      <c r="F5" s="1146"/>
      <c r="G5" s="1150"/>
      <c r="H5" s="948" t="str">
        <f>IF(G4="","",VLOOKUP(G4,'Списки участников'!$A:$J,6,FALSE))</f>
        <v>Москва</v>
      </c>
      <c r="I5" s="949"/>
      <c r="K5" s="1146"/>
      <c r="L5" s="1150"/>
      <c r="M5" s="948" t="str">
        <f>IF(L4="","",VLOOKUP(L4,'Списки участников'!$A:$J,6,FALSE))</f>
        <v>Н.Новгород</v>
      </c>
      <c r="N5" s="949"/>
      <c r="P5" s="1146"/>
      <c r="Q5" s="1150"/>
      <c r="R5" s="948" t="str">
        <f>IF(Q4="","",VLOOKUP(Q4,'Списки участников'!$A:$J,6,FALSE))</f>
        <v>Реутов, Мос. Обл.</v>
      </c>
      <c r="S5" s="949"/>
      <c r="U5" s="1152"/>
      <c r="V5" s="1142"/>
      <c r="W5" s="1142"/>
      <c r="X5" s="1142"/>
      <c r="Y5" s="1142"/>
      <c r="Z5" s="1142"/>
      <c r="AA5" s="1142"/>
      <c r="AB5" s="1144"/>
    </row>
    <row r="6" spans="1:28" ht="15.75" thickTop="1" x14ac:dyDescent="0.2">
      <c r="A6" s="1145">
        <v>2</v>
      </c>
      <c r="B6" s="1147">
        <v>33</v>
      </c>
      <c r="C6" s="950" t="str">
        <f>IF(B6="","",VLOOKUP(B6,'Списки участников'!$A:$J,3,FALSE))</f>
        <v>КУРОЧКИН Егор</v>
      </c>
      <c r="D6" s="951" t="str">
        <f>IF(B6="","",VLOOKUP(B6,'Списки участников'!$A:$J,9,FALSE))</f>
        <v>Тимофеева Р.А.</v>
      </c>
      <c r="F6" s="1145">
        <v>2</v>
      </c>
      <c r="G6" s="1147">
        <v>34</v>
      </c>
      <c r="H6" s="950" t="str">
        <f>IF(G6="","",VLOOKUP(G6,'Списки участников'!$A:$J,3,FALSE))</f>
        <v>ШУКЛИН Александр</v>
      </c>
      <c r="I6" s="951" t="str">
        <f>IF(G6="","",VLOOKUP(G6,'Списки участников'!$A:$J,9,FALSE))</f>
        <v>Боков А.В.</v>
      </c>
      <c r="K6" s="1145">
        <v>2</v>
      </c>
      <c r="L6" s="1147">
        <v>32</v>
      </c>
      <c r="M6" s="950" t="s">
        <v>12071</v>
      </c>
      <c r="N6" s="951" t="str">
        <f>IF(L6="","",VLOOKUP(L6,'Списки участников'!$A:$J,9,FALSE))</f>
        <v>Савинов Ю.Н.. Биткина В.В.. Сорин М.Б.</v>
      </c>
      <c r="P6" s="1145">
        <v>2</v>
      </c>
      <c r="Q6" s="1147">
        <v>30</v>
      </c>
      <c r="R6" s="950" t="str">
        <f>IF(Q6="","",VLOOKUP(Q6,'Списки участников'!$A:$J,3,FALSE))</f>
        <v>БАКШИНСКИЙ Илья</v>
      </c>
      <c r="S6" s="951" t="str">
        <f>IF(Q6="","",VLOOKUP(Q6,'Списки участников'!$A:$J,9,FALSE))</f>
        <v>Шулимова Т.В.. Лаврентьев А.А.</v>
      </c>
      <c r="U6" s="1152">
        <f t="shared" ref="U6" si="1">IF(B6="","",B6)</f>
        <v>33</v>
      </c>
      <c r="V6" s="1142">
        <f t="shared" si="0"/>
        <v>34</v>
      </c>
      <c r="W6" s="1142">
        <f t="shared" ref="W6" si="2">IF(L6="","",L6)</f>
        <v>32</v>
      </c>
      <c r="X6" s="1142">
        <f t="shared" ref="X6" si="3">IF(Q6="","",Q6)</f>
        <v>30</v>
      </c>
      <c r="Y6" s="1142">
        <f t="shared" ref="Y6" si="4">IF(B28="","",B28)</f>
        <v>31</v>
      </c>
      <c r="Z6" s="1142">
        <f t="shared" ref="Z6" si="5">IF(G28="","",G28)</f>
        <v>29</v>
      </c>
      <c r="AA6" s="1142">
        <f t="shared" ref="AA6" si="6">IF(L28="","",L28)</f>
        <v>28</v>
      </c>
      <c r="AB6" s="1144">
        <f t="shared" ref="AB6" si="7">IF(Q28="","",Q28)</f>
        <v>27</v>
      </c>
    </row>
    <row r="7" spans="1:28" ht="15.75" thickBot="1" x14ac:dyDescent="0.25">
      <c r="A7" s="1146"/>
      <c r="B7" s="1148"/>
      <c r="C7" s="952" t="str">
        <f>IF(B6="","",VLOOKUP(B6,'Списки участников'!$A:$J,6,FALSE))</f>
        <v>Москва</v>
      </c>
      <c r="D7" s="953"/>
      <c r="F7" s="1146"/>
      <c r="G7" s="1148"/>
      <c r="H7" s="952" t="str">
        <f>IF(G6="","",VLOOKUP(G6,'Списки участников'!$A:$J,6,FALSE))</f>
        <v>Орехово-Зуево</v>
      </c>
      <c r="I7" s="953"/>
      <c r="K7" s="1146"/>
      <c r="L7" s="1148"/>
      <c r="M7" s="952" t="str">
        <f>IF(L6="","",VLOOKUP(L6,'Списки участников'!$A:$J,6,FALSE))</f>
        <v>Москва</v>
      </c>
      <c r="N7" s="953"/>
      <c r="P7" s="1146"/>
      <c r="Q7" s="1148"/>
      <c r="R7" s="952" t="str">
        <f>IF(Q6="","",VLOOKUP(Q6,'Списки участников'!$A:$J,6,FALSE))</f>
        <v>Москва</v>
      </c>
      <c r="S7" s="953"/>
      <c r="U7" s="1152"/>
      <c r="V7" s="1142"/>
      <c r="W7" s="1142"/>
      <c r="X7" s="1142"/>
      <c r="Y7" s="1142"/>
      <c r="Z7" s="1142"/>
      <c r="AA7" s="1142"/>
      <c r="AB7" s="1144"/>
    </row>
    <row r="8" spans="1:28" ht="15.75" thickTop="1" x14ac:dyDescent="0.2">
      <c r="A8" s="1145">
        <v>3</v>
      </c>
      <c r="B8" s="1149">
        <v>35</v>
      </c>
      <c r="C8" s="950" t="str">
        <f>IF(B8="","",VLOOKUP(B8,'Списки участников'!$A:$J,3,FALSE))</f>
        <v>ДЯГЕЛЕВ Артем</v>
      </c>
      <c r="D8" s="951" t="str">
        <f>IF(B8="","",VLOOKUP(B8,'Списки участников'!$A:$J,9,FALSE))</f>
        <v>Шулимова Т.В.. Лаврентьев А.А.</v>
      </c>
      <c r="F8" s="1145">
        <v>3</v>
      </c>
      <c r="G8" s="1149">
        <v>36</v>
      </c>
      <c r="H8" s="950" t="s">
        <v>12197</v>
      </c>
      <c r="I8" s="951" t="str">
        <f>IF(G8="","",VLOOKUP(G8,'Списки участников'!$A:$J,9,FALSE))</f>
        <v>Чуев А.Н.</v>
      </c>
      <c r="K8" s="1145">
        <v>3</v>
      </c>
      <c r="L8" s="1149">
        <v>37</v>
      </c>
      <c r="M8" s="950" t="s">
        <v>12104</v>
      </c>
      <c r="N8" s="951" t="str">
        <f>IF(L8="","",VLOOKUP(L8,'Списки участников'!$A:$J,9,FALSE))</f>
        <v>Эдель Н.Н.</v>
      </c>
      <c r="P8" s="1145">
        <v>3</v>
      </c>
      <c r="Q8" s="1149">
        <v>38</v>
      </c>
      <c r="R8" s="950" t="str">
        <f>IF(Q8="","",VLOOKUP(Q8,'Списки участников'!$A:$J,3,FALSE))</f>
        <v>САВИЧЕВ Дмитрий</v>
      </c>
      <c r="S8" s="951" t="str">
        <f>IF(Q8="","",VLOOKUP(Q8,'Списки участников'!$A:$J,9,FALSE))</f>
        <v>Родионова М.Б.</v>
      </c>
      <c r="U8" s="1152">
        <f t="shared" ref="U8" si="8">IF(B8="","",B8)</f>
        <v>35</v>
      </c>
      <c r="V8" s="1142">
        <f t="shared" ref="V8" si="9">IF(G8="","",G8)</f>
        <v>36</v>
      </c>
      <c r="W8" s="1142">
        <f t="shared" ref="W8" si="10">IF(L8="","",L8)</f>
        <v>37</v>
      </c>
      <c r="X8" s="1142">
        <f t="shared" ref="X8" si="11">IF(Q8="","",Q8)</f>
        <v>38</v>
      </c>
      <c r="Y8" s="1142">
        <f t="shared" ref="Y8" si="12">IF(B30="","",B30)</f>
        <v>39</v>
      </c>
      <c r="Z8" s="1142">
        <f t="shared" ref="Z8" si="13">IF(G30="","",G30)</f>
        <v>40</v>
      </c>
      <c r="AA8" s="1142">
        <f t="shared" ref="AA8" si="14">IF(L30="","",L30)</f>
        <v>41</v>
      </c>
      <c r="AB8" s="1144">
        <f t="shared" ref="AB8" si="15">IF(Q30="","",Q30)</f>
        <v>42</v>
      </c>
    </row>
    <row r="9" spans="1:28" ht="15.75" thickBot="1" x14ac:dyDescent="0.25">
      <c r="A9" s="1146"/>
      <c r="B9" s="1150"/>
      <c r="C9" s="952" t="str">
        <f>IF(B8="","",VLOOKUP(B8,'Списки участников'!$A:$J,6,FALSE))</f>
        <v>Москва</v>
      </c>
      <c r="D9" s="953"/>
      <c r="F9" s="1146"/>
      <c r="G9" s="1150"/>
      <c r="H9" s="952" t="str">
        <f>IF(G8="","",VLOOKUP(G8,'Списки участников'!$A:$J,6,FALSE))</f>
        <v>Москва</v>
      </c>
      <c r="I9" s="953"/>
      <c r="K9" s="1146"/>
      <c r="L9" s="1150"/>
      <c r="M9" s="952" t="str">
        <f>IF(L8="","",VLOOKUP(L8,'Списки участников'!$A:$J,6,FALSE))</f>
        <v>Москва</v>
      </c>
      <c r="N9" s="953"/>
      <c r="P9" s="1146"/>
      <c r="Q9" s="1150"/>
      <c r="R9" s="952" t="str">
        <f>IF(Q8="","",VLOOKUP(Q8,'Списки участников'!$A:$J,6,FALSE))</f>
        <v>Москва</v>
      </c>
      <c r="S9" s="953"/>
      <c r="U9" s="1152"/>
      <c r="V9" s="1142"/>
      <c r="W9" s="1142"/>
      <c r="X9" s="1142"/>
      <c r="Y9" s="1142"/>
      <c r="Z9" s="1142"/>
      <c r="AA9" s="1142"/>
      <c r="AB9" s="1144"/>
    </row>
    <row r="10" spans="1:28" ht="15.75" thickTop="1" x14ac:dyDescent="0.2">
      <c r="A10" s="1145">
        <v>4</v>
      </c>
      <c r="B10" s="1147">
        <v>66</v>
      </c>
      <c r="C10" s="950" t="str">
        <f>IF(B10="","",VLOOKUP(B10,'Списки участников'!$A:$J,3,FALSE))</f>
        <v>АКИНьЩИКОВ Ярослав</v>
      </c>
      <c r="D10" s="951" t="str">
        <f>IF(B10="","",VLOOKUP(B10,'Списки участников'!$A:$J,9,FALSE))</f>
        <v>Мейснер О.Л.</v>
      </c>
      <c r="F10" s="1145">
        <v>4</v>
      </c>
      <c r="G10" s="1147">
        <v>64</v>
      </c>
      <c r="H10" s="950" t="s">
        <v>12095</v>
      </c>
      <c r="I10" s="951" t="str">
        <f>IF(G10="","",VLOOKUP(G10,'Списки участников'!$A:$J,9,FALSE))</f>
        <v>Болотников А.Ю.</v>
      </c>
      <c r="K10" s="1145">
        <v>4</v>
      </c>
      <c r="L10" s="1147">
        <v>63</v>
      </c>
      <c r="M10" s="950" t="s">
        <v>12145</v>
      </c>
      <c r="N10" s="951" t="str">
        <f>IF(L10="","",VLOOKUP(L10,'Списки участников'!$A:$J,9,FALSE))</f>
        <v>Шулимова Т.В.. Лаврентьев А.А.</v>
      </c>
      <c r="P10" s="1145">
        <v>4</v>
      </c>
      <c r="Q10" s="1147">
        <v>65</v>
      </c>
      <c r="R10" s="950" t="str">
        <f>IF(Q10="","",VLOOKUP(Q10,'Списки участников'!$A:$J,3,FALSE))</f>
        <v>СОБАКИН Юрий</v>
      </c>
      <c r="S10" s="951" t="str">
        <f>IF(Q10="","",VLOOKUP(Q10,'Списки участников'!$A:$J,9,FALSE))</f>
        <v>Чичинев а.в.</v>
      </c>
      <c r="U10" s="1152">
        <f t="shared" ref="U10" si="16">IF(B10="","",B10)</f>
        <v>66</v>
      </c>
      <c r="V10" s="1142">
        <f t="shared" ref="V10" si="17">IF(G10="","",G10)</f>
        <v>64</v>
      </c>
      <c r="W10" s="1142">
        <f t="shared" ref="W10" si="18">IF(L10="","",L10)</f>
        <v>63</v>
      </c>
      <c r="X10" s="1142">
        <f t="shared" ref="X10" si="19">IF(Q10="","",Q10)</f>
        <v>65</v>
      </c>
      <c r="Y10" s="1142">
        <f t="shared" ref="Y10" si="20">IF(B32="","",B32)</f>
        <v>62</v>
      </c>
      <c r="Z10" s="1142">
        <f t="shared" ref="Z10" si="21">IF(G32="","",G32)</f>
        <v>61</v>
      </c>
      <c r="AA10" s="1142">
        <f t="shared" ref="AA10" si="22">IF(L32="","",L32)</f>
        <v>60</v>
      </c>
      <c r="AB10" s="1144">
        <f t="shared" ref="AB10" si="23">IF(Q32="","",Q32)</f>
        <v>59</v>
      </c>
    </row>
    <row r="11" spans="1:28" ht="15.75" thickBot="1" x14ac:dyDescent="0.25">
      <c r="A11" s="1146"/>
      <c r="B11" s="1148"/>
      <c r="C11" s="952" t="str">
        <f>IF(B10="","",VLOOKUP(B10,'Списки участников'!$A:$J,6,FALSE))</f>
        <v>Жуковский</v>
      </c>
      <c r="D11" s="953"/>
      <c r="F11" s="1146"/>
      <c r="G11" s="1148"/>
      <c r="H11" s="952" t="str">
        <f>IF(G10="","",VLOOKUP(G10,'Списки участников'!$A:$J,6,FALSE))</f>
        <v>Одинцово</v>
      </c>
      <c r="I11" s="953"/>
      <c r="K11" s="1146"/>
      <c r="L11" s="1148"/>
      <c r="M11" s="952" t="str">
        <f>IF(L10="","",VLOOKUP(L10,'Списки участников'!$A:$J,6,FALSE))</f>
        <v>Москва</v>
      </c>
      <c r="N11" s="953"/>
      <c r="P11" s="1146"/>
      <c r="Q11" s="1148"/>
      <c r="R11" s="952" t="str">
        <f>IF(Q10="","",VLOOKUP(Q10,'Списки участников'!$A:$J,6,FALSE))</f>
        <v>Москва</v>
      </c>
      <c r="S11" s="953"/>
      <c r="U11" s="1152"/>
      <c r="V11" s="1142"/>
      <c r="W11" s="1142"/>
      <c r="X11" s="1142"/>
      <c r="Y11" s="1142"/>
      <c r="Z11" s="1142"/>
      <c r="AA11" s="1142"/>
      <c r="AB11" s="1144"/>
    </row>
    <row r="12" spans="1:28" ht="15.75" thickTop="1" x14ac:dyDescent="0.2">
      <c r="A12" s="1145">
        <v>5</v>
      </c>
      <c r="B12" s="1149">
        <v>67</v>
      </c>
      <c r="C12" s="950" t="str">
        <f>IF(B12="","",VLOOKUP(B12,'Списки участников'!$A:$J,3,FALSE))</f>
        <v>АНДРОНОВ Федор</v>
      </c>
      <c r="D12" s="951" t="str">
        <f>IF(B12="","",VLOOKUP(B12,'Списки участников'!$A:$J,9,FALSE))</f>
        <v>Игнатова О.А.</v>
      </c>
      <c r="F12" s="1145">
        <v>5</v>
      </c>
      <c r="G12" s="1149">
        <v>68</v>
      </c>
      <c r="H12" s="950" t="s">
        <v>12103</v>
      </c>
      <c r="I12" s="951" t="str">
        <f>IF(G12="","",VLOOKUP(G12,'Списки участников'!$A:$J,9,FALSE))</f>
        <v>Эдель Н.Н.</v>
      </c>
      <c r="K12" s="1145">
        <v>5</v>
      </c>
      <c r="L12" s="1149">
        <v>69</v>
      </c>
      <c r="M12" s="950" t="s">
        <v>12126</v>
      </c>
      <c r="N12" s="951" t="str">
        <f>IF(L12="","",VLOOKUP(L12,'Списки участников'!$A:$J,9,FALSE))</f>
        <v>Чуев А.Н.</v>
      </c>
      <c r="P12" s="1145">
        <v>5</v>
      </c>
      <c r="Q12" s="1149">
        <v>70</v>
      </c>
      <c r="R12" s="950" t="str">
        <f>IF(Q12="","",VLOOKUP(Q12,'Списки участников'!$A:$J,3,FALSE))</f>
        <v>МАСЛАКОВ Антон</v>
      </c>
      <c r="S12" s="951" t="str">
        <f>IF(Q12="","",VLOOKUP(Q12,'Списки участников'!$A:$J,9,FALSE))</f>
        <v>Боков А.В.</v>
      </c>
      <c r="U12" s="1152">
        <f t="shared" ref="U12" si="24">IF(B12="","",B12)</f>
        <v>67</v>
      </c>
      <c r="V12" s="1142">
        <f t="shared" ref="V12" si="25">IF(G12="","",G12)</f>
        <v>68</v>
      </c>
      <c r="W12" s="1142">
        <f t="shared" ref="W12" si="26">IF(L12="","",L12)</f>
        <v>69</v>
      </c>
      <c r="X12" s="1142">
        <f t="shared" ref="X12" si="27">IF(Q12="","",Q12)</f>
        <v>70</v>
      </c>
      <c r="Y12" s="1142">
        <f t="shared" ref="Y12" si="28">IF(B34="","",B34)</f>
        <v>72</v>
      </c>
      <c r="Z12" s="1142">
        <f t="shared" ref="Z12" si="29">IF(G34="","",G34)</f>
        <v>71</v>
      </c>
      <c r="AA12" s="1142">
        <f t="shared" ref="AA12" si="30">IF(L34="","",L34)</f>
        <v>73</v>
      </c>
      <c r="AB12" s="1144">
        <f t="shared" ref="AB12" si="31">IF(Q34="","",Q34)</f>
        <v>74</v>
      </c>
    </row>
    <row r="13" spans="1:28" ht="15.75" thickBot="1" x14ac:dyDescent="0.25">
      <c r="A13" s="1146"/>
      <c r="B13" s="1150"/>
      <c r="C13" s="952" t="str">
        <f>IF(B12="","",VLOOKUP(B12,'Списки участников'!$A:$J,6,FALSE))</f>
        <v>Москва</v>
      </c>
      <c r="D13" s="953"/>
      <c r="F13" s="1146"/>
      <c r="G13" s="1150"/>
      <c r="H13" s="952" t="str">
        <f>IF(G12="","",VLOOKUP(G12,'Списки участников'!$A:$J,6,FALSE))</f>
        <v>Москва</v>
      </c>
      <c r="I13" s="953"/>
      <c r="K13" s="1146"/>
      <c r="L13" s="1150"/>
      <c r="M13" s="952" t="str">
        <f>IF(L12="","",VLOOKUP(L12,'Списки участников'!$A:$J,6,FALSE))</f>
        <v>Москва</v>
      </c>
      <c r="N13" s="953"/>
      <c r="P13" s="1146"/>
      <c r="Q13" s="1150"/>
      <c r="R13" s="952" t="str">
        <f>IF(Q12="","",VLOOKUP(Q12,'Списки участников'!$A:$J,6,FALSE))</f>
        <v>Орехово-Зуево</v>
      </c>
      <c r="S13" s="953"/>
      <c r="U13" s="1152"/>
      <c r="V13" s="1142"/>
      <c r="W13" s="1142"/>
      <c r="X13" s="1142"/>
      <c r="Y13" s="1142"/>
      <c r="Z13" s="1142"/>
      <c r="AA13" s="1142"/>
      <c r="AB13" s="1144"/>
    </row>
    <row r="14" spans="1:28" ht="15.75" thickTop="1" x14ac:dyDescent="0.2">
      <c r="A14" s="1145">
        <v>6</v>
      </c>
      <c r="B14" s="1147">
        <v>99</v>
      </c>
      <c r="C14" s="950" t="str">
        <f>IF(B14="","",VLOOKUP(B14,'Списки участников'!$A:$J,3,FALSE))</f>
        <v>ГРИЦЕВИЧ Станислав</v>
      </c>
      <c r="D14" s="951" t="str">
        <f>IF(B14="","",VLOOKUP(B14,'Списки участников'!$A:$J,9,FALSE))</f>
        <v>Гамаюнов Ю.В., Толкачев В.Л.</v>
      </c>
      <c r="F14" s="1145">
        <v>6</v>
      </c>
      <c r="G14" s="1147">
        <v>98</v>
      </c>
      <c r="H14" s="950" t="s">
        <v>12124</v>
      </c>
      <c r="I14" s="951" t="str">
        <f>IF(G14="","",VLOOKUP(G14,'Списки участников'!$A:$J,9,FALSE))</f>
        <v>Кузичкин В.В.</v>
      </c>
      <c r="K14" s="1145">
        <v>6</v>
      </c>
      <c r="L14" s="1147">
        <v>97</v>
      </c>
      <c r="M14" s="950" t="s">
        <v>12082</v>
      </c>
      <c r="N14" s="951" t="str">
        <f>IF(L14="","",VLOOKUP(L14,'Списки участников'!$A:$J,9,FALSE))</f>
        <v>Чичинев а.в.</v>
      </c>
      <c r="P14" s="1145">
        <v>6</v>
      </c>
      <c r="Q14" s="1147">
        <v>93</v>
      </c>
      <c r="R14" s="950" t="s">
        <v>12010</v>
      </c>
      <c r="S14" s="951"/>
      <c r="U14" s="1152">
        <f t="shared" ref="U14" si="32">IF(B14="","",B14)</f>
        <v>99</v>
      </c>
      <c r="V14" s="1142">
        <f t="shared" ref="V14" si="33">IF(G14="","",G14)</f>
        <v>98</v>
      </c>
      <c r="W14" s="1142">
        <f t="shared" ref="W14" si="34">IF(L14="","",L14)</f>
        <v>97</v>
      </c>
      <c r="X14" s="1142">
        <f t="shared" ref="X14" si="35">IF(Q14="","",Q14)</f>
        <v>93</v>
      </c>
      <c r="Y14" s="1142">
        <f t="shared" ref="Y14" si="36">IF(B36="","",B36)</f>
        <v>95</v>
      </c>
      <c r="Z14" s="1142">
        <f t="shared" ref="Z14" si="37">IF(G36="","",G36)</f>
        <v>96</v>
      </c>
      <c r="AA14" s="1142">
        <f t="shared" ref="AA14" si="38">IF(L36="","",L36)</f>
        <v>92</v>
      </c>
      <c r="AB14" s="1144">
        <f t="shared" ref="AB14" si="39">IF(Q36="","",Q36)</f>
        <v>93</v>
      </c>
    </row>
    <row r="15" spans="1:28" ht="15.75" thickBot="1" x14ac:dyDescent="0.25">
      <c r="A15" s="1146"/>
      <c r="B15" s="1148"/>
      <c r="C15" s="952" t="str">
        <f>IF(B14="","",VLOOKUP(B14,'Списки участников'!$A:$J,6,FALSE))</f>
        <v>Москва</v>
      </c>
      <c r="D15" s="953"/>
      <c r="F15" s="1146"/>
      <c r="G15" s="1148"/>
      <c r="H15" s="952" t="str">
        <f>IF(G14="","",VLOOKUP(G14,'Списки участников'!$A:$J,6,FALSE))</f>
        <v>Москва</v>
      </c>
      <c r="I15" s="953"/>
      <c r="K15" s="1146"/>
      <c r="L15" s="1148"/>
      <c r="M15" s="952" t="str">
        <f>IF(L14="","",VLOOKUP(L14,'Списки участников'!$A:$J,6,FALSE))</f>
        <v>Москва</v>
      </c>
      <c r="N15" s="953"/>
      <c r="P15" s="1146"/>
      <c r="Q15" s="1148"/>
      <c r="R15" s="952" t="str">
        <f>IF(Q14="","",VLOOKUP(Q14,'Списки участников'!$A:$J,6,FALSE))</f>
        <v>Дмитров</v>
      </c>
      <c r="S15" s="953"/>
      <c r="U15" s="1152"/>
      <c r="V15" s="1142"/>
      <c r="W15" s="1142"/>
      <c r="X15" s="1142"/>
      <c r="Y15" s="1142"/>
      <c r="Z15" s="1142"/>
      <c r="AA15" s="1142"/>
      <c r="AB15" s="1144"/>
    </row>
    <row r="16" spans="1:28" ht="15.75" thickTop="1" x14ac:dyDescent="0.2">
      <c r="A16" s="1145">
        <v>7</v>
      </c>
      <c r="B16" s="1149">
        <v>101</v>
      </c>
      <c r="C16" s="950" t="s">
        <v>12196</v>
      </c>
      <c r="D16" s="951" t="str">
        <f>IF(B16="","",VLOOKUP(B16,'Списки участников'!$A:$J,9,FALSE))</f>
        <v>Нассыров К.М.. Мазунов А.В.</v>
      </c>
      <c r="F16" s="1145">
        <v>7</v>
      </c>
      <c r="G16" s="1149">
        <v>102</v>
      </c>
      <c r="H16" s="950" t="s">
        <v>12137</v>
      </c>
      <c r="I16" s="951" t="str">
        <f>IF(G16="","",VLOOKUP(G16,'Списки участников'!$A:$J,9,FALSE))</f>
        <v>Костеневич Л.М..</v>
      </c>
      <c r="K16" s="1145">
        <v>7</v>
      </c>
      <c r="L16" s="1149">
        <v>103</v>
      </c>
      <c r="M16" s="950" t="s">
        <v>12097</v>
      </c>
      <c r="N16" s="951" t="str">
        <f>IF(L16="","",VLOOKUP(L16,'Списки участников'!$A:$J,9,FALSE))</f>
        <v>Болотников А.Ю.</v>
      </c>
      <c r="P16" s="1145">
        <v>7</v>
      </c>
      <c r="Q16" s="1149">
        <v>107</v>
      </c>
      <c r="R16" s="950" t="str">
        <f>IF(Q16="","",VLOOKUP(Q16,'Списки участников'!$A:$J,3,FALSE))</f>
        <v>ПОПОВ Максим</v>
      </c>
      <c r="S16" s="951" t="str">
        <f>IF(Q16="","",VLOOKUP(Q16,'Списки участников'!$A:$J,9,FALSE))</f>
        <v>Антонова Т.В., Антонов ВА.</v>
      </c>
      <c r="U16" s="1152">
        <f t="shared" ref="U16" si="40">IF(B16="","",B16)</f>
        <v>101</v>
      </c>
      <c r="V16" s="1142">
        <f t="shared" ref="V16" si="41">IF(G16="","",G16)</f>
        <v>102</v>
      </c>
      <c r="W16" s="1142">
        <f t="shared" ref="W16" si="42">IF(L16="","",L16)</f>
        <v>103</v>
      </c>
      <c r="X16" s="1142">
        <f t="shared" ref="X16" si="43">IF(Q16="","",Q16)</f>
        <v>107</v>
      </c>
      <c r="Y16" s="1142">
        <f t="shared" ref="Y16" si="44">IF(B38="","",B38)</f>
        <v>105</v>
      </c>
      <c r="Z16" s="1142">
        <f t="shared" ref="Z16" si="45">IF(G38="","",G38)</f>
        <v>106</v>
      </c>
      <c r="AA16" s="1142">
        <f t="shared" ref="AA16" si="46">IF(L38="","",L38)</f>
        <v>112</v>
      </c>
      <c r="AB16" s="1144">
        <f t="shared" ref="AB16" si="47">IF(Q38="","",Q38)</f>
        <v>111</v>
      </c>
    </row>
    <row r="17" spans="1:28" ht="15.75" thickBot="1" x14ac:dyDescent="0.25">
      <c r="A17" s="1146"/>
      <c r="B17" s="1150"/>
      <c r="C17" s="952" t="str">
        <f>IF(B16="","",VLOOKUP(B16,'Списки участников'!$A:$J,6,FALSE))</f>
        <v>Москва</v>
      </c>
      <c r="D17" s="953"/>
      <c r="F17" s="1146"/>
      <c r="G17" s="1150"/>
      <c r="H17" s="952" t="str">
        <f>IF(G16="","",VLOOKUP(G16,'Списки участников'!$A:$J,6,FALSE))</f>
        <v>Домодедово  М.о.</v>
      </c>
      <c r="I17" s="953"/>
      <c r="K17" s="1146"/>
      <c r="L17" s="1150"/>
      <c r="M17" s="952" t="s">
        <v>2720</v>
      </c>
      <c r="N17" s="953"/>
      <c r="P17" s="1146"/>
      <c r="Q17" s="1150"/>
      <c r="R17" s="952" t="str">
        <f>IF(Q16="","",VLOOKUP(Q16,'Списки участников'!$A:$J,6,FALSE))</f>
        <v>Электросталь</v>
      </c>
      <c r="S17" s="953"/>
      <c r="U17" s="1152"/>
      <c r="V17" s="1142"/>
      <c r="W17" s="1142"/>
      <c r="X17" s="1142"/>
      <c r="Y17" s="1142"/>
      <c r="Z17" s="1142"/>
      <c r="AA17" s="1142"/>
      <c r="AB17" s="1144"/>
    </row>
    <row r="18" spans="1:28" ht="15.75" thickTop="1" x14ac:dyDescent="0.2">
      <c r="A18" s="1145">
        <v>8</v>
      </c>
      <c r="B18" s="1147">
        <v>79</v>
      </c>
      <c r="C18" s="950" t="s">
        <v>12170</v>
      </c>
      <c r="D18" s="951" t="str">
        <f>IF(B18="","",VLOOKUP(B18,'Списки участников'!$A:$J,9,FALSE))</f>
        <v>Чиченев В.А., Чиченев А.В.</v>
      </c>
      <c r="F18" s="1145">
        <v>8</v>
      </c>
      <c r="G18" s="1147"/>
      <c r="H18" s="950" t="str">
        <f>IF(G18="","",VLOOKUP(G18,'Списки участников'!$A:$J,3,FALSE))</f>
        <v/>
      </c>
      <c r="I18" s="951" t="str">
        <f>IF(G18="","",VLOOKUP(G18,'Списки участников'!$A:$J,9,FALSE))</f>
        <v/>
      </c>
      <c r="K18" s="1145">
        <v>8</v>
      </c>
      <c r="L18" s="1147"/>
      <c r="M18" s="950" t="str">
        <f>IF(L18="","",VLOOKUP(L18,'Списки участников'!$A:$J,3,FALSE))</f>
        <v/>
      </c>
      <c r="N18" s="951" t="str">
        <f>IF(L18="","",VLOOKUP(L18,'Списки участников'!$A:$J,9,FALSE))</f>
        <v/>
      </c>
      <c r="P18" s="1145">
        <v>8</v>
      </c>
      <c r="Q18" s="1147"/>
      <c r="R18" s="950" t="str">
        <f>IF(Q18="","",VLOOKUP(Q18,'Списки участников'!$A:$J,3,FALSE))</f>
        <v/>
      </c>
      <c r="S18" s="951" t="str">
        <f>IF(Q18="","",VLOOKUP(Q18,'Списки участников'!$A:$J,9,FALSE))</f>
        <v/>
      </c>
      <c r="U18" s="1152">
        <f t="shared" ref="U18" si="48">IF(B18="","",B18)</f>
        <v>79</v>
      </c>
      <c r="V18" s="1142" t="str">
        <f t="shared" ref="V18" si="49">IF(G18="","",G18)</f>
        <v/>
      </c>
      <c r="W18" s="1142" t="str">
        <f t="shared" ref="W18" si="50">IF(L18="","",L18)</f>
        <v/>
      </c>
      <c r="X18" s="1142" t="str">
        <f t="shared" ref="X18" si="51">IF(Q18="","",Q18)</f>
        <v/>
      </c>
      <c r="Y18" s="1142" t="str">
        <f t="shared" ref="Y18" si="52">IF(B40="","",B40)</f>
        <v/>
      </c>
      <c r="Z18" s="1142" t="str">
        <f t="shared" ref="Z18" si="53">IF(G40="","",G40)</f>
        <v/>
      </c>
      <c r="AA18" s="1142" t="str">
        <f t="shared" ref="AA18" si="54">IF(L40="","",L40)</f>
        <v/>
      </c>
      <c r="AB18" s="1144" t="str">
        <f t="shared" ref="AB18" si="55">IF(Q40="","",Q40)</f>
        <v/>
      </c>
    </row>
    <row r="19" spans="1:28" ht="15.75" thickBot="1" x14ac:dyDescent="0.25">
      <c r="A19" s="1146"/>
      <c r="B19" s="1148"/>
      <c r="C19" s="952" t="str">
        <f>IF(B18="","",VLOOKUP(B18,'Списки участников'!$A:$J,6,FALSE))</f>
        <v>Москва</v>
      </c>
      <c r="D19" s="953"/>
      <c r="F19" s="1146"/>
      <c r="G19" s="1148"/>
      <c r="H19" s="952" t="str">
        <f>IF(G18="","",VLOOKUP(G18,'Списки участников'!$A:$J,6,FALSE))</f>
        <v/>
      </c>
      <c r="I19" s="953"/>
      <c r="K19" s="1146"/>
      <c r="L19" s="1148"/>
      <c r="M19" s="952" t="str">
        <f>IF(L18="","",VLOOKUP(L18,'Списки участников'!$A:$J,6,FALSE))</f>
        <v/>
      </c>
      <c r="N19" s="953"/>
      <c r="P19" s="1146"/>
      <c r="Q19" s="1148"/>
      <c r="R19" s="952" t="str">
        <f>IF(Q18="","",VLOOKUP(Q18,'Списки участников'!$A:$J,6,FALSE))</f>
        <v/>
      </c>
      <c r="S19" s="953"/>
      <c r="U19" s="1152"/>
      <c r="V19" s="1142"/>
      <c r="W19" s="1142"/>
      <c r="X19" s="1142"/>
      <c r="Y19" s="1142"/>
      <c r="Z19" s="1142"/>
      <c r="AA19" s="1142"/>
      <c r="AB19" s="1144"/>
    </row>
    <row r="20" spans="1:28" ht="15.75" thickTop="1" x14ac:dyDescent="0.2">
      <c r="A20" s="1145">
        <v>9</v>
      </c>
      <c r="B20" s="1149"/>
      <c r="C20" s="950" t="str">
        <f>IF(B20="","",VLOOKUP(B20,'Списки участников'!$A:$J,3,FALSE))</f>
        <v/>
      </c>
      <c r="D20" s="951" t="str">
        <f>IF(B20="","",VLOOKUP(B20,'Списки участников'!$A:$J,9,FALSE))</f>
        <v/>
      </c>
      <c r="F20" s="1145">
        <v>9</v>
      </c>
      <c r="G20" s="1149"/>
      <c r="H20" s="950" t="str">
        <f>IF(G20="","",VLOOKUP(G20,'Списки участников'!$A:$J,3,FALSE))</f>
        <v/>
      </c>
      <c r="I20" s="951" t="str">
        <f>IF(G20="","",VLOOKUP(G20,'Списки участников'!$A:$J,9,FALSE))</f>
        <v/>
      </c>
      <c r="K20" s="1145">
        <v>9</v>
      </c>
      <c r="L20" s="1149"/>
      <c r="M20" s="950" t="str">
        <f>IF(L20="","",VLOOKUP(L20,'Списки участников'!$A:$J,3,FALSE))</f>
        <v/>
      </c>
      <c r="N20" s="951" t="str">
        <f>IF(L20="","",VLOOKUP(L20,'Списки участников'!$A:$J,9,FALSE))</f>
        <v/>
      </c>
      <c r="P20" s="1145">
        <v>9</v>
      </c>
      <c r="Q20" s="1149"/>
      <c r="R20" s="950" t="str">
        <f>IF(Q20="","",VLOOKUP(Q20,'Списки участников'!$A:$J,3,FALSE))</f>
        <v/>
      </c>
      <c r="S20" s="951" t="str">
        <f>IF(Q20="","",VLOOKUP(Q20,'Списки участников'!$A:$J,9,FALSE))</f>
        <v/>
      </c>
      <c r="U20" s="1152" t="str">
        <f t="shared" ref="U20" si="56">IF(B20="","",B20)</f>
        <v/>
      </c>
      <c r="V20" s="1142" t="str">
        <f t="shared" ref="V20" si="57">IF(G20="","",G20)</f>
        <v/>
      </c>
      <c r="W20" s="1142" t="str">
        <f t="shared" ref="W20" si="58">IF(L20="","",L20)</f>
        <v/>
      </c>
      <c r="X20" s="1142" t="str">
        <f t="shared" ref="X20" si="59">IF(Q20="","",Q20)</f>
        <v/>
      </c>
      <c r="Y20" s="1142" t="str">
        <f t="shared" ref="Y20" si="60">IF(B42="","",B42)</f>
        <v/>
      </c>
      <c r="Z20" s="1142" t="str">
        <f t="shared" ref="Z20" si="61">IF(G42="","",G42)</f>
        <v/>
      </c>
      <c r="AA20" s="1142" t="str">
        <f t="shared" ref="AA20" si="62">IF(L42="","",L42)</f>
        <v/>
      </c>
      <c r="AB20" s="1144" t="str">
        <f t="shared" ref="AB20" si="63">IF(Q42="","",Q42)</f>
        <v/>
      </c>
    </row>
    <row r="21" spans="1:28" ht="15.75" thickBot="1" x14ac:dyDescent="0.25">
      <c r="A21" s="1146"/>
      <c r="B21" s="1150"/>
      <c r="C21" s="952" t="str">
        <f>IF(B20="","",VLOOKUP(B20,'Списки участников'!$A:$J,6,FALSE))</f>
        <v/>
      </c>
      <c r="D21" s="953"/>
      <c r="F21" s="1146"/>
      <c r="G21" s="1150"/>
      <c r="H21" s="952" t="str">
        <f>IF(G20="","",VLOOKUP(G20,'Списки участников'!$A:$J,6,FALSE))</f>
        <v/>
      </c>
      <c r="I21" s="953"/>
      <c r="K21" s="1146"/>
      <c r="L21" s="1150"/>
      <c r="M21" s="952" t="str">
        <f>IF(L20="","",VLOOKUP(L20,'Списки участников'!$A:$J,6,FALSE))</f>
        <v/>
      </c>
      <c r="N21" s="953"/>
      <c r="P21" s="1146"/>
      <c r="Q21" s="1150"/>
      <c r="R21" s="952" t="str">
        <f>IF(Q20="","",VLOOKUP(Q20,'Списки участников'!$A:$J,6,FALSE))</f>
        <v/>
      </c>
      <c r="S21" s="953"/>
      <c r="U21" s="1152"/>
      <c r="V21" s="1142"/>
      <c r="W21" s="1142"/>
      <c r="X21" s="1142"/>
      <c r="Y21" s="1142"/>
      <c r="Z21" s="1142"/>
      <c r="AA21" s="1142"/>
      <c r="AB21" s="1144"/>
    </row>
    <row r="22" spans="1:28" ht="15.75" thickTop="1" x14ac:dyDescent="0.2">
      <c r="A22" s="1145">
        <v>10</v>
      </c>
      <c r="B22" s="1147"/>
      <c r="C22" s="950" t="str">
        <f>IF(B22="","",VLOOKUP(B22,'Списки участников'!$A:$J,3,FALSE))</f>
        <v/>
      </c>
      <c r="D22" s="951" t="str">
        <f>IF(B22="","",VLOOKUP(B22,'Списки участников'!$A:$J,9,FALSE))</f>
        <v/>
      </c>
      <c r="F22" s="1145">
        <v>10</v>
      </c>
      <c r="G22" s="1147"/>
      <c r="H22" s="950" t="str">
        <f>IF(G22="","",VLOOKUP(G22,'Списки участников'!$A:$J,3,FALSE))</f>
        <v/>
      </c>
      <c r="I22" s="951" t="str">
        <f>IF(G22="","",VLOOKUP(G22,'Списки участников'!$A:$J,9,FALSE))</f>
        <v/>
      </c>
      <c r="K22" s="1145">
        <v>10</v>
      </c>
      <c r="L22" s="1147"/>
      <c r="M22" s="950" t="str">
        <f>IF(L22="","",VLOOKUP(L22,'Списки участников'!$A:$J,3,FALSE))</f>
        <v/>
      </c>
      <c r="N22" s="951" t="str">
        <f>IF(L22="","",VLOOKUP(L22,'Списки участников'!$A:$J,9,FALSE))</f>
        <v/>
      </c>
      <c r="P22" s="1145">
        <v>10</v>
      </c>
      <c r="Q22" s="1147"/>
      <c r="R22" s="950" t="str">
        <f>IF(Q22="","",VLOOKUP(Q22,'Списки участников'!$A:$J,3,FALSE))</f>
        <v/>
      </c>
      <c r="S22" s="951" t="str">
        <f>IF(Q22="","",VLOOKUP(Q22,'Списки участников'!$A:$J,9,FALSE))</f>
        <v/>
      </c>
      <c r="U22" s="1152" t="str">
        <f t="shared" ref="U22" si="64">IF(B22="","",B22)</f>
        <v/>
      </c>
      <c r="V22" s="1142" t="str">
        <f t="shared" ref="V22" si="65">IF(G22="","",G22)</f>
        <v/>
      </c>
      <c r="W22" s="1142" t="str">
        <f t="shared" ref="W22" si="66">IF(L22="","",L22)</f>
        <v/>
      </c>
      <c r="X22" s="1142" t="str">
        <f t="shared" ref="X22" si="67">IF(Q22="","",Q22)</f>
        <v/>
      </c>
      <c r="Y22" s="1142" t="str">
        <f t="shared" ref="Y22" si="68">IF(B44="","",B44)</f>
        <v/>
      </c>
      <c r="Z22" s="1142" t="str">
        <f t="shared" ref="Z22" si="69">IF(G44="","",G44)</f>
        <v/>
      </c>
      <c r="AA22" s="1142" t="str">
        <f t="shared" ref="AA22" si="70">IF(L44="","",L44)</f>
        <v/>
      </c>
      <c r="AB22" s="1144" t="str">
        <f t="shared" ref="AB22" si="71">IF(Q44="","",Q44)</f>
        <v/>
      </c>
    </row>
    <row r="23" spans="1:28" ht="15.75" thickBot="1" x14ac:dyDescent="0.25">
      <c r="A23" s="1146"/>
      <c r="B23" s="1148"/>
      <c r="C23" s="952" t="str">
        <f>IF(B22="","",VLOOKUP(B22,'Списки участников'!$A:$J,6,FALSE))</f>
        <v/>
      </c>
      <c r="D23" s="953"/>
      <c r="F23" s="1146"/>
      <c r="G23" s="1148"/>
      <c r="H23" s="952" t="str">
        <f>IF(G22="","",VLOOKUP(G22,'Списки участников'!$A:$J,6,FALSE))</f>
        <v/>
      </c>
      <c r="I23" s="953"/>
      <c r="K23" s="1146"/>
      <c r="L23" s="1148"/>
      <c r="M23" s="952" t="str">
        <f>IF(L22="","",VLOOKUP(L22,'Списки участников'!$A:$J,6,FALSE))</f>
        <v/>
      </c>
      <c r="N23" s="953"/>
      <c r="P23" s="1146"/>
      <c r="Q23" s="1148"/>
      <c r="R23" s="952" t="str">
        <f>IF(Q22="","",VLOOKUP(Q22,'Списки участников'!$A:$J,6,FALSE))</f>
        <v/>
      </c>
      <c r="S23" s="953"/>
      <c r="U23" s="1155"/>
      <c r="V23" s="1153"/>
      <c r="W23" s="1153"/>
      <c r="X23" s="1153"/>
      <c r="Y23" s="1153"/>
      <c r="Z23" s="1153"/>
      <c r="AA23" s="1153"/>
      <c r="AB23" s="1154"/>
    </row>
    <row r="24" spans="1:28" ht="13.5" thickTop="1" x14ac:dyDescent="0.2">
      <c r="A24" s="1138" t="s">
        <v>995</v>
      </c>
      <c r="B24" s="1139"/>
      <c r="C24" s="1139"/>
      <c r="D24" s="304"/>
      <c r="F24" s="1138" t="s">
        <v>996</v>
      </c>
      <c r="G24" s="1139"/>
      <c r="H24" s="1139"/>
      <c r="I24" s="304"/>
      <c r="K24" s="1138" t="s">
        <v>997</v>
      </c>
      <c r="L24" s="1139"/>
      <c r="M24" s="1139"/>
      <c r="N24" s="304"/>
      <c r="P24" s="1138" t="s">
        <v>998</v>
      </c>
      <c r="Q24" s="1139"/>
      <c r="R24" s="1139"/>
      <c r="S24" s="304"/>
      <c r="U24" s="1151">
        <f>IF(B48="","",B48)</f>
        <v>9</v>
      </c>
      <c r="V24" s="1141">
        <f>IF(G48="","",G48)</f>
        <v>10</v>
      </c>
      <c r="W24" s="1141">
        <f>IF(L48="","",L48)</f>
        <v>11</v>
      </c>
      <c r="X24" s="1141">
        <f>IF(Q48="","",Q48)</f>
        <v>12</v>
      </c>
      <c r="Y24" s="1141">
        <f>IF(B70="","",B70)</f>
        <v>13</v>
      </c>
      <c r="Z24" s="1141">
        <f>IF(G70="","",G70)</f>
        <v>14</v>
      </c>
      <c r="AA24" s="1141">
        <f>IF(L70="","",L70)</f>
        <v>15</v>
      </c>
      <c r="AB24" s="1143">
        <f>IF(Q70="","",Q70)</f>
        <v>17</v>
      </c>
    </row>
    <row r="25" spans="1:28" ht="15" x14ac:dyDescent="0.2">
      <c r="A25" s="944" t="s">
        <v>3</v>
      </c>
      <c r="B25" s="945"/>
      <c r="C25" s="1132" t="s">
        <v>9449</v>
      </c>
      <c r="D25" s="1133"/>
      <c r="F25" s="944" t="s">
        <v>3</v>
      </c>
      <c r="G25" s="945"/>
      <c r="H25" s="1132" t="s">
        <v>9449</v>
      </c>
      <c r="I25" s="1133"/>
      <c r="K25" s="944" t="s">
        <v>3</v>
      </c>
      <c r="L25" s="945"/>
      <c r="M25" s="1132" t="s">
        <v>9449</v>
      </c>
      <c r="N25" s="1133"/>
      <c r="P25" s="944" t="s">
        <v>3</v>
      </c>
      <c r="Q25" s="945"/>
      <c r="R25" s="1132" t="s">
        <v>9449</v>
      </c>
      <c r="S25" s="1133"/>
      <c r="U25" s="1152"/>
      <c r="V25" s="1142"/>
      <c r="W25" s="1142"/>
      <c r="X25" s="1142"/>
      <c r="Y25" s="1142"/>
      <c r="Z25" s="1142"/>
      <c r="AA25" s="1142"/>
      <c r="AB25" s="1144"/>
    </row>
    <row r="26" spans="1:28" ht="15" x14ac:dyDescent="0.2">
      <c r="A26" s="1145">
        <v>1</v>
      </c>
      <c r="B26" s="1149">
        <v>5</v>
      </c>
      <c r="C26" s="946" t="str">
        <f>IF(B26="","",VLOOKUP(B26,'Списки участников'!$A:$J,3,FALSE))</f>
        <v>МИРОНОВ Егор</v>
      </c>
      <c r="D26" s="947" t="str">
        <f>IF(B26="","",VLOOKUP(B26,'Списки участников'!$A:$J,9,FALSE))</f>
        <v>Тимофеева Р.А.</v>
      </c>
      <c r="F26" s="1145">
        <v>1</v>
      </c>
      <c r="G26" s="1149">
        <v>6</v>
      </c>
      <c r="H26" s="946" t="str">
        <f>IF(G26="","",VLOOKUP(G26,'Списки участников'!$A:$J,3,FALSE))</f>
        <v>БАТАЛОВ Анатолий</v>
      </c>
      <c r="I26" s="947" t="str">
        <f>IF(G26="","",VLOOKUP(G26,'Списки участников'!$A:$J,9,FALSE))</f>
        <v>Мулдагалиев  С.А., Калустов К.С.</v>
      </c>
      <c r="K26" s="1145">
        <v>1</v>
      </c>
      <c r="L26" s="1149">
        <v>7</v>
      </c>
      <c r="M26" s="946" t="str">
        <f>IF(L26="","",VLOOKUP(L26,'Списки участников'!$A:$J,3,FALSE))</f>
        <v>КАЛИМУЛЛИН Камиль</v>
      </c>
      <c r="N26" s="947" t="str">
        <f>IF(L26="","",VLOOKUP(L26,'Списки участников'!$A:$J,9,FALSE))</f>
        <v>Тимофеева Р.А.</v>
      </c>
      <c r="P26" s="1145">
        <v>1</v>
      </c>
      <c r="Q26" s="1149">
        <v>8</v>
      </c>
      <c r="R26" s="946" t="str">
        <f>IF(Q26="","",VLOOKUP(Q26,'Списки участников'!$A:$J,3,FALSE))</f>
        <v>МУКОВ Руслан</v>
      </c>
      <c r="S26" s="947" t="str">
        <f>IF(Q26="","",VLOOKUP(Q26,'Списки участников'!$A:$J,9,FALSE))</f>
        <v>Битюцкая И.И.</v>
      </c>
      <c r="U26" s="1152">
        <f t="shared" ref="U26" si="72">IF(B50="","",B50)</f>
        <v>26</v>
      </c>
      <c r="V26" s="1142">
        <f t="shared" ref="V26" si="73">IF(G50="","",G50)</f>
        <v>24</v>
      </c>
      <c r="W26" s="1142">
        <f t="shared" ref="W26" si="74">IF(L50="","",L50)</f>
        <v>23</v>
      </c>
      <c r="X26" s="1142">
        <f t="shared" ref="X26" si="75">IF(Q50="","",Q50)</f>
        <v>22</v>
      </c>
      <c r="Y26" s="1142">
        <f t="shared" ref="Y26" si="76">IF(B72="","",B72)</f>
        <v>21</v>
      </c>
      <c r="Z26" s="1142">
        <f t="shared" ref="Z26" si="77">IF(G72="","",G72)</f>
        <v>20</v>
      </c>
      <c r="AA26" s="1142">
        <f t="shared" ref="AA26" si="78">IF(L72="","",L72)</f>
        <v>19</v>
      </c>
      <c r="AB26" s="1144">
        <f t="shared" ref="AB26" si="79">IF(Q72="","",Q72)</f>
        <v>18</v>
      </c>
    </row>
    <row r="27" spans="1:28" ht="15.75" thickBot="1" x14ac:dyDescent="0.25">
      <c r="A27" s="1146"/>
      <c r="B27" s="1150"/>
      <c r="C27" s="948" t="str">
        <f>IF(B26="","",VLOOKUP(B26,'Списки участников'!$A:$J,6,FALSE))</f>
        <v>Москва</v>
      </c>
      <c r="D27" s="949"/>
      <c r="F27" s="1146"/>
      <c r="G27" s="1150"/>
      <c r="H27" s="948" t="str">
        <f>IF(G26="","",VLOOKUP(G26,'Списки участников'!$A:$J,6,FALSE))</f>
        <v>Жуковский</v>
      </c>
      <c r="I27" s="949"/>
      <c r="K27" s="1146"/>
      <c r="L27" s="1150"/>
      <c r="M27" s="948" t="str">
        <f>IF(L26="","",VLOOKUP(L26,'Списки участников'!$A:$J,6,FALSE))</f>
        <v>Москва</v>
      </c>
      <c r="N27" s="949"/>
      <c r="P27" s="1146"/>
      <c r="Q27" s="1150"/>
      <c r="R27" s="948" t="str">
        <f>IF(Q26="","",VLOOKUP(Q26,'Списки участников'!$A:$J,6,FALSE))</f>
        <v>Нальчик</v>
      </c>
      <c r="S27" s="949"/>
      <c r="U27" s="1152"/>
      <c r="V27" s="1142"/>
      <c r="W27" s="1142"/>
      <c r="X27" s="1142"/>
      <c r="Y27" s="1142"/>
      <c r="Z27" s="1142"/>
      <c r="AA27" s="1142"/>
      <c r="AB27" s="1144"/>
    </row>
    <row r="28" spans="1:28" ht="15.75" thickTop="1" x14ac:dyDescent="0.2">
      <c r="A28" s="1145">
        <v>2</v>
      </c>
      <c r="B28" s="1147">
        <v>31</v>
      </c>
      <c r="C28" s="950" t="str">
        <f>IF(B28="","",VLOOKUP(B28,'Списки участников'!$A:$J,3,FALSE))</f>
        <v>МАРКИН Иван</v>
      </c>
      <c r="D28" s="951" t="str">
        <f>IF(B28="","",VLOOKUP(B28,'Списки участников'!$A:$J,9,FALSE))</f>
        <v>Шулимова Т.В.. Лаврентьев А.А.</v>
      </c>
      <c r="F28" s="1145">
        <v>2</v>
      </c>
      <c r="G28" s="1147">
        <v>29</v>
      </c>
      <c r="H28" s="950" t="str">
        <f>IF(G28="","",VLOOKUP(G28,'Списки участников'!$A:$J,3,FALSE))</f>
        <v>МОСПАНОВ Илья</v>
      </c>
      <c r="I28" s="951" t="str">
        <f>IF(G28="","",VLOOKUP(G28,'Списки участников'!$A:$J,9,FALSE))</f>
        <v>Спиридонов В.В.</v>
      </c>
      <c r="K28" s="1145">
        <v>2</v>
      </c>
      <c r="L28" s="1147">
        <v>28</v>
      </c>
      <c r="M28" s="950" t="str">
        <f>IF(L28="","",VLOOKUP(L28,'Списки участников'!$A:$J,3,FALSE))</f>
        <v>НИКИШАЕВ Матвей</v>
      </c>
      <c r="N28" s="951" t="str">
        <f>IF(L28="","",VLOOKUP(L28,'Списки участников'!$A:$J,9,FALSE))</f>
        <v>Дроздова Н.В.</v>
      </c>
      <c r="P28" s="1145">
        <v>2</v>
      </c>
      <c r="Q28" s="1147">
        <v>27</v>
      </c>
      <c r="R28" s="950" t="str">
        <f>IF(Q28="","",VLOOKUP(Q28,'Списки участников'!$A:$J,3,FALSE))</f>
        <v>АВЕРИН Тимофей</v>
      </c>
      <c r="S28" s="951" t="str">
        <f>IF(Q28="","",VLOOKUP(Q28,'Списки участников'!$A:$J,9,FALSE))</f>
        <v>Нассыров К.М.. Мазунов А.В.</v>
      </c>
      <c r="U28" s="1152">
        <f t="shared" ref="U28" si="80">IF(B52="","",B52)</f>
        <v>43</v>
      </c>
      <c r="V28" s="1142">
        <f t="shared" ref="V28" si="81">IF(G52="","",G52)</f>
        <v>44</v>
      </c>
      <c r="W28" s="1142">
        <f t="shared" ref="W28" si="82">IF(L52="","",L52)</f>
        <v>45</v>
      </c>
      <c r="X28" s="1142">
        <f t="shared" ref="X28" si="83">IF(Q52="","",Q52)</f>
        <v>16</v>
      </c>
      <c r="Y28" s="1142">
        <f t="shared" ref="Y28" si="84">IF(B74="","",B74)</f>
        <v>47</v>
      </c>
      <c r="Z28" s="1142">
        <f t="shared" ref="Z28" si="85">IF(G74="","",G74)</f>
        <v>48</v>
      </c>
      <c r="AA28" s="1142">
        <f t="shared" ref="AA28" si="86">IF(L74="","",L74)</f>
        <v>49</v>
      </c>
      <c r="AB28" s="1144">
        <f t="shared" ref="AB28" si="87">IF(Q74="","",Q74)</f>
        <v>50</v>
      </c>
    </row>
    <row r="29" spans="1:28" ht="15.75" thickBot="1" x14ac:dyDescent="0.25">
      <c r="A29" s="1146"/>
      <c r="B29" s="1148"/>
      <c r="C29" s="952" t="str">
        <f>IF(B28="","",VLOOKUP(B28,'Списки участников'!$A:$J,6,FALSE))</f>
        <v>Москва</v>
      </c>
      <c r="D29" s="953"/>
      <c r="F29" s="1146"/>
      <c r="G29" s="1148"/>
      <c r="H29" s="952" t="str">
        <f>IF(G28="","",VLOOKUP(G28,'Списки участников'!$A:$J,6,FALSE))</f>
        <v>Москва</v>
      </c>
      <c r="I29" s="953"/>
      <c r="K29" s="1146"/>
      <c r="L29" s="1148"/>
      <c r="M29" s="952" t="str">
        <f>IF(L28="","",VLOOKUP(L28,'Списки участников'!$A:$J,6,FALSE))</f>
        <v>Москва</v>
      </c>
      <c r="N29" s="953"/>
      <c r="P29" s="1146"/>
      <c r="Q29" s="1148"/>
      <c r="R29" s="952" t="str">
        <f>IF(Q28="","",VLOOKUP(Q28,'Списки участников'!$A:$J,6,FALSE))</f>
        <v>Москва</v>
      </c>
      <c r="S29" s="953"/>
      <c r="U29" s="1152"/>
      <c r="V29" s="1142"/>
      <c r="W29" s="1142"/>
      <c r="X29" s="1142"/>
      <c r="Y29" s="1142"/>
      <c r="Z29" s="1142"/>
      <c r="AA29" s="1142"/>
      <c r="AB29" s="1144"/>
    </row>
    <row r="30" spans="1:28" ht="15.75" thickTop="1" x14ac:dyDescent="0.2">
      <c r="A30" s="1145">
        <v>3</v>
      </c>
      <c r="B30" s="1149">
        <v>39</v>
      </c>
      <c r="C30" s="950" t="str">
        <f>IF(B30="","",VLOOKUP(B30,'Списки участников'!$A:$J,3,FALSE))</f>
        <v>РОТНОВ Егор</v>
      </c>
      <c r="D30" s="951" t="str">
        <f>IF(B30="","",VLOOKUP(B30,'Списки участников'!$A:$J,9,FALSE))</f>
        <v>Гамаюнов И.В.</v>
      </c>
      <c r="F30" s="1145">
        <v>3</v>
      </c>
      <c r="G30" s="1149">
        <v>40</v>
      </c>
      <c r="H30" s="950" t="str">
        <f>IF(G30="","",VLOOKUP(G30,'Списки участников'!$A:$J,3,FALSE))</f>
        <v>НАСИРОВ Федор</v>
      </c>
      <c r="I30" s="951" t="str">
        <f>IF(G30="","",VLOOKUP(G30,'Списки участников'!$A:$J,9,FALSE))</f>
        <v>Боков А.В.</v>
      </c>
      <c r="K30" s="1145">
        <v>3</v>
      </c>
      <c r="L30" s="1149">
        <v>41</v>
      </c>
      <c r="M30" s="950" t="str">
        <f>IF(L30="","",VLOOKUP(L30,'Списки участников'!$A:$J,3,FALSE))</f>
        <v>ДУБРОВСКИЙ Иван</v>
      </c>
      <c r="N30" s="951" t="str">
        <f>IF(L30="","",VLOOKUP(L30,'Списки участников'!$A:$J,9,FALSE))</f>
        <v>Вдовенко И.В.</v>
      </c>
      <c r="P30" s="1145">
        <v>3</v>
      </c>
      <c r="Q30" s="1149">
        <v>42</v>
      </c>
      <c r="R30" s="950" t="str">
        <f>IF(Q30="","",VLOOKUP(Q30,'Списки участников'!$A:$J,3,FALSE))</f>
        <v>СИТНИКОВ Кирилл</v>
      </c>
      <c r="S30" s="951" t="str">
        <f>IF(Q30="","",VLOOKUP(Q30,'Списки участников'!$A:$J,9,FALSE))</f>
        <v>Ситникова И.Е., Ситников А.В.</v>
      </c>
      <c r="U30" s="1152">
        <f t="shared" ref="U30" si="88">IF(B54="","",B54)</f>
        <v>58</v>
      </c>
      <c r="V30" s="1142">
        <f t="shared" ref="V30" si="89">IF(G54="","",G54)</f>
        <v>57</v>
      </c>
      <c r="W30" s="1142">
        <f t="shared" ref="W30" si="90">IF(L54="","",L54)</f>
        <v>56</v>
      </c>
      <c r="X30" s="1142">
        <f t="shared" ref="X30" si="91">IF(Q54="","",Q54)</f>
        <v>46</v>
      </c>
      <c r="Y30" s="1142">
        <f t="shared" ref="Y30" si="92">IF(B76="","",B76)</f>
        <v>53</v>
      </c>
      <c r="Z30" s="1142">
        <f t="shared" ref="Z30" si="93">IF(G76="","",G76)</f>
        <v>52</v>
      </c>
      <c r="AA30" s="1142">
        <f t="shared" ref="AA30" si="94">IF(L76="","",L76)</f>
        <v>54</v>
      </c>
      <c r="AB30" s="1144">
        <f t="shared" ref="AB30" si="95">IF(Q76="","",Q76)</f>
        <v>51</v>
      </c>
    </row>
    <row r="31" spans="1:28" ht="15.75" thickBot="1" x14ac:dyDescent="0.25">
      <c r="A31" s="1146"/>
      <c r="B31" s="1150"/>
      <c r="C31" s="952" t="str">
        <f>IF(B30="","",VLOOKUP(B30,'Списки участников'!$A:$J,6,FALSE))</f>
        <v>Скопин  Ряз.о.</v>
      </c>
      <c r="D31" s="953"/>
      <c r="F31" s="1146"/>
      <c r="G31" s="1150"/>
      <c r="H31" s="952" t="str">
        <f>IF(G30="","",VLOOKUP(G30,'Списки участников'!$A:$J,6,FALSE))</f>
        <v>Орехово-Зуево</v>
      </c>
      <c r="I31" s="953"/>
      <c r="K31" s="1146"/>
      <c r="L31" s="1150"/>
      <c r="M31" s="952" t="str">
        <f>IF(L30="","",VLOOKUP(L30,'Списки участников'!$A:$J,6,FALSE))</f>
        <v>Калуга</v>
      </c>
      <c r="N31" s="953"/>
      <c r="P31" s="1146"/>
      <c r="Q31" s="1150"/>
      <c r="R31" s="952" t="str">
        <f>IF(Q30="","",VLOOKUP(Q30,'Списки участников'!$A:$J,6,FALSE))</f>
        <v>Рязань</v>
      </c>
      <c r="S31" s="953"/>
      <c r="U31" s="1152"/>
      <c r="V31" s="1142"/>
      <c r="W31" s="1142"/>
      <c r="X31" s="1142"/>
      <c r="Y31" s="1142"/>
      <c r="Z31" s="1142"/>
      <c r="AA31" s="1142"/>
      <c r="AB31" s="1144"/>
    </row>
    <row r="32" spans="1:28" ht="15.75" thickTop="1" x14ac:dyDescent="0.2">
      <c r="A32" s="1145">
        <v>4</v>
      </c>
      <c r="B32" s="1147">
        <v>62</v>
      </c>
      <c r="C32" s="950" t="str">
        <f>IF(B32="","",VLOOKUP(B32,'Списки участников'!$A:$J,3,FALSE))</f>
        <v>ЛЕДНЕВ Даниил</v>
      </c>
      <c r="D32" s="951" t="str">
        <f>IF(B32="","",VLOOKUP(B32,'Списки участников'!$A:$J,9,FALSE))</f>
        <v>Савинов Ю.Н.. Биткина В.В.. Сорин М.Б.</v>
      </c>
      <c r="F32" s="1145">
        <v>4</v>
      </c>
      <c r="G32" s="1147">
        <v>61</v>
      </c>
      <c r="H32" s="950" t="str">
        <f>IF(G32="","",VLOOKUP(G32,'Списки участников'!$A:$J,3,FALSE))</f>
        <v>БУРГАСОВ Владимир</v>
      </c>
      <c r="I32" s="951" t="str">
        <f>IF(G32="","",VLOOKUP(G32,'Списки участников'!$A:$J,9,FALSE))</f>
        <v>Родионова М.Б.</v>
      </c>
      <c r="K32" s="1145">
        <v>4</v>
      </c>
      <c r="L32" s="1147">
        <v>60</v>
      </c>
      <c r="M32" s="950" t="str">
        <f>IF(L32="","",VLOOKUP(L32,'Списки участников'!$A:$J,3,FALSE))</f>
        <v>АВЕРИН Денис</v>
      </c>
      <c r="N32" s="951" t="str">
        <f>IF(L32="","",VLOOKUP(L32,'Списки участников'!$A:$J,9,FALSE))</f>
        <v>Антонова Т.В., Антонов ВА.</v>
      </c>
      <c r="P32" s="1145">
        <v>4</v>
      </c>
      <c r="Q32" s="1147">
        <v>59</v>
      </c>
      <c r="R32" s="950" t="str">
        <f>IF(Q32="","",VLOOKUP(Q32,'Списки участников'!$A:$J,3,FALSE))</f>
        <v>СУРОВЦЕВ Денис</v>
      </c>
      <c r="S32" s="951" t="str">
        <f>IF(Q32="","",VLOOKUP(Q32,'Списки участников'!$A:$J,9,FALSE))</f>
        <v>Мейснер О.Л.</v>
      </c>
      <c r="U32" s="1152">
        <f t="shared" ref="U32" si="96">IF(B56="","",B56)</f>
        <v>75</v>
      </c>
      <c r="V32" s="1142">
        <f t="shared" ref="V32" si="97">IF(G56="","",G56)</f>
        <v>76</v>
      </c>
      <c r="W32" s="1142">
        <f t="shared" ref="W32" si="98">IF(L56="","",L56)</f>
        <v>77</v>
      </c>
      <c r="X32" s="1142">
        <f t="shared" ref="X32" si="99">IF(Q56="","",Q56)</f>
        <v>83</v>
      </c>
      <c r="Y32" s="1142">
        <f t="shared" ref="Y32" si="100">IF(B78="","",B78)</f>
        <v>82</v>
      </c>
      <c r="Z32" s="1142">
        <f t="shared" ref="Z32" si="101">IF(G78="","",G78)</f>
        <v>78</v>
      </c>
      <c r="AA32" s="1142">
        <f t="shared" ref="AA32" si="102">IF(L78="","",L78)</f>
        <v>80</v>
      </c>
      <c r="AB32" s="1144">
        <f t="shared" ref="AB32" si="103">IF(Q78="","",Q78)</f>
        <v>84</v>
      </c>
    </row>
    <row r="33" spans="1:28" ht="15.75" thickBot="1" x14ac:dyDescent="0.25">
      <c r="A33" s="1146"/>
      <c r="B33" s="1148"/>
      <c r="C33" s="952" t="str">
        <f>IF(B32="","",VLOOKUP(B32,'Списки участников'!$A:$J,6,FALSE))</f>
        <v>Москва</v>
      </c>
      <c r="D33" s="953"/>
      <c r="F33" s="1146"/>
      <c r="G33" s="1148"/>
      <c r="H33" s="952" t="str">
        <f>IF(G32="","",VLOOKUP(G32,'Списки участников'!$A:$J,6,FALSE))</f>
        <v>Москва</v>
      </c>
      <c r="I33" s="953"/>
      <c r="K33" s="1146"/>
      <c r="L33" s="1148"/>
      <c r="M33" s="952" t="str">
        <f>IF(L32="","",VLOOKUP(L32,'Списки участников'!$A:$J,6,FALSE))</f>
        <v>Электросталь</v>
      </c>
      <c r="N33" s="953"/>
      <c r="P33" s="1146"/>
      <c r="Q33" s="1148"/>
      <c r="R33" s="952" t="str">
        <f>IF(Q32="","",VLOOKUP(Q32,'Списки участников'!$A:$J,6,FALSE))</f>
        <v>Ильинский</v>
      </c>
      <c r="S33" s="953"/>
      <c r="U33" s="1152"/>
      <c r="V33" s="1142"/>
      <c r="W33" s="1142"/>
      <c r="X33" s="1142"/>
      <c r="Y33" s="1142"/>
      <c r="Z33" s="1142"/>
      <c r="AA33" s="1142"/>
      <c r="AB33" s="1144"/>
    </row>
    <row r="34" spans="1:28" ht="15.75" thickTop="1" x14ac:dyDescent="0.2">
      <c r="A34" s="1145">
        <v>5</v>
      </c>
      <c r="B34" s="1149">
        <v>72</v>
      </c>
      <c r="C34" s="950" t="str">
        <f>IF(B34="","",VLOOKUP(B34,'Списки участников'!$A:$J,3,FALSE))</f>
        <v>ЦЫГАНКОВ Егор</v>
      </c>
      <c r="D34" s="951" t="str">
        <f>IF(B34="","",VLOOKUP(B34,'Списки участников'!$A:$J,9,FALSE))</f>
        <v>Иванов Л.В.</v>
      </c>
      <c r="F34" s="1145">
        <v>5</v>
      </c>
      <c r="G34" s="1149">
        <v>71</v>
      </c>
      <c r="H34" s="950" t="str">
        <f>IF(G34="","",VLOOKUP(G34,'Списки участников'!$A:$J,3,FALSE))</f>
        <v>ЦЫГАНКОВ Вадим</v>
      </c>
      <c r="I34" s="951" t="str">
        <f>IF(G34="","",VLOOKUP(G34,'Списки участников'!$A:$J,9,FALSE))</f>
        <v>Иванов Л.В.</v>
      </c>
      <c r="K34" s="1145">
        <v>5</v>
      </c>
      <c r="L34" s="1149">
        <v>73</v>
      </c>
      <c r="M34" s="950" t="str">
        <f>IF(L34="","",VLOOKUP(L34,'Списки участников'!$A:$J,3,FALSE))</f>
        <v>РЫЖОВ Петр</v>
      </c>
      <c r="N34" s="951" t="str">
        <f>IF(L34="","",VLOOKUP(L34,'Списки участников'!$A:$J,9,FALSE))</f>
        <v>Эдель Н.Н.</v>
      </c>
      <c r="P34" s="1145">
        <v>5</v>
      </c>
      <c r="Q34" s="1149">
        <v>74</v>
      </c>
      <c r="R34" s="950" t="str">
        <f>IF(Q34="","",VLOOKUP(Q34,'Списки участников'!$A:$J,3,FALSE))</f>
        <v>ДИНИСЕНКО Тимофей</v>
      </c>
      <c r="S34" s="951" t="str">
        <f>IF(Q34="","",VLOOKUP(Q34,'Списки участников'!$A:$J,9,FALSE))</f>
        <v>Барсукова Н.А.</v>
      </c>
      <c r="U34" s="1152">
        <f t="shared" ref="U34" si="104">IF(B58="","",B58)</f>
        <v>91</v>
      </c>
      <c r="V34" s="1142">
        <f t="shared" ref="V34" si="105">IF(G58="","",G58)</f>
        <v>90</v>
      </c>
      <c r="W34" s="1142">
        <f t="shared" ref="W34" si="106">IF(L58="","",L58)</f>
        <v>89</v>
      </c>
      <c r="X34" s="1142">
        <f t="shared" ref="X34" si="107">IF(Q58="","",Q58)</f>
        <v>81</v>
      </c>
      <c r="Y34" s="1142">
        <f t="shared" ref="Y34" si="108">IF(B80="","",B80)</f>
        <v>88</v>
      </c>
      <c r="Z34" s="1142">
        <f t="shared" ref="Z34" si="109">IF(G80="","",G80)</f>
        <v>87</v>
      </c>
      <c r="AA34" s="1142">
        <f t="shared" ref="AA34" si="110">IF(L80="","",L80)</f>
        <v>86</v>
      </c>
      <c r="AB34" s="1144">
        <f t="shared" ref="AB34" si="111">IF(Q80="","",Q80)</f>
        <v>85</v>
      </c>
    </row>
    <row r="35" spans="1:28" ht="15.75" thickBot="1" x14ac:dyDescent="0.25">
      <c r="A35" s="1146"/>
      <c r="B35" s="1150"/>
      <c r="C35" s="952" t="str">
        <f>IF(B34="","",VLOOKUP(B34,'Списки участников'!$A:$J,6,FALSE))</f>
        <v>Москва</v>
      </c>
      <c r="D35" s="953"/>
      <c r="F35" s="1146"/>
      <c r="G35" s="1150"/>
      <c r="H35" s="952" t="str">
        <f>IF(G34="","",VLOOKUP(G34,'Списки участников'!$A:$J,6,FALSE))</f>
        <v>Москва</v>
      </c>
      <c r="I35" s="953"/>
      <c r="K35" s="1146"/>
      <c r="L35" s="1150"/>
      <c r="M35" s="952" t="str">
        <f>IF(L34="","",VLOOKUP(L34,'Списки участников'!$A:$J,6,FALSE))</f>
        <v>Москва</v>
      </c>
      <c r="N35" s="953"/>
      <c r="P35" s="1146"/>
      <c r="Q35" s="1150"/>
      <c r="R35" s="952" t="str">
        <f>IF(Q34="","",VLOOKUP(Q34,'Списки участников'!$A:$J,6,FALSE))</f>
        <v>Москва</v>
      </c>
      <c r="S35" s="953"/>
      <c r="U35" s="1152"/>
      <c r="V35" s="1142"/>
      <c r="W35" s="1142"/>
      <c r="X35" s="1142"/>
      <c r="Y35" s="1142"/>
      <c r="Z35" s="1142"/>
      <c r="AA35" s="1142"/>
      <c r="AB35" s="1144"/>
    </row>
    <row r="36" spans="1:28" ht="15.75" thickTop="1" x14ac:dyDescent="0.2">
      <c r="A36" s="1145">
        <v>6</v>
      </c>
      <c r="B36" s="1147">
        <v>95</v>
      </c>
      <c r="C36" s="950" t="str">
        <f>IF(B36="","",VLOOKUP(B36,'Списки участников'!$A:$J,3,FALSE))</f>
        <v>БОЖЕНКОВ Евгений</v>
      </c>
      <c r="D36" s="951" t="str">
        <f>IF(B36="","",VLOOKUP(B36,'Списки участников'!$A:$J,9,FALSE))</f>
        <v>Оноприенко В.Ю.</v>
      </c>
      <c r="F36" s="1145">
        <v>6</v>
      </c>
      <c r="G36" s="1147">
        <v>96</v>
      </c>
      <c r="H36" s="950" t="str">
        <f>IF(G36="","",VLOOKUP(G36,'Списки участников'!$A:$J,3,FALSE))</f>
        <v>КОБЗЕВ Прохор</v>
      </c>
      <c r="I36" s="951" t="str">
        <f>IF(G36="","",VLOOKUP(G36,'Списки участников'!$A:$J,9,FALSE))</f>
        <v>Власов Ю.К.</v>
      </c>
      <c r="K36" s="1145">
        <v>6</v>
      </c>
      <c r="L36" s="1147">
        <v>92</v>
      </c>
      <c r="M36" s="950" t="str">
        <f>IF(L36="","",VLOOKUP(L36,'Списки участников'!$A:$J,3,FALSE))</f>
        <v>СОРОКИН Николай</v>
      </c>
      <c r="N36" s="951" t="str">
        <f>IF(L36="","",VLOOKUP(L36,'Списки участников'!$A:$J,9,FALSE))</f>
        <v>Мейснер О.Л.</v>
      </c>
      <c r="P36" s="1145">
        <v>6</v>
      </c>
      <c r="Q36" s="1147">
        <v>93</v>
      </c>
      <c r="R36" s="950" t="str">
        <f>IF(Q36="","",VLOOKUP(Q36,'Списки участников'!$A:$J,3,FALSE))</f>
        <v>ЗАЙЦЕВ Сергей</v>
      </c>
      <c r="S36" s="951" t="str">
        <f>IF(Q36="","",VLOOKUP(Q36,'Списки участников'!$A:$J,9,FALSE))</f>
        <v>Оноприенко В.Ю.</v>
      </c>
      <c r="U36" s="1152">
        <f t="shared" ref="U36" si="112">IF(B60="","",B60)</f>
        <v>108</v>
      </c>
      <c r="V36" s="1142">
        <f t="shared" ref="V36" si="113">IF(G60="","",G60)</f>
        <v>109</v>
      </c>
      <c r="W36" s="1142">
        <f t="shared" ref="W36" si="114">IF(L60="","",L60)</f>
        <v>104</v>
      </c>
      <c r="X36" s="1142">
        <f t="shared" ref="X36" si="115">IF(Q60="","",Q60)</f>
        <v>100</v>
      </c>
      <c r="Y36" s="1142">
        <f t="shared" ref="Y36" si="116">IF(B82="","",B82)</f>
        <v>94</v>
      </c>
      <c r="Z36" s="1142" t="str">
        <f t="shared" ref="Z36" si="117">IF(G82="","",G82)</f>
        <v/>
      </c>
      <c r="AA36" s="1142" t="str">
        <f t="shared" ref="AA36" si="118">IF(L82="","",L82)</f>
        <v/>
      </c>
      <c r="AB36" s="1144" t="str">
        <f t="shared" ref="AB36" si="119">IF(Q82="","",Q82)</f>
        <v/>
      </c>
    </row>
    <row r="37" spans="1:28" ht="15.75" thickBot="1" x14ac:dyDescent="0.25">
      <c r="A37" s="1146"/>
      <c r="B37" s="1148"/>
      <c r="C37" s="952" t="str">
        <f>IF(B36="","",VLOOKUP(B36,'Списки участников'!$A:$J,6,FALSE))</f>
        <v>Дмитров</v>
      </c>
      <c r="D37" s="953"/>
      <c r="F37" s="1146"/>
      <c r="G37" s="1148"/>
      <c r="H37" s="952" t="str">
        <f>IF(G36="","",VLOOKUP(G36,'Списки участников'!$A:$J,6,FALSE))</f>
        <v>Людиново  Кал.обл.</v>
      </c>
      <c r="I37" s="953"/>
      <c r="K37" s="1146"/>
      <c r="L37" s="1148"/>
      <c r="M37" s="952" t="str">
        <f>IF(L36="","",VLOOKUP(L36,'Списки участников'!$A:$J,6,FALSE))</f>
        <v>Ильинский</v>
      </c>
      <c r="N37" s="953"/>
      <c r="P37" s="1146"/>
      <c r="Q37" s="1148"/>
      <c r="R37" s="952" t="str">
        <f>IF(Q36="","",VLOOKUP(Q36,'Списки участников'!$A:$J,6,FALSE))</f>
        <v>Дмитров</v>
      </c>
      <c r="S37" s="953"/>
      <c r="U37" s="1152"/>
      <c r="V37" s="1142"/>
      <c r="W37" s="1142"/>
      <c r="X37" s="1142"/>
      <c r="Y37" s="1142"/>
      <c r="Z37" s="1142"/>
      <c r="AA37" s="1142"/>
      <c r="AB37" s="1144"/>
    </row>
    <row r="38" spans="1:28" ht="15.75" thickTop="1" x14ac:dyDescent="0.2">
      <c r="A38" s="1145">
        <v>7</v>
      </c>
      <c r="B38" s="1149">
        <v>105</v>
      </c>
      <c r="C38" s="950" t="s">
        <v>10841</v>
      </c>
      <c r="D38" s="951" t="s">
        <v>12081</v>
      </c>
      <c r="F38" s="1145">
        <v>7</v>
      </c>
      <c r="G38" s="1149">
        <v>106</v>
      </c>
      <c r="H38" s="950" t="str">
        <f>IF(G38="","",VLOOKUP(G38,'Списки участников'!$A:$J,3,FALSE))</f>
        <v>НОВОСЕЛОВ Марк</v>
      </c>
      <c r="I38" s="951" t="str">
        <f>IF(G38="","",VLOOKUP(G38,'Списки участников'!$A:$J,9,FALSE))</f>
        <v>Морозов Б.В.</v>
      </c>
      <c r="K38" s="1145">
        <v>7</v>
      </c>
      <c r="L38" s="1149">
        <v>112</v>
      </c>
      <c r="M38" s="950" t="str">
        <f>IF(L38="","",VLOOKUP(L38,'Списки участников'!$A:$J,3,FALSE))</f>
        <v>ЧЕРНОВ Артемий</v>
      </c>
      <c r="N38" s="951" t="str">
        <f>IF(L38="","",VLOOKUP(L38,'Списки участников'!$A:$J,9,FALSE))</f>
        <v>Иванов Л.В.</v>
      </c>
      <c r="P38" s="1145">
        <v>7</v>
      </c>
      <c r="Q38" s="1149">
        <v>111</v>
      </c>
      <c r="R38" s="950" t="str">
        <f>IF(Q38="","",VLOOKUP(Q38,'Списки участников'!$A:$J,3,FALSE))</f>
        <v>ТАДЖИБАЕВ Артур</v>
      </c>
      <c r="S38" s="951" t="str">
        <f>IF(Q38="","",VLOOKUP(Q38,'Списки участников'!$A:$J,9,FALSE))</f>
        <v>Морозов Б.В.</v>
      </c>
      <c r="U38" s="1152" t="str">
        <f t="shared" ref="U38" si="120">IF(B62="","",B62)</f>
        <v/>
      </c>
      <c r="V38" s="1142" t="str">
        <f t="shared" ref="V38" si="121">IF(G62="","",G62)</f>
        <v/>
      </c>
      <c r="W38" s="1142" t="str">
        <f t="shared" ref="W38" si="122">IF(L62="","",L62)</f>
        <v/>
      </c>
      <c r="X38" s="1142" t="str">
        <f t="shared" ref="X38" si="123">IF(Q62="","",Q62)</f>
        <v/>
      </c>
      <c r="Y38" s="1142" t="str">
        <f t="shared" ref="Y38" si="124">IF(B84="","",B84)</f>
        <v/>
      </c>
      <c r="Z38" s="1142" t="str">
        <f t="shared" ref="Z38" si="125">IF(G84="","",G84)</f>
        <v/>
      </c>
      <c r="AA38" s="1142" t="str">
        <f t="shared" ref="AA38" si="126">IF(L84="","",L84)</f>
        <v/>
      </c>
      <c r="AB38" s="1144" t="str">
        <f t="shared" ref="AB38" si="127">IF(Q84="","",Q84)</f>
        <v/>
      </c>
    </row>
    <row r="39" spans="1:28" ht="15.75" thickBot="1" x14ac:dyDescent="0.25">
      <c r="A39" s="1146"/>
      <c r="B39" s="1150"/>
      <c r="C39" s="952" t="str">
        <f>IF(B38="","",VLOOKUP(B38,'Списки участников'!$A:$J,6,FALSE))</f>
        <v>Москва</v>
      </c>
      <c r="D39" s="953"/>
      <c r="F39" s="1146"/>
      <c r="G39" s="1150"/>
      <c r="H39" s="952" t="str">
        <f>IF(G38="","",VLOOKUP(G38,'Списки участников'!$A:$J,6,FALSE))</f>
        <v>Дмский р-н, Мос о.</v>
      </c>
      <c r="I39" s="953"/>
      <c r="K39" s="1146"/>
      <c r="L39" s="1150"/>
      <c r="M39" s="952" t="str">
        <f>IF(L38="","",VLOOKUP(L38,'Списки участников'!$A:$J,6,FALSE))</f>
        <v>Москва</v>
      </c>
      <c r="N39" s="953"/>
      <c r="P39" s="1146"/>
      <c r="Q39" s="1150"/>
      <c r="R39" s="952" t="str">
        <f>IF(Q38="","",VLOOKUP(Q38,'Списки участников'!$A:$J,6,FALSE))</f>
        <v>Дмитров</v>
      </c>
      <c r="S39" s="953"/>
      <c r="U39" s="1152"/>
      <c r="V39" s="1142"/>
      <c r="W39" s="1142"/>
      <c r="X39" s="1142"/>
      <c r="Y39" s="1142"/>
      <c r="Z39" s="1142"/>
      <c r="AA39" s="1142"/>
      <c r="AB39" s="1144"/>
    </row>
    <row r="40" spans="1:28" ht="15.75" thickTop="1" x14ac:dyDescent="0.2">
      <c r="A40" s="1145">
        <v>8</v>
      </c>
      <c r="B40" s="1147"/>
      <c r="C40" s="950" t="str">
        <f>IF(B40="","",VLOOKUP(B40,'Списки участников'!$A:$J,3,FALSE))</f>
        <v/>
      </c>
      <c r="D40" s="951" t="str">
        <f>IF(B40="","",VLOOKUP(B40,'Списки участников'!$A:$J,9,FALSE))</f>
        <v/>
      </c>
      <c r="F40" s="1145">
        <v>8</v>
      </c>
      <c r="G40" s="1147"/>
      <c r="H40" s="950" t="str">
        <f>IF(G40="","",VLOOKUP(G40,'Списки участников'!$A:$J,3,FALSE))</f>
        <v/>
      </c>
      <c r="I40" s="951" t="str">
        <f>IF(G40="","",VLOOKUP(G40,'Списки участников'!$A:$J,9,FALSE))</f>
        <v/>
      </c>
      <c r="K40" s="1145">
        <v>8</v>
      </c>
      <c r="L40" s="1147"/>
      <c r="M40" s="950" t="str">
        <f>IF(L40="","",VLOOKUP(L40,'Списки участников'!$A:$J,3,FALSE))</f>
        <v/>
      </c>
      <c r="N40" s="951" t="str">
        <f>IF(L40="","",VLOOKUP(L40,'Списки участников'!$A:$J,9,FALSE))</f>
        <v/>
      </c>
      <c r="P40" s="1145">
        <v>8</v>
      </c>
      <c r="Q40" s="1147"/>
      <c r="R40" s="950" t="str">
        <f>IF(Q40="","",VLOOKUP(Q40,'Списки участников'!$A:$J,3,FALSE))</f>
        <v/>
      </c>
      <c r="S40" s="951" t="str">
        <f>IF(Q40="","",VLOOKUP(Q40,'Списки участников'!$A:$J,9,FALSE))</f>
        <v/>
      </c>
      <c r="U40" s="1152" t="str">
        <f t="shared" ref="U40" si="128">IF(B64="","",B64)</f>
        <v/>
      </c>
      <c r="V40" s="1142" t="str">
        <f t="shared" ref="V40" si="129">IF(G64="","",G64)</f>
        <v/>
      </c>
      <c r="W40" s="1142" t="str">
        <f t="shared" ref="W40" si="130">IF(L64="","",L64)</f>
        <v/>
      </c>
      <c r="X40" s="1142" t="str">
        <f t="shared" ref="X40" si="131">IF(Q64="","",Q64)</f>
        <v/>
      </c>
      <c r="Y40" s="1142" t="str">
        <f t="shared" ref="Y40" si="132">IF(B86="","",B86)</f>
        <v/>
      </c>
      <c r="Z40" s="1142" t="str">
        <f t="shared" ref="Z40" si="133">IF(G86="","",G86)</f>
        <v/>
      </c>
      <c r="AA40" s="1142" t="str">
        <f t="shared" ref="AA40" si="134">IF(L86="","",L86)</f>
        <v/>
      </c>
      <c r="AB40" s="1144" t="str">
        <f t="shared" ref="AB40" si="135">IF(Q86="","",Q86)</f>
        <v/>
      </c>
    </row>
    <row r="41" spans="1:28" ht="15.75" thickBot="1" x14ac:dyDescent="0.25">
      <c r="A41" s="1146"/>
      <c r="B41" s="1148"/>
      <c r="C41" s="952" t="str">
        <f>IF(B40="","",VLOOKUP(B40,'Списки участников'!$A:$J,6,FALSE))</f>
        <v/>
      </c>
      <c r="D41" s="953"/>
      <c r="F41" s="1146"/>
      <c r="G41" s="1148"/>
      <c r="H41" s="952" t="str">
        <f>IF(G40="","",VLOOKUP(G40,'Списки участников'!$A:$J,6,FALSE))</f>
        <v/>
      </c>
      <c r="I41" s="953"/>
      <c r="K41" s="1146"/>
      <c r="L41" s="1148"/>
      <c r="M41" s="952" t="str">
        <f>IF(L40="","",VLOOKUP(L40,'Списки участников'!$A:$J,6,FALSE))</f>
        <v/>
      </c>
      <c r="N41" s="953"/>
      <c r="P41" s="1146"/>
      <c r="Q41" s="1148"/>
      <c r="R41" s="952" t="str">
        <f>IF(Q40="","",VLOOKUP(Q40,'Списки участников'!$A:$J,6,FALSE))</f>
        <v/>
      </c>
      <c r="S41" s="953"/>
      <c r="U41" s="1152"/>
      <c r="V41" s="1142"/>
      <c r="W41" s="1142"/>
      <c r="X41" s="1142"/>
      <c r="Y41" s="1142"/>
      <c r="Z41" s="1142"/>
      <c r="AA41" s="1142"/>
      <c r="AB41" s="1144"/>
    </row>
    <row r="42" spans="1:28" ht="15.75" thickTop="1" x14ac:dyDescent="0.2">
      <c r="A42" s="1145">
        <v>9</v>
      </c>
      <c r="B42" s="1149"/>
      <c r="C42" s="950" t="str">
        <f>IF(B42="","",VLOOKUP(B42,'Списки участников'!$A:$J,3,FALSE))</f>
        <v/>
      </c>
      <c r="D42" s="951" t="str">
        <f>IF(B42="","",VLOOKUP(B42,'Списки участников'!$A:$J,9,FALSE))</f>
        <v/>
      </c>
      <c r="F42" s="1145">
        <v>9</v>
      </c>
      <c r="G42" s="1149"/>
      <c r="H42" s="950" t="str">
        <f>IF(G42="","",VLOOKUP(G42,'Списки участников'!$A:$J,3,FALSE))</f>
        <v/>
      </c>
      <c r="I42" s="951" t="str">
        <f>IF(G42="","",VLOOKUP(G42,'Списки участников'!$A:$J,9,FALSE))</f>
        <v/>
      </c>
      <c r="K42" s="1145">
        <v>9</v>
      </c>
      <c r="L42" s="1149"/>
      <c r="M42" s="950" t="str">
        <f>IF(L42="","",VLOOKUP(L42,'Списки участников'!$A:$J,3,FALSE))</f>
        <v/>
      </c>
      <c r="N42" s="951" t="str">
        <f>IF(L42="","",VLOOKUP(L42,'Списки участников'!$A:$J,9,FALSE))</f>
        <v/>
      </c>
      <c r="P42" s="1145">
        <v>9</v>
      </c>
      <c r="Q42" s="1149"/>
      <c r="R42" s="950" t="str">
        <f>IF(Q42="","",VLOOKUP(Q42,'Списки участников'!$A:$J,3,FALSE))</f>
        <v/>
      </c>
      <c r="S42" s="951" t="str">
        <f>IF(Q42="","",VLOOKUP(Q42,'Списки участников'!$A:$J,9,FALSE))</f>
        <v/>
      </c>
      <c r="U42" s="1152" t="str">
        <f t="shared" ref="U42" si="136">IF(B66="","",B66)</f>
        <v/>
      </c>
      <c r="V42" s="1142" t="str">
        <f t="shared" ref="V42" si="137">IF(G66="","",G66)</f>
        <v/>
      </c>
      <c r="W42" s="1142" t="str">
        <f t="shared" ref="W42" si="138">IF(L66="","",L66)</f>
        <v/>
      </c>
      <c r="X42" s="1142" t="str">
        <f t="shared" ref="X42" si="139">IF(Q66="","",Q66)</f>
        <v/>
      </c>
      <c r="Y42" s="1142" t="str">
        <f t="shared" ref="Y42" si="140">IF(B88="","",B88)</f>
        <v/>
      </c>
      <c r="Z42" s="1142" t="str">
        <f t="shared" ref="Z42" si="141">IF(G88="","",G88)</f>
        <v/>
      </c>
      <c r="AA42" s="1142" t="str">
        <f t="shared" ref="AA42" si="142">IF(L88="","",L88)</f>
        <v/>
      </c>
      <c r="AB42" s="1144" t="str">
        <f t="shared" ref="AB42" si="143">IF(Q88="","",Q88)</f>
        <v/>
      </c>
    </row>
    <row r="43" spans="1:28" ht="15.75" thickBot="1" x14ac:dyDescent="0.25">
      <c r="A43" s="1146"/>
      <c r="B43" s="1150"/>
      <c r="C43" s="952" t="str">
        <f>IF(B42="","",VLOOKUP(B42,'Списки участников'!$A:$J,6,FALSE))</f>
        <v/>
      </c>
      <c r="D43" s="953"/>
      <c r="F43" s="1146"/>
      <c r="G43" s="1150"/>
      <c r="H43" s="952" t="str">
        <f>IF(G42="","",VLOOKUP(G42,'Списки участников'!$A:$J,6,FALSE))</f>
        <v/>
      </c>
      <c r="I43" s="953"/>
      <c r="K43" s="1146"/>
      <c r="L43" s="1150"/>
      <c r="M43" s="952" t="str">
        <f>IF(L42="","",VLOOKUP(L42,'Списки участников'!$A:$J,6,FALSE))</f>
        <v/>
      </c>
      <c r="N43" s="953"/>
      <c r="P43" s="1146"/>
      <c r="Q43" s="1150"/>
      <c r="R43" s="952" t="str">
        <f>IF(Q42="","",VLOOKUP(Q42,'Списки участников'!$A:$J,6,FALSE))</f>
        <v/>
      </c>
      <c r="S43" s="953"/>
      <c r="U43" s="1155"/>
      <c r="V43" s="1153"/>
      <c r="W43" s="1153"/>
      <c r="X43" s="1153"/>
      <c r="Y43" s="1153"/>
      <c r="Z43" s="1153"/>
      <c r="AA43" s="1153"/>
      <c r="AB43" s="1154"/>
    </row>
    <row r="44" spans="1:28" ht="15.75" thickTop="1" x14ac:dyDescent="0.2">
      <c r="A44" s="1145">
        <v>10</v>
      </c>
      <c r="B44" s="1147"/>
      <c r="C44" s="950" t="str">
        <f>IF(B44="","",VLOOKUP(B44,'Списки участников'!$A:$J,3,FALSE))</f>
        <v/>
      </c>
      <c r="D44" s="951" t="str">
        <f>IF(B44="","",VLOOKUP(B44,'Списки участников'!$A:$J,9,FALSE))</f>
        <v/>
      </c>
      <c r="F44" s="1145">
        <v>10</v>
      </c>
      <c r="G44" s="1147"/>
      <c r="H44" s="950" t="str">
        <f>IF(G44="","",VLOOKUP(G44,'Списки участников'!$A:$J,3,FALSE))</f>
        <v/>
      </c>
      <c r="I44" s="951" t="str">
        <f>IF(G44="","",VLOOKUP(G44,'Списки участников'!$A:$J,9,FALSE))</f>
        <v/>
      </c>
      <c r="K44" s="1145">
        <v>10</v>
      </c>
      <c r="L44" s="1147"/>
      <c r="M44" s="950" t="str">
        <f>IF(L44="","",VLOOKUP(L44,'Списки участников'!$A:$J,3,FALSE))</f>
        <v/>
      </c>
      <c r="N44" s="951" t="str">
        <f>IF(L44="","",VLOOKUP(L44,'Списки участников'!$A:$J,9,FALSE))</f>
        <v/>
      </c>
      <c r="P44" s="1145">
        <v>10</v>
      </c>
      <c r="Q44" s="1147"/>
      <c r="R44" s="950" t="str">
        <f>IF(Q44="","",VLOOKUP(Q44,'Списки участников'!$A:$J,3,FALSE))</f>
        <v/>
      </c>
      <c r="S44" s="951" t="str">
        <f>IF(Q44="","",VLOOKUP(Q44,'Списки участников'!$A:$J,9,FALSE))</f>
        <v/>
      </c>
    </row>
    <row r="45" spans="1:28" ht="15.75" thickBot="1" x14ac:dyDescent="0.25">
      <c r="A45" s="1146"/>
      <c r="B45" s="1148"/>
      <c r="C45" s="952" t="str">
        <f>IF(B44="","",VLOOKUP(B44,'Списки участников'!$A:$J,6,FALSE))</f>
        <v/>
      </c>
      <c r="D45" s="953"/>
      <c r="F45" s="1146"/>
      <c r="G45" s="1148"/>
      <c r="H45" s="952" t="str">
        <f>IF(G44="","",VLOOKUP(G44,'Списки участников'!$A:$J,6,FALSE))</f>
        <v/>
      </c>
      <c r="I45" s="953"/>
      <c r="K45" s="1146"/>
      <c r="L45" s="1148"/>
      <c r="M45" s="952" t="str">
        <f>IF(L44="","",VLOOKUP(L44,'Списки участников'!$A:$J,6,FALSE))</f>
        <v/>
      </c>
      <c r="N45" s="953"/>
      <c r="P45" s="1146"/>
      <c r="Q45" s="1148"/>
      <c r="R45" s="952" t="str">
        <f>IF(Q44="","",VLOOKUP(Q44,'Списки участников'!$A:$J,6,FALSE))</f>
        <v/>
      </c>
      <c r="S45" s="953"/>
    </row>
    <row r="46" spans="1:28" ht="13.5" thickTop="1" x14ac:dyDescent="0.2">
      <c r="A46" s="1138" t="s">
        <v>2588</v>
      </c>
      <c r="B46" s="1139"/>
      <c r="C46" s="1139"/>
      <c r="D46" s="304"/>
      <c r="F46" s="1138" t="s">
        <v>2589</v>
      </c>
      <c r="G46" s="1139"/>
      <c r="H46" s="1139"/>
      <c r="I46" s="304"/>
      <c r="K46" s="1138" t="s">
        <v>2590</v>
      </c>
      <c r="L46" s="1139"/>
      <c r="M46" s="1139"/>
      <c r="N46" s="304"/>
      <c r="P46" s="1138" t="s">
        <v>2591</v>
      </c>
      <c r="Q46" s="1139"/>
      <c r="R46" s="1139"/>
      <c r="S46" s="304"/>
    </row>
    <row r="47" spans="1:28" ht="15" x14ac:dyDescent="0.2">
      <c r="A47" s="944" t="s">
        <v>3</v>
      </c>
      <c r="B47" s="945"/>
      <c r="C47" s="1132" t="s">
        <v>9449</v>
      </c>
      <c r="D47" s="1133"/>
      <c r="F47" s="944" t="s">
        <v>3</v>
      </c>
      <c r="G47" s="945"/>
      <c r="H47" s="1132" t="s">
        <v>9449</v>
      </c>
      <c r="I47" s="1133"/>
      <c r="K47" s="944" t="s">
        <v>3</v>
      </c>
      <c r="L47" s="945"/>
      <c r="M47" s="1132" t="s">
        <v>9449</v>
      </c>
      <c r="N47" s="1133"/>
      <c r="P47" s="944" t="s">
        <v>3</v>
      </c>
      <c r="Q47" s="945"/>
      <c r="R47" s="1132" t="s">
        <v>9449</v>
      </c>
      <c r="S47" s="1133"/>
    </row>
    <row r="48" spans="1:28" ht="15" x14ac:dyDescent="0.2">
      <c r="A48" s="1145">
        <v>1</v>
      </c>
      <c r="B48" s="1149">
        <v>9</v>
      </c>
      <c r="C48" s="946" t="str">
        <f>IF(B48="","",VLOOKUP(B48,'Списки участников'!$A:$J,3,FALSE))</f>
        <v>САВЕЛЬЕВ Никита</v>
      </c>
      <c r="D48" s="947" t="str">
        <f>IF(B48="","",VLOOKUP(B48,'Списки участников'!$A:$J,9,FALSE))</f>
        <v>Савинов Ю.Н.. Биткина В.В.. Сорин М.Б.</v>
      </c>
      <c r="F48" s="1145">
        <v>1</v>
      </c>
      <c r="G48" s="1149">
        <v>10</v>
      </c>
      <c r="H48" s="946" t="str">
        <f>IF(G48="","",VLOOKUP(G48,'Списки участников'!$A:$J,3,FALSE))</f>
        <v xml:space="preserve">СУЛТАНОВ Артур </v>
      </c>
      <c r="I48" s="947" t="str">
        <f>IF(G48="","",VLOOKUP(G48,'Списки участников'!$A:$J,9,FALSE))</f>
        <v>Брайловский</v>
      </c>
      <c r="K48" s="1145">
        <v>1</v>
      </c>
      <c r="L48" s="1149">
        <v>11</v>
      </c>
      <c r="M48" s="946" t="str">
        <f>IF(L48="","",VLOOKUP(L48,'Списки участников'!$A:$J,3,FALSE))</f>
        <v>ПАНФИЛОВ Федор</v>
      </c>
      <c r="N48" s="947" t="str">
        <f>IF(L48="","",VLOOKUP(L48,'Списки участников'!$A:$J,9,FALSE))</f>
        <v>Нассыров К.М.. Мазунов А.В.</v>
      </c>
      <c r="P48" s="1145">
        <v>1</v>
      </c>
      <c r="Q48" s="1149">
        <v>12</v>
      </c>
      <c r="R48" s="946" t="str">
        <f>IF(Q48="","",VLOOKUP(Q48,'Списки участников'!$A:$J,3,FALSE))</f>
        <v>ПОЛЯКОВ Василий</v>
      </c>
      <c r="S48" s="947" t="str">
        <f>IF(Q48="","",VLOOKUP(Q48,'Списки участников'!$A:$J,9,FALSE))</f>
        <v>Нассыров К.М.. Мазунов А.В.</v>
      </c>
    </row>
    <row r="49" spans="1:19" ht="15.75" thickBot="1" x14ac:dyDescent="0.25">
      <c r="A49" s="1146"/>
      <c r="B49" s="1150"/>
      <c r="C49" s="948" t="str">
        <f>IF(B48="","",VLOOKUP(B48,'Списки участников'!$A:$J,6,FALSE))</f>
        <v>Москва</v>
      </c>
      <c r="D49" s="949"/>
      <c r="F49" s="1146"/>
      <c r="G49" s="1150"/>
      <c r="H49" s="948" t="str">
        <f>IF(G48="","",VLOOKUP(G48,'Списки участников'!$A:$J,6,FALSE))</f>
        <v>Пермь</v>
      </c>
      <c r="I49" s="949"/>
      <c r="K49" s="1146"/>
      <c r="L49" s="1150"/>
      <c r="M49" s="948" t="str">
        <f>IF(L48="","",VLOOKUP(L48,'Списки участников'!$A:$J,6,FALSE))</f>
        <v>Москва</v>
      </c>
      <c r="N49" s="949"/>
      <c r="P49" s="1146"/>
      <c r="Q49" s="1150"/>
      <c r="R49" s="948" t="str">
        <f>IF(Q48="","",VLOOKUP(Q48,'Списки участников'!$A:$J,6,FALSE))</f>
        <v>Москва</v>
      </c>
      <c r="S49" s="949"/>
    </row>
    <row r="50" spans="1:19" ht="15.75" thickTop="1" x14ac:dyDescent="0.2">
      <c r="A50" s="1145">
        <v>2</v>
      </c>
      <c r="B50" s="1147">
        <v>26</v>
      </c>
      <c r="C50" s="950" t="str">
        <f>IF(B50="","",VLOOKUP(B50,'Списки участников'!$A:$J,3,FALSE))</f>
        <v>МАНЦУРОВ Тихон</v>
      </c>
      <c r="D50" s="951" t="str">
        <f>IF(B50="","",VLOOKUP(B50,'Списки участников'!$A:$J,9,FALSE))</f>
        <v>Потыльчак И.В., Выборнов Ю.В.</v>
      </c>
      <c r="F50" s="1145">
        <v>2</v>
      </c>
      <c r="G50" s="1147">
        <v>24</v>
      </c>
      <c r="H50" s="950" t="str">
        <f>IF(G50="","",VLOOKUP(G50,'Списки участников'!$A:$J,3,FALSE))</f>
        <v>КЛЕСТОВ Евгений</v>
      </c>
      <c r="I50" s="951" t="str">
        <f>IF(G50="","",VLOOKUP(G50,'Списки участников'!$A:$J,9,FALSE))</f>
        <v>Смирнов Г.А.</v>
      </c>
      <c r="K50" s="1145">
        <v>2</v>
      </c>
      <c r="L50" s="1147">
        <v>23</v>
      </c>
      <c r="M50" s="950" t="str">
        <f>IF(L50="","",VLOOKUP(L50,'Списки участников'!$A:$J,3,FALSE))</f>
        <v>КОМИССАРОВ Даниил</v>
      </c>
      <c r="N50" s="951" t="str">
        <f>IF(L50="","",VLOOKUP(L50,'Списки участников'!$A:$J,9,FALSE))</f>
        <v>Шулимова Т.В.. Лаврентьев А.А.</v>
      </c>
      <c r="P50" s="1145">
        <v>2</v>
      </c>
      <c r="Q50" s="1147">
        <v>22</v>
      </c>
      <c r="R50" s="950" t="str">
        <f>IF(Q50="","",VLOOKUP(Q50,'Списки участников'!$A:$J,3,FALSE))</f>
        <v>СТАРОСТИН Максим</v>
      </c>
      <c r="S50" s="951" t="str">
        <f>IF(Q50="","",VLOOKUP(Q50,'Списки участников'!$A:$J,9,FALSE))</f>
        <v>Каменев А.Ю.</v>
      </c>
    </row>
    <row r="51" spans="1:19" ht="15.75" thickBot="1" x14ac:dyDescent="0.25">
      <c r="A51" s="1146"/>
      <c r="B51" s="1148"/>
      <c r="C51" s="952" t="str">
        <f>IF(B50="","",VLOOKUP(B50,'Списки участников'!$A:$J,6,FALSE))</f>
        <v>Тула</v>
      </c>
      <c r="D51" s="953"/>
      <c r="F51" s="1146"/>
      <c r="G51" s="1148"/>
      <c r="H51" s="952" t="str">
        <f>IF(G50="","",VLOOKUP(G50,'Списки участников'!$A:$J,6,FALSE))</f>
        <v>Людиново  Кал.обл.</v>
      </c>
      <c r="I51" s="953"/>
      <c r="K51" s="1146"/>
      <c r="L51" s="1148"/>
      <c r="M51" s="952" t="str">
        <f>IF(L50="","",VLOOKUP(L50,'Списки участников'!$A:$J,6,FALSE))</f>
        <v>Москва</v>
      </c>
      <c r="N51" s="953"/>
      <c r="P51" s="1146"/>
      <c r="Q51" s="1148"/>
      <c r="R51" s="952" t="str">
        <f>IF(Q50="","",VLOOKUP(Q50,'Списки участников'!$A:$J,6,FALSE))</f>
        <v>Екатеринбург</v>
      </c>
      <c r="S51" s="953"/>
    </row>
    <row r="52" spans="1:19" ht="15.75" thickTop="1" x14ac:dyDescent="0.2">
      <c r="A52" s="1145">
        <v>3</v>
      </c>
      <c r="B52" s="1149">
        <v>43</v>
      </c>
      <c r="C52" s="950" t="str">
        <f>IF(B52="","",VLOOKUP(B52,'Списки участников'!$A:$J,3,FALSE))</f>
        <v>ПОДЛАЗОВ Владислав</v>
      </c>
      <c r="D52" s="951" t="str">
        <f>IF(B52="","",VLOOKUP(B52,'Списки участников'!$A:$J,9,FALSE))</f>
        <v>Дроздова Н.В.</v>
      </c>
      <c r="F52" s="1145">
        <v>3</v>
      </c>
      <c r="G52" s="1149">
        <v>44</v>
      </c>
      <c r="H52" s="950" t="str">
        <f>IF(G52="","",VLOOKUP(G52,'Списки участников'!$A:$J,3,FALSE))</f>
        <v>НАЗАРКИН Максим</v>
      </c>
      <c r="I52" s="951" t="str">
        <f>IF(G52="","",VLOOKUP(G52,'Списки участников'!$A:$J,9,FALSE))</f>
        <v>Барсукова Н.А.</v>
      </c>
      <c r="K52" s="1145">
        <v>3</v>
      </c>
      <c r="L52" s="1149">
        <v>45</v>
      </c>
      <c r="M52" s="950" t="str">
        <f>IF(L52="","",VLOOKUP(L52,'Списки участников'!$A:$J,3,FALSE))</f>
        <v>ПЛАХОТНИК Александр</v>
      </c>
      <c r="N52" s="951" t="str">
        <f>IF(L52="","",VLOOKUP(L52,'Списки участников'!$A:$J,9,FALSE))</f>
        <v>Мельник Г.Н.</v>
      </c>
      <c r="P52" s="1145">
        <v>3</v>
      </c>
      <c r="Q52" s="1149">
        <v>16</v>
      </c>
      <c r="R52" s="950" t="str">
        <f>IF(Q52="","",VLOOKUP(Q52,'Списки участников'!$A:$J,3,FALSE))</f>
        <v>ТИХОНОВ Евгений</v>
      </c>
      <c r="S52" s="951" t="str">
        <f>IF(Q52="","",VLOOKUP(Q52,'Списки участников'!$A:$J,9,FALSE))</f>
        <v>Дроздова Н.В.</v>
      </c>
    </row>
    <row r="53" spans="1:19" ht="15.75" thickBot="1" x14ac:dyDescent="0.25">
      <c r="A53" s="1146"/>
      <c r="B53" s="1150"/>
      <c r="C53" s="952" t="str">
        <f>IF(B52="","",VLOOKUP(B52,'Списки участников'!$A:$J,6,FALSE))</f>
        <v>Москва</v>
      </c>
      <c r="D53" s="953"/>
      <c r="F53" s="1146"/>
      <c r="G53" s="1150"/>
      <c r="H53" s="952" t="str">
        <f>IF(G52="","",VLOOKUP(G52,'Списки участников'!$A:$J,6,FALSE))</f>
        <v>Москва</v>
      </c>
      <c r="I53" s="953"/>
      <c r="K53" s="1146"/>
      <c r="L53" s="1150"/>
      <c r="M53" s="952" t="str">
        <f>IF(L52="","",VLOOKUP(L52,'Списки участников'!$A:$J,6,FALSE))</f>
        <v>Москва</v>
      </c>
      <c r="N53" s="953"/>
      <c r="P53" s="1146"/>
      <c r="Q53" s="1150"/>
      <c r="R53" s="952" t="str">
        <f>IF(Q52="","",VLOOKUP(Q52,'Списки участников'!$A:$J,6,FALSE))</f>
        <v>Москва</v>
      </c>
      <c r="S53" s="953"/>
    </row>
    <row r="54" spans="1:19" ht="15.75" thickTop="1" x14ac:dyDescent="0.2">
      <c r="A54" s="1145">
        <v>4</v>
      </c>
      <c r="B54" s="1147">
        <v>58</v>
      </c>
      <c r="C54" s="950" t="str">
        <f>IF(B54="","",VLOOKUP(B54,'Списки участников'!$A:$J,3,FALSE))</f>
        <v>КУРИЛОВИЧ Ярослав</v>
      </c>
      <c r="D54" s="951" t="str">
        <f>IF(B54="","",VLOOKUP(B54,'Списки участников'!$A:$J,9,FALSE))</f>
        <v>Иванов Л.В.</v>
      </c>
      <c r="F54" s="1145">
        <v>4</v>
      </c>
      <c r="G54" s="1147">
        <v>57</v>
      </c>
      <c r="H54" s="950" t="str">
        <f>IF(G54="","",VLOOKUP(G54,'Списки участников'!$A:$J,3,FALSE))</f>
        <v>АКИНЬЩИКОВ Станислав</v>
      </c>
      <c r="I54" s="951" t="str">
        <f>IF(G54="","",VLOOKUP(G54,'Списки участников'!$A:$J,9,FALSE))</f>
        <v>Мейснер О.Л.</v>
      </c>
      <c r="K54" s="1145">
        <v>4</v>
      </c>
      <c r="L54" s="1147">
        <v>56</v>
      </c>
      <c r="M54" s="950" t="str">
        <f>IF(L54="","",VLOOKUP(L54,'Списки участников'!$A:$J,3,FALSE))</f>
        <v>ГИНОСЯН Геворг</v>
      </c>
      <c r="N54" s="951" t="str">
        <f>IF(L54="","",VLOOKUP(L54,'Списки участников'!$A:$J,9,FALSE))</f>
        <v>Наумов А.В., Корнева Т.М.</v>
      </c>
      <c r="P54" s="1145">
        <v>4</v>
      </c>
      <c r="Q54" s="1147">
        <v>46</v>
      </c>
      <c r="R54" s="950" t="str">
        <f>IF(Q54="","",VLOOKUP(Q54,'Списки участников'!$A:$J,3,FALSE))</f>
        <v>ВОЛЫНКИН Александр</v>
      </c>
      <c r="S54" s="951" t="str">
        <f>IF(Q54="","",VLOOKUP(Q54,'Списки участников'!$A:$J,9,FALSE))</f>
        <v>Абрамов Е.А.</v>
      </c>
    </row>
    <row r="55" spans="1:19" ht="15.75" thickBot="1" x14ac:dyDescent="0.25">
      <c r="A55" s="1146"/>
      <c r="B55" s="1148"/>
      <c r="C55" s="952" t="str">
        <f>IF(B54="","",VLOOKUP(B54,'Списки участников'!$A:$J,6,FALSE))</f>
        <v>Москва</v>
      </c>
      <c r="D55" s="953"/>
      <c r="F55" s="1146"/>
      <c r="G55" s="1148"/>
      <c r="H55" s="952" t="str">
        <f>IF(G54="","",VLOOKUP(G54,'Списки участников'!$A:$J,6,FALSE))</f>
        <v>Ильинский</v>
      </c>
      <c r="I55" s="953"/>
      <c r="K55" s="1146"/>
      <c r="L55" s="1148"/>
      <c r="M55" s="952" t="str">
        <f>IF(L54="","",VLOOKUP(L54,'Списки участников'!$A:$J,6,FALSE))</f>
        <v>Коломна</v>
      </c>
      <c r="N55" s="953"/>
      <c r="P55" s="1146"/>
      <c r="Q55" s="1148"/>
      <c r="R55" s="952" t="str">
        <f>IF(Q54="","",VLOOKUP(Q54,'Списки участников'!$A:$J,6,FALSE))</f>
        <v>Барнаул</v>
      </c>
      <c r="S55" s="953"/>
    </row>
    <row r="56" spans="1:19" ht="15.75" thickTop="1" x14ac:dyDescent="0.2">
      <c r="A56" s="1145">
        <v>5</v>
      </c>
      <c r="B56" s="1149">
        <v>75</v>
      </c>
      <c r="C56" s="950" t="str">
        <f>IF(B56="","",VLOOKUP(B56,'Списки участников'!$A:$J,3,FALSE))</f>
        <v>МИШУКОВ Михаил</v>
      </c>
      <c r="D56" s="951" t="str">
        <f>IF(B56="","",VLOOKUP(B56,'Списки участников'!$A:$J,9,FALSE))</f>
        <v>Эдель Н.Н.</v>
      </c>
      <c r="F56" s="1145">
        <v>5</v>
      </c>
      <c r="G56" s="1149">
        <v>76</v>
      </c>
      <c r="H56" s="950" t="str">
        <f>IF(G56="","",VLOOKUP(G56,'Списки участников'!$A:$J,3,FALSE))</f>
        <v>ОСМОЛОВСКИЙ Никита</v>
      </c>
      <c r="I56" s="951" t="str">
        <f>IF(G56="","",VLOOKUP(G56,'Списки участников'!$A:$J,9,FALSE))</f>
        <v>Морозов Б.В.</v>
      </c>
      <c r="K56" s="1145">
        <v>5</v>
      </c>
      <c r="L56" s="1149">
        <v>77</v>
      </c>
      <c r="M56" s="950" t="str">
        <f>IF(L56="","",VLOOKUP(L56,'Списки участников'!$A:$J,3,FALSE))</f>
        <v>РЕКУТИН Вадим</v>
      </c>
      <c r="N56" s="951" t="str">
        <f>IF(L56="","",VLOOKUP(L56,'Списки участников'!$A:$J,9,FALSE))</f>
        <v>Боков А.В.. Бокова Е.В.</v>
      </c>
      <c r="P56" s="1145">
        <v>5</v>
      </c>
      <c r="Q56" s="1149">
        <v>83</v>
      </c>
      <c r="R56" s="950" t="str">
        <f>IF(Q56="","",VLOOKUP(Q56,'Списки участников'!$A:$J,3,FALSE))</f>
        <v>ШКРЕД Илья</v>
      </c>
      <c r="S56" s="951" t="str">
        <f>IF(Q56="","",VLOOKUP(Q56,'Списки участников'!$A:$J,9,FALSE))</f>
        <v>Бокова Е.В.</v>
      </c>
    </row>
    <row r="57" spans="1:19" ht="15.75" thickBot="1" x14ac:dyDescent="0.25">
      <c r="A57" s="1146"/>
      <c r="B57" s="1150"/>
      <c r="C57" s="952" t="str">
        <f>IF(B56="","",VLOOKUP(B56,'Списки участников'!$A:$J,6,FALSE))</f>
        <v>Москва</v>
      </c>
      <c r="D57" s="953"/>
      <c r="F57" s="1146"/>
      <c r="G57" s="1150"/>
      <c r="H57" s="952" t="str">
        <f>IF(G56="","",VLOOKUP(G56,'Списки участников'!$A:$J,6,FALSE))</f>
        <v>Дмитров</v>
      </c>
      <c r="I57" s="953"/>
      <c r="K57" s="1146"/>
      <c r="L57" s="1150"/>
      <c r="M57" s="952" t="str">
        <f>IF(L56="","",VLOOKUP(L56,'Списки участников'!$A:$J,6,FALSE))</f>
        <v>Дрезна  Мос.обл.</v>
      </c>
      <c r="N57" s="953"/>
      <c r="P57" s="1146"/>
      <c r="Q57" s="1150"/>
      <c r="R57" s="952" t="str">
        <f>IF(Q56="","",VLOOKUP(Q56,'Списки участников'!$A:$J,6,FALSE))</f>
        <v>Дрезна  Мос.обл.</v>
      </c>
      <c r="S57" s="953"/>
    </row>
    <row r="58" spans="1:19" ht="15.75" thickTop="1" x14ac:dyDescent="0.2">
      <c r="A58" s="1145">
        <v>6</v>
      </c>
      <c r="B58" s="1147">
        <v>91</v>
      </c>
      <c r="C58" s="950" t="str">
        <f>IF(B58="","",VLOOKUP(B58,'Списки участников'!$A:$J,3,FALSE))</f>
        <v>ВАСИКОВ Евгений</v>
      </c>
      <c r="D58" s="951" t="str">
        <f>IF(B58="","",VLOOKUP(B58,'Списки участников'!$A:$J,9,FALSE))</f>
        <v>Смирнов Г.А.</v>
      </c>
      <c r="F58" s="1145">
        <v>6</v>
      </c>
      <c r="G58" s="1147">
        <v>90</v>
      </c>
      <c r="H58" s="950" t="str">
        <f>IF(G58="","",VLOOKUP(G58,'Списки участников'!$A:$J,3,FALSE))</f>
        <v>КАРТАВЦЕВ Михаил</v>
      </c>
      <c r="I58" s="951" t="str">
        <f>IF(G58="","",VLOOKUP(G58,'Списки участников'!$A:$J,9,FALSE))</f>
        <v>Гамаюнов Ю.В.., Толкачев В.Л.</v>
      </c>
      <c r="K58" s="1145">
        <v>6</v>
      </c>
      <c r="L58" s="1147">
        <v>89</v>
      </c>
      <c r="M58" s="950" t="str">
        <f>IF(L58="","",VLOOKUP(L58,'Списки участников'!$A:$J,3,FALSE))</f>
        <v>МАЛЫК Никита</v>
      </c>
      <c r="N58" s="951" t="str">
        <f>IF(L58="","",VLOOKUP(L58,'Списки участников'!$A:$J,9,FALSE))</f>
        <v>Чуев А.Н.</v>
      </c>
      <c r="P58" s="1145">
        <v>6</v>
      </c>
      <c r="Q58" s="1147">
        <v>81</v>
      </c>
      <c r="R58" s="950" t="str">
        <f>IF(Q58="","",VLOOKUP(Q58,'Списки участников'!$A:$J,3,FALSE))</f>
        <v>ОСТАШОВ Артем</v>
      </c>
      <c r="S58" s="951" t="str">
        <f>IF(Q58="","",VLOOKUP(Q58,'Списки участников'!$A:$J,9,FALSE))</f>
        <v>Шулимова Т.В.. Лаврентьев А.А.</v>
      </c>
    </row>
    <row r="59" spans="1:19" ht="15.75" thickBot="1" x14ac:dyDescent="0.25">
      <c r="A59" s="1146"/>
      <c r="B59" s="1148"/>
      <c r="C59" s="952" t="str">
        <f>IF(B58="","",VLOOKUP(B58,'Списки участников'!$A:$J,6,FALSE))</f>
        <v>Людиново  Кал.обл.</v>
      </c>
      <c r="D59" s="953"/>
      <c r="F59" s="1146"/>
      <c r="G59" s="1148"/>
      <c r="H59" s="952" t="str">
        <f>IF(G58="","",VLOOKUP(G58,'Списки участников'!$A:$J,6,FALSE))</f>
        <v>Москва</v>
      </c>
      <c r="I59" s="953"/>
      <c r="K59" s="1146"/>
      <c r="L59" s="1148"/>
      <c r="M59" s="952" t="str">
        <f>IF(L58="","",VLOOKUP(L58,'Списки участников'!$A:$J,6,FALSE))</f>
        <v>Москва</v>
      </c>
      <c r="N59" s="953"/>
      <c r="P59" s="1146"/>
      <c r="Q59" s="1148"/>
      <c r="R59" s="952" t="str">
        <f>IF(Q58="","",VLOOKUP(Q58,'Списки участников'!$A:$J,6,FALSE))</f>
        <v>Москва</v>
      </c>
      <c r="S59" s="953"/>
    </row>
    <row r="60" spans="1:19" ht="15.75" thickTop="1" x14ac:dyDescent="0.2">
      <c r="A60" s="1145">
        <v>7</v>
      </c>
      <c r="B60" s="1149">
        <v>108</v>
      </c>
      <c r="C60" s="950" t="str">
        <f>IF(B60="","",VLOOKUP(B60,'Списки участников'!$A:$J,3,FALSE))</f>
        <v>ПРИЗЕНКО Артем</v>
      </c>
      <c r="D60" s="951" t="str">
        <f>IF(B60="","",VLOOKUP(B60,'Списки участников'!$A:$J,9,FALSE))</f>
        <v>Калустов К.С.</v>
      </c>
      <c r="F60" s="1145">
        <v>7</v>
      </c>
      <c r="G60" s="1149">
        <v>109</v>
      </c>
      <c r="H60" s="950" t="str">
        <f>IF(G60="","",VLOOKUP(G60,'Списки участников'!$A:$J,3,FALSE))</f>
        <v>РЯБОШАПКА Федор</v>
      </c>
      <c r="I60" s="951" t="str">
        <f>IF(G60="","",VLOOKUP(G60,'Списки участников'!$A:$J,9,FALSE))</f>
        <v>Костеневич Л.М..</v>
      </c>
      <c r="K60" s="1145">
        <v>7</v>
      </c>
      <c r="L60" s="1149">
        <v>104</v>
      </c>
      <c r="M60" s="950" t="str">
        <f>IF(L60="","",VLOOKUP(L60,'Списки участников'!$A:$J,3,FALSE))</f>
        <v>БУЛАВИН Михаил</v>
      </c>
      <c r="N60" s="951" t="str">
        <f>IF(L60="","",VLOOKUP(L60,'Списки участников'!$A:$J,9,FALSE))</f>
        <v>Костеневич Л.М..</v>
      </c>
      <c r="P60" s="1145">
        <v>7</v>
      </c>
      <c r="Q60" s="1149">
        <v>100</v>
      </c>
      <c r="R60" s="950" t="str">
        <f>IF(Q60="","",VLOOKUP(Q60,'Списки участников'!$A:$J,3,FALSE))</f>
        <v>ЕЛИСЕЕВ Илья</v>
      </c>
      <c r="S60" s="951" t="str">
        <f>IF(Q60="","",VLOOKUP(Q60,'Списки участников'!$A:$J,9,FALSE))</f>
        <v>Эдель Н.Н.</v>
      </c>
    </row>
    <row r="61" spans="1:19" ht="15.75" thickBot="1" x14ac:dyDescent="0.25">
      <c r="A61" s="1146"/>
      <c r="B61" s="1150"/>
      <c r="C61" s="952" t="str">
        <f>IF(B60="","",VLOOKUP(B60,'Списки участников'!$A:$J,6,FALSE))</f>
        <v>Москва</v>
      </c>
      <c r="D61" s="953"/>
      <c r="F61" s="1146"/>
      <c r="G61" s="1150"/>
      <c r="H61" s="952" t="str">
        <f>IF(G60="","",VLOOKUP(G60,'Списки участников'!$A:$J,6,FALSE))</f>
        <v>Домодедово  М.о.</v>
      </c>
      <c r="I61" s="953"/>
      <c r="K61" s="1146"/>
      <c r="L61" s="1150"/>
      <c r="M61" s="952" t="str">
        <f>IF(L60="","",VLOOKUP(L60,'Списки участников'!$A:$J,6,FALSE))</f>
        <v>Домодедово  М.о.</v>
      </c>
      <c r="N61" s="953"/>
      <c r="P61" s="1146"/>
      <c r="Q61" s="1150"/>
      <c r="R61" s="952" t="str">
        <f>IF(Q60="","",VLOOKUP(Q60,'Списки участников'!$A:$J,6,FALSE))</f>
        <v>Москва</v>
      </c>
      <c r="S61" s="953"/>
    </row>
    <row r="62" spans="1:19" ht="15.75" thickTop="1" x14ac:dyDescent="0.2">
      <c r="A62" s="1145">
        <v>8</v>
      </c>
      <c r="B62" s="1147"/>
      <c r="C62" s="950" t="str">
        <f>IF(B62="","",VLOOKUP(B62,'Списки участников'!$A:$J,3,FALSE))</f>
        <v/>
      </c>
      <c r="D62" s="951" t="str">
        <f>IF(B62="","",VLOOKUP(B62,'Списки участников'!$A:$J,9,FALSE))</f>
        <v/>
      </c>
      <c r="F62" s="1145">
        <v>8</v>
      </c>
      <c r="G62" s="1147"/>
      <c r="H62" s="950" t="str">
        <f>IF(G62="","",VLOOKUP(G62,'Списки участников'!$A:$J,3,FALSE))</f>
        <v/>
      </c>
      <c r="I62" s="951" t="str">
        <f>IF(G62="","",VLOOKUP(G62,'Списки участников'!$A:$J,9,FALSE))</f>
        <v/>
      </c>
      <c r="K62" s="1145">
        <v>8</v>
      </c>
      <c r="L62" s="1147"/>
      <c r="M62" s="950" t="str">
        <f>IF(L62="","",VLOOKUP(L62,'Списки участников'!$A:$J,3,FALSE))</f>
        <v/>
      </c>
      <c r="N62" s="951" t="str">
        <f>IF(L62="","",VLOOKUP(L62,'Списки участников'!$A:$J,9,FALSE))</f>
        <v/>
      </c>
      <c r="P62" s="1145">
        <v>8</v>
      </c>
      <c r="Q62" s="1147"/>
      <c r="R62" s="950" t="str">
        <f>IF(Q62="","",VLOOKUP(Q62,'Списки участников'!$A:$J,3,FALSE))</f>
        <v/>
      </c>
      <c r="S62" s="951" t="str">
        <f>IF(Q62="","",VLOOKUP(Q62,'Списки участников'!$A:$J,9,FALSE))</f>
        <v/>
      </c>
    </row>
    <row r="63" spans="1:19" ht="15.75" thickBot="1" x14ac:dyDescent="0.25">
      <c r="A63" s="1146"/>
      <c r="B63" s="1148"/>
      <c r="C63" s="952" t="str">
        <f>IF(B62="","",VLOOKUP(B62,'Списки участников'!$A:$J,6,FALSE))</f>
        <v/>
      </c>
      <c r="D63" s="953"/>
      <c r="F63" s="1146"/>
      <c r="G63" s="1148"/>
      <c r="H63" s="952" t="str">
        <f>IF(G62="","",VLOOKUP(G62,'Списки участников'!$A:$J,6,FALSE))</f>
        <v/>
      </c>
      <c r="I63" s="953"/>
      <c r="K63" s="1146"/>
      <c r="L63" s="1148"/>
      <c r="M63" s="952" t="str">
        <f>IF(L62="","",VLOOKUP(L62,'Списки участников'!$A:$J,6,FALSE))</f>
        <v/>
      </c>
      <c r="N63" s="953"/>
      <c r="P63" s="1146"/>
      <c r="Q63" s="1148"/>
      <c r="R63" s="952" t="str">
        <f>IF(Q62="","",VLOOKUP(Q62,'Списки участников'!$A:$J,6,FALSE))</f>
        <v/>
      </c>
      <c r="S63" s="953"/>
    </row>
    <row r="64" spans="1:19" ht="15.75" thickTop="1" x14ac:dyDescent="0.2">
      <c r="A64" s="1145">
        <v>9</v>
      </c>
      <c r="B64" s="1149"/>
      <c r="C64" s="950" t="str">
        <f>IF(B64="","",VLOOKUP(B64,'Списки участников'!$A:$J,3,FALSE))</f>
        <v/>
      </c>
      <c r="D64" s="951" t="str">
        <f>IF(B64="","",VLOOKUP(B64,'Списки участников'!$A:$J,9,FALSE))</f>
        <v/>
      </c>
      <c r="F64" s="1145">
        <v>9</v>
      </c>
      <c r="G64" s="1149"/>
      <c r="H64" s="950" t="str">
        <f>IF(G64="","",VLOOKUP(G64,'Списки участников'!$A:$J,3,FALSE))</f>
        <v/>
      </c>
      <c r="I64" s="951" t="str">
        <f>IF(G64="","",VLOOKUP(G64,'Списки участников'!$A:$J,9,FALSE))</f>
        <v/>
      </c>
      <c r="K64" s="1145">
        <v>9</v>
      </c>
      <c r="L64" s="1149"/>
      <c r="M64" s="950" t="str">
        <f>IF(L64="","",VLOOKUP(L64,'Списки участников'!$A:$J,3,FALSE))</f>
        <v/>
      </c>
      <c r="N64" s="951" t="str">
        <f>IF(L64="","",VLOOKUP(L64,'Списки участников'!$A:$J,9,FALSE))</f>
        <v/>
      </c>
      <c r="P64" s="1145">
        <v>9</v>
      </c>
      <c r="Q64" s="1149"/>
      <c r="R64" s="950" t="str">
        <f>IF(Q64="","",VLOOKUP(Q64,'Списки участников'!$A:$J,3,FALSE))</f>
        <v/>
      </c>
      <c r="S64" s="951" t="str">
        <f>IF(Q64="","",VLOOKUP(Q64,'Списки участников'!$A:$J,9,FALSE))</f>
        <v/>
      </c>
    </row>
    <row r="65" spans="1:19" ht="15.75" thickBot="1" x14ac:dyDescent="0.25">
      <c r="A65" s="1146"/>
      <c r="B65" s="1150"/>
      <c r="C65" s="952" t="str">
        <f>IF(B64="","",VLOOKUP(B64,'Списки участников'!$A:$J,6,FALSE))</f>
        <v/>
      </c>
      <c r="D65" s="953"/>
      <c r="F65" s="1146"/>
      <c r="G65" s="1150"/>
      <c r="H65" s="952" t="str">
        <f>IF(G64="","",VLOOKUP(G64,'Списки участников'!$A:$J,6,FALSE))</f>
        <v/>
      </c>
      <c r="I65" s="953"/>
      <c r="K65" s="1146"/>
      <c r="L65" s="1150"/>
      <c r="M65" s="952" t="str">
        <f>IF(L64="","",VLOOKUP(L64,'Списки участников'!$A:$J,6,FALSE))</f>
        <v/>
      </c>
      <c r="N65" s="953"/>
      <c r="P65" s="1146"/>
      <c r="Q65" s="1150"/>
      <c r="R65" s="952" t="str">
        <f>IF(Q64="","",VLOOKUP(Q64,'Списки участников'!$A:$J,6,FALSE))</f>
        <v/>
      </c>
      <c r="S65" s="953"/>
    </row>
    <row r="66" spans="1:19" ht="15.75" thickTop="1" x14ac:dyDescent="0.2">
      <c r="A66" s="1145">
        <v>10</v>
      </c>
      <c r="B66" s="1147"/>
      <c r="C66" s="950" t="str">
        <f>IF(B66="","",VLOOKUP(B66,'Списки участников'!$A:$J,3,FALSE))</f>
        <v/>
      </c>
      <c r="D66" s="951" t="str">
        <f>IF(B66="","",VLOOKUP(B66,'Списки участников'!$A:$J,9,FALSE))</f>
        <v/>
      </c>
      <c r="F66" s="1145">
        <v>10</v>
      </c>
      <c r="G66" s="1147"/>
      <c r="H66" s="950" t="str">
        <f>IF(G66="","",VLOOKUP(G66,'Списки участников'!$A:$J,3,FALSE))</f>
        <v/>
      </c>
      <c r="I66" s="951" t="str">
        <f>IF(G66="","",VLOOKUP(G66,'Списки участников'!$A:$J,9,FALSE))</f>
        <v/>
      </c>
      <c r="K66" s="1145">
        <v>10</v>
      </c>
      <c r="L66" s="1147"/>
      <c r="M66" s="950" t="str">
        <f>IF(L66="","",VLOOKUP(L66,'Списки участников'!$A:$J,3,FALSE))</f>
        <v/>
      </c>
      <c r="N66" s="951" t="str">
        <f>IF(L66="","",VLOOKUP(L66,'Списки участников'!$A:$J,9,FALSE))</f>
        <v/>
      </c>
      <c r="P66" s="1145">
        <v>10</v>
      </c>
      <c r="Q66" s="1147"/>
      <c r="R66" s="950" t="str">
        <f>IF(Q66="","",VLOOKUP(Q66,'Списки участников'!$A:$J,3,FALSE))</f>
        <v/>
      </c>
      <c r="S66" s="951" t="str">
        <f>IF(Q66="","",VLOOKUP(Q66,'Списки участников'!$A:$J,9,FALSE))</f>
        <v/>
      </c>
    </row>
    <row r="67" spans="1:19" ht="15.75" thickBot="1" x14ac:dyDescent="0.25">
      <c r="A67" s="1146"/>
      <c r="B67" s="1148"/>
      <c r="C67" s="952" t="str">
        <f>IF(B66="","",VLOOKUP(B66,'Списки участников'!$A:$J,6,FALSE))</f>
        <v/>
      </c>
      <c r="D67" s="953"/>
      <c r="F67" s="1146"/>
      <c r="G67" s="1148"/>
      <c r="H67" s="952" t="str">
        <f>IF(G66="","",VLOOKUP(G66,'Списки участников'!$A:$J,6,FALSE))</f>
        <v/>
      </c>
      <c r="I67" s="953"/>
      <c r="K67" s="1146"/>
      <c r="L67" s="1148"/>
      <c r="M67" s="952" t="str">
        <f>IF(L66="","",VLOOKUP(L66,'Списки участников'!$A:$J,6,FALSE))</f>
        <v/>
      </c>
      <c r="N67" s="953"/>
      <c r="P67" s="1146"/>
      <c r="Q67" s="1148"/>
      <c r="R67" s="952" t="str">
        <f>IF(Q66="","",VLOOKUP(Q66,'Списки участников'!$A:$J,6,FALSE))</f>
        <v/>
      </c>
      <c r="S67" s="953"/>
    </row>
    <row r="68" spans="1:19" ht="13.5" thickTop="1" x14ac:dyDescent="0.2">
      <c r="A68" s="1138" t="s">
        <v>2592</v>
      </c>
      <c r="B68" s="1139"/>
      <c r="C68" s="1139"/>
      <c r="D68" s="304"/>
      <c r="F68" s="1138" t="s">
        <v>2593</v>
      </c>
      <c r="G68" s="1139"/>
      <c r="H68" s="1139"/>
      <c r="I68" s="304"/>
      <c r="K68" s="1138" t="s">
        <v>2594</v>
      </c>
      <c r="L68" s="1139"/>
      <c r="M68" s="1139"/>
      <c r="N68" s="304"/>
      <c r="P68" s="1138" t="s">
        <v>2595</v>
      </c>
      <c r="Q68" s="1139"/>
      <c r="R68" s="1139"/>
      <c r="S68" s="304"/>
    </row>
    <row r="69" spans="1:19" ht="15" x14ac:dyDescent="0.2">
      <c r="A69" s="944" t="s">
        <v>3</v>
      </c>
      <c r="B69" s="945"/>
      <c r="C69" s="1132" t="s">
        <v>9449</v>
      </c>
      <c r="D69" s="1133"/>
      <c r="F69" s="944" t="s">
        <v>3</v>
      </c>
      <c r="G69" s="945"/>
      <c r="H69" s="1132" t="s">
        <v>9449</v>
      </c>
      <c r="I69" s="1133"/>
      <c r="K69" s="944" t="s">
        <v>3</v>
      </c>
      <c r="L69" s="945"/>
      <c r="M69" s="1132" t="s">
        <v>9449</v>
      </c>
      <c r="N69" s="1133"/>
      <c r="P69" s="944" t="s">
        <v>3</v>
      </c>
      <c r="Q69" s="945"/>
      <c r="R69" s="1132" t="s">
        <v>9449</v>
      </c>
      <c r="S69" s="1133"/>
    </row>
    <row r="70" spans="1:19" ht="15" x14ac:dyDescent="0.2">
      <c r="A70" s="1145">
        <v>1</v>
      </c>
      <c r="B70" s="1149">
        <v>13</v>
      </c>
      <c r="C70" s="946" t="str">
        <f>IF(B70="","",VLOOKUP(B70,'Списки участников'!$A:$J,3,FALSE))</f>
        <v>ЛАЗАРЕВ Василий</v>
      </c>
      <c r="D70" s="947" t="str">
        <f>IF(B70="","",VLOOKUP(B70,'Списки участников'!$A:$J,9,FALSE))</f>
        <v>Фрог А.М.</v>
      </c>
      <c r="F70" s="1145">
        <v>1</v>
      </c>
      <c r="G70" s="1149">
        <v>14</v>
      </c>
      <c r="H70" s="946" t="str">
        <f>IF(G70="","",VLOOKUP(G70,'Списки участников'!$A:$J,3,FALSE))</f>
        <v>ПЕРФИЛЬЕВ Алексей</v>
      </c>
      <c r="I70" s="947" t="str">
        <f>IF(G70="","",VLOOKUP(G70,'Списки участников'!$A:$J,9,FALSE))</f>
        <v>Гущин В.В.. Коваль Г.В., Онучин Н.В.</v>
      </c>
      <c r="K70" s="1145">
        <v>1</v>
      </c>
      <c r="L70" s="1149">
        <v>15</v>
      </c>
      <c r="M70" s="946" t="str">
        <f>IF(L70="","",VLOOKUP(L70,'Списки участников'!$A:$J,3,FALSE))</f>
        <v>ШИЛОВ Владимир</v>
      </c>
      <c r="N70" s="947" t="str">
        <f>IF(L70="","",VLOOKUP(L70,'Списки участников'!$A:$J,9,FALSE))</f>
        <v>Боков А.В.. Бокова Е.В.</v>
      </c>
      <c r="P70" s="1145">
        <v>1</v>
      </c>
      <c r="Q70" s="1149">
        <v>17</v>
      </c>
      <c r="R70" s="946" t="str">
        <f>IF(Q70="","",VLOOKUP(Q70,'Списки участников'!$A:$J,3,FALSE))</f>
        <v>МАЛОВ Илья</v>
      </c>
      <c r="S70" s="947" t="str">
        <f>IF(Q70="","",VLOOKUP(Q70,'Списки участников'!$A:$J,9,FALSE))</f>
        <v>Фрог А.М.</v>
      </c>
    </row>
    <row r="71" spans="1:19" ht="15.75" thickBot="1" x14ac:dyDescent="0.25">
      <c r="A71" s="1146"/>
      <c r="B71" s="1150"/>
      <c r="C71" s="948" t="str">
        <f>IF(B70="","",VLOOKUP(B70,'Списки участников'!$A:$J,6,FALSE))</f>
        <v>Москва</v>
      </c>
      <c r="D71" s="949"/>
      <c r="F71" s="1146"/>
      <c r="G71" s="1150"/>
      <c r="H71" s="948" t="str">
        <f>IF(G70="","",VLOOKUP(G70,'Списки участников'!$A:$J,6,FALSE))</f>
        <v>Барнаул</v>
      </c>
      <c r="I71" s="949"/>
      <c r="K71" s="1146"/>
      <c r="L71" s="1150"/>
      <c r="M71" s="948" t="str">
        <f>IF(L70="","",VLOOKUP(L70,'Списки участников'!$A:$J,6,FALSE))</f>
        <v>Орехово-Зуево</v>
      </c>
      <c r="N71" s="949"/>
      <c r="P71" s="1146"/>
      <c r="Q71" s="1150"/>
      <c r="R71" s="948" t="str">
        <f>IF(Q70="","",VLOOKUP(Q70,'Списки участников'!$A:$J,6,FALSE))</f>
        <v>Москва</v>
      </c>
      <c r="S71" s="949"/>
    </row>
    <row r="72" spans="1:19" ht="15.75" thickTop="1" x14ac:dyDescent="0.2">
      <c r="A72" s="1145">
        <v>2</v>
      </c>
      <c r="B72" s="1147">
        <v>21</v>
      </c>
      <c r="C72" s="950" t="str">
        <f>IF(B72="","",VLOOKUP(B72,'Списки участников'!$A:$J,3,FALSE))</f>
        <v>ДЕРНИКОВ Ефим</v>
      </c>
      <c r="D72" s="951" t="str">
        <f>IF(B72="","",VLOOKUP(B72,'Списки участников'!$A:$J,9,FALSE))</f>
        <v>Шулимова Т.В.. Лаврентьев А.А.</v>
      </c>
      <c r="F72" s="1145">
        <v>2</v>
      </c>
      <c r="G72" s="1147">
        <v>20</v>
      </c>
      <c r="H72" s="950" t="str">
        <f>IF(G72="","",VLOOKUP(G72,'Списки участников'!$A:$J,3,FALSE))</f>
        <v>АВЕРИН Владимир</v>
      </c>
      <c r="I72" s="951" t="str">
        <f>IF(G72="","",VLOOKUP(G72,'Списки участников'!$A:$J,9,FALSE))</f>
        <v>Наумов А.В., Корнева Т.М.</v>
      </c>
      <c r="K72" s="1145">
        <v>2</v>
      </c>
      <c r="L72" s="1147">
        <v>19</v>
      </c>
      <c r="M72" s="950" t="str">
        <f>IF(L72="","",VLOOKUP(L72,'Списки участников'!$A:$J,3,FALSE))</f>
        <v>ПОРТНОВ Фадей</v>
      </c>
      <c r="N72" s="951" t="str">
        <f>IF(L72="","",VLOOKUP(L72,'Списки участников'!$A:$J,9,FALSE))</f>
        <v>Савинов Ю.Н.. Биткина В.В.. Сорин М.Б.</v>
      </c>
      <c r="P72" s="1145">
        <v>2</v>
      </c>
      <c r="Q72" s="1147">
        <v>18</v>
      </c>
      <c r="R72" s="950" t="str">
        <f>IF(Q72="","",VLOOKUP(Q72,'Списки участников'!$A:$J,3,FALSE))</f>
        <v>КОРОЛЬ Владислав</v>
      </c>
      <c r="S72" s="951" t="str">
        <f>IF(Q72="","",VLOOKUP(Q72,'Списки участников'!$A:$J,9,FALSE))</f>
        <v>Дроздова Н.В.</v>
      </c>
    </row>
    <row r="73" spans="1:19" ht="15.75" thickBot="1" x14ac:dyDescent="0.25">
      <c r="A73" s="1146"/>
      <c r="B73" s="1148"/>
      <c r="C73" s="952" t="str">
        <f>IF(B72="","",VLOOKUP(B72,'Списки участников'!$A:$J,6,FALSE))</f>
        <v>Москва</v>
      </c>
      <c r="D73" s="953"/>
      <c r="F73" s="1146"/>
      <c r="G73" s="1148"/>
      <c r="H73" s="952" t="str">
        <f>IF(G72="","",VLOOKUP(G72,'Списки участников'!$A:$J,6,FALSE))</f>
        <v>Коломна</v>
      </c>
      <c r="I73" s="953"/>
      <c r="K73" s="1146"/>
      <c r="L73" s="1148"/>
      <c r="M73" s="952" t="str">
        <f>IF(L72="","",VLOOKUP(L72,'Списки участников'!$A:$J,6,FALSE))</f>
        <v>Москва</v>
      </c>
      <c r="N73" s="953"/>
      <c r="P73" s="1146"/>
      <c r="Q73" s="1148"/>
      <c r="R73" s="952" t="str">
        <f>IF(Q72="","",VLOOKUP(Q72,'Списки участников'!$A:$J,6,FALSE))</f>
        <v>Москва</v>
      </c>
      <c r="S73" s="953"/>
    </row>
    <row r="74" spans="1:19" ht="15.75" thickTop="1" x14ac:dyDescent="0.2">
      <c r="A74" s="1145">
        <v>3</v>
      </c>
      <c r="B74" s="1149">
        <v>47</v>
      </c>
      <c r="C74" s="950" t="str">
        <f>IF(B74="","",VLOOKUP(B74,'Списки участников'!$A:$J,3,FALSE))</f>
        <v>ПРОХОРОВ Кирилл</v>
      </c>
      <c r="D74" s="951" t="str">
        <f>IF(B74="","",VLOOKUP(B74,'Списки участников'!$A:$J,9,FALSE))</f>
        <v>Домнин В.В.</v>
      </c>
      <c r="F74" s="1145">
        <v>3</v>
      </c>
      <c r="G74" s="1149">
        <v>48</v>
      </c>
      <c r="H74" s="950" t="str">
        <f>IF(G74="","",VLOOKUP(G74,'Списки участников'!$A:$J,3,FALSE))</f>
        <v>ЛОМАКИН Павел</v>
      </c>
      <c r="I74" s="951" t="str">
        <f>IF(G74="","",VLOOKUP(G74,'Списки участников'!$A:$J,9,FALSE))</f>
        <v>Костеневич Л.М.. Галузинский С.П.</v>
      </c>
      <c r="K74" s="1145">
        <v>3</v>
      </c>
      <c r="L74" s="1149">
        <v>49</v>
      </c>
      <c r="M74" s="950" t="str">
        <f>IF(L74="","",VLOOKUP(L74,'Списки участников'!$A:$J,3,FALSE))</f>
        <v>НОВИКОВ Кирилл</v>
      </c>
      <c r="N74" s="951" t="str">
        <f>IF(L74="","",VLOOKUP(L74,'Списки участников'!$A:$J,9,FALSE))</f>
        <v>Шулимова Т.В.. Лаврентьев А.А.</v>
      </c>
      <c r="P74" s="1145">
        <v>3</v>
      </c>
      <c r="Q74" s="1149">
        <v>50</v>
      </c>
      <c r="R74" s="950" t="str">
        <f>IF(Q74="","",VLOOKUP(Q74,'Списки участников'!$A:$J,3,FALSE))</f>
        <v>ПИВОВАРОВ Иван</v>
      </c>
      <c r="S74" s="951" t="str">
        <f>IF(Q74="","",VLOOKUP(Q74,'Списки участников'!$A:$J,9,FALSE))</f>
        <v>Родионова М.Б.</v>
      </c>
    </row>
    <row r="75" spans="1:19" ht="15.75" thickBot="1" x14ac:dyDescent="0.25">
      <c r="A75" s="1146"/>
      <c r="B75" s="1150"/>
      <c r="C75" s="952" t="str">
        <f>IF(B74="","",VLOOKUP(B74,'Списки участников'!$A:$J,6,FALSE))</f>
        <v>Домодедово  М.о.</v>
      </c>
      <c r="D75" s="953"/>
      <c r="F75" s="1146"/>
      <c r="G75" s="1150"/>
      <c r="H75" s="952" t="str">
        <f>IF(G74="","",VLOOKUP(G74,'Списки участников'!$A:$J,6,FALSE))</f>
        <v>Москва</v>
      </c>
      <c r="I75" s="953"/>
      <c r="K75" s="1146"/>
      <c r="L75" s="1150"/>
      <c r="M75" s="952" t="str">
        <f>IF(L74="","",VLOOKUP(L74,'Списки участников'!$A:$J,6,FALSE))</f>
        <v>Москва</v>
      </c>
      <c r="N75" s="953"/>
      <c r="P75" s="1146"/>
      <c r="Q75" s="1150"/>
      <c r="R75" s="952" t="str">
        <f>IF(Q74="","",VLOOKUP(Q74,'Списки участников'!$A:$J,6,FALSE))</f>
        <v>Москва</v>
      </c>
      <c r="S75" s="953"/>
    </row>
    <row r="76" spans="1:19" ht="15.75" thickTop="1" x14ac:dyDescent="0.2">
      <c r="A76" s="1145">
        <v>4</v>
      </c>
      <c r="B76" s="1147">
        <v>53</v>
      </c>
      <c r="C76" s="950" t="str">
        <f>IF(B76="","",VLOOKUP(B76,'Списки участников'!$A:$J,3,FALSE))</f>
        <v>ПОПОВ Данила</v>
      </c>
      <c r="D76" s="951" t="str">
        <f>IF(B76="","",VLOOKUP(B76,'Списки участников'!$A:$J,9,FALSE))</f>
        <v>Дроздова Н.В.</v>
      </c>
      <c r="F76" s="1145">
        <v>4</v>
      </c>
      <c r="G76" s="1147">
        <v>52</v>
      </c>
      <c r="H76" s="950" t="str">
        <f>IF(G76="","",VLOOKUP(G76,'Списки участников'!$A:$J,3,FALSE))</f>
        <v>СВИРЩЕВСКИЙ Юрий</v>
      </c>
      <c r="I76" s="951" t="str">
        <f>IF(G76="","",VLOOKUP(G76,'Списки участников'!$A:$J,9,FALSE))</f>
        <v>Барсукова Н.А.</v>
      </c>
      <c r="K76" s="1145">
        <v>4</v>
      </c>
      <c r="L76" s="1147">
        <v>54</v>
      </c>
      <c r="M76" s="950" t="str">
        <f>IF(L76="","",VLOOKUP(L76,'Списки участников'!$A:$J,3,FALSE))</f>
        <v>ПЕТУХОВ Антон</v>
      </c>
      <c r="N76" s="951" t="str">
        <f>IF(L76="","",VLOOKUP(L76,'Списки участников'!$A:$J,9,FALSE))</f>
        <v>Домнин В.В., Костеневич Л.М.</v>
      </c>
      <c r="P76" s="1145">
        <v>4</v>
      </c>
      <c r="Q76" s="1147">
        <v>51</v>
      </c>
      <c r="R76" s="950" t="str">
        <f>IF(Q76="","",VLOOKUP(Q76,'Списки участников'!$A:$J,3,FALSE))</f>
        <v>АРИСТОВ Александр</v>
      </c>
      <c r="S76" s="951" t="str">
        <f>IF(Q76="","",VLOOKUP(Q76,'Списки участников'!$A:$J,9,FALSE))</f>
        <v>Шулимова Т.В.. Лаврентьев А.А.</v>
      </c>
    </row>
    <row r="77" spans="1:19" ht="15.75" thickBot="1" x14ac:dyDescent="0.25">
      <c r="A77" s="1146"/>
      <c r="B77" s="1148"/>
      <c r="C77" s="952" t="str">
        <f>IF(B76="","",VLOOKUP(B76,'Списки участников'!$A:$J,6,FALSE))</f>
        <v>Москва</v>
      </c>
      <c r="D77" s="953"/>
      <c r="F77" s="1146"/>
      <c r="G77" s="1148"/>
      <c r="H77" s="952" t="str">
        <f>IF(G76="","",VLOOKUP(G76,'Списки участников'!$A:$J,6,FALSE))</f>
        <v>Москва</v>
      </c>
      <c r="I77" s="953"/>
      <c r="K77" s="1146"/>
      <c r="L77" s="1148"/>
      <c r="M77" s="952" t="str">
        <f>IF(L76="","",VLOOKUP(L76,'Списки участников'!$A:$J,6,FALSE))</f>
        <v>Домодедово  М.о.</v>
      </c>
      <c r="N77" s="953"/>
      <c r="P77" s="1146"/>
      <c r="Q77" s="1148"/>
      <c r="R77" s="952" t="str">
        <f>IF(Q76="","",VLOOKUP(Q76,'Списки участников'!$A:$J,6,FALSE))</f>
        <v>Москва</v>
      </c>
      <c r="S77" s="953"/>
    </row>
    <row r="78" spans="1:19" ht="15.75" thickTop="1" x14ac:dyDescent="0.2">
      <c r="A78" s="1145">
        <v>5</v>
      </c>
      <c r="B78" s="1149">
        <v>82</v>
      </c>
      <c r="C78" s="950" t="str">
        <f>IF(B78="","",VLOOKUP(B78,'Списки участников'!$A:$J,3,FALSE))</f>
        <v>СУЧКОВ Артемий</v>
      </c>
      <c r="D78" s="951" t="str">
        <f>IF(B78="","",VLOOKUP(B78,'Списки участников'!$A:$J,9,FALSE))</f>
        <v>Оноприенко В.Ю.</v>
      </c>
      <c r="F78" s="1145">
        <v>5</v>
      </c>
      <c r="G78" s="1149">
        <v>78</v>
      </c>
      <c r="H78" s="950" t="str">
        <f>IF(G78="","",VLOOKUP(G78,'Списки участников'!$A:$J,3,FALSE))</f>
        <v>АМУРСКИЙ Василий</v>
      </c>
      <c r="I78" s="951" t="str">
        <f>IF(G78="","",VLOOKUP(G78,'Списки участников'!$A:$J,9,FALSE))</f>
        <v>Шулимова Т.В.. Лаврентьев А.А.</v>
      </c>
      <c r="K78" s="1145">
        <v>5</v>
      </c>
      <c r="L78" s="1149">
        <v>80</v>
      </c>
      <c r="M78" s="950" t="str">
        <f>IF(L78="","",VLOOKUP(L78,'Списки участников'!$A:$J,3,FALSE))</f>
        <v>ЛЕОНИДОВ Александр</v>
      </c>
      <c r="N78" s="951" t="str">
        <f>IF(L78="","",VLOOKUP(L78,'Списки участников'!$A:$J,9,FALSE))</f>
        <v>Чиченев В.А., Чиченев А.В.</v>
      </c>
      <c r="P78" s="1145">
        <v>5</v>
      </c>
      <c r="Q78" s="1149">
        <v>84</v>
      </c>
      <c r="R78" s="950" t="str">
        <f>IF(Q78="","",VLOOKUP(Q78,'Списки участников'!$A:$J,3,FALSE))</f>
        <v>ЗОЛОТКОВ Максим</v>
      </c>
      <c r="S78" s="951" t="str">
        <f>IF(Q78="","",VLOOKUP(Q78,'Списки участников'!$A:$J,9,FALSE))</f>
        <v>Бортников Р.В.</v>
      </c>
    </row>
    <row r="79" spans="1:19" ht="15.75" thickBot="1" x14ac:dyDescent="0.25">
      <c r="A79" s="1146"/>
      <c r="B79" s="1150"/>
      <c r="C79" s="952" t="str">
        <f>IF(B78="","",VLOOKUP(B78,'Списки участников'!$A:$J,6,FALSE))</f>
        <v>Дмитров</v>
      </c>
      <c r="D79" s="953"/>
      <c r="F79" s="1146"/>
      <c r="G79" s="1150"/>
      <c r="H79" s="952" t="str">
        <f>IF(G78="","",VLOOKUP(G78,'Списки участников'!$A:$J,6,FALSE))</f>
        <v>Москва</v>
      </c>
      <c r="I79" s="953"/>
      <c r="K79" s="1146"/>
      <c r="L79" s="1150"/>
      <c r="M79" s="952" t="str">
        <f>IF(L78="","",VLOOKUP(L78,'Списки участников'!$A:$J,6,FALSE))</f>
        <v>Москва</v>
      </c>
      <c r="N79" s="953"/>
      <c r="P79" s="1146"/>
      <c r="Q79" s="1150"/>
      <c r="R79" s="952" t="str">
        <f>IF(Q78="","",VLOOKUP(Q78,'Списки участников'!$A:$J,6,FALSE))</f>
        <v>Пушкин  М.о.</v>
      </c>
      <c r="S79" s="953"/>
    </row>
    <row r="80" spans="1:19" ht="15.75" thickTop="1" x14ac:dyDescent="0.2">
      <c r="A80" s="1145">
        <v>6</v>
      </c>
      <c r="B80" s="1147">
        <v>88</v>
      </c>
      <c r="C80" s="950" t="str">
        <f>IF(B80="","",VLOOKUP(B80,'Списки участников'!$A:$J,3,FALSE))</f>
        <v>ОДЕРКОВ Марк</v>
      </c>
      <c r="D80" s="951" t="str">
        <f>IF(B80="","",VLOOKUP(B80,'Списки участников'!$A:$J,9,FALSE))</f>
        <v>Гамаюнов И.В.</v>
      </c>
      <c r="F80" s="1145">
        <v>6</v>
      </c>
      <c r="G80" s="1147">
        <v>87</v>
      </c>
      <c r="H80" s="950" t="str">
        <f>IF(G80="","",VLOOKUP(G80,'Списки участников'!$A:$J,3,FALSE))</f>
        <v>РОСТОШИНСКИЙ Иван</v>
      </c>
      <c r="I80" s="951" t="str">
        <f>IF(G80="","",VLOOKUP(G80,'Списки участников'!$A:$J,9,FALSE))</f>
        <v>Мельник Г.Н.</v>
      </c>
      <c r="K80" s="1145">
        <v>6</v>
      </c>
      <c r="L80" s="1147">
        <v>86</v>
      </c>
      <c r="M80" s="950" t="str">
        <f>IF(L80="","",VLOOKUP(L80,'Списки участников'!$A:$J,3,FALSE))</f>
        <v xml:space="preserve">КОРОЛЬКОВ Егор </v>
      </c>
      <c r="N80" s="951" t="str">
        <f>IF(L80="","",VLOOKUP(L80,'Списки участников'!$A:$J,9,FALSE))</f>
        <v>Чуев А.Н.</v>
      </c>
      <c r="P80" s="1145">
        <v>6</v>
      </c>
      <c r="Q80" s="1147">
        <v>85</v>
      </c>
      <c r="R80" s="950" t="str">
        <f>IF(Q80="","",VLOOKUP(Q80,'Списки участников'!$A:$J,3,FALSE))</f>
        <v>УШКАРЕВ Максим</v>
      </c>
      <c r="S80" s="951" t="str">
        <f>IF(Q80="","",VLOOKUP(Q80,'Списки участников'!$A:$J,9,FALSE))</f>
        <v>Мулдагалиев  С.А., Калустов К.С.</v>
      </c>
    </row>
    <row r="81" spans="1:19" ht="15.75" thickBot="1" x14ac:dyDescent="0.25">
      <c r="A81" s="1146"/>
      <c r="B81" s="1148"/>
      <c r="C81" s="952" t="str">
        <f>IF(B80="","",VLOOKUP(B80,'Списки участников'!$A:$J,6,FALSE))</f>
        <v>Скопин  Ряз.о.</v>
      </c>
      <c r="D81" s="953"/>
      <c r="F81" s="1146"/>
      <c r="G81" s="1148"/>
      <c r="H81" s="952" t="str">
        <f>IF(G80="","",VLOOKUP(G80,'Списки участников'!$A:$J,6,FALSE))</f>
        <v>Москва</v>
      </c>
      <c r="I81" s="953"/>
      <c r="K81" s="1146"/>
      <c r="L81" s="1148"/>
      <c r="M81" s="952" t="str">
        <f>IF(L80="","",VLOOKUP(L80,'Списки участников'!$A:$J,6,FALSE))</f>
        <v>Москва</v>
      </c>
      <c r="N81" s="953"/>
      <c r="P81" s="1146"/>
      <c r="Q81" s="1148"/>
      <c r="R81" s="952" t="str">
        <f>IF(Q80="","",VLOOKUP(Q80,'Списки участников'!$A:$J,6,FALSE))</f>
        <v>Жуковский</v>
      </c>
      <c r="S81" s="953"/>
    </row>
    <row r="82" spans="1:19" ht="15.75" thickTop="1" x14ac:dyDescent="0.2">
      <c r="A82" s="1145">
        <v>7</v>
      </c>
      <c r="B82" s="1149">
        <v>94</v>
      </c>
      <c r="C82" s="950" t="str">
        <f>IF(B82="","",VLOOKUP(B82,'Списки участников'!$A:$J,3,FALSE))</f>
        <v>ФЕДОРЕНКО Александр</v>
      </c>
      <c r="D82" s="951" t="str">
        <f>IF(B82="","",VLOOKUP(B82,'Списки участников'!$A:$J,9,FALSE))</f>
        <v>Савостина А.Ю.</v>
      </c>
      <c r="F82" s="1145">
        <v>7</v>
      </c>
      <c r="G82" s="1149"/>
      <c r="H82" s="950" t="str">
        <f>IF(G82="","",VLOOKUP(G82,'Списки участников'!$A:$J,3,FALSE))</f>
        <v/>
      </c>
      <c r="I82" s="951" t="str">
        <f>IF(G82="","",VLOOKUP(G82,'Списки участников'!$A:$J,9,FALSE))</f>
        <v/>
      </c>
      <c r="K82" s="1145">
        <v>7</v>
      </c>
      <c r="L82" s="1149"/>
      <c r="M82" s="950" t="str">
        <f>IF(L82="","",VLOOKUP(L82,'Списки участников'!$A:$J,3,FALSE))</f>
        <v/>
      </c>
      <c r="N82" s="951" t="str">
        <f>IF(L82="","",VLOOKUP(L82,'Списки участников'!$A:$J,9,FALSE))</f>
        <v/>
      </c>
      <c r="P82" s="1145">
        <v>7</v>
      </c>
      <c r="Q82" s="1149"/>
      <c r="R82" s="950" t="str">
        <f>IF(Q82="","",VLOOKUP(Q82,'Списки участников'!$A:$J,3,FALSE))</f>
        <v/>
      </c>
      <c r="S82" s="951" t="str">
        <f>IF(Q82="","",VLOOKUP(Q82,'Списки участников'!$A:$J,9,FALSE))</f>
        <v/>
      </c>
    </row>
    <row r="83" spans="1:19" ht="15.75" thickBot="1" x14ac:dyDescent="0.25">
      <c r="A83" s="1146"/>
      <c r="B83" s="1150"/>
      <c r="C83" s="952" t="str">
        <f>IF(B82="","",VLOOKUP(B82,'Списки участников'!$A:$J,6,FALSE))</f>
        <v>Москва</v>
      </c>
      <c r="D83" s="953"/>
      <c r="F83" s="1146"/>
      <c r="G83" s="1150"/>
      <c r="H83" s="952" t="str">
        <f>IF(G82="","",VLOOKUP(G82,'Списки участников'!$A:$J,6,FALSE))</f>
        <v/>
      </c>
      <c r="I83" s="953"/>
      <c r="K83" s="1146"/>
      <c r="L83" s="1150"/>
      <c r="M83" s="952" t="str">
        <f>IF(L82="","",VLOOKUP(L82,'Списки участников'!$A:$J,6,FALSE))</f>
        <v/>
      </c>
      <c r="N83" s="953"/>
      <c r="P83" s="1146"/>
      <c r="Q83" s="1150"/>
      <c r="R83" s="952" t="str">
        <f>IF(Q82="","",VLOOKUP(Q82,'Списки участников'!$A:$J,6,FALSE))</f>
        <v/>
      </c>
      <c r="S83" s="953"/>
    </row>
    <row r="84" spans="1:19" ht="15.75" thickTop="1" x14ac:dyDescent="0.2">
      <c r="A84" s="1145">
        <v>8</v>
      </c>
      <c r="B84" s="1147"/>
      <c r="C84" s="950" t="str">
        <f>IF(B84="","",VLOOKUP(B84,'Списки участников'!$A:$J,3,FALSE))</f>
        <v/>
      </c>
      <c r="D84" s="951" t="str">
        <f>IF(B84="","",VLOOKUP(B84,'Списки участников'!$A:$J,9,FALSE))</f>
        <v/>
      </c>
      <c r="F84" s="1145">
        <v>8</v>
      </c>
      <c r="G84" s="1147"/>
      <c r="H84" s="950" t="str">
        <f>IF(G84="","",VLOOKUP(G84,'Списки участников'!$A:$J,3,FALSE))</f>
        <v/>
      </c>
      <c r="I84" s="951" t="str">
        <f>IF(G84="","",VLOOKUP(G84,'Списки участников'!$A:$J,9,FALSE))</f>
        <v/>
      </c>
      <c r="K84" s="1145">
        <v>8</v>
      </c>
      <c r="L84" s="1147"/>
      <c r="M84" s="950" t="str">
        <f>IF(L84="","",VLOOKUP(L84,'Списки участников'!$A:$J,3,FALSE))</f>
        <v/>
      </c>
      <c r="N84" s="951" t="str">
        <f>IF(L84="","",VLOOKUP(L84,'Списки участников'!$A:$J,9,FALSE))</f>
        <v/>
      </c>
      <c r="P84" s="1145">
        <v>8</v>
      </c>
      <c r="Q84" s="1147"/>
      <c r="R84" s="950" t="str">
        <f>IF(Q84="","",VLOOKUP(Q84,'Списки участников'!$A:$J,3,FALSE))</f>
        <v/>
      </c>
      <c r="S84" s="951" t="str">
        <f>IF(Q84="","",VLOOKUP(Q84,'Списки участников'!$A:$J,9,FALSE))</f>
        <v/>
      </c>
    </row>
    <row r="85" spans="1:19" ht="15.75" thickBot="1" x14ac:dyDescent="0.25">
      <c r="A85" s="1146"/>
      <c r="B85" s="1148"/>
      <c r="C85" s="952" t="str">
        <f>IF(B84="","",VLOOKUP(B84,'Списки участников'!$A:$J,6,FALSE))</f>
        <v/>
      </c>
      <c r="D85" s="953"/>
      <c r="F85" s="1146"/>
      <c r="G85" s="1148"/>
      <c r="H85" s="952" t="str">
        <f>IF(G84="","",VLOOKUP(G84,'Списки участников'!$A:$J,6,FALSE))</f>
        <v/>
      </c>
      <c r="I85" s="953"/>
      <c r="K85" s="1146"/>
      <c r="L85" s="1148"/>
      <c r="M85" s="952" t="str">
        <f>IF(L84="","",VLOOKUP(L84,'Списки участников'!$A:$J,6,FALSE))</f>
        <v/>
      </c>
      <c r="N85" s="953"/>
      <c r="P85" s="1146"/>
      <c r="Q85" s="1148"/>
      <c r="R85" s="952" t="str">
        <f>IF(Q84="","",VLOOKUP(Q84,'Списки участников'!$A:$J,6,FALSE))</f>
        <v/>
      </c>
      <c r="S85" s="953"/>
    </row>
    <row r="86" spans="1:19" ht="15.75" thickTop="1" x14ac:dyDescent="0.2">
      <c r="A86" s="1145">
        <v>9</v>
      </c>
      <c r="B86" s="1149"/>
      <c r="C86" s="950" t="str">
        <f>IF(B86="","",VLOOKUP(B86,'Списки участников'!$A:$J,3,FALSE))</f>
        <v/>
      </c>
      <c r="D86" s="951" t="str">
        <f>IF(B86="","",VLOOKUP(B86,'Списки участников'!$A:$J,9,FALSE))</f>
        <v/>
      </c>
      <c r="F86" s="1145">
        <v>9</v>
      </c>
      <c r="G86" s="1149"/>
      <c r="H86" s="950" t="str">
        <f>IF(G86="","",VLOOKUP(G86,'Списки участников'!$A:$J,3,FALSE))</f>
        <v/>
      </c>
      <c r="I86" s="951" t="str">
        <f>IF(G86="","",VLOOKUP(G86,'Списки участников'!$A:$J,9,FALSE))</f>
        <v/>
      </c>
      <c r="K86" s="1145">
        <v>9</v>
      </c>
      <c r="L86" s="1149"/>
      <c r="M86" s="950" t="str">
        <f>IF(L86="","",VLOOKUP(L86,'Списки участников'!$A:$J,3,FALSE))</f>
        <v/>
      </c>
      <c r="N86" s="951" t="str">
        <f>IF(L86="","",VLOOKUP(L86,'Списки участников'!$A:$J,9,FALSE))</f>
        <v/>
      </c>
      <c r="P86" s="1145">
        <v>9</v>
      </c>
      <c r="Q86" s="1149"/>
      <c r="R86" s="950" t="str">
        <f>IF(Q86="","",VLOOKUP(Q86,'Списки участников'!$A:$J,3,FALSE))</f>
        <v/>
      </c>
      <c r="S86" s="951" t="str">
        <f>IF(Q86="","",VLOOKUP(Q86,'Списки участников'!$A:$J,9,FALSE))</f>
        <v/>
      </c>
    </row>
    <row r="87" spans="1:19" ht="15.75" thickBot="1" x14ac:dyDescent="0.25">
      <c r="A87" s="1146"/>
      <c r="B87" s="1150"/>
      <c r="C87" s="952" t="str">
        <f>IF(B86="","",VLOOKUP(B86,'Списки участников'!$A:$J,6,FALSE))</f>
        <v/>
      </c>
      <c r="D87" s="953"/>
      <c r="F87" s="1146"/>
      <c r="G87" s="1150"/>
      <c r="H87" s="952" t="str">
        <f>IF(G86="","",VLOOKUP(G86,'Списки участников'!$A:$J,6,FALSE))</f>
        <v/>
      </c>
      <c r="I87" s="953"/>
      <c r="K87" s="1146"/>
      <c r="L87" s="1150"/>
      <c r="M87" s="952" t="str">
        <f>IF(L86="","",VLOOKUP(L86,'Списки участников'!$A:$J,6,FALSE))</f>
        <v/>
      </c>
      <c r="N87" s="953"/>
      <c r="P87" s="1146"/>
      <c r="Q87" s="1150"/>
      <c r="R87" s="952" t="str">
        <f>IF(Q86="","",VLOOKUP(Q86,'Списки участников'!$A:$J,6,FALSE))</f>
        <v/>
      </c>
      <c r="S87" s="953"/>
    </row>
    <row r="88" spans="1:19" ht="15.75" thickTop="1" x14ac:dyDescent="0.2">
      <c r="A88" s="1145">
        <v>10</v>
      </c>
      <c r="B88" s="1147"/>
      <c r="C88" s="950" t="str">
        <f>IF(B88="","",VLOOKUP(B88,'Списки участников'!$A:$J,3,FALSE))</f>
        <v/>
      </c>
      <c r="D88" s="951" t="str">
        <f>IF(B88="","",VLOOKUP(B88,'Списки участников'!$A:$J,9,FALSE))</f>
        <v/>
      </c>
      <c r="F88" s="1145">
        <v>10</v>
      </c>
      <c r="G88" s="1147"/>
      <c r="H88" s="950" t="str">
        <f>IF(G88="","",VLOOKUP(G88,'Списки участников'!$A:$J,3,FALSE))</f>
        <v/>
      </c>
      <c r="I88" s="951" t="str">
        <f>IF(G88="","",VLOOKUP(G88,'Списки участников'!$A:$J,9,FALSE))</f>
        <v/>
      </c>
      <c r="K88" s="1145">
        <v>10</v>
      </c>
      <c r="L88" s="1147"/>
      <c r="M88" s="950" t="str">
        <f>IF(L88="","",VLOOKUP(L88,'Списки участников'!$A:$J,3,FALSE))</f>
        <v/>
      </c>
      <c r="N88" s="951" t="str">
        <f>IF(L88="","",VLOOKUP(L88,'Списки участников'!$A:$J,9,FALSE))</f>
        <v/>
      </c>
      <c r="P88" s="1145">
        <v>10</v>
      </c>
      <c r="Q88" s="1147"/>
      <c r="R88" s="950" t="str">
        <f>IF(Q88="","",VLOOKUP(Q88,'Списки участников'!$A:$J,3,FALSE))</f>
        <v/>
      </c>
      <c r="S88" s="951" t="str">
        <f>IF(Q88="","",VLOOKUP(Q88,'Списки участников'!$A:$J,9,FALSE))</f>
        <v/>
      </c>
    </row>
    <row r="89" spans="1:19" ht="15.75" thickBot="1" x14ac:dyDescent="0.25">
      <c r="A89" s="1146"/>
      <c r="B89" s="1148"/>
      <c r="C89" s="952" t="str">
        <f>IF(B88="","",VLOOKUP(B88,'Списки участников'!$A:$J,6,FALSE))</f>
        <v/>
      </c>
      <c r="D89" s="953"/>
      <c r="F89" s="1146"/>
      <c r="G89" s="1148"/>
      <c r="H89" s="952" t="str">
        <f>IF(G88="","",VLOOKUP(G88,'Списки участников'!$A:$J,6,FALSE))</f>
        <v/>
      </c>
      <c r="I89" s="953"/>
      <c r="K89" s="1146"/>
      <c r="L89" s="1148"/>
      <c r="M89" s="952" t="str">
        <f>IF(L88="","",VLOOKUP(L88,'Списки участников'!$A:$J,6,FALSE))</f>
        <v/>
      </c>
      <c r="N89" s="953"/>
      <c r="P89" s="1146"/>
      <c r="Q89" s="1148"/>
      <c r="R89" s="952" t="str">
        <f>IF(Q88="","",VLOOKUP(Q88,'Списки участников'!$A:$J,6,FALSE))</f>
        <v/>
      </c>
      <c r="S89" s="953"/>
    </row>
    <row r="90" spans="1:19" ht="13.5" thickTop="1" x14ac:dyDescent="0.2"/>
  </sheetData>
  <mergeCells count="518">
    <mergeCell ref="P86:P87"/>
    <mergeCell ref="Q86:Q87"/>
    <mergeCell ref="A88:A89"/>
    <mergeCell ref="B88:B89"/>
    <mergeCell ref="F88:F89"/>
    <mergeCell ref="G88:G89"/>
    <mergeCell ref="K88:K89"/>
    <mergeCell ref="L88:L89"/>
    <mergeCell ref="P88:P89"/>
    <mergeCell ref="Q88:Q89"/>
    <mergeCell ref="A86:A87"/>
    <mergeCell ref="B86:B87"/>
    <mergeCell ref="F86:F87"/>
    <mergeCell ref="G86:G87"/>
    <mergeCell ref="K86:K87"/>
    <mergeCell ref="L86:L87"/>
    <mergeCell ref="P82:P83"/>
    <mergeCell ref="Q82:Q83"/>
    <mergeCell ref="A84:A85"/>
    <mergeCell ref="B84:B85"/>
    <mergeCell ref="F84:F85"/>
    <mergeCell ref="G84:G85"/>
    <mergeCell ref="K84:K85"/>
    <mergeCell ref="L84:L85"/>
    <mergeCell ref="P84:P85"/>
    <mergeCell ref="Q84:Q85"/>
    <mergeCell ref="A82:A83"/>
    <mergeCell ref="B82:B83"/>
    <mergeCell ref="F82:F83"/>
    <mergeCell ref="G82:G83"/>
    <mergeCell ref="K82:K83"/>
    <mergeCell ref="L82:L83"/>
    <mergeCell ref="P78:P79"/>
    <mergeCell ref="Q78:Q79"/>
    <mergeCell ref="A80:A81"/>
    <mergeCell ref="B80:B81"/>
    <mergeCell ref="F80:F81"/>
    <mergeCell ref="G80:G81"/>
    <mergeCell ref="K80:K81"/>
    <mergeCell ref="L80:L81"/>
    <mergeCell ref="P80:P81"/>
    <mergeCell ref="Q80:Q81"/>
    <mergeCell ref="A78:A79"/>
    <mergeCell ref="B78:B79"/>
    <mergeCell ref="F78:F79"/>
    <mergeCell ref="G78:G79"/>
    <mergeCell ref="K78:K79"/>
    <mergeCell ref="L78:L79"/>
    <mergeCell ref="P74:P75"/>
    <mergeCell ref="Q74:Q75"/>
    <mergeCell ref="A76:A77"/>
    <mergeCell ref="B76:B77"/>
    <mergeCell ref="F76:F77"/>
    <mergeCell ref="G76:G77"/>
    <mergeCell ref="K76:K77"/>
    <mergeCell ref="L76:L77"/>
    <mergeCell ref="P76:P77"/>
    <mergeCell ref="Q76:Q77"/>
    <mergeCell ref="A74:A75"/>
    <mergeCell ref="B74:B75"/>
    <mergeCell ref="F74:F75"/>
    <mergeCell ref="G74:G75"/>
    <mergeCell ref="K74:K75"/>
    <mergeCell ref="L74:L75"/>
    <mergeCell ref="P70:P71"/>
    <mergeCell ref="Q70:Q71"/>
    <mergeCell ref="A72:A73"/>
    <mergeCell ref="B72:B73"/>
    <mergeCell ref="F72:F73"/>
    <mergeCell ref="G72:G73"/>
    <mergeCell ref="K72:K73"/>
    <mergeCell ref="L72:L73"/>
    <mergeCell ref="P72:P73"/>
    <mergeCell ref="Q72:Q73"/>
    <mergeCell ref="A70:A71"/>
    <mergeCell ref="B70:B71"/>
    <mergeCell ref="F70:F71"/>
    <mergeCell ref="G70:G71"/>
    <mergeCell ref="K70:K71"/>
    <mergeCell ref="L70:L71"/>
    <mergeCell ref="A68:C68"/>
    <mergeCell ref="F68:H68"/>
    <mergeCell ref="K68:M68"/>
    <mergeCell ref="P68:R68"/>
    <mergeCell ref="C69:D69"/>
    <mergeCell ref="H69:I69"/>
    <mergeCell ref="M69:N69"/>
    <mergeCell ref="R69:S69"/>
    <mergeCell ref="P64:P65"/>
    <mergeCell ref="Q64:Q65"/>
    <mergeCell ref="A66:A67"/>
    <mergeCell ref="B66:B67"/>
    <mergeCell ref="F66:F67"/>
    <mergeCell ref="G66:G67"/>
    <mergeCell ref="K66:K67"/>
    <mergeCell ref="L66:L67"/>
    <mergeCell ref="P66:P67"/>
    <mergeCell ref="Q66:Q67"/>
    <mergeCell ref="A64:A65"/>
    <mergeCell ref="B64:B65"/>
    <mergeCell ref="F64:F65"/>
    <mergeCell ref="G64:G65"/>
    <mergeCell ref="K64:K65"/>
    <mergeCell ref="L64:L65"/>
    <mergeCell ref="P60:P61"/>
    <mergeCell ref="Q60:Q61"/>
    <mergeCell ref="A62:A63"/>
    <mergeCell ref="B62:B63"/>
    <mergeCell ref="F62:F63"/>
    <mergeCell ref="G62:G63"/>
    <mergeCell ref="K62:K63"/>
    <mergeCell ref="L62:L63"/>
    <mergeCell ref="P62:P63"/>
    <mergeCell ref="Q62:Q63"/>
    <mergeCell ref="A60:A61"/>
    <mergeCell ref="B60:B61"/>
    <mergeCell ref="F60:F61"/>
    <mergeCell ref="G60:G61"/>
    <mergeCell ref="K60:K61"/>
    <mergeCell ref="L60:L61"/>
    <mergeCell ref="P56:P57"/>
    <mergeCell ref="Q56:Q57"/>
    <mergeCell ref="A58:A59"/>
    <mergeCell ref="B58:B59"/>
    <mergeCell ref="F58:F59"/>
    <mergeCell ref="G58:G59"/>
    <mergeCell ref="K58:K59"/>
    <mergeCell ref="L58:L59"/>
    <mergeCell ref="P58:P59"/>
    <mergeCell ref="Q58:Q59"/>
    <mergeCell ref="A56:A57"/>
    <mergeCell ref="B56:B57"/>
    <mergeCell ref="F56:F57"/>
    <mergeCell ref="G56:G57"/>
    <mergeCell ref="K56:K57"/>
    <mergeCell ref="L56:L57"/>
    <mergeCell ref="P52:P53"/>
    <mergeCell ref="Q52:Q53"/>
    <mergeCell ref="A54:A55"/>
    <mergeCell ref="B54:B55"/>
    <mergeCell ref="F54:F55"/>
    <mergeCell ref="G54:G55"/>
    <mergeCell ref="K54:K55"/>
    <mergeCell ref="L54:L55"/>
    <mergeCell ref="P54:P55"/>
    <mergeCell ref="Q54:Q55"/>
    <mergeCell ref="A52:A53"/>
    <mergeCell ref="B52:B53"/>
    <mergeCell ref="F52:F53"/>
    <mergeCell ref="G52:G53"/>
    <mergeCell ref="K52:K53"/>
    <mergeCell ref="L52:L53"/>
    <mergeCell ref="A48:A49"/>
    <mergeCell ref="B48:B49"/>
    <mergeCell ref="F48:F49"/>
    <mergeCell ref="G48:G49"/>
    <mergeCell ref="K48:K49"/>
    <mergeCell ref="L48:L49"/>
    <mergeCell ref="P48:P49"/>
    <mergeCell ref="Q48:Q49"/>
    <mergeCell ref="A50:A51"/>
    <mergeCell ref="B50:B51"/>
    <mergeCell ref="F50:F51"/>
    <mergeCell ref="G50:G51"/>
    <mergeCell ref="K50:K51"/>
    <mergeCell ref="L50:L51"/>
    <mergeCell ref="P50:P51"/>
    <mergeCell ref="Q50:Q51"/>
    <mergeCell ref="A46:C46"/>
    <mergeCell ref="F46:H46"/>
    <mergeCell ref="K46:M46"/>
    <mergeCell ref="P46:R46"/>
    <mergeCell ref="Y42:Y43"/>
    <mergeCell ref="Z42:Z43"/>
    <mergeCell ref="AA42:AA43"/>
    <mergeCell ref="C47:D47"/>
    <mergeCell ref="H47:I47"/>
    <mergeCell ref="M47:N47"/>
    <mergeCell ref="R47:S47"/>
    <mergeCell ref="AB42:AB43"/>
    <mergeCell ref="A44:A45"/>
    <mergeCell ref="B44:B45"/>
    <mergeCell ref="F44:F45"/>
    <mergeCell ref="G44:G45"/>
    <mergeCell ref="K44:K45"/>
    <mergeCell ref="L44:L45"/>
    <mergeCell ref="P42:P43"/>
    <mergeCell ref="Q42:Q43"/>
    <mergeCell ref="U42:U43"/>
    <mergeCell ref="V42:V43"/>
    <mergeCell ref="W42:W43"/>
    <mergeCell ref="X42:X43"/>
    <mergeCell ref="P44:P45"/>
    <mergeCell ref="Q44:Q45"/>
    <mergeCell ref="A42:A43"/>
    <mergeCell ref="B42:B43"/>
    <mergeCell ref="F42:F43"/>
    <mergeCell ref="G42:G43"/>
    <mergeCell ref="K42:K43"/>
    <mergeCell ref="L42:L43"/>
    <mergeCell ref="Y38:Y39"/>
    <mergeCell ref="Z38:Z39"/>
    <mergeCell ref="AA38:AA39"/>
    <mergeCell ref="AB38:AB39"/>
    <mergeCell ref="A40:A41"/>
    <mergeCell ref="B40:B41"/>
    <mergeCell ref="F40:F41"/>
    <mergeCell ref="G40:G41"/>
    <mergeCell ref="K40:K41"/>
    <mergeCell ref="L40:L41"/>
    <mergeCell ref="P38:P39"/>
    <mergeCell ref="Q38:Q39"/>
    <mergeCell ref="U38:U39"/>
    <mergeCell ref="V38:V39"/>
    <mergeCell ref="W38:W39"/>
    <mergeCell ref="X38:X39"/>
    <mergeCell ref="Y40:Y41"/>
    <mergeCell ref="Z40:Z41"/>
    <mergeCell ref="AA40:AA41"/>
    <mergeCell ref="AB40:AB41"/>
    <mergeCell ref="V40:V41"/>
    <mergeCell ref="W40:W41"/>
    <mergeCell ref="X40:X41"/>
    <mergeCell ref="A38:A39"/>
    <mergeCell ref="B38:B39"/>
    <mergeCell ref="F38:F39"/>
    <mergeCell ref="G38:G39"/>
    <mergeCell ref="K38:K39"/>
    <mergeCell ref="L38:L39"/>
    <mergeCell ref="P36:P37"/>
    <mergeCell ref="Q36:Q37"/>
    <mergeCell ref="U36:U37"/>
    <mergeCell ref="P40:P41"/>
    <mergeCell ref="Q40:Q41"/>
    <mergeCell ref="U40:U41"/>
    <mergeCell ref="Z34:Z35"/>
    <mergeCell ref="AA34:AA35"/>
    <mergeCell ref="AB34:AB35"/>
    <mergeCell ref="A36:A37"/>
    <mergeCell ref="B36:B37"/>
    <mergeCell ref="F36:F37"/>
    <mergeCell ref="G36:G37"/>
    <mergeCell ref="K36:K37"/>
    <mergeCell ref="L36:L37"/>
    <mergeCell ref="P34:P35"/>
    <mergeCell ref="Q34:Q35"/>
    <mergeCell ref="U34:U35"/>
    <mergeCell ref="V34:V35"/>
    <mergeCell ref="W34:W35"/>
    <mergeCell ref="X34:X35"/>
    <mergeCell ref="Y36:Y37"/>
    <mergeCell ref="Z36:Z37"/>
    <mergeCell ref="AA36:AA37"/>
    <mergeCell ref="AB36:AB37"/>
    <mergeCell ref="V36:V37"/>
    <mergeCell ref="W36:W37"/>
    <mergeCell ref="X36:X37"/>
    <mergeCell ref="A34:A35"/>
    <mergeCell ref="B34:B35"/>
    <mergeCell ref="F34:F35"/>
    <mergeCell ref="G34:G35"/>
    <mergeCell ref="K34:K35"/>
    <mergeCell ref="L34:L35"/>
    <mergeCell ref="P32:P33"/>
    <mergeCell ref="Q32:Q33"/>
    <mergeCell ref="U32:U33"/>
    <mergeCell ref="Y30:Y31"/>
    <mergeCell ref="F30:F31"/>
    <mergeCell ref="G30:G31"/>
    <mergeCell ref="K30:K31"/>
    <mergeCell ref="L30:L31"/>
    <mergeCell ref="Y34:Y35"/>
    <mergeCell ref="Z30:Z31"/>
    <mergeCell ref="AA30:AA31"/>
    <mergeCell ref="AB30:AB31"/>
    <mergeCell ref="A32:A33"/>
    <mergeCell ref="B32:B33"/>
    <mergeCell ref="F32:F33"/>
    <mergeCell ref="G32:G33"/>
    <mergeCell ref="K32:K33"/>
    <mergeCell ref="L32:L33"/>
    <mergeCell ref="P30:P31"/>
    <mergeCell ref="Q30:Q31"/>
    <mergeCell ref="U30:U31"/>
    <mergeCell ref="V30:V31"/>
    <mergeCell ref="W30:W31"/>
    <mergeCell ref="X30:X31"/>
    <mergeCell ref="Y32:Y33"/>
    <mergeCell ref="Z32:Z33"/>
    <mergeCell ref="AA32:AA33"/>
    <mergeCell ref="AB32:AB33"/>
    <mergeCell ref="V32:V33"/>
    <mergeCell ref="W32:W33"/>
    <mergeCell ref="X32:X33"/>
    <mergeCell ref="A30:A31"/>
    <mergeCell ref="B30:B31"/>
    <mergeCell ref="P28:P29"/>
    <mergeCell ref="Q28:Q29"/>
    <mergeCell ref="U28:U29"/>
    <mergeCell ref="AB26:AB27"/>
    <mergeCell ref="A28:A29"/>
    <mergeCell ref="B28:B29"/>
    <mergeCell ref="F28:F29"/>
    <mergeCell ref="G28:G29"/>
    <mergeCell ref="K28:K29"/>
    <mergeCell ref="L28:L29"/>
    <mergeCell ref="P26:P27"/>
    <mergeCell ref="Q26:Q27"/>
    <mergeCell ref="U26:U27"/>
    <mergeCell ref="V26:V27"/>
    <mergeCell ref="W26:W27"/>
    <mergeCell ref="X26:X27"/>
    <mergeCell ref="Y28:Y29"/>
    <mergeCell ref="Z28:Z29"/>
    <mergeCell ref="AA28:AA29"/>
    <mergeCell ref="AB28:AB29"/>
    <mergeCell ref="V28:V29"/>
    <mergeCell ref="W28:W29"/>
    <mergeCell ref="X28:X29"/>
    <mergeCell ref="A26:A27"/>
    <mergeCell ref="B26:B27"/>
    <mergeCell ref="F26:F27"/>
    <mergeCell ref="G26:G27"/>
    <mergeCell ref="K26:K27"/>
    <mergeCell ref="L26:L27"/>
    <mergeCell ref="Y26:Y27"/>
    <mergeCell ref="Z26:Z27"/>
    <mergeCell ref="AA26:AA27"/>
    <mergeCell ref="W24:W25"/>
    <mergeCell ref="X24:X25"/>
    <mergeCell ref="Y24:Y25"/>
    <mergeCell ref="Z24:Z25"/>
    <mergeCell ref="AA24:AA25"/>
    <mergeCell ref="AB24:AB25"/>
    <mergeCell ref="Y22:Y23"/>
    <mergeCell ref="Z22:Z23"/>
    <mergeCell ref="AA22:AA23"/>
    <mergeCell ref="AB22:AB23"/>
    <mergeCell ref="W22:W23"/>
    <mergeCell ref="X22:X23"/>
    <mergeCell ref="A24:C24"/>
    <mergeCell ref="F24:H24"/>
    <mergeCell ref="K24:M24"/>
    <mergeCell ref="P24:R24"/>
    <mergeCell ref="U24:U25"/>
    <mergeCell ref="V24:V25"/>
    <mergeCell ref="P22:P23"/>
    <mergeCell ref="Q22:Q23"/>
    <mergeCell ref="U22:U23"/>
    <mergeCell ref="V22:V23"/>
    <mergeCell ref="C25:D25"/>
    <mergeCell ref="H25:I25"/>
    <mergeCell ref="M25:N25"/>
    <mergeCell ref="R25:S25"/>
    <mergeCell ref="A22:A23"/>
    <mergeCell ref="B22:B23"/>
    <mergeCell ref="F22:F23"/>
    <mergeCell ref="G22:G23"/>
    <mergeCell ref="K22:K23"/>
    <mergeCell ref="L22:L23"/>
    <mergeCell ref="P20:P21"/>
    <mergeCell ref="Q20:Q21"/>
    <mergeCell ref="U20:U21"/>
    <mergeCell ref="Y18:Y19"/>
    <mergeCell ref="Z18:Z19"/>
    <mergeCell ref="AA18:AA19"/>
    <mergeCell ref="K18:K19"/>
    <mergeCell ref="L18:L19"/>
    <mergeCell ref="AB18:AB19"/>
    <mergeCell ref="A20:A21"/>
    <mergeCell ref="B20:B21"/>
    <mergeCell ref="F20:F21"/>
    <mergeCell ref="G20:G21"/>
    <mergeCell ref="K20:K21"/>
    <mergeCell ref="L20:L21"/>
    <mergeCell ref="P18:P19"/>
    <mergeCell ref="Q18:Q19"/>
    <mergeCell ref="U18:U19"/>
    <mergeCell ref="V18:V19"/>
    <mergeCell ref="W18:W19"/>
    <mergeCell ref="X18:X19"/>
    <mergeCell ref="Y20:Y21"/>
    <mergeCell ref="Z20:Z21"/>
    <mergeCell ref="AA20:AA21"/>
    <mergeCell ref="AB20:AB21"/>
    <mergeCell ref="V20:V21"/>
    <mergeCell ref="W20:W21"/>
    <mergeCell ref="X20:X21"/>
    <mergeCell ref="A18:A19"/>
    <mergeCell ref="B18:B19"/>
    <mergeCell ref="F18:F19"/>
    <mergeCell ref="G18:G19"/>
    <mergeCell ref="Y14:Y15"/>
    <mergeCell ref="Z14:Z15"/>
    <mergeCell ref="AA14:AA15"/>
    <mergeCell ref="AB14:AB15"/>
    <mergeCell ref="A16:A17"/>
    <mergeCell ref="B16:B17"/>
    <mergeCell ref="F16:F17"/>
    <mergeCell ref="G16:G17"/>
    <mergeCell ref="K16:K17"/>
    <mergeCell ref="L16:L17"/>
    <mergeCell ref="P14:P15"/>
    <mergeCell ref="Q14:Q15"/>
    <mergeCell ref="U14:U15"/>
    <mergeCell ref="V14:V15"/>
    <mergeCell ref="W14:W15"/>
    <mergeCell ref="X14:X15"/>
    <mergeCell ref="Y16:Y17"/>
    <mergeCell ref="Z16:Z17"/>
    <mergeCell ref="AA16:AA17"/>
    <mergeCell ref="AB16:AB17"/>
    <mergeCell ref="V16:V17"/>
    <mergeCell ref="W16:W17"/>
    <mergeCell ref="X16:X17"/>
    <mergeCell ref="A14:A15"/>
    <mergeCell ref="B14:B15"/>
    <mergeCell ref="F14:F15"/>
    <mergeCell ref="G14:G15"/>
    <mergeCell ref="K14:K15"/>
    <mergeCell ref="L14:L15"/>
    <mergeCell ref="P12:P13"/>
    <mergeCell ref="Q12:Q13"/>
    <mergeCell ref="U12:U13"/>
    <mergeCell ref="P16:P17"/>
    <mergeCell ref="Q16:Q17"/>
    <mergeCell ref="U16:U17"/>
    <mergeCell ref="AB10:AB11"/>
    <mergeCell ref="A12:A13"/>
    <mergeCell ref="B12:B13"/>
    <mergeCell ref="F12:F13"/>
    <mergeCell ref="G12:G13"/>
    <mergeCell ref="K12:K13"/>
    <mergeCell ref="L12:L13"/>
    <mergeCell ref="P10:P11"/>
    <mergeCell ref="Q10:Q11"/>
    <mergeCell ref="U10:U11"/>
    <mergeCell ref="V10:V11"/>
    <mergeCell ref="W10:W11"/>
    <mergeCell ref="X10:X11"/>
    <mergeCell ref="Y12:Y13"/>
    <mergeCell ref="Z12:Z13"/>
    <mergeCell ref="AA12:AA13"/>
    <mergeCell ref="AB12:AB13"/>
    <mergeCell ref="V12:V13"/>
    <mergeCell ref="W12:W13"/>
    <mergeCell ref="X12:X13"/>
    <mergeCell ref="A10:A11"/>
    <mergeCell ref="B10:B11"/>
    <mergeCell ref="F10:F11"/>
    <mergeCell ref="G10:G11"/>
    <mergeCell ref="K10:K11"/>
    <mergeCell ref="L10:L11"/>
    <mergeCell ref="P8:P9"/>
    <mergeCell ref="Q8:Q9"/>
    <mergeCell ref="U8:U9"/>
    <mergeCell ref="AA6:AA7"/>
    <mergeCell ref="Y10:Y11"/>
    <mergeCell ref="Z10:Z11"/>
    <mergeCell ref="AA10:AA11"/>
    <mergeCell ref="AB6:AB7"/>
    <mergeCell ref="A8:A9"/>
    <mergeCell ref="B8:B9"/>
    <mergeCell ref="F8:F9"/>
    <mergeCell ref="G8:G9"/>
    <mergeCell ref="K8:K9"/>
    <mergeCell ref="L8:L9"/>
    <mergeCell ref="P6:P7"/>
    <mergeCell ref="Q6:Q7"/>
    <mergeCell ref="U6:U7"/>
    <mergeCell ref="V6:V7"/>
    <mergeCell ref="W6:W7"/>
    <mergeCell ref="X6:X7"/>
    <mergeCell ref="Y8:Y9"/>
    <mergeCell ref="Z8:Z9"/>
    <mergeCell ref="AA8:AA9"/>
    <mergeCell ref="AB8:AB9"/>
    <mergeCell ref="V8:V9"/>
    <mergeCell ref="W8:W9"/>
    <mergeCell ref="X8:X9"/>
    <mergeCell ref="Y4:Y5"/>
    <mergeCell ref="Z4:Z5"/>
    <mergeCell ref="AA4:AA5"/>
    <mergeCell ref="AB4:AB5"/>
    <mergeCell ref="A6:A7"/>
    <mergeCell ref="B6:B7"/>
    <mergeCell ref="F6:F7"/>
    <mergeCell ref="G6:G7"/>
    <mergeCell ref="K6:K7"/>
    <mergeCell ref="L6:L7"/>
    <mergeCell ref="P4:P5"/>
    <mergeCell ref="Q4:Q5"/>
    <mergeCell ref="U4:U5"/>
    <mergeCell ref="V4:V5"/>
    <mergeCell ref="W4:W5"/>
    <mergeCell ref="X4:X5"/>
    <mergeCell ref="A4:A5"/>
    <mergeCell ref="B4:B5"/>
    <mergeCell ref="F4:F5"/>
    <mergeCell ref="G4:G5"/>
    <mergeCell ref="K4:K5"/>
    <mergeCell ref="L4:L5"/>
    <mergeCell ref="Y6:Y7"/>
    <mergeCell ref="Z6:Z7"/>
    <mergeCell ref="U2:X2"/>
    <mergeCell ref="Y2:AB2"/>
    <mergeCell ref="C3:D3"/>
    <mergeCell ref="H3:I3"/>
    <mergeCell ref="M3:N3"/>
    <mergeCell ref="R3:S3"/>
    <mergeCell ref="U3:X3"/>
    <mergeCell ref="Y3:AB3"/>
    <mergeCell ref="A1:J1"/>
    <mergeCell ref="K1:R1"/>
    <mergeCell ref="A2:C2"/>
    <mergeCell ref="F2:H2"/>
    <mergeCell ref="K2:M2"/>
    <mergeCell ref="P2:R2"/>
  </mergeCells>
  <conditionalFormatting sqref="C4:D23">
    <cfRule type="duplicateValues" dxfId="100" priority="82"/>
  </conditionalFormatting>
  <conditionalFormatting sqref="C48:D67">
    <cfRule type="duplicateValues" dxfId="99" priority="70"/>
  </conditionalFormatting>
  <conditionalFormatting sqref="U4:AB43">
    <cfRule type="duplicateValues" dxfId="98" priority="81"/>
  </conditionalFormatting>
  <conditionalFormatting sqref="K1:S1">
    <cfRule type="duplicateValues" dxfId="97" priority="80"/>
  </conditionalFormatting>
  <conditionalFormatting sqref="D14">
    <cfRule type="duplicateValues" dxfId="96" priority="79"/>
  </conditionalFormatting>
  <conditionalFormatting sqref="D4 D6 D8 D10 D12 D14 D16 D18 D20 D22">
    <cfRule type="duplicateValues" dxfId="95" priority="78"/>
  </conditionalFormatting>
  <conditionalFormatting sqref="D5 D7 D9 D11 D13 D15 D17 D19 D21 D23">
    <cfRule type="duplicateValues" dxfId="94" priority="76"/>
    <cfRule type="duplicateValues" dxfId="93" priority="77"/>
  </conditionalFormatting>
  <conditionalFormatting sqref="C26:D45">
    <cfRule type="duplicateValues" dxfId="92" priority="75"/>
  </conditionalFormatting>
  <conditionalFormatting sqref="D36">
    <cfRule type="duplicateValues" dxfId="91" priority="74"/>
  </conditionalFormatting>
  <conditionalFormatting sqref="D26 D28 D30 D32 D34 D36 D38 D40 D42 D44">
    <cfRule type="duplicateValues" dxfId="90" priority="73"/>
  </conditionalFormatting>
  <conditionalFormatting sqref="D27 D29 D31 D33 D35 D37 D39 D41 D43 D45">
    <cfRule type="duplicateValues" dxfId="89" priority="71"/>
    <cfRule type="duplicateValues" dxfId="88" priority="72"/>
  </conditionalFormatting>
  <conditionalFormatting sqref="D58">
    <cfRule type="duplicateValues" dxfId="87" priority="69"/>
  </conditionalFormatting>
  <conditionalFormatting sqref="D48 D50 D52 D54 D56 D58 D60 D62 D64 D66">
    <cfRule type="duplicateValues" dxfId="86" priority="68"/>
  </conditionalFormatting>
  <conditionalFormatting sqref="D49 D51 D53 D55 D57 D59 D61 D63 D65 D67">
    <cfRule type="duplicateValues" dxfId="85" priority="66"/>
    <cfRule type="duplicateValues" dxfId="84" priority="67"/>
  </conditionalFormatting>
  <conditionalFormatting sqref="C70:D89">
    <cfRule type="duplicateValues" dxfId="83" priority="65"/>
  </conditionalFormatting>
  <conditionalFormatting sqref="D80">
    <cfRule type="duplicateValues" dxfId="82" priority="64"/>
  </conditionalFormatting>
  <conditionalFormatting sqref="D70 D72 D74 D76 D78 D80 D82 D84 D86 D88">
    <cfRule type="duplicateValues" dxfId="81" priority="63"/>
  </conditionalFormatting>
  <conditionalFormatting sqref="D71 D73 D75 D77 D79 D81 D83 D85 D87 D89">
    <cfRule type="duplicateValues" dxfId="80" priority="61"/>
    <cfRule type="duplicateValues" dxfId="79" priority="62"/>
  </conditionalFormatting>
  <conditionalFormatting sqref="H4:I23">
    <cfRule type="duplicateValues" dxfId="78" priority="60"/>
  </conditionalFormatting>
  <conditionalFormatting sqref="I14">
    <cfRule type="duplicateValues" dxfId="77" priority="59"/>
  </conditionalFormatting>
  <conditionalFormatting sqref="I4 I6 I8 I10 I12 I14 I16 I18 I20 I22">
    <cfRule type="duplicateValues" dxfId="76" priority="58"/>
  </conditionalFormatting>
  <conditionalFormatting sqref="I5 I7 I9 I11 I13 I15 I17 I19 I21 I23">
    <cfRule type="duplicateValues" dxfId="75" priority="56"/>
    <cfRule type="duplicateValues" dxfId="74" priority="57"/>
  </conditionalFormatting>
  <conditionalFormatting sqref="H26:I45">
    <cfRule type="duplicateValues" dxfId="73" priority="55"/>
  </conditionalFormatting>
  <conditionalFormatting sqref="I36">
    <cfRule type="duplicateValues" dxfId="72" priority="54"/>
  </conditionalFormatting>
  <conditionalFormatting sqref="I26 I28 I30 I32 I34 I36 I38 I40 I42 I44">
    <cfRule type="duplicateValues" dxfId="71" priority="53"/>
  </conditionalFormatting>
  <conditionalFormatting sqref="I27 I29 I31 I33 I35 I37 I39 I41 I43 I45">
    <cfRule type="duplicateValues" dxfId="70" priority="51"/>
    <cfRule type="duplicateValues" dxfId="69" priority="52"/>
  </conditionalFormatting>
  <conditionalFormatting sqref="H48:I67">
    <cfRule type="duplicateValues" dxfId="68" priority="50"/>
  </conditionalFormatting>
  <conditionalFormatting sqref="I58">
    <cfRule type="duplicateValues" dxfId="67" priority="49"/>
  </conditionalFormatting>
  <conditionalFormatting sqref="I48 I50 I52 I54 I56 I58 I60 I62 I64 I66">
    <cfRule type="duplicateValues" dxfId="66" priority="48"/>
  </conditionalFormatting>
  <conditionalFormatting sqref="I49 I51 I53 I55 I57 I59 I61 I63 I65 I67">
    <cfRule type="duplicateValues" dxfId="65" priority="46"/>
    <cfRule type="duplicateValues" dxfId="64" priority="47"/>
  </conditionalFormatting>
  <conditionalFormatting sqref="H70:I89">
    <cfRule type="duplicateValues" dxfId="63" priority="45"/>
  </conditionalFormatting>
  <conditionalFormatting sqref="I80">
    <cfRule type="duplicateValues" dxfId="62" priority="44"/>
  </conditionalFormatting>
  <conditionalFormatting sqref="I70 I72 I74 I76 I78 I80 I82 I84 I86 I88">
    <cfRule type="duplicateValues" dxfId="61" priority="43"/>
  </conditionalFormatting>
  <conditionalFormatting sqref="I71 I73 I75 I77 I79 I81 I83 I85 I87 I89">
    <cfRule type="duplicateValues" dxfId="60" priority="41"/>
    <cfRule type="duplicateValues" dxfId="59" priority="42"/>
  </conditionalFormatting>
  <conditionalFormatting sqref="M4:N23">
    <cfRule type="duplicateValues" dxfId="58" priority="40"/>
  </conditionalFormatting>
  <conditionalFormatting sqref="N14">
    <cfRule type="duplicateValues" dxfId="57" priority="39"/>
  </conditionalFormatting>
  <conditionalFormatting sqref="N4 N6 N8 N10 N12 N14 N16 N18 N20 N22">
    <cfRule type="duplicateValues" dxfId="56" priority="38"/>
  </conditionalFormatting>
  <conditionalFormatting sqref="N5 N7 N9 N11 N13 N15 N17 N19 N21 N23">
    <cfRule type="duplicateValues" dxfId="55" priority="36"/>
    <cfRule type="duplicateValues" dxfId="54" priority="37"/>
  </conditionalFormatting>
  <conditionalFormatting sqref="M26:N45">
    <cfRule type="duplicateValues" dxfId="53" priority="35"/>
  </conditionalFormatting>
  <conditionalFormatting sqref="N36">
    <cfRule type="duplicateValues" dxfId="52" priority="34"/>
  </conditionalFormatting>
  <conditionalFormatting sqref="N26 N28 N30 N32 N34 N36 N38 N40 N42 N44">
    <cfRule type="duplicateValues" dxfId="51" priority="33"/>
  </conditionalFormatting>
  <conditionalFormatting sqref="N27 N29 N31 N33 N35 N37 N39 N41 N43 N45">
    <cfRule type="duplicateValues" dxfId="50" priority="31"/>
    <cfRule type="duplicateValues" dxfId="49" priority="32"/>
  </conditionalFormatting>
  <conditionalFormatting sqref="M48:N67">
    <cfRule type="duplicateValues" dxfId="48" priority="30"/>
  </conditionalFormatting>
  <conditionalFormatting sqref="N58">
    <cfRule type="duplicateValues" dxfId="47" priority="29"/>
  </conditionalFormatting>
  <conditionalFormatting sqref="N48 N50 N52 N54 N56 N58 N60 N62 N64 N66">
    <cfRule type="duplicateValues" dxfId="46" priority="28"/>
  </conditionalFormatting>
  <conditionalFormatting sqref="N49 N51 N53 N55 N57 N59 N61 N63 N65 N67">
    <cfRule type="duplicateValues" dxfId="45" priority="26"/>
    <cfRule type="duplicateValues" dxfId="44" priority="27"/>
  </conditionalFormatting>
  <conditionalFormatting sqref="M70:N89">
    <cfRule type="duplicateValues" dxfId="43" priority="25"/>
  </conditionalFormatting>
  <conditionalFormatting sqref="N80">
    <cfRule type="duplicateValues" dxfId="42" priority="24"/>
  </conditionalFormatting>
  <conditionalFormatting sqref="N70 N72 N74 N76 N78 N80 N82 N84 N86 N88">
    <cfRule type="duplicateValues" dxfId="41" priority="23"/>
  </conditionalFormatting>
  <conditionalFormatting sqref="N71 N73 N75 N77 N79 N81 N83 N85 N87 N89">
    <cfRule type="duplicateValues" dxfId="40" priority="21"/>
    <cfRule type="duplicateValues" dxfId="39" priority="22"/>
  </conditionalFormatting>
  <conditionalFormatting sqref="R4:S23">
    <cfRule type="duplicateValues" dxfId="38" priority="20"/>
  </conditionalFormatting>
  <conditionalFormatting sqref="S14">
    <cfRule type="duplicateValues" dxfId="37" priority="19"/>
  </conditionalFormatting>
  <conditionalFormatting sqref="S4 S6 S8 S10 S12 S14 S16 S18 S20 S22">
    <cfRule type="duplicateValues" dxfId="36" priority="18"/>
  </conditionalFormatting>
  <conditionalFormatting sqref="S5 S7 S9 S11 S13 S15 S17 S19 S21 S23">
    <cfRule type="duplicateValues" dxfId="35" priority="16"/>
    <cfRule type="duplicateValues" dxfId="34" priority="17"/>
  </conditionalFormatting>
  <conditionalFormatting sqref="R26:S45">
    <cfRule type="duplicateValues" dxfId="33" priority="15"/>
  </conditionalFormatting>
  <conditionalFormatting sqref="S36">
    <cfRule type="duplicateValues" dxfId="32" priority="14"/>
  </conditionalFormatting>
  <conditionalFormatting sqref="S26 S28 S30 S32 S34 S36 S38 S40 S42 S44">
    <cfRule type="duplicateValues" dxfId="31" priority="13"/>
  </conditionalFormatting>
  <conditionalFormatting sqref="S27 S29 S31 S33 S35 S37 S39 S41 S43 S45">
    <cfRule type="duplicateValues" dxfId="30" priority="11"/>
    <cfRule type="duplicateValues" dxfId="29" priority="12"/>
  </conditionalFormatting>
  <conditionalFormatting sqref="R48:S67">
    <cfRule type="duplicateValues" dxfId="28" priority="10"/>
  </conditionalFormatting>
  <conditionalFormatting sqref="S58">
    <cfRule type="duplicateValues" dxfId="27" priority="9"/>
  </conditionalFormatting>
  <conditionalFormatting sqref="S48 S50 S52 S54 S56 S58 S60 S62 S64 S66">
    <cfRule type="duplicateValues" dxfId="26" priority="8"/>
  </conditionalFormatting>
  <conditionalFormatting sqref="S49 S51 S53 S55 S57 S59 S61 S63 S65 S67">
    <cfRule type="duplicateValues" dxfId="25" priority="6"/>
    <cfRule type="duplicateValues" dxfId="24" priority="7"/>
  </conditionalFormatting>
  <conditionalFormatting sqref="R70:S89">
    <cfRule type="duplicateValues" dxfId="23" priority="5"/>
  </conditionalFormatting>
  <conditionalFormatting sqref="S80">
    <cfRule type="duplicateValues" dxfId="22" priority="4"/>
  </conditionalFormatting>
  <conditionalFormatting sqref="S70 S72 S74 S76 S78 S80 S82 S84 S86 S88">
    <cfRule type="duplicateValues" dxfId="21" priority="3"/>
  </conditionalFormatting>
  <conditionalFormatting sqref="S71 S73 S75 S77 S79 S81 S83 S85 S87 S89">
    <cfRule type="duplicateValues" dxfId="20" priority="1"/>
    <cfRule type="duplicateValues" dxfId="19" priority="2"/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A130" zoomScale="60" zoomScaleNormal="100" workbookViewId="0">
      <selection activeCell="H9" sqref="H9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8</v>
      </c>
      <c r="D3" s="962"/>
      <c r="E3" s="963"/>
      <c r="G3" s="957" t="s">
        <v>11956</v>
      </c>
      <c r="H3" s="958">
        <f>C3</f>
        <v>8</v>
      </c>
      <c r="I3" s="962"/>
      <c r="J3" s="963"/>
      <c r="L3" s="957" t="s">
        <v>11956</v>
      </c>
      <c r="M3" s="958">
        <f>C3</f>
        <v>8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'гр (5-8)'!C67</f>
        <v>АВЕРИН Тимофей</v>
      </c>
      <c r="C5" s="960" t="str">
        <f>'гр (5-8)'!C75</f>
        <v>ЗАЙЦЕВ Сергей</v>
      </c>
      <c r="D5" s="961"/>
      <c r="E5" s="966"/>
      <c r="G5" s="960" t="str">
        <f>'гр (5-8)'!C69</f>
        <v>СИТНИКОВ Кирилл</v>
      </c>
      <c r="H5" s="960" t="str">
        <f>'гр (5-8)'!C73</f>
        <v>ДИНИСЕНКО Тимофей</v>
      </c>
      <c r="I5" s="961"/>
      <c r="J5" s="966"/>
      <c r="L5" s="960" t="str">
        <f>'гр (5-8)'!C65</f>
        <v>МУКОВ Руслан</v>
      </c>
      <c r="M5" s="960" t="str">
        <f>'гр (5-8)'!C77</f>
        <v>ТАДЖИБАЕВ Артур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8</v>
      </c>
      <c r="D18" s="962"/>
      <c r="E18" s="963"/>
      <c r="G18" s="957" t="s">
        <v>11956</v>
      </c>
      <c r="H18" s="958">
        <f>C3</f>
        <v>8</v>
      </c>
      <c r="I18" s="962"/>
      <c r="J18" s="963"/>
      <c r="L18" s="957" t="s">
        <v>11956</v>
      </c>
      <c r="M18" s="958">
        <f>C3</f>
        <v>8</v>
      </c>
      <c r="N18" s="961"/>
    </row>
    <row r="19" spans="1:14" x14ac:dyDescent="0.3">
      <c r="B19" s="957" t="s">
        <v>11957</v>
      </c>
      <c r="C19" s="959" t="s">
        <v>11958</v>
      </c>
      <c r="D19" s="961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960" t="str">
        <f>'гр (5-8)'!C71</f>
        <v>СУРОВЦЕВ Денис</v>
      </c>
      <c r="C20" s="960" t="str">
        <f>'гр (5-8)'!C79</f>
        <v/>
      </c>
      <c r="D20" s="961"/>
      <c r="E20" s="966"/>
      <c r="G20" s="960" t="str">
        <f>'гр (5-8)'!C73</f>
        <v>ДИНИСЕНКО Тимофей</v>
      </c>
      <c r="H20" s="960" t="str">
        <f>'гр (5-8)'!C67</f>
        <v>АВЕРИН Тимофей</v>
      </c>
      <c r="I20" s="961"/>
      <c r="J20" s="966"/>
      <c r="L20" s="960" t="str">
        <f>'гр (5-8)'!C75</f>
        <v>ЗАЙЦЕВ Сергей</v>
      </c>
      <c r="M20" s="960" t="str">
        <f>'гр (5-8)'!C65</f>
        <v>МУКОВ Руслан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8</v>
      </c>
      <c r="D33" s="962"/>
      <c r="E33" s="963"/>
      <c r="G33" s="957" t="s">
        <v>11956</v>
      </c>
      <c r="H33" s="958">
        <f>C3</f>
        <v>8</v>
      </c>
      <c r="I33" s="962"/>
      <c r="J33" s="963"/>
      <c r="L33" s="957" t="s">
        <v>11956</v>
      </c>
      <c r="M33" s="958">
        <f>C3</f>
        <v>8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'гр (5-8)'!C79</f>
        <v/>
      </c>
      <c r="C35" s="960" t="str">
        <f>'гр (5-8)'!C69</f>
        <v>СИТНИКОВ Кирилл</v>
      </c>
      <c r="D35" s="961"/>
      <c r="E35" s="966"/>
      <c r="G35" s="960" t="str">
        <f>'гр (5-8)'!C77</f>
        <v>ТАДЖИБАЕВ Артур</v>
      </c>
      <c r="H35" s="960" t="str">
        <f>'гр (5-8)'!C71</f>
        <v>СУРОВЦЕВ Денис</v>
      </c>
      <c r="I35" s="961"/>
      <c r="J35" s="966"/>
      <c r="L35" s="960" t="str">
        <f>'гр (5-8)'!C65</f>
        <v>МУКОВ Руслан</v>
      </c>
      <c r="M35" s="960" t="str">
        <f>'гр (5-8)'!C73</f>
        <v>ДИНИСЕНКО Тимофей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8</v>
      </c>
      <c r="D48" s="962"/>
      <c r="E48" s="963"/>
      <c r="G48" s="957" t="s">
        <v>11956</v>
      </c>
      <c r="H48" s="958">
        <f>C3</f>
        <v>8</v>
      </c>
      <c r="I48" s="962"/>
      <c r="J48" s="963"/>
      <c r="L48" s="957" t="s">
        <v>11956</v>
      </c>
      <c r="M48" s="958">
        <f>C3</f>
        <v>8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'гр (5-8)'!C67</f>
        <v>АВЕРИН Тимофей</v>
      </c>
      <c r="C50" s="960" t="str">
        <f>'гр (5-8)'!C79</f>
        <v/>
      </c>
      <c r="D50" s="961"/>
      <c r="E50" s="966"/>
      <c r="G50" s="960" t="str">
        <f>'гр (5-8)'!C71</f>
        <v>СУРОВЦЕВ Денис</v>
      </c>
      <c r="H50" s="960" t="str">
        <f>'гр (5-8)'!C75</f>
        <v>ЗАЙЦЕВ Сергей</v>
      </c>
      <c r="I50" s="961"/>
      <c r="J50" s="966"/>
      <c r="L50" s="960" t="str">
        <f>'гр (5-8)'!C69</f>
        <v>СИТНИКОВ Кирилл</v>
      </c>
      <c r="M50" s="960" t="str">
        <f>'гр (5-8)'!C77</f>
        <v>ТАДЖИБАЕВ Артур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8</v>
      </c>
      <c r="D63" s="962"/>
      <c r="E63" s="963"/>
      <c r="G63" s="957" t="s">
        <v>11956</v>
      </c>
      <c r="H63" s="958">
        <f>C3</f>
        <v>8</v>
      </c>
      <c r="I63" s="962"/>
      <c r="J63" s="963"/>
      <c r="L63" s="957" t="s">
        <v>11956</v>
      </c>
      <c r="M63" s="958">
        <f>C3</f>
        <v>8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'гр (5-8)'!C79</f>
        <v/>
      </c>
      <c r="C65" s="960" t="str">
        <f>'гр (5-8)'!C65</f>
        <v>МУКОВ Руслан</v>
      </c>
      <c r="D65" s="961"/>
      <c r="E65" s="966"/>
      <c r="G65" s="960" t="str">
        <f>'гр (5-8)'!C73</f>
        <v>ДИНИСЕНКО Тимофей</v>
      </c>
      <c r="H65" s="960" t="str">
        <f>'гр (5-8)'!C71</f>
        <v>СУРОВЦЕВ Денис</v>
      </c>
      <c r="I65" s="961"/>
      <c r="J65" s="966"/>
      <c r="L65" s="960" t="str">
        <f>'гр (5-8)'!C77</f>
        <v>ТАДЖИБАЕВ Артур</v>
      </c>
      <c r="M65" s="960" t="str">
        <f>'гр (5-8)'!C67</f>
        <v>АВЕРИН Тимофей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Групповой этап</v>
      </c>
      <c r="C77" s="1199"/>
      <c r="D77" s="955"/>
      <c r="E77" s="956"/>
      <c r="G77" s="1199" t="str">
        <f>B2</f>
        <v>Групповой этап</v>
      </c>
      <c r="H77" s="1199"/>
      <c r="I77" s="955"/>
      <c r="J77" s="956"/>
      <c r="L77" s="1199" t="str">
        <f>B2</f>
        <v>Групповой этап</v>
      </c>
      <c r="M77" s="1199"/>
      <c r="N77" s="961"/>
    </row>
    <row r="78" spans="1:14" x14ac:dyDescent="0.3">
      <c r="B78" s="957" t="s">
        <v>11956</v>
      </c>
      <c r="C78" s="958">
        <f>C3</f>
        <v>8</v>
      </c>
      <c r="D78" s="962"/>
      <c r="E78" s="963"/>
      <c r="G78" s="957" t="s">
        <v>11956</v>
      </c>
      <c r="H78" s="958">
        <f>C3</f>
        <v>8</v>
      </c>
      <c r="I78" s="962"/>
      <c r="J78" s="963"/>
      <c r="L78" s="957" t="s">
        <v>11956</v>
      </c>
      <c r="M78" s="958">
        <f>C3</f>
        <v>8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'гр (5-8)'!C75</f>
        <v>ЗАЙЦЕВ Сергей</v>
      </c>
      <c r="C80" s="960" t="str">
        <f>'гр (5-8)'!C69</f>
        <v>СИТНИКОВ Кирилл</v>
      </c>
      <c r="D80" s="961"/>
      <c r="E80" s="966"/>
      <c r="G80" s="960" t="str">
        <f>'гр (5-8)'!C65</f>
        <v>МУКОВ Руслан</v>
      </c>
      <c r="H80" s="960" t="str">
        <f>'гр (5-8)'!C69</f>
        <v>СИТНИКОВ Кирилл</v>
      </c>
      <c r="I80" s="961"/>
      <c r="J80" s="966"/>
      <c r="L80" s="960" t="str">
        <f>'гр (5-8)'!C67</f>
        <v>АВЕРИН Тимофей</v>
      </c>
      <c r="M80" s="960" t="str">
        <f>'гр (5-8)'!C71</f>
        <v>СУРОВЦЕВ Денис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Групповой этап</v>
      </c>
      <c r="C92" s="1199"/>
      <c r="D92" s="955"/>
      <c r="E92" s="956"/>
      <c r="G92" s="1199" t="str">
        <f>B2</f>
        <v>Групповой этап</v>
      </c>
      <c r="H92" s="1199"/>
      <c r="I92" s="955"/>
      <c r="J92" s="956"/>
      <c r="L92" s="1199" t="str">
        <f>B2</f>
        <v>Групповой этап</v>
      </c>
      <c r="M92" s="1199"/>
      <c r="N92" s="961"/>
    </row>
    <row r="93" spans="1:14" x14ac:dyDescent="0.3">
      <c r="B93" s="957" t="s">
        <v>11956</v>
      </c>
      <c r="C93" s="958">
        <f>C3</f>
        <v>8</v>
      </c>
      <c r="D93" s="962"/>
      <c r="E93" s="963"/>
      <c r="G93" s="957" t="s">
        <v>11956</v>
      </c>
      <c r="H93" s="958">
        <f>C3</f>
        <v>8</v>
      </c>
      <c r="I93" s="962"/>
      <c r="J93" s="963"/>
      <c r="L93" s="957" t="s">
        <v>11956</v>
      </c>
      <c r="M93" s="958">
        <f>C3</f>
        <v>8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'гр (5-8)'!C73</f>
        <v>ДИНИСЕНКО Тимофей</v>
      </c>
      <c r="C95" s="960" t="str">
        <f>'гр (5-8)'!C77</f>
        <v>ТАДЖИБАЕВ Артур</v>
      </c>
      <c r="D95" s="961"/>
      <c r="E95" s="966"/>
      <c r="G95" s="960" t="str">
        <f>'гр (5-8)'!C75</f>
        <v>ЗАЙЦЕВ Сергей</v>
      </c>
      <c r="H95" s="960" t="str">
        <f>'гр (5-8)'!C79</f>
        <v/>
      </c>
      <c r="I95" s="961"/>
      <c r="J95" s="966"/>
      <c r="L95" s="960" t="str">
        <f>'гр (5-8)'!C71</f>
        <v>СУРОВЦЕВ Денис</v>
      </c>
      <c r="M95" s="960" t="str">
        <f>'гр (5-8)'!C65</f>
        <v>МУКОВ Руслан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Групповой этап</v>
      </c>
      <c r="C107" s="1199"/>
      <c r="D107" s="955"/>
      <c r="E107" s="956"/>
      <c r="G107" s="1199" t="str">
        <f>B2</f>
        <v>Групповой этап</v>
      </c>
      <c r="H107" s="1199"/>
      <c r="I107" s="955"/>
      <c r="J107" s="956"/>
      <c r="L107" s="1199" t="str">
        <f>B2</f>
        <v>Групповой этап</v>
      </c>
      <c r="M107" s="1199"/>
      <c r="N107" s="961"/>
    </row>
    <row r="108" spans="1:14" x14ac:dyDescent="0.3">
      <c r="B108" s="957" t="s">
        <v>11956</v>
      </c>
      <c r="C108" s="958">
        <f>C3</f>
        <v>8</v>
      </c>
      <c r="D108" s="962"/>
      <c r="E108" s="963"/>
      <c r="G108" s="957" t="s">
        <v>11956</v>
      </c>
      <c r="H108" s="958">
        <f>C3</f>
        <v>8</v>
      </c>
      <c r="I108" s="962"/>
      <c r="J108" s="963"/>
      <c r="L108" s="957" t="s">
        <v>11956</v>
      </c>
      <c r="M108" s="958">
        <f>C3</f>
        <v>8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'гр (5-8)'!C69</f>
        <v>СИТНИКОВ Кирилл</v>
      </c>
      <c r="C110" s="960" t="str">
        <f>'гр (5-8)'!C67</f>
        <v>АВЕРИН Тимофей</v>
      </c>
      <c r="D110" s="961"/>
      <c r="E110" s="966"/>
      <c r="G110" s="960" t="str">
        <f>'гр (5-8)'!C77</f>
        <v>ТАДЖИБАЕВ Артур</v>
      </c>
      <c r="H110" s="960" t="str">
        <f>'гр (5-8)'!C75</f>
        <v>ЗАЙЦЕВ Сергей</v>
      </c>
      <c r="I110" s="961"/>
      <c r="J110" s="966"/>
      <c r="L110" s="960" t="str">
        <f>'гр (5-8)'!C79</f>
        <v/>
      </c>
      <c r="M110" s="960" t="str">
        <f>'гр (5-8)'!C73</f>
        <v>ДИНИСЕНКО Тимофей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Групповой этап</v>
      </c>
      <c r="C122" s="1199"/>
      <c r="D122" s="955"/>
      <c r="E122" s="956"/>
      <c r="G122" s="1199" t="str">
        <f>B2</f>
        <v>Групповой этап</v>
      </c>
      <c r="H122" s="1199"/>
      <c r="I122" s="955"/>
      <c r="J122" s="956"/>
      <c r="L122" s="1199" t="str">
        <f>B2</f>
        <v>Групповой этап</v>
      </c>
      <c r="M122" s="1199"/>
      <c r="N122" s="961"/>
    </row>
    <row r="123" spans="1:14" x14ac:dyDescent="0.3">
      <c r="B123" s="957" t="s">
        <v>11956</v>
      </c>
      <c r="C123" s="958">
        <f>C3</f>
        <v>8</v>
      </c>
      <c r="D123" s="962"/>
      <c r="E123" s="963"/>
      <c r="G123" s="957" t="s">
        <v>11956</v>
      </c>
      <c r="H123" s="958">
        <f>C3</f>
        <v>8</v>
      </c>
      <c r="I123" s="962"/>
      <c r="J123" s="963"/>
      <c r="L123" s="957" t="s">
        <v>11956</v>
      </c>
      <c r="M123" s="958">
        <f>C3</f>
        <v>8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'гр (5-8)'!C65</f>
        <v>МУКОВ Руслан</v>
      </c>
      <c r="C125" s="960" t="str">
        <f>'гр (5-8)'!C67</f>
        <v>АВЕРИН Тимофей</v>
      </c>
      <c r="D125" s="961"/>
      <c r="E125" s="966"/>
      <c r="G125" s="960" t="str">
        <f>'гр (5-8)'!C69</f>
        <v>СИТНИКОВ Кирилл</v>
      </c>
      <c r="H125" s="960" t="str">
        <f>'гр (5-8)'!C71</f>
        <v>СУРОВЦЕВ Денис</v>
      </c>
      <c r="I125" s="961"/>
      <c r="J125" s="966"/>
      <c r="L125" s="960" t="str">
        <f>'гр (5-8)'!C73</f>
        <v>ДИНИСЕНКО Тимофей</v>
      </c>
      <c r="M125" s="960" t="str">
        <f>'гр (5-8)'!C75</f>
        <v>ЗАЙЦЕВ Сергей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Групповой этап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 t="s">
        <v>11956</v>
      </c>
      <c r="C138" s="975">
        <f>C3</f>
        <v>8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'гр (5-8)'!C77</f>
        <v>ТАДЖИБАЕВ Артур</v>
      </c>
      <c r="C140" s="960" t="str">
        <f>'гр (5-8)'!C79</f>
        <v/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4" manualBreakCount="4">
    <brk id="30" max="16383" man="1"/>
    <brk id="60" max="16383" man="1"/>
    <brk id="90" max="16383" man="1"/>
    <brk id="120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75"/>
  <sheetViews>
    <sheetView topLeftCell="B63" workbookViewId="0">
      <selection activeCell="M66" sqref="M66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8</v>
      </c>
      <c r="D3" s="962"/>
      <c r="E3" s="963"/>
      <c r="G3" s="957" t="s">
        <v>11956</v>
      </c>
      <c r="H3" s="958">
        <f>C3</f>
        <v>8</v>
      </c>
      <c r="I3" s="962"/>
      <c r="J3" s="963"/>
      <c r="L3" s="957" t="s">
        <v>11956</v>
      </c>
      <c r="M3" s="958">
        <f>C3</f>
        <v>8</v>
      </c>
      <c r="N3" s="961"/>
    </row>
    <row r="4" spans="1:14" x14ac:dyDescent="0.3">
      <c r="B4" s="957" t="s">
        <v>11957</v>
      </c>
      <c r="C4" s="959" t="s">
        <v>11970</v>
      </c>
      <c r="D4" s="961"/>
      <c r="G4" s="957" t="s">
        <v>11957</v>
      </c>
      <c r="H4" s="959" t="s">
        <v>11967</v>
      </c>
      <c r="I4" s="964"/>
      <c r="J4" s="965"/>
      <c r="L4" s="957" t="s">
        <v>11957</v>
      </c>
      <c r="M4" s="959" t="s">
        <v>1040</v>
      </c>
      <c r="N4" s="961"/>
    </row>
    <row r="5" spans="1:14" x14ac:dyDescent="0.3">
      <c r="B5" s="960" t="str">
        <f>'гр (5-8)'!C67</f>
        <v>АВЕРИН Тимофей</v>
      </c>
      <c r="C5" s="960" t="str">
        <f>'гр (5-8)'!C71</f>
        <v>СУРОВЦЕВ Денис</v>
      </c>
      <c r="D5" s="961"/>
      <c r="E5" s="966"/>
      <c r="G5" s="960" t="str">
        <f>'гр (5-8)'!C65</f>
        <v>МУКОВ Руслан</v>
      </c>
      <c r="H5" s="960" t="str">
        <f>'гр (5-8)'!C73</f>
        <v>ДИНИСЕНКО Тимофей</v>
      </c>
      <c r="I5" s="961"/>
      <c r="J5" s="966"/>
      <c r="L5" s="960" t="str">
        <f>'гр (5-8)'!C69</f>
        <v>СИТНИКОВ Кирилл</v>
      </c>
      <c r="M5" s="960" t="str">
        <f>'гр (5-8)'!C75</f>
        <v>ЗАЙЦЕВ Сергей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8</v>
      </c>
      <c r="D18" s="962"/>
      <c r="E18" s="963"/>
      <c r="G18" s="957" t="s">
        <v>11956</v>
      </c>
      <c r="H18" s="958">
        <f>C3</f>
        <v>8</v>
      </c>
      <c r="I18" s="962"/>
      <c r="J18" s="963"/>
      <c r="L18" s="957" t="s">
        <v>11956</v>
      </c>
      <c r="M18" s="958">
        <f>C3</f>
        <v>8</v>
      </c>
      <c r="N18" s="961"/>
    </row>
    <row r="19" spans="1:14" x14ac:dyDescent="0.3">
      <c r="B19" s="957" t="s">
        <v>11957</v>
      </c>
      <c r="C19" s="959" t="s">
        <v>11981</v>
      </c>
      <c r="D19" s="961"/>
      <c r="G19" s="957" t="s">
        <v>11957</v>
      </c>
      <c r="H19" s="959" t="s">
        <v>1100</v>
      </c>
      <c r="I19" s="964"/>
      <c r="J19" s="965"/>
      <c r="L19" s="957" t="s">
        <v>11957</v>
      </c>
      <c r="M19" s="959" t="s">
        <v>1099</v>
      </c>
      <c r="N19" s="961"/>
    </row>
    <row r="20" spans="1:14" x14ac:dyDescent="0.3">
      <c r="B20" s="960" t="str">
        <f>'гр (5-8)'!C71</f>
        <v>СУРОВЦЕВ Денис</v>
      </c>
      <c r="C20" s="960" t="str">
        <f>'гр (5-8)'!C65</f>
        <v>МУКОВ Руслан</v>
      </c>
      <c r="D20" s="961"/>
      <c r="E20" s="966"/>
      <c r="G20" s="960" t="str">
        <f>'гр (5-8)'!C75</f>
        <v>ЗАЙЦЕВ Сергей</v>
      </c>
      <c r="H20" s="960" t="str">
        <f>'гр (5-8)'!C67</f>
        <v>АВЕРИН Тимофей</v>
      </c>
      <c r="I20" s="961"/>
      <c r="J20" s="966"/>
      <c r="L20" s="960" t="str">
        <f>'гр (5-8)'!C73</f>
        <v>ДИНИСЕНКО Тимофей</v>
      </c>
      <c r="M20" s="960" t="str">
        <f>'гр (5-8)'!C69</f>
        <v>СИТНИКОВ Кирилл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8</v>
      </c>
      <c r="D33" s="962"/>
      <c r="E33" s="963"/>
      <c r="G33" s="957" t="s">
        <v>11956</v>
      </c>
      <c r="H33" s="958">
        <f>C3</f>
        <v>8</v>
      </c>
      <c r="I33" s="962"/>
      <c r="J33" s="963"/>
      <c r="L33" s="957" t="s">
        <v>11956</v>
      </c>
      <c r="M33" s="958">
        <f>C3</f>
        <v>8</v>
      </c>
      <c r="N33" s="961"/>
    </row>
    <row r="34" spans="1:14" x14ac:dyDescent="0.3">
      <c r="B34" s="957" t="s">
        <v>11957</v>
      </c>
      <c r="C34" s="959" t="s">
        <v>11971</v>
      </c>
      <c r="D34" s="961"/>
      <c r="G34" s="957" t="s">
        <v>11957</v>
      </c>
      <c r="H34" s="959" t="s">
        <v>1048</v>
      </c>
      <c r="I34" s="964"/>
      <c r="J34" s="965"/>
      <c r="L34" s="957" t="s">
        <v>11957</v>
      </c>
      <c r="M34" s="959" t="s">
        <v>11964</v>
      </c>
      <c r="N34" s="961"/>
    </row>
    <row r="35" spans="1:14" x14ac:dyDescent="0.3">
      <c r="B35" s="960" t="str">
        <f>'гр (5-8)'!C65</f>
        <v>МУКОВ Руслан</v>
      </c>
      <c r="C35" s="960" t="str">
        <f>'гр (5-8)'!C69</f>
        <v>СИТНИКОВ Кирилл</v>
      </c>
      <c r="D35" s="961"/>
      <c r="E35" s="966"/>
      <c r="G35" s="960" t="str">
        <f>'гр (5-8)'!C67</f>
        <v>АВЕРИН Тимофей</v>
      </c>
      <c r="H35" s="960" t="str">
        <f>'гр (5-8)'!C73</f>
        <v>ДИНИСЕНКО Тимофей</v>
      </c>
      <c r="I35" s="961"/>
      <c r="J35" s="966"/>
      <c r="L35" s="960" t="str">
        <f>'гр (5-8)'!C71</f>
        <v>СУРОВЦЕВ Денис</v>
      </c>
      <c r="M35" s="960" t="str">
        <f>'гр (5-8)'!C75</f>
        <v>ЗАЙЦЕВ Сергей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8</v>
      </c>
      <c r="D48" s="962"/>
      <c r="E48" s="963"/>
      <c r="G48" s="957" t="s">
        <v>11956</v>
      </c>
      <c r="H48" s="958">
        <f>C3</f>
        <v>8</v>
      </c>
      <c r="I48" s="962"/>
      <c r="J48" s="963"/>
      <c r="L48" s="957" t="s">
        <v>11956</v>
      </c>
      <c r="M48" s="958">
        <f>C3</f>
        <v>8</v>
      </c>
      <c r="N48" s="961"/>
    </row>
    <row r="49" spans="1:14" x14ac:dyDescent="0.3">
      <c r="B49" s="957" t="s">
        <v>11957</v>
      </c>
      <c r="C49" s="959" t="s">
        <v>11982</v>
      </c>
      <c r="D49" s="961"/>
      <c r="G49" s="957" t="s">
        <v>11957</v>
      </c>
      <c r="H49" s="959" t="s">
        <v>11974</v>
      </c>
      <c r="I49" s="964"/>
      <c r="J49" s="965"/>
      <c r="L49" s="957" t="s">
        <v>11957</v>
      </c>
      <c r="M49" s="959" t="s">
        <v>11978</v>
      </c>
      <c r="N49" s="961"/>
    </row>
    <row r="50" spans="1:14" x14ac:dyDescent="0.3">
      <c r="B50" s="960" t="str">
        <f>'гр (5-8)'!C69</f>
        <v>СИТНИКОВ Кирилл</v>
      </c>
      <c r="C50" s="960" t="str">
        <f>'гр (5-8)'!C67</f>
        <v>АВЕРИН Тимофей</v>
      </c>
      <c r="D50" s="961"/>
      <c r="E50" s="966"/>
      <c r="G50" s="960" t="str">
        <f>'гр (5-8)'!C75</f>
        <v>ЗАЙЦЕВ Сергей</v>
      </c>
      <c r="H50" s="960" t="str">
        <f>'гр (5-8)'!C65</f>
        <v>МУКОВ Руслан</v>
      </c>
      <c r="I50" s="961"/>
      <c r="J50" s="966"/>
      <c r="L50" s="960" t="str">
        <f>'гр (5-8)'!C73</f>
        <v>ДИНИСЕНКО Тимофей</v>
      </c>
      <c r="M50" s="960" t="str">
        <f>'гр (5-8)'!C71</f>
        <v>СУРОВЦЕВ Денис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8</v>
      </c>
      <c r="D63" s="962"/>
      <c r="E63" s="963"/>
      <c r="G63" s="957" t="s">
        <v>11956</v>
      </c>
      <c r="H63" s="958">
        <f>C3</f>
        <v>8</v>
      </c>
      <c r="I63" s="962"/>
      <c r="J63" s="963"/>
      <c r="L63" s="957" t="s">
        <v>11956</v>
      </c>
      <c r="M63" s="958">
        <f>C3</f>
        <v>8</v>
      </c>
      <c r="N63" s="961"/>
    </row>
    <row r="64" spans="1:14" x14ac:dyDescent="0.3">
      <c r="B64" s="957" t="s">
        <v>11957</v>
      </c>
      <c r="C64" s="959" t="s">
        <v>1114</v>
      </c>
      <c r="D64" s="961"/>
      <c r="G64" s="957" t="s">
        <v>11957</v>
      </c>
      <c r="H64" s="959" t="s">
        <v>1049</v>
      </c>
      <c r="I64" s="964"/>
      <c r="J64" s="965"/>
      <c r="L64" s="957" t="s">
        <v>11957</v>
      </c>
      <c r="M64" s="959" t="s">
        <v>1033</v>
      </c>
      <c r="N64" s="961"/>
    </row>
    <row r="65" spans="1:14" x14ac:dyDescent="0.3">
      <c r="B65" s="960" t="str">
        <f>'гр (5-8)'!C65</f>
        <v>МУКОВ Руслан</v>
      </c>
      <c r="C65" s="960" t="str">
        <f>'гр (5-8)'!C67</f>
        <v>АВЕРИН Тимофей</v>
      </c>
      <c r="D65" s="961"/>
      <c r="E65" s="966"/>
      <c r="G65" s="960" t="str">
        <f>'гр (5-8)'!C69</f>
        <v>СИТНИКОВ Кирилл</v>
      </c>
      <c r="H65" s="960" t="str">
        <f>'гр (5-8)'!C71</f>
        <v>СУРОВЦЕВ Денис</v>
      </c>
      <c r="I65" s="961"/>
      <c r="J65" s="966"/>
      <c r="L65" s="960" t="str">
        <f>'гр (5-8)'!C73</f>
        <v>ДИНИСЕНКО Тимофей</v>
      </c>
      <c r="M65" s="960" t="str">
        <f>'гр (5-8)'!C75</f>
        <v>ЗАЙЦЕВ Сергей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</sheetData>
  <mergeCells count="30"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84"/>
  <sheetViews>
    <sheetView view="pageBreakPreview" topLeftCell="A52" zoomScale="120" zoomScaleNormal="100" zoomScaleSheetLayoutView="120" workbookViewId="0">
      <selection activeCell="AP70" sqref="AP70"/>
    </sheetView>
  </sheetViews>
  <sheetFormatPr defaultColWidth="9.33203125" defaultRowHeight="12.75" outlineLevelRow="1" outlineLevelCol="1" x14ac:dyDescent="0.2"/>
  <cols>
    <col min="1" max="1" width="5.6640625" style="91" customWidth="1"/>
    <col min="2" max="2" width="5" style="91" hidden="1" customWidth="1" outlineLevel="1"/>
    <col min="3" max="3" width="30" style="91" customWidth="1" collapsed="1"/>
    <col min="4" max="27" width="2.83203125" style="91" customWidth="1"/>
    <col min="28" max="30" width="2.83203125" style="91" hidden="1" customWidth="1" outlineLevel="1"/>
    <col min="31" max="31" width="3.5" style="91" customWidth="1" collapsed="1"/>
    <col min="32" max="32" width="3.5" style="91" customWidth="1"/>
    <col min="33" max="33" width="9.5" style="91" customWidth="1"/>
    <col min="34" max="34" width="7.83203125" style="91" customWidth="1"/>
    <col min="35" max="51" width="3.5" style="91" customWidth="1"/>
    <col min="52" max="16384" width="9.33203125" style="91"/>
  </cols>
  <sheetData>
    <row r="1" spans="1:34" ht="15.75" x14ac:dyDescent="0.25">
      <c r="C1" s="1123" t="str">
        <f>'Списки участников'!A1</f>
        <v>IV Мемориал Заслуженного тренера России В.А.Воробьева</v>
      </c>
      <c r="D1" s="1123"/>
      <c r="E1" s="1123"/>
      <c r="F1" s="1123"/>
      <c r="G1" s="1123"/>
      <c r="H1" s="1123"/>
      <c r="I1" s="1123"/>
      <c r="J1" s="1123"/>
      <c r="K1" s="1123"/>
      <c r="L1" s="1123"/>
      <c r="M1" s="1123"/>
      <c r="N1" s="1123"/>
      <c r="O1" s="1123"/>
      <c r="P1" s="1123"/>
      <c r="Q1" s="1123"/>
      <c r="R1" s="1123"/>
      <c r="S1" s="1123"/>
      <c r="T1" s="1123"/>
      <c r="U1" s="1123"/>
      <c r="V1" s="1123"/>
      <c r="W1" s="1123"/>
      <c r="X1" s="1123"/>
      <c r="Y1" s="1123"/>
      <c r="Z1" s="1123"/>
      <c r="AA1" s="1123"/>
      <c r="AB1" s="1123"/>
      <c r="AC1" s="1123"/>
      <c r="AD1" s="1123"/>
      <c r="AE1" s="1123"/>
      <c r="AF1" s="1123"/>
      <c r="AG1" s="1123"/>
    </row>
    <row r="2" spans="1:34" ht="15.75" x14ac:dyDescent="0.25">
      <c r="C2" s="453" t="str">
        <f>'Списки участников'!C3</f>
        <v>26-29 мая 2016 г.</v>
      </c>
      <c r="D2" s="1123" t="str">
        <f>'Списки участников'!A2</f>
        <v>среди юношей и девушек 2002 г.р. и моложе</v>
      </c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  <c r="X2" s="1123"/>
      <c r="Y2" s="1123"/>
      <c r="Z2" s="1123"/>
      <c r="AA2" s="1123"/>
      <c r="AB2" s="1156" t="str">
        <f>'Списки участников'!I3</f>
        <v>г. Москва</v>
      </c>
      <c r="AC2" s="1156"/>
      <c r="AD2" s="1156"/>
      <c r="AE2" s="1156"/>
      <c r="AF2" s="1156"/>
      <c r="AG2" s="1156"/>
    </row>
    <row r="3" spans="1:34" ht="15.75" x14ac:dyDescent="0.25">
      <c r="A3" s="135"/>
      <c r="B3" s="135"/>
      <c r="C3" s="804" t="str">
        <f>'Списки участников'!D6</f>
        <v>ЮНОШИ</v>
      </c>
      <c r="D3" s="135"/>
      <c r="E3" s="135"/>
      <c r="F3" s="135"/>
      <c r="G3" s="1157" t="s">
        <v>2588</v>
      </c>
      <c r="H3" s="1157"/>
      <c r="I3" s="1157"/>
      <c r="J3" s="1157"/>
      <c r="K3" s="1157"/>
      <c r="L3" s="1157"/>
      <c r="M3" s="1157"/>
      <c r="N3" s="1157"/>
      <c r="O3" s="1157"/>
      <c r="P3" s="1157"/>
      <c r="Q3" s="1157"/>
      <c r="R3" s="1157"/>
      <c r="S3" s="1157"/>
      <c r="T3" s="1157"/>
      <c r="U3" s="1157"/>
      <c r="V3" s="1157"/>
      <c r="W3" s="1157"/>
      <c r="X3" s="1157"/>
      <c r="Y3" s="1157"/>
      <c r="Z3" s="1157"/>
      <c r="AA3" s="1157"/>
      <c r="AB3" s="135"/>
      <c r="AC3" s="135"/>
      <c r="AD3" s="135"/>
      <c r="AE3" s="135"/>
      <c r="AF3" s="135"/>
      <c r="AG3" s="135"/>
      <c r="AH3" s="135"/>
    </row>
    <row r="4" spans="1:34" ht="12" customHeight="1" x14ac:dyDescent="0.2">
      <c r="A4" s="136" t="s">
        <v>3</v>
      </c>
      <c r="B4" s="864"/>
      <c r="C4" s="138" t="s">
        <v>788</v>
      </c>
      <c r="D4" s="1158">
        <v>1</v>
      </c>
      <c r="E4" s="1159"/>
      <c r="F4" s="1160"/>
      <c r="G4" s="1158">
        <v>2</v>
      </c>
      <c r="H4" s="1159"/>
      <c r="I4" s="1160"/>
      <c r="J4" s="1158">
        <v>3</v>
      </c>
      <c r="K4" s="1159"/>
      <c r="L4" s="1160"/>
      <c r="M4" s="1158">
        <v>4</v>
      </c>
      <c r="N4" s="1159"/>
      <c r="O4" s="1160"/>
      <c r="P4" s="1158">
        <v>5</v>
      </c>
      <c r="Q4" s="1159"/>
      <c r="R4" s="1160"/>
      <c r="S4" s="1158">
        <v>6</v>
      </c>
      <c r="T4" s="1159"/>
      <c r="U4" s="1160"/>
      <c r="V4" s="1158">
        <v>7</v>
      </c>
      <c r="W4" s="1159"/>
      <c r="X4" s="1160"/>
      <c r="Y4" s="1158">
        <v>8</v>
      </c>
      <c r="Z4" s="1159"/>
      <c r="AA4" s="1160"/>
      <c r="AB4" s="1158">
        <v>9</v>
      </c>
      <c r="AC4" s="1159"/>
      <c r="AD4" s="1160"/>
      <c r="AE4" s="1161" t="s">
        <v>789</v>
      </c>
      <c r="AF4" s="1162"/>
      <c r="AG4" s="865" t="s">
        <v>790</v>
      </c>
      <c r="AH4" s="455" t="s">
        <v>100</v>
      </c>
    </row>
    <row r="5" spans="1:34" ht="12" customHeight="1" x14ac:dyDescent="0.2">
      <c r="A5" s="1163">
        <v>1</v>
      </c>
      <c r="B5" s="1165">
        <f>жеребьевка!B48</f>
        <v>9</v>
      </c>
      <c r="C5" s="456" t="str">
        <f>IF(B5="","",VLOOKUP(B5,'Списки участников'!A:I,3,FALSE))</f>
        <v>САВЕЛЬЕВ Никита</v>
      </c>
      <c r="D5" s="1167"/>
      <c r="E5" s="1167"/>
      <c r="F5" s="1168"/>
      <c r="G5" s="1171">
        <v>1</v>
      </c>
      <c r="H5" s="1172"/>
      <c r="I5" s="1173"/>
      <c r="J5" s="1171">
        <v>1</v>
      </c>
      <c r="K5" s="1172"/>
      <c r="L5" s="1173"/>
      <c r="M5" s="1171">
        <v>2</v>
      </c>
      <c r="N5" s="1172"/>
      <c r="O5" s="1173"/>
      <c r="P5" s="1171">
        <v>2</v>
      </c>
      <c r="Q5" s="1172"/>
      <c r="R5" s="1173"/>
      <c r="S5" s="1171">
        <v>2</v>
      </c>
      <c r="T5" s="1172"/>
      <c r="U5" s="1173"/>
      <c r="V5" s="1171">
        <v>2</v>
      </c>
      <c r="W5" s="1172"/>
      <c r="X5" s="1173"/>
      <c r="Y5" s="1171"/>
      <c r="Z5" s="1172"/>
      <c r="AA5" s="1173"/>
      <c r="AB5" s="1171"/>
      <c r="AC5" s="1172"/>
      <c r="AD5" s="1173"/>
      <c r="AE5" s="1184">
        <v>8</v>
      </c>
      <c r="AF5" s="1185"/>
      <c r="AG5" s="1175"/>
      <c r="AH5" s="1174">
        <f>IF(B5="","",RANK(AE5,ГР9О))</f>
        <v>3</v>
      </c>
    </row>
    <row r="6" spans="1:34" ht="12" customHeight="1" x14ac:dyDescent="0.2">
      <c r="A6" s="1164"/>
      <c r="B6" s="1166"/>
      <c r="C6" s="457" t="str">
        <f>IF(B5="","",VLOOKUP(B5,'Списки участников'!A:I,6,FALSE))</f>
        <v>Москва</v>
      </c>
      <c r="D6" s="1169"/>
      <c r="E6" s="1169"/>
      <c r="F6" s="1170"/>
      <c r="G6" s="458">
        <v>1</v>
      </c>
      <c r="H6" s="459" t="str">
        <f>IF(G5="","",":")</f>
        <v>:</v>
      </c>
      <c r="I6" s="460">
        <v>2</v>
      </c>
      <c r="J6" s="458">
        <v>1</v>
      </c>
      <c r="K6" s="459" t="str">
        <f>IF(J5="","",":")</f>
        <v>:</v>
      </c>
      <c r="L6" s="460">
        <v>2</v>
      </c>
      <c r="M6" s="458">
        <v>2</v>
      </c>
      <c r="N6" s="459" t="str">
        <f>IF(M6="","",":")</f>
        <v>:</v>
      </c>
      <c r="O6" s="460">
        <v>0</v>
      </c>
      <c r="P6" s="458">
        <v>2</v>
      </c>
      <c r="Q6" s="459" t="str">
        <f>IF(P6="","",":")</f>
        <v>:</v>
      </c>
      <c r="R6" s="460">
        <v>0</v>
      </c>
      <c r="S6" s="458">
        <v>2</v>
      </c>
      <c r="T6" s="459" t="str">
        <f>IF(S6="","",":")</f>
        <v>:</v>
      </c>
      <c r="U6" s="460">
        <v>0</v>
      </c>
      <c r="V6" s="458">
        <v>2</v>
      </c>
      <c r="W6" s="459" t="str">
        <f>IF(V6="","",":")</f>
        <v>:</v>
      </c>
      <c r="X6" s="460">
        <v>0</v>
      </c>
      <c r="Y6" s="458"/>
      <c r="Z6" s="459" t="str">
        <f>IF(Y6="","",":")</f>
        <v/>
      </c>
      <c r="AA6" s="460"/>
      <c r="AB6" s="458"/>
      <c r="AC6" s="459" t="str">
        <f>IF(AB6="","",":")</f>
        <v/>
      </c>
      <c r="AD6" s="460"/>
      <c r="AE6" s="1186"/>
      <c r="AF6" s="1187"/>
      <c r="AG6" s="1176"/>
      <c r="AH6" s="1174"/>
    </row>
    <row r="7" spans="1:34" ht="12" customHeight="1" x14ac:dyDescent="0.2">
      <c r="A7" s="1163">
        <v>2</v>
      </c>
      <c r="B7" s="1165">
        <f>жеребьевка!B50</f>
        <v>26</v>
      </c>
      <c r="C7" s="456" t="str">
        <f>IF(B7="","",VLOOKUP(B7,'Списки участников'!A:I,3,FALSE))</f>
        <v>МАНЦУРОВ Тихон</v>
      </c>
      <c r="D7" s="1177">
        <f>IF(G5="","",IF(G6="W",0,IF(G5=2,1,IF(G5=1,2,IF(G5=0,2)))))</f>
        <v>2</v>
      </c>
      <c r="E7" s="1178"/>
      <c r="F7" s="1179"/>
      <c r="G7" s="1180"/>
      <c r="H7" s="1181"/>
      <c r="I7" s="1182"/>
      <c r="J7" s="1171">
        <v>2</v>
      </c>
      <c r="K7" s="1172"/>
      <c r="L7" s="1173"/>
      <c r="M7" s="1171">
        <v>2</v>
      </c>
      <c r="N7" s="1172"/>
      <c r="O7" s="1173"/>
      <c r="P7" s="1171">
        <v>2</v>
      </c>
      <c r="Q7" s="1172"/>
      <c r="R7" s="1173"/>
      <c r="S7" s="1171">
        <v>2</v>
      </c>
      <c r="T7" s="1172"/>
      <c r="U7" s="1173"/>
      <c r="V7" s="1171">
        <v>2</v>
      </c>
      <c r="W7" s="1172"/>
      <c r="X7" s="1173"/>
      <c r="Y7" s="1171"/>
      <c r="Z7" s="1172"/>
      <c r="AA7" s="1173"/>
      <c r="AB7" s="1171"/>
      <c r="AC7" s="1172"/>
      <c r="AD7" s="1173"/>
      <c r="AE7" s="1184">
        <v>10</v>
      </c>
      <c r="AF7" s="1185"/>
      <c r="AG7" s="1175"/>
      <c r="AH7" s="1174">
        <f>IF(B7="","",RANK(AE7,ГР9О))</f>
        <v>1</v>
      </c>
    </row>
    <row r="8" spans="1:34" ht="12" customHeight="1" x14ac:dyDescent="0.2">
      <c r="A8" s="1164"/>
      <c r="B8" s="1166"/>
      <c r="C8" s="457" t="str">
        <f>IF(B7="","",VLOOKUP(B7,'Списки участников'!A:I,6,FALSE))</f>
        <v>Тула</v>
      </c>
      <c r="D8" s="461">
        <f>IF(G6="","",IF(I6="l","W",I6))</f>
        <v>2</v>
      </c>
      <c r="E8" s="462" t="str">
        <f>IF(G5="","",":")</f>
        <v>:</v>
      </c>
      <c r="F8" s="463">
        <f>IF(I6="","",IF(G6="W","L",G6))</f>
        <v>1</v>
      </c>
      <c r="G8" s="1183"/>
      <c r="H8" s="1169"/>
      <c r="I8" s="1170"/>
      <c r="J8" s="458">
        <v>2</v>
      </c>
      <c r="K8" s="459" t="str">
        <f>IF(J7="","",":")</f>
        <v>:</v>
      </c>
      <c r="L8" s="460">
        <v>0</v>
      </c>
      <c r="M8" s="458">
        <v>2</v>
      </c>
      <c r="N8" s="459" t="str">
        <f>IF(M7="","",":")</f>
        <v>:</v>
      </c>
      <c r="O8" s="460">
        <v>0</v>
      </c>
      <c r="P8" s="458">
        <v>2</v>
      </c>
      <c r="Q8" s="459" t="str">
        <f>IF(P7="","",":")</f>
        <v>:</v>
      </c>
      <c r="R8" s="460">
        <v>0</v>
      </c>
      <c r="S8" s="458">
        <v>2</v>
      </c>
      <c r="T8" s="459" t="str">
        <f>IF(S8="","",":")</f>
        <v>:</v>
      </c>
      <c r="U8" s="460">
        <v>0</v>
      </c>
      <c r="V8" s="998" t="s">
        <v>12171</v>
      </c>
      <c r="W8" s="459" t="str">
        <f>IF(V8="","",":")</f>
        <v>:</v>
      </c>
      <c r="X8" s="999" t="s">
        <v>12172</v>
      </c>
      <c r="Y8" s="458"/>
      <c r="Z8" s="459" t="str">
        <f>IF(Y8="","",":")</f>
        <v/>
      </c>
      <c r="AA8" s="460"/>
      <c r="AB8" s="458"/>
      <c r="AC8" s="459" t="str">
        <f>IF(AB8="","",":")</f>
        <v/>
      </c>
      <c r="AD8" s="460"/>
      <c r="AE8" s="1186"/>
      <c r="AF8" s="1187"/>
      <c r="AG8" s="1176"/>
      <c r="AH8" s="1174"/>
    </row>
    <row r="9" spans="1:34" ht="12" customHeight="1" x14ac:dyDescent="0.2">
      <c r="A9" s="1163">
        <v>3</v>
      </c>
      <c r="B9" s="1165">
        <f>жеребьевка!B52</f>
        <v>43</v>
      </c>
      <c r="C9" s="456" t="str">
        <f>IF(B9="","",VLOOKUP(B9,'Списки участников'!A:I,3,FALSE))</f>
        <v>ПОДЛАЗОВ Владислав</v>
      </c>
      <c r="D9" s="1177">
        <f>IF(J5="","",IF(J6="W",0,IF(J5=2,1,IF(J5=1,2,IF(J5=0,2)))))</f>
        <v>2</v>
      </c>
      <c r="E9" s="1178"/>
      <c r="F9" s="1179"/>
      <c r="G9" s="1171">
        <f>IF(J7="","",IF(J8="W",0,IF(J7=2,1,IF(J7=1,2,IF(J7=0,2)))))</f>
        <v>1</v>
      </c>
      <c r="H9" s="1172"/>
      <c r="I9" s="1173"/>
      <c r="J9" s="1180"/>
      <c r="K9" s="1181"/>
      <c r="L9" s="1182"/>
      <c r="M9" s="1171">
        <v>2</v>
      </c>
      <c r="N9" s="1172"/>
      <c r="O9" s="1173"/>
      <c r="P9" s="1171">
        <v>2</v>
      </c>
      <c r="Q9" s="1172"/>
      <c r="R9" s="1173"/>
      <c r="S9" s="1171">
        <v>2</v>
      </c>
      <c r="T9" s="1172"/>
      <c r="U9" s="1173"/>
      <c r="V9" s="1171">
        <v>2</v>
      </c>
      <c r="W9" s="1172"/>
      <c r="X9" s="1173"/>
      <c r="Y9" s="1171"/>
      <c r="Z9" s="1172"/>
      <c r="AA9" s="1173"/>
      <c r="AB9" s="1171"/>
      <c r="AC9" s="1172"/>
      <c r="AD9" s="1173"/>
      <c r="AE9" s="1184">
        <v>9</v>
      </c>
      <c r="AF9" s="1185"/>
      <c r="AG9" s="1188"/>
      <c r="AH9" s="1174">
        <f>IF(B9="","",RANK(AE9,ГР9О))</f>
        <v>2</v>
      </c>
    </row>
    <row r="10" spans="1:34" ht="12" customHeight="1" x14ac:dyDescent="0.2">
      <c r="A10" s="1164"/>
      <c r="B10" s="1166"/>
      <c r="C10" s="457" t="str">
        <f>IF(B9="","",VLOOKUP(B9,'Списки участников'!A:I,6,FALSE))</f>
        <v>Москва</v>
      </c>
      <c r="D10" s="464">
        <f>IF(J6="","",IF(L6="l","W",L6))</f>
        <v>2</v>
      </c>
      <c r="E10" s="459" t="str">
        <f>IF(K6="","",":")</f>
        <v>:</v>
      </c>
      <c r="F10" s="465">
        <f>IF(L6="","",IF(J6="W","L",J6))</f>
        <v>1</v>
      </c>
      <c r="G10" s="464">
        <f>IF(J8="","",IF(L8="l","W",L8))</f>
        <v>0</v>
      </c>
      <c r="H10" s="459" t="str">
        <f>IF(K8="","",":")</f>
        <v>:</v>
      </c>
      <c r="I10" s="465">
        <f>IF(L8="","",IF(J8="W","L",J8))</f>
        <v>2</v>
      </c>
      <c r="J10" s="1183"/>
      <c r="K10" s="1169"/>
      <c r="L10" s="1170"/>
      <c r="M10" s="458">
        <v>2</v>
      </c>
      <c r="N10" s="459" t="str">
        <f>IF(M9="","",":")</f>
        <v>:</v>
      </c>
      <c r="O10" s="460">
        <v>0</v>
      </c>
      <c r="P10" s="458">
        <v>2</v>
      </c>
      <c r="Q10" s="459" t="str">
        <f>IF(P9="","",":")</f>
        <v>:</v>
      </c>
      <c r="R10" s="460">
        <v>0</v>
      </c>
      <c r="S10" s="458">
        <v>2</v>
      </c>
      <c r="T10" s="459" t="str">
        <f>IF(S9="","",":")</f>
        <v>:</v>
      </c>
      <c r="U10" s="460">
        <v>0</v>
      </c>
      <c r="V10" s="998" t="s">
        <v>12171</v>
      </c>
      <c r="W10" s="459" t="str">
        <f>IF(V10="","",":")</f>
        <v>:</v>
      </c>
      <c r="X10" s="999" t="s">
        <v>12172</v>
      </c>
      <c r="Y10" s="458"/>
      <c r="Z10" s="459" t="str">
        <f>IF(Y10="","",":")</f>
        <v/>
      </c>
      <c r="AA10" s="460"/>
      <c r="AB10" s="458"/>
      <c r="AC10" s="459" t="str">
        <f>IF(AB10="","",":")</f>
        <v/>
      </c>
      <c r="AD10" s="460"/>
      <c r="AE10" s="1186"/>
      <c r="AF10" s="1187"/>
      <c r="AG10" s="1189"/>
      <c r="AH10" s="1174"/>
    </row>
    <row r="11" spans="1:34" ht="12" customHeight="1" x14ac:dyDescent="0.2">
      <c r="A11" s="1163">
        <v>4</v>
      </c>
      <c r="B11" s="1165">
        <f>жеребьевка!B54</f>
        <v>58</v>
      </c>
      <c r="C11" s="456" t="str">
        <f>IF(B11="","",VLOOKUP(B11,'Списки участников'!A:I,3,FALSE))</f>
        <v>КУРИЛОВИЧ Ярослав</v>
      </c>
      <c r="D11" s="1171">
        <f>IF(M5="","",IF(M6="W",0,IF(M5=2,1,IF(M5=1,2,IF(M5=0,2)))))</f>
        <v>1</v>
      </c>
      <c r="E11" s="1172"/>
      <c r="F11" s="1173"/>
      <c r="G11" s="1171">
        <f>IF(M7="","",IF(M8="W",0,IF(M7=2,1,IF(M7=1,2,IF(M7=0,2)))))</f>
        <v>1</v>
      </c>
      <c r="H11" s="1172"/>
      <c r="I11" s="1173"/>
      <c r="J11" s="1171">
        <f>IF(M9="","",IF(M10="W",0,IF(M9=2,1,IF(M9=1,2,IF(M9=0,2)))))</f>
        <v>1</v>
      </c>
      <c r="K11" s="1172"/>
      <c r="L11" s="1173"/>
      <c r="M11" s="1181"/>
      <c r="N11" s="1181"/>
      <c r="O11" s="1181"/>
      <c r="P11" s="1171">
        <v>2</v>
      </c>
      <c r="Q11" s="1172"/>
      <c r="R11" s="1173"/>
      <c r="S11" s="1171">
        <v>2</v>
      </c>
      <c r="T11" s="1172"/>
      <c r="U11" s="1173"/>
      <c r="V11" s="1171">
        <v>2</v>
      </c>
      <c r="W11" s="1172"/>
      <c r="X11" s="1173"/>
      <c r="Y11" s="1171"/>
      <c r="Z11" s="1172"/>
      <c r="AA11" s="1173"/>
      <c r="AB11" s="1171"/>
      <c r="AC11" s="1172"/>
      <c r="AD11" s="1173"/>
      <c r="AE11" s="1184">
        <v>7</v>
      </c>
      <c r="AF11" s="1185"/>
      <c r="AG11" s="1188"/>
      <c r="AH11" s="1174">
        <f>IF(B11="","",RANK(AE11,ГР9О))</f>
        <v>4</v>
      </c>
    </row>
    <row r="12" spans="1:34" ht="12" customHeight="1" x14ac:dyDescent="0.2">
      <c r="A12" s="1164"/>
      <c r="B12" s="1166"/>
      <c r="C12" s="457" t="str">
        <f>IF(B11="","",VLOOKUP(B11,'Списки участников'!A:I,6,FALSE))</f>
        <v>Москва</v>
      </c>
      <c r="D12" s="464">
        <f>IF(M6="","",IF(O6="l","W",O6))</f>
        <v>0</v>
      </c>
      <c r="E12" s="459" t="str">
        <f>IF(N6="","",":")</f>
        <v>:</v>
      </c>
      <c r="F12" s="465">
        <f>IF(O6="","",IF(M6="W","L",M6))</f>
        <v>2</v>
      </c>
      <c r="G12" s="464">
        <f>IF(M8="","",IF(O8="l","W",O8))</f>
        <v>0</v>
      </c>
      <c r="H12" s="459" t="str">
        <f>IF(N8="","",":")</f>
        <v>:</v>
      </c>
      <c r="I12" s="465">
        <f>IF(O8="","",IF(M8="W","L",M8))</f>
        <v>2</v>
      </c>
      <c r="J12" s="464">
        <f>IF(M10="","",IF(O10="l","W",O10))</f>
        <v>0</v>
      </c>
      <c r="K12" s="459" t="str">
        <f>IF(N10="","",":")</f>
        <v>:</v>
      </c>
      <c r="L12" s="465">
        <f>IF(O10="","",IF(M10="W","L",M10))</f>
        <v>2</v>
      </c>
      <c r="M12" s="1190"/>
      <c r="N12" s="1190"/>
      <c r="O12" s="1190"/>
      <c r="P12" s="458">
        <v>2</v>
      </c>
      <c r="Q12" s="459" t="str">
        <f>IF(P11="","",":")</f>
        <v>:</v>
      </c>
      <c r="R12" s="460">
        <v>0</v>
      </c>
      <c r="S12" s="458">
        <v>2</v>
      </c>
      <c r="T12" s="459" t="str">
        <f>IF(S11="","",":")</f>
        <v>:</v>
      </c>
      <c r="U12" s="460">
        <v>0</v>
      </c>
      <c r="V12" s="458">
        <v>2</v>
      </c>
      <c r="W12" s="459" t="str">
        <f>IF(V11="","",":")</f>
        <v>:</v>
      </c>
      <c r="X12" s="460">
        <v>0</v>
      </c>
      <c r="Y12" s="458"/>
      <c r="Z12" s="459" t="str">
        <f>IF(Y12="","",":")</f>
        <v/>
      </c>
      <c r="AA12" s="460"/>
      <c r="AB12" s="458"/>
      <c r="AC12" s="459" t="str">
        <f>IF(AB12="","",":")</f>
        <v/>
      </c>
      <c r="AD12" s="460"/>
      <c r="AE12" s="1186"/>
      <c r="AF12" s="1187"/>
      <c r="AG12" s="1189"/>
      <c r="AH12" s="1174"/>
    </row>
    <row r="13" spans="1:34" ht="12" customHeight="1" x14ac:dyDescent="0.2">
      <c r="A13" s="1163">
        <v>5</v>
      </c>
      <c r="B13" s="1165">
        <f>жеребьевка!B56</f>
        <v>75</v>
      </c>
      <c r="C13" s="456" t="str">
        <f>IF(B13="","",VLOOKUP(B13,'Списки участников'!A:I,3,FALSE))</f>
        <v>МИШУКОВ Михаил</v>
      </c>
      <c r="D13" s="1171">
        <f>IF(P5="","",IF(P6="W",0,IF(P5=2,1,IF(P5=1,2,IF(P5=0,2)))))</f>
        <v>1</v>
      </c>
      <c r="E13" s="1172"/>
      <c r="F13" s="1173"/>
      <c r="G13" s="1171">
        <f>IF(P7="","",IF(P8="W",0,IF(P7=2,1,IF(P7=1,2,IF(P7=0,2)))))</f>
        <v>1</v>
      </c>
      <c r="H13" s="1172"/>
      <c r="I13" s="1173"/>
      <c r="J13" s="1171">
        <f>IF(P9="","",IF(P10="W",0,IF(P9=2,1,IF(P9=1,2,IF(P9=0,2)))))</f>
        <v>1</v>
      </c>
      <c r="K13" s="1172"/>
      <c r="L13" s="1173"/>
      <c r="M13" s="1171">
        <f>IF(P11="","",IF(P12="W",0,IF(P11=2,1,IF(P11=1,2,IF(P11=0,2)))))</f>
        <v>1</v>
      </c>
      <c r="N13" s="1172"/>
      <c r="O13" s="1173"/>
      <c r="P13" s="1180"/>
      <c r="Q13" s="1181"/>
      <c r="R13" s="1182"/>
      <c r="S13" s="1171">
        <v>1</v>
      </c>
      <c r="T13" s="1172"/>
      <c r="U13" s="1173"/>
      <c r="V13" s="1171">
        <v>2</v>
      </c>
      <c r="W13" s="1172"/>
      <c r="X13" s="1173"/>
      <c r="Y13" s="1171"/>
      <c r="Z13" s="1172"/>
      <c r="AA13" s="1173"/>
      <c r="AB13" s="1171"/>
      <c r="AC13" s="1172"/>
      <c r="AD13" s="1173"/>
      <c r="AE13" s="1184">
        <v>5</v>
      </c>
      <c r="AF13" s="1185"/>
      <c r="AG13" s="1188"/>
      <c r="AH13" s="1174">
        <f>IF(B13="","",RANK(AE13,ГР9О))</f>
        <v>6</v>
      </c>
    </row>
    <row r="14" spans="1:34" ht="12" customHeight="1" x14ac:dyDescent="0.2">
      <c r="A14" s="1164"/>
      <c r="B14" s="1166"/>
      <c r="C14" s="457" t="str">
        <f>IF(B13="","",VLOOKUP(B13,'Списки участников'!A:I,6,FALSE))</f>
        <v>Москва</v>
      </c>
      <c r="D14" s="464">
        <f>IF(P6="","",IF(R6="l","W",R6))</f>
        <v>0</v>
      </c>
      <c r="E14" s="459" t="str">
        <f>IF(Q6="","",":")</f>
        <v>:</v>
      </c>
      <c r="F14" s="465">
        <f>IF(R6="","",IF(P6="W","L",P6))</f>
        <v>2</v>
      </c>
      <c r="G14" s="464">
        <f>IF(P8="","",IF(R8="l","W",R8))</f>
        <v>0</v>
      </c>
      <c r="H14" s="459" t="str">
        <f>IF(Q8="","",":")</f>
        <v>:</v>
      </c>
      <c r="I14" s="465">
        <f>IF(R8="","",IF(P8="W","L",P8))</f>
        <v>2</v>
      </c>
      <c r="J14" s="464">
        <f>IF(P10="","",IF(R10="l","W",R10))</f>
        <v>0</v>
      </c>
      <c r="K14" s="459" t="str">
        <f>IF(Q10="","",":")</f>
        <v>:</v>
      </c>
      <c r="L14" s="465">
        <f>IF(R10="","",IF(P10="W","L",P10))</f>
        <v>2</v>
      </c>
      <c r="M14" s="464">
        <f>IF(P12="","",IF(R12="l","W",R12))</f>
        <v>0</v>
      </c>
      <c r="N14" s="459" t="str">
        <f>IF(Q12="","",":")</f>
        <v>:</v>
      </c>
      <c r="O14" s="465">
        <f>IF(R12="","",IF(P12="W","L",P12))</f>
        <v>2</v>
      </c>
      <c r="P14" s="1183"/>
      <c r="Q14" s="1169"/>
      <c r="R14" s="1170"/>
      <c r="S14" s="458">
        <v>0</v>
      </c>
      <c r="T14" s="459" t="str">
        <f>IF(S13="","",":")</f>
        <v>:</v>
      </c>
      <c r="U14" s="460">
        <v>2</v>
      </c>
      <c r="V14" s="998" t="s">
        <v>12171</v>
      </c>
      <c r="W14" s="459" t="str">
        <f>IF(V13="","",":")</f>
        <v>:</v>
      </c>
      <c r="X14" s="999" t="s">
        <v>12172</v>
      </c>
      <c r="Y14" s="458"/>
      <c r="Z14" s="459" t="str">
        <f>IF(Y13="","",":")</f>
        <v/>
      </c>
      <c r="AA14" s="460"/>
      <c r="AB14" s="458"/>
      <c r="AC14" s="459" t="str">
        <f>IF(AB14="","",":")</f>
        <v/>
      </c>
      <c r="AD14" s="460"/>
      <c r="AE14" s="1186"/>
      <c r="AF14" s="1187"/>
      <c r="AG14" s="1189"/>
      <c r="AH14" s="1174"/>
    </row>
    <row r="15" spans="1:34" ht="12" customHeight="1" x14ac:dyDescent="0.2">
      <c r="A15" s="1163">
        <v>6</v>
      </c>
      <c r="B15" s="1165">
        <f>жеребьевка!B58</f>
        <v>91</v>
      </c>
      <c r="C15" s="456" t="str">
        <f>IF(B15="","",VLOOKUP(B15,'Списки участников'!A:I,3,FALSE))</f>
        <v>ВАСИКОВ Евгений</v>
      </c>
      <c r="D15" s="1171">
        <f>IF(S5="","",IF(S6="W",0,IF(S5=2,1,IF(S5=1,2,IF(S5=0,2)))))</f>
        <v>1</v>
      </c>
      <c r="E15" s="1172"/>
      <c r="F15" s="1173"/>
      <c r="G15" s="1171">
        <f>IF(S7="","",IF(S8="W",0,IF(S7=2,1,IF(S7=1,2,IF(S7=0,2)))))</f>
        <v>1</v>
      </c>
      <c r="H15" s="1172"/>
      <c r="I15" s="1173"/>
      <c r="J15" s="1171">
        <f>IF(S9="","",IF(S10="W",0,IF(S9=2,1,IF(S9=1,2,IF(S9=0,2)))))</f>
        <v>1</v>
      </c>
      <c r="K15" s="1172"/>
      <c r="L15" s="1173"/>
      <c r="M15" s="1171">
        <f>IF(S11="","",IF(S12="W",0,IF(S11=2,1,IF(S11=1,2,IF(S11=0,2)))))</f>
        <v>1</v>
      </c>
      <c r="N15" s="1172"/>
      <c r="O15" s="1173"/>
      <c r="P15" s="1171">
        <f>IF(S13="","",IF(S14="W",0,IF(S13=2,1,IF(S13=1,2,IF(S13=0,2)))))</f>
        <v>2</v>
      </c>
      <c r="Q15" s="1172"/>
      <c r="R15" s="1173"/>
      <c r="S15" s="1180"/>
      <c r="T15" s="1181"/>
      <c r="U15" s="1182"/>
      <c r="V15" s="1171">
        <v>2</v>
      </c>
      <c r="W15" s="1172"/>
      <c r="X15" s="1173"/>
      <c r="Y15" s="1171"/>
      <c r="Z15" s="1172"/>
      <c r="AA15" s="1173"/>
      <c r="AB15" s="1171"/>
      <c r="AC15" s="1172"/>
      <c r="AD15" s="1173"/>
      <c r="AE15" s="1184">
        <v>6</v>
      </c>
      <c r="AF15" s="1185"/>
      <c r="AG15" s="1188"/>
      <c r="AH15" s="1174">
        <f>IF(B15="","",RANK(AE15,ГР9О))</f>
        <v>5</v>
      </c>
    </row>
    <row r="16" spans="1:34" ht="12" customHeight="1" x14ac:dyDescent="0.2">
      <c r="A16" s="1164"/>
      <c r="B16" s="1166"/>
      <c r="C16" s="457" t="str">
        <f>IF(B15="","",VLOOKUP(B15,'Списки участников'!A:I,6,FALSE))</f>
        <v>Людиново  Кал.обл.</v>
      </c>
      <c r="D16" s="464">
        <f>IF(S6="","",IF(U6="l","W",U6))</f>
        <v>0</v>
      </c>
      <c r="E16" s="459" t="str">
        <f>IF(T6="","",":")</f>
        <v>:</v>
      </c>
      <c r="F16" s="465">
        <f>IF(U6="","",IF(S6="W","L",S6))</f>
        <v>2</v>
      </c>
      <c r="G16" s="464">
        <f>IF(S8="","",IF(U8="l","W",U8))</f>
        <v>0</v>
      </c>
      <c r="H16" s="459" t="str">
        <f>IF(Q8="","",":")</f>
        <v>:</v>
      </c>
      <c r="I16" s="465">
        <f>IF(U8="","",IF(S8="W","L",S8))</f>
        <v>2</v>
      </c>
      <c r="J16" s="464">
        <f>IF(S10="","",IF(U10="l","W",U10))</f>
        <v>0</v>
      </c>
      <c r="K16" s="459" t="str">
        <f>IF(T10="","",":")</f>
        <v>:</v>
      </c>
      <c r="L16" s="465">
        <f>IF(U10="","",IF(S10="W","L",S10))</f>
        <v>2</v>
      </c>
      <c r="M16" s="464">
        <f>IF(S12="","",IF(U12="l","W",U12))</f>
        <v>0</v>
      </c>
      <c r="N16" s="459" t="str">
        <f>IF(T12="","",":")</f>
        <v>:</v>
      </c>
      <c r="O16" s="465">
        <f>IF(U12="","",IF(S12="W","L",S12))</f>
        <v>2</v>
      </c>
      <c r="P16" s="464">
        <f>IF(S14="","",IF(U14="l","W",U14))</f>
        <v>2</v>
      </c>
      <c r="Q16" s="459" t="str">
        <f>IF(T14="","",":")</f>
        <v>:</v>
      </c>
      <c r="R16" s="465">
        <f>IF(U14="","",IF(S14="W","L",S14))</f>
        <v>0</v>
      </c>
      <c r="S16" s="1183"/>
      <c r="T16" s="1169"/>
      <c r="U16" s="1170"/>
      <c r="V16" s="998" t="s">
        <v>12171</v>
      </c>
      <c r="W16" s="459" t="str">
        <f>IF(V15="","",":")</f>
        <v>:</v>
      </c>
      <c r="X16" s="999" t="s">
        <v>12172</v>
      </c>
      <c r="Y16" s="458"/>
      <c r="Z16" s="459" t="str">
        <f>IF(Y15="","",":")</f>
        <v/>
      </c>
      <c r="AA16" s="460"/>
      <c r="AB16" s="458"/>
      <c r="AC16" s="459" t="str">
        <f>IF(AB15="","",":")</f>
        <v/>
      </c>
      <c r="AD16" s="460"/>
      <c r="AE16" s="1186"/>
      <c r="AF16" s="1187"/>
      <c r="AG16" s="1189"/>
      <c r="AH16" s="1174"/>
    </row>
    <row r="17" spans="1:34" ht="12" customHeight="1" x14ac:dyDescent="0.2">
      <c r="A17" s="1163">
        <v>7</v>
      </c>
      <c r="B17" s="1165">
        <f>жеребьевка!B60</f>
        <v>108</v>
      </c>
      <c r="C17" s="456" t="str">
        <f>IF(B17="","",VLOOKUP(B17,'Списки участников'!A:I,3,FALSE))</f>
        <v>ПРИЗЕНКО Артем</v>
      </c>
      <c r="D17" s="1171">
        <f>IF(V5="","",IF(V6="W",0,IF(V5=2,1,IF(V5=1,2,IF(V5=0,2)))))</f>
        <v>1</v>
      </c>
      <c r="E17" s="1172"/>
      <c r="F17" s="1173"/>
      <c r="G17" s="1171">
        <f>IF(V7="","",IF(V8="W",0,IF(V7=2,1,IF(V7=1,2,IF(V7=0,2)))))</f>
        <v>0</v>
      </c>
      <c r="H17" s="1172"/>
      <c r="I17" s="1173"/>
      <c r="J17" s="1171">
        <f>IF(V9="","",IF(V10="W",0,IF(V9=2,1,IF(V9=1,2,IF(V9=0,2)))))</f>
        <v>0</v>
      </c>
      <c r="K17" s="1172"/>
      <c r="L17" s="1173"/>
      <c r="M17" s="1171">
        <f>IF(V11="","",IF(V12="W",0,IF(V11=2,1,IF(V11=1,2,IF(V11=0,2)))))</f>
        <v>1</v>
      </c>
      <c r="N17" s="1172"/>
      <c r="O17" s="1173"/>
      <c r="P17" s="1171">
        <f>IF(V13="","",IF(V14="W",0,IF(V13=2,1,IF(V13=1,2,IF(V13=0,2)))))</f>
        <v>0</v>
      </c>
      <c r="Q17" s="1172"/>
      <c r="R17" s="1173"/>
      <c r="S17" s="1171">
        <f>IF(V15="","",IF(V16="W",0,IF(V15=2,1,IF(V15=1,2,IF(V15=0,2)))))</f>
        <v>0</v>
      </c>
      <c r="T17" s="1172"/>
      <c r="U17" s="1173"/>
      <c r="V17" s="1191"/>
      <c r="W17" s="1167"/>
      <c r="X17" s="1168"/>
      <c r="Y17" s="1171"/>
      <c r="Z17" s="1172"/>
      <c r="AA17" s="1173"/>
      <c r="AB17" s="1171"/>
      <c r="AC17" s="1172"/>
      <c r="AD17" s="1173"/>
      <c r="AE17" s="1184">
        <f>IF(B17="","",SUM(D17,J17,M17,P17,S17,G17,Y17,AB17,))</f>
        <v>2</v>
      </c>
      <c r="AF17" s="1185"/>
      <c r="AG17" s="1188"/>
      <c r="AH17" s="1174">
        <f>IF(B17="","",RANK(AE17,ГР9О))</f>
        <v>7</v>
      </c>
    </row>
    <row r="18" spans="1:34" ht="12" customHeight="1" x14ac:dyDescent="0.2">
      <c r="A18" s="1164"/>
      <c r="B18" s="1166"/>
      <c r="C18" s="457" t="str">
        <f>IF(B17="","",VLOOKUP(B17,'Списки участников'!A:I,6,FALSE))</f>
        <v>Москва</v>
      </c>
      <c r="D18" s="464">
        <f>IF(V6="","",IF(X6="l","W",X6))</f>
        <v>0</v>
      </c>
      <c r="E18" s="459" t="str">
        <f>IF(W6="","",":")</f>
        <v>:</v>
      </c>
      <c r="F18" s="465">
        <f>IF(X6="","",IF(V6="W","L",V6))</f>
        <v>2</v>
      </c>
      <c r="G18" s="1039" t="s">
        <v>12172</v>
      </c>
      <c r="H18" s="1040" t="s">
        <v>12173</v>
      </c>
      <c r="I18" s="1041" t="s">
        <v>12171</v>
      </c>
      <c r="J18" s="1039" t="s">
        <v>12172</v>
      </c>
      <c r="K18" s="1040" t="s">
        <v>12173</v>
      </c>
      <c r="L18" s="1041" t="s">
        <v>12171</v>
      </c>
      <c r="M18" s="464">
        <f>IF(V12="","",IF(X12="l","W",X12))</f>
        <v>0</v>
      </c>
      <c r="N18" s="459" t="str">
        <f>IF(W12="","",":")</f>
        <v>:</v>
      </c>
      <c r="O18" s="465">
        <f>IF(X12="","",IF(V12="W","L",V12))</f>
        <v>2</v>
      </c>
      <c r="P18" s="1039" t="s">
        <v>12172</v>
      </c>
      <c r="Q18" s="459" t="str">
        <f>IF(W14="","",":")</f>
        <v>:</v>
      </c>
      <c r="R18" s="1041" t="s">
        <v>12171</v>
      </c>
      <c r="S18" s="1039" t="s">
        <v>12172</v>
      </c>
      <c r="T18" s="459" t="str">
        <f>IF(W16="","",":")</f>
        <v>:</v>
      </c>
      <c r="U18" s="1041" t="s">
        <v>12171</v>
      </c>
      <c r="V18" s="1183"/>
      <c r="W18" s="1169"/>
      <c r="X18" s="1170"/>
      <c r="Y18" s="458"/>
      <c r="Z18" s="459" t="str">
        <f>IF(Y17="","",":")</f>
        <v/>
      </c>
      <c r="AA18" s="460"/>
      <c r="AB18" s="458"/>
      <c r="AC18" s="459" t="str">
        <f>IF(AB17="","",":")</f>
        <v/>
      </c>
      <c r="AD18" s="460"/>
      <c r="AE18" s="1186"/>
      <c r="AF18" s="1187"/>
      <c r="AG18" s="1189"/>
      <c r="AH18" s="1174"/>
    </row>
    <row r="19" spans="1:34" ht="12" customHeight="1" x14ac:dyDescent="0.2">
      <c r="A19" s="1163">
        <v>8</v>
      </c>
      <c r="B19" s="1165"/>
      <c r="C19" s="456" t="str">
        <f>IF(B19="","",VLOOKUP(B19,'Списки участников'!A:I,3,FALSE))</f>
        <v/>
      </c>
      <c r="D19" s="1171" t="str">
        <f>IF(Y5="","",IF(Y6="W",0,IF(Y5=2,1,IF(Y5=1,2,IF(Y5=0,2)))))</f>
        <v/>
      </c>
      <c r="E19" s="1172"/>
      <c r="F19" s="1173"/>
      <c r="G19" s="1171" t="str">
        <f>IF(Y7="","",IF(Y8="W",0,IF(Y7=2,1,IF(Y7=1,2,IF(Y7=0,2)))))</f>
        <v/>
      </c>
      <c r="H19" s="1172"/>
      <c r="I19" s="1173"/>
      <c r="J19" s="1171" t="str">
        <f>IF(Y9="","",IF(Y10="W",0,IF(Y9=2,1,IF(Y9=1,2,IF(Y9=0,2)))))</f>
        <v/>
      </c>
      <c r="K19" s="1172"/>
      <c r="L19" s="1173"/>
      <c r="M19" s="1171" t="str">
        <f>IF(Y11="","",IF(Y12="W",0,IF(Y11=2,1,IF(Y11=1,2,IF(Y11=0,2)))))</f>
        <v/>
      </c>
      <c r="N19" s="1172"/>
      <c r="O19" s="1173"/>
      <c r="P19" s="1171" t="str">
        <f>IF(Y13="","",IF(Y14="W",0,IF(Y13=2,1,IF(Y13=1,2,IF(Y13=0,2)))))</f>
        <v/>
      </c>
      <c r="Q19" s="1172"/>
      <c r="R19" s="1173"/>
      <c r="S19" s="1171" t="str">
        <f>IF(Y15="","",IF(Y16="W",0,IF(Y15=2,1,IF(Y15=1,2,IF(Y15=0,2)))))</f>
        <v/>
      </c>
      <c r="T19" s="1172"/>
      <c r="U19" s="1173"/>
      <c r="V19" s="1171" t="str">
        <f>IF(Y17="","",IF(Y18="W",0,IF(Y17=2,1,IF(Y17=1,2,IF(Y17=0,2)))))</f>
        <v/>
      </c>
      <c r="W19" s="1172"/>
      <c r="X19" s="1173"/>
      <c r="Y19" s="1180"/>
      <c r="Z19" s="1181"/>
      <c r="AA19" s="1182"/>
      <c r="AB19" s="1171"/>
      <c r="AC19" s="1172"/>
      <c r="AD19" s="1173"/>
      <c r="AE19" s="1184" t="str">
        <f>IF(B19="","",SUM(D19,J19,M19,P19,S19,V19,G19,AB19,))</f>
        <v/>
      </c>
      <c r="AF19" s="1185"/>
      <c r="AG19" s="1188"/>
      <c r="AH19" s="1174" t="str">
        <f>IF(B19="","",RANK(AE19,ГР9О))</f>
        <v/>
      </c>
    </row>
    <row r="20" spans="1:34" ht="12" customHeight="1" x14ac:dyDescent="0.2">
      <c r="A20" s="1164"/>
      <c r="B20" s="1166"/>
      <c r="C20" s="457" t="str">
        <f>IF(B19="","",VLOOKUP(B19,'Списки участников'!A:I,6,FALSE))</f>
        <v/>
      </c>
      <c r="D20" s="464" t="str">
        <f>IF(Y6="","",IF(AA6="l","W",AA6))</f>
        <v/>
      </c>
      <c r="E20" s="459" t="str">
        <f>IF(Z6="","",":")</f>
        <v/>
      </c>
      <c r="F20" s="465" t="str">
        <f>IF(AA6="","",IF(Y6="W","L",Y6))</f>
        <v/>
      </c>
      <c r="G20" s="464" t="str">
        <f>IF(Y8="","",IF(AA8="l","W",AA8))</f>
        <v/>
      </c>
      <c r="H20" s="459" t="str">
        <f>IF(Z8="","",":")</f>
        <v/>
      </c>
      <c r="I20" s="465" t="str">
        <f>IF(AA8="","",IF(Y8="W","L",Y8))</f>
        <v/>
      </c>
      <c r="J20" s="464" t="str">
        <f>IF(Y10="","",IF(AA10="l","W",AA10))</f>
        <v/>
      </c>
      <c r="K20" s="459" t="str">
        <f>IF(Z10="","",":")</f>
        <v/>
      </c>
      <c r="L20" s="465" t="str">
        <f>IF(AA10="","",IF(Y10="W","L",Y10))</f>
        <v/>
      </c>
      <c r="M20" s="464" t="str">
        <f>IF(Y12="","",IF(AA12="l","W",AA12))</f>
        <v/>
      </c>
      <c r="N20" s="459" t="str">
        <f>IF(Z12="","",":")</f>
        <v/>
      </c>
      <c r="O20" s="465" t="str">
        <f>IF(AA12="","",IF(Y12="W","L",Y12))</f>
        <v/>
      </c>
      <c r="P20" s="464" t="str">
        <f>IF(Y14="","",IF(AA14="l","W",AA14))</f>
        <v/>
      </c>
      <c r="Q20" s="459" t="str">
        <f>IF(Z14="","",":")</f>
        <v/>
      </c>
      <c r="R20" s="465" t="str">
        <f>IF(AA14="","",IF(Y14="W","L",Y14))</f>
        <v/>
      </c>
      <c r="S20" s="464" t="str">
        <f>IF(Y16="","",IF(AA16="l","W",AA16))</f>
        <v/>
      </c>
      <c r="T20" s="459" t="str">
        <f>IF(Z16="","",":")</f>
        <v/>
      </c>
      <c r="U20" s="465" t="str">
        <f>IF(AA16="","",IF(Y16="W","L",Y16))</f>
        <v/>
      </c>
      <c r="V20" s="464" t="str">
        <f>IF(Y18="","",IF(AA18="l","W",AA18))</f>
        <v/>
      </c>
      <c r="W20" s="459" t="str">
        <f>IF(Z18="","",":")</f>
        <v/>
      </c>
      <c r="X20" s="465" t="str">
        <f>IF(AA18="","",IF(Y18="W","L",Y18))</f>
        <v/>
      </c>
      <c r="Y20" s="1183"/>
      <c r="Z20" s="1169"/>
      <c r="AA20" s="1170"/>
      <c r="AB20" s="458"/>
      <c r="AC20" s="459" t="str">
        <f>IF(AB19="","",":")</f>
        <v/>
      </c>
      <c r="AD20" s="460"/>
      <c r="AE20" s="1186"/>
      <c r="AF20" s="1187"/>
      <c r="AG20" s="1189"/>
      <c r="AH20" s="1174"/>
    </row>
    <row r="21" spans="1:34" ht="12" hidden="1" customHeight="1" outlineLevel="1" x14ac:dyDescent="0.2">
      <c r="A21" s="1163">
        <v>9</v>
      </c>
      <c r="B21" s="1165">
        <f>жеребьевка!B64</f>
        <v>0</v>
      </c>
      <c r="C21" s="456" t="e">
        <f>IF(B21="","",VLOOKUP(B21,'Списки участников'!A:I,3,FALSE))</f>
        <v>#N/A</v>
      </c>
      <c r="D21" s="1171" t="str">
        <f>IF(AB5="","",IF(AB6="W",0,IF(AB5=2,1,IF(AB5=1,2,IF(AB5=0,2)))))</f>
        <v/>
      </c>
      <c r="E21" s="1172"/>
      <c r="F21" s="1173"/>
      <c r="G21" s="1171" t="str">
        <f>IF(AB7="","",IF(AB8="W",0,IF(AB7=2,1,IF(AB7=1,2,IF(AB7=0,2)))))</f>
        <v/>
      </c>
      <c r="H21" s="1172"/>
      <c r="I21" s="1173"/>
      <c r="J21" s="1171" t="str">
        <f>IF(AB9="","",IF(AB10="W",0,IF(AB9=2,1,IF(AB9=1,2,IF(AB9=0,2)))))</f>
        <v/>
      </c>
      <c r="K21" s="1172"/>
      <c r="L21" s="1173"/>
      <c r="M21" s="1171" t="str">
        <f>IF(AB11="","",IF(AB12="W",0,IF(AB11=2,1,IF(AB11=1,2,IF(AB11=0,2)))))</f>
        <v/>
      </c>
      <c r="N21" s="1172"/>
      <c r="O21" s="1173"/>
      <c r="P21" s="1171" t="str">
        <f>IF(AB13="","",IF(AB14="W",0,IF(AB13=2,1,IF(AB13=1,2,IF(AB13=0,2)))))</f>
        <v/>
      </c>
      <c r="Q21" s="1172"/>
      <c r="R21" s="1173"/>
      <c r="S21" s="1171" t="str">
        <f>IF(AB15="","",IF(AB16="W",0,IF(AB15=2,1,IF(AB15=1,2,IF(AB15=0,2)))))</f>
        <v/>
      </c>
      <c r="T21" s="1172"/>
      <c r="U21" s="1173"/>
      <c r="V21" s="1171" t="str">
        <f>IF(AB17="","",IF(AB18="W",0,IF(AB17=2,1,IF(AB17=1,2,IF(AB17=0,2)))))</f>
        <v/>
      </c>
      <c r="W21" s="1172"/>
      <c r="X21" s="1173"/>
      <c r="Y21" s="1171" t="str">
        <f>IF(AB19="","",IF(AB20="W",0,IF(AB19=2,1,IF(AB19=1,2,IF(AB19=0,2)))))</f>
        <v/>
      </c>
      <c r="Z21" s="1172"/>
      <c r="AA21" s="1173"/>
      <c r="AB21" s="1191"/>
      <c r="AC21" s="1167"/>
      <c r="AD21" s="1168"/>
      <c r="AE21" s="1184">
        <f>IF(B21="","",SUM(D21,J21,M21,P21,S21,V21,Y21,G21,))</f>
        <v>0</v>
      </c>
      <c r="AF21" s="1185"/>
      <c r="AG21" s="1188"/>
      <c r="AH21" s="1174">
        <f>IF(B21="","",RANK(AE21,ГР9О))</f>
        <v>8</v>
      </c>
    </row>
    <row r="22" spans="1:34" ht="12" hidden="1" customHeight="1" outlineLevel="1" x14ac:dyDescent="0.2">
      <c r="A22" s="1164"/>
      <c r="B22" s="1166"/>
      <c r="C22" s="457" t="e">
        <f>IF(B21="","",VLOOKUP(B21,'Списки участников'!A:I,6,FALSE))</f>
        <v>#N/A</v>
      </c>
      <c r="D22" s="464" t="str">
        <f>IF(AB6="","",IF(AD6="l","W",AD6))</f>
        <v/>
      </c>
      <c r="E22" s="459" t="str">
        <f>IF(AC6="","",":")</f>
        <v/>
      </c>
      <c r="F22" s="465" t="str">
        <f>IF(AD6="","",IF(AB6="W","L",AB6))</f>
        <v/>
      </c>
      <c r="G22" s="464" t="str">
        <f>IF(AB8="","",IF(AD8="l","W",AD8))</f>
        <v/>
      </c>
      <c r="H22" s="459" t="str">
        <f>IF(AC8="","",":")</f>
        <v/>
      </c>
      <c r="I22" s="465" t="str">
        <f>IF(AD8="","",IF(AB8="W","L",AB8))</f>
        <v/>
      </c>
      <c r="J22" s="464" t="str">
        <f>IF(AB10="","",IF(AD10="l","W",AD10))</f>
        <v/>
      </c>
      <c r="K22" s="459" t="str">
        <f>IF(AC10="","",":")</f>
        <v/>
      </c>
      <c r="L22" s="465" t="str">
        <f>IF(AD10="","",IF(AB10="W","L",AB10))</f>
        <v/>
      </c>
      <c r="M22" s="464" t="str">
        <f>IF(AB12="","",IF(AD12="l","W",AD12))</f>
        <v/>
      </c>
      <c r="N22" s="459" t="str">
        <f>IF(AC12="","",":")</f>
        <v/>
      </c>
      <c r="O22" s="465" t="str">
        <f>IF(AD12="","",IF(AB12="W","L",AB12))</f>
        <v/>
      </c>
      <c r="P22" s="464" t="str">
        <f>IF(AB14="","",IF(AD14="l","W",AD14))</f>
        <v/>
      </c>
      <c r="Q22" s="459" t="str">
        <f>IF(AC14="","",":")</f>
        <v/>
      </c>
      <c r="R22" s="465" t="str">
        <f>IF(AD14="","",IF(AB14="W","L",AB14))</f>
        <v/>
      </c>
      <c r="S22" s="464" t="str">
        <f>IF(AB16="","",IF(AD16="l","W",AD16))</f>
        <v/>
      </c>
      <c r="T22" s="459" t="str">
        <f>IF(AC16="","",":")</f>
        <v/>
      </c>
      <c r="U22" s="465" t="str">
        <f>IF(AD16="","",IF(AB16="W","L",AB16))</f>
        <v/>
      </c>
      <c r="V22" s="464" t="str">
        <f>IF(AB18="","",IF(AD18="l","W",AD18))</f>
        <v/>
      </c>
      <c r="W22" s="459" t="str">
        <f>IF(AC18="","",":")</f>
        <v/>
      </c>
      <c r="X22" s="465" t="str">
        <f>IF(AD18="","",IF(AB18="W","L",AB18))</f>
        <v/>
      </c>
      <c r="Y22" s="464" t="str">
        <f>IF(AB20="","",IF(AD20="l","W",AD20))</f>
        <v/>
      </c>
      <c r="Z22" s="459" t="str">
        <f>IF(AC20="","",":")</f>
        <v/>
      </c>
      <c r="AA22" s="465" t="str">
        <f>IF(AD20="","",IF(AB20="W","L",AB20))</f>
        <v/>
      </c>
      <c r="AB22" s="1183"/>
      <c r="AC22" s="1169"/>
      <c r="AD22" s="1170"/>
      <c r="AE22" s="1186"/>
      <c r="AF22" s="1187"/>
      <c r="AG22" s="1189"/>
      <c r="AH22" s="1174"/>
    </row>
    <row r="23" spans="1:34" ht="12" customHeight="1" collapsed="1" x14ac:dyDescent="0.25">
      <c r="A23" s="135"/>
      <c r="B23" s="135"/>
      <c r="C23" s="954" t="s">
        <v>765</v>
      </c>
      <c r="D23" s="135"/>
      <c r="E23" s="135"/>
      <c r="F23" s="135"/>
      <c r="G23" s="1192" t="s">
        <v>2589</v>
      </c>
      <c r="H23" s="1192"/>
      <c r="I23" s="1192"/>
      <c r="J23" s="1192"/>
      <c r="K23" s="1192"/>
      <c r="L23" s="1192"/>
      <c r="M23" s="1192"/>
      <c r="N23" s="1192"/>
      <c r="O23" s="1192"/>
      <c r="P23" s="1192"/>
      <c r="Q23" s="1192"/>
      <c r="R23" s="1192"/>
      <c r="S23" s="1192"/>
      <c r="T23" s="1192"/>
      <c r="U23" s="1192"/>
      <c r="V23" s="1192"/>
      <c r="W23" s="1192"/>
      <c r="X23" s="1192"/>
      <c r="Y23" s="1192"/>
      <c r="Z23" s="1192"/>
      <c r="AA23" s="1192"/>
      <c r="AB23" s="135"/>
      <c r="AC23" s="135"/>
      <c r="AD23" s="135"/>
      <c r="AE23" s="135"/>
      <c r="AF23" s="135"/>
      <c r="AG23" s="135"/>
      <c r="AH23" s="135"/>
    </row>
    <row r="24" spans="1:34" ht="12" customHeight="1" x14ac:dyDescent="0.2">
      <c r="A24" s="136" t="s">
        <v>3</v>
      </c>
      <c r="B24" s="864"/>
      <c r="C24" s="138" t="s">
        <v>788</v>
      </c>
      <c r="D24" s="1158">
        <v>1</v>
      </c>
      <c r="E24" s="1159"/>
      <c r="F24" s="1160"/>
      <c r="G24" s="1158">
        <v>2</v>
      </c>
      <c r="H24" s="1159"/>
      <c r="I24" s="1160"/>
      <c r="J24" s="1158">
        <v>3</v>
      </c>
      <c r="K24" s="1159"/>
      <c r="L24" s="1160"/>
      <c r="M24" s="1158">
        <v>4</v>
      </c>
      <c r="N24" s="1159"/>
      <c r="O24" s="1160"/>
      <c r="P24" s="1158">
        <v>5</v>
      </c>
      <c r="Q24" s="1159"/>
      <c r="R24" s="1160"/>
      <c r="S24" s="1158">
        <v>6</v>
      </c>
      <c r="T24" s="1159"/>
      <c r="U24" s="1160"/>
      <c r="V24" s="1158">
        <v>7</v>
      </c>
      <c r="W24" s="1159"/>
      <c r="X24" s="1160"/>
      <c r="Y24" s="1158">
        <v>8</v>
      </c>
      <c r="Z24" s="1159"/>
      <c r="AA24" s="1160"/>
      <c r="AB24" s="1158">
        <v>9</v>
      </c>
      <c r="AC24" s="1159"/>
      <c r="AD24" s="1160"/>
      <c r="AE24" s="1161" t="s">
        <v>789</v>
      </c>
      <c r="AF24" s="1162"/>
      <c r="AG24" s="865" t="s">
        <v>790</v>
      </c>
      <c r="AH24" s="455" t="s">
        <v>100</v>
      </c>
    </row>
    <row r="25" spans="1:34" ht="12" customHeight="1" x14ac:dyDescent="0.2">
      <c r="A25" s="1163">
        <v>1</v>
      </c>
      <c r="B25" s="1193">
        <f>жеребьевка!G48</f>
        <v>10</v>
      </c>
      <c r="C25" s="456" t="str">
        <f>IF(B25="","",VLOOKUP(B25,'Списки участников'!A:I,3,FALSE))</f>
        <v xml:space="preserve">СУЛТАНОВ Артур </v>
      </c>
      <c r="D25" s="1167"/>
      <c r="E25" s="1167"/>
      <c r="F25" s="1168"/>
      <c r="G25" s="1171">
        <v>2</v>
      </c>
      <c r="H25" s="1172"/>
      <c r="I25" s="1173"/>
      <c r="J25" s="1171">
        <v>2</v>
      </c>
      <c r="K25" s="1172"/>
      <c r="L25" s="1173"/>
      <c r="M25" s="1171">
        <v>2</v>
      </c>
      <c r="N25" s="1172"/>
      <c r="O25" s="1173"/>
      <c r="P25" s="1171">
        <v>2</v>
      </c>
      <c r="Q25" s="1172"/>
      <c r="R25" s="1173"/>
      <c r="S25" s="1171">
        <v>2</v>
      </c>
      <c r="T25" s="1172"/>
      <c r="U25" s="1173"/>
      <c r="V25" s="1171">
        <v>2</v>
      </c>
      <c r="W25" s="1172"/>
      <c r="X25" s="1173"/>
      <c r="Y25" s="1171"/>
      <c r="Z25" s="1172"/>
      <c r="AA25" s="1173"/>
      <c r="AB25" s="1171"/>
      <c r="AC25" s="1172"/>
      <c r="AD25" s="1173"/>
      <c r="AE25" s="1184">
        <f>IF(B25="","",SUM(G25,J25,M25,P25,S25,V25,Y25,AB25,))</f>
        <v>12</v>
      </c>
      <c r="AF25" s="1185"/>
      <c r="AG25" s="1175"/>
      <c r="AH25" s="1174">
        <f>IF(B25="","",RANK(AE25,ГР10О))</f>
        <v>1</v>
      </c>
    </row>
    <row r="26" spans="1:34" ht="12" customHeight="1" x14ac:dyDescent="0.2">
      <c r="A26" s="1164"/>
      <c r="B26" s="1194"/>
      <c r="C26" s="457" t="str">
        <f>IF(B25="","",VLOOKUP(B25,'Списки участников'!A:I,6,FALSE))</f>
        <v>Пермь</v>
      </c>
      <c r="D26" s="1169"/>
      <c r="E26" s="1169"/>
      <c r="F26" s="1170"/>
      <c r="G26" s="458">
        <v>2</v>
      </c>
      <c r="H26" s="459" t="str">
        <f>IF(G25="","",":")</f>
        <v>:</v>
      </c>
      <c r="I26" s="460">
        <v>1</v>
      </c>
      <c r="J26" s="458">
        <v>2</v>
      </c>
      <c r="K26" s="459" t="str">
        <f>IF(J25="","",":")</f>
        <v>:</v>
      </c>
      <c r="L26" s="460">
        <v>0</v>
      </c>
      <c r="M26" s="458">
        <v>2</v>
      </c>
      <c r="N26" s="459" t="str">
        <f>IF(M26="","",":")</f>
        <v>:</v>
      </c>
      <c r="O26" s="460">
        <v>0</v>
      </c>
      <c r="P26" s="458">
        <v>2</v>
      </c>
      <c r="Q26" s="459" t="str">
        <f>IF(P26="","",":")</f>
        <v>:</v>
      </c>
      <c r="R26" s="460">
        <v>0</v>
      </c>
      <c r="S26" s="458">
        <v>2</v>
      </c>
      <c r="T26" s="459" t="str">
        <f>IF(S26="","",":")</f>
        <v>:</v>
      </c>
      <c r="U26" s="460">
        <v>0</v>
      </c>
      <c r="V26" s="458">
        <v>2</v>
      </c>
      <c r="W26" s="459" t="str">
        <f>IF(V26="","",":")</f>
        <v>:</v>
      </c>
      <c r="X26" s="460">
        <v>0</v>
      </c>
      <c r="Y26" s="458"/>
      <c r="Z26" s="459" t="str">
        <f>IF(Y26="","",":")</f>
        <v/>
      </c>
      <c r="AA26" s="460"/>
      <c r="AB26" s="458"/>
      <c r="AC26" s="459" t="str">
        <f>IF(AB26="","",":")</f>
        <v/>
      </c>
      <c r="AD26" s="460"/>
      <c r="AE26" s="1186"/>
      <c r="AF26" s="1187"/>
      <c r="AG26" s="1176"/>
      <c r="AH26" s="1174"/>
    </row>
    <row r="27" spans="1:34" ht="12" customHeight="1" x14ac:dyDescent="0.2">
      <c r="A27" s="1163">
        <v>2</v>
      </c>
      <c r="B27" s="1193">
        <f>жеребьевка!G50</f>
        <v>24</v>
      </c>
      <c r="C27" s="456" t="str">
        <f>IF(B27="","",VLOOKUP(B27,'Списки участников'!A:I,3,FALSE))</f>
        <v>КЛЕСТОВ Евгений</v>
      </c>
      <c r="D27" s="1177">
        <f>IF(G25="","",IF(G26="W",0,IF(G25=2,1,IF(G25=1,2,IF(G25=0,2)))))</f>
        <v>1</v>
      </c>
      <c r="E27" s="1178"/>
      <c r="F27" s="1179"/>
      <c r="G27" s="1180"/>
      <c r="H27" s="1181"/>
      <c r="I27" s="1182"/>
      <c r="J27" s="1171">
        <v>2</v>
      </c>
      <c r="K27" s="1172"/>
      <c r="L27" s="1173"/>
      <c r="M27" s="1171">
        <v>2</v>
      </c>
      <c r="N27" s="1172"/>
      <c r="O27" s="1173"/>
      <c r="P27" s="1171">
        <v>2</v>
      </c>
      <c r="Q27" s="1172"/>
      <c r="R27" s="1173"/>
      <c r="S27" s="1171">
        <v>2</v>
      </c>
      <c r="T27" s="1172"/>
      <c r="U27" s="1173"/>
      <c r="V27" s="1171">
        <v>2</v>
      </c>
      <c r="W27" s="1172"/>
      <c r="X27" s="1173"/>
      <c r="Y27" s="1171"/>
      <c r="Z27" s="1172"/>
      <c r="AA27" s="1173"/>
      <c r="AB27" s="1171"/>
      <c r="AC27" s="1172"/>
      <c r="AD27" s="1173"/>
      <c r="AE27" s="1184">
        <f>IF(B27="","",SUM(D27,J27,M27,P27,S27,V27,Y27,AB27,))</f>
        <v>11</v>
      </c>
      <c r="AF27" s="1185"/>
      <c r="AG27" s="1175"/>
      <c r="AH27" s="1174">
        <f>IF(B27="","",RANK(AE27,ГР10О))</f>
        <v>2</v>
      </c>
    </row>
    <row r="28" spans="1:34" ht="12" customHeight="1" x14ac:dyDescent="0.2">
      <c r="A28" s="1164"/>
      <c r="B28" s="1194"/>
      <c r="C28" s="457" t="str">
        <f>IF(B27="","",VLOOKUP(B27,'Списки участников'!A:I,6,FALSE))</f>
        <v>Людиново  Кал.обл.</v>
      </c>
      <c r="D28" s="461">
        <f>IF(G26="","",IF(I26="l","W",I26))</f>
        <v>1</v>
      </c>
      <c r="E28" s="462" t="str">
        <f>IF(G25="","",":")</f>
        <v>:</v>
      </c>
      <c r="F28" s="463">
        <f>IF(I26="","",IF(G26="W","L",G26))</f>
        <v>2</v>
      </c>
      <c r="G28" s="1183"/>
      <c r="H28" s="1169"/>
      <c r="I28" s="1170"/>
      <c r="J28" s="458">
        <v>2</v>
      </c>
      <c r="K28" s="459" t="str">
        <f>IF(J27="","",":")</f>
        <v>:</v>
      </c>
      <c r="L28" s="460">
        <v>0</v>
      </c>
      <c r="M28" s="458">
        <v>2</v>
      </c>
      <c r="N28" s="459" t="str">
        <f>IF(M27="","",":")</f>
        <v>:</v>
      </c>
      <c r="O28" s="460">
        <v>0</v>
      </c>
      <c r="P28" s="458">
        <v>2</v>
      </c>
      <c r="Q28" s="459" t="str">
        <f>IF(P27="","",":")</f>
        <v>:</v>
      </c>
      <c r="R28" s="460">
        <v>0</v>
      </c>
      <c r="S28" s="458">
        <v>2</v>
      </c>
      <c r="T28" s="459" t="str">
        <f>IF(S28="","",":")</f>
        <v>:</v>
      </c>
      <c r="U28" s="460">
        <v>0</v>
      </c>
      <c r="V28" s="458">
        <v>2</v>
      </c>
      <c r="W28" s="459" t="str">
        <f>IF(V28="","",":")</f>
        <v>:</v>
      </c>
      <c r="X28" s="460">
        <v>0</v>
      </c>
      <c r="Y28" s="458"/>
      <c r="Z28" s="459" t="str">
        <f>IF(Y28="","",":")</f>
        <v/>
      </c>
      <c r="AA28" s="460"/>
      <c r="AB28" s="458"/>
      <c r="AC28" s="459" t="str">
        <f>IF(AB28="","",":")</f>
        <v/>
      </c>
      <c r="AD28" s="460"/>
      <c r="AE28" s="1186"/>
      <c r="AF28" s="1187"/>
      <c r="AG28" s="1176"/>
      <c r="AH28" s="1174"/>
    </row>
    <row r="29" spans="1:34" ht="12" customHeight="1" x14ac:dyDescent="0.2">
      <c r="A29" s="1163">
        <v>3</v>
      </c>
      <c r="B29" s="1193">
        <f>жеребьевка!G52</f>
        <v>44</v>
      </c>
      <c r="C29" s="456" t="str">
        <f>IF(B29="","",VLOOKUP(B29,'Списки участников'!A:I,3,FALSE))</f>
        <v>НАЗАРКИН Максим</v>
      </c>
      <c r="D29" s="1177">
        <f>IF(J25="","",IF(J26="W",0,IF(J25=2,1,IF(J25=1,2,IF(J25=0,2)))))</f>
        <v>1</v>
      </c>
      <c r="E29" s="1178"/>
      <c r="F29" s="1179"/>
      <c r="G29" s="1171">
        <f>IF(J27="","",IF(J28="W",0,IF(J27=2,1,IF(J27=1,2,IF(J27=0,2)))))</f>
        <v>1</v>
      </c>
      <c r="H29" s="1172"/>
      <c r="I29" s="1173"/>
      <c r="J29" s="1180"/>
      <c r="K29" s="1181"/>
      <c r="L29" s="1182"/>
      <c r="M29" s="1171">
        <v>2</v>
      </c>
      <c r="N29" s="1172"/>
      <c r="O29" s="1173"/>
      <c r="P29" s="1171">
        <v>2</v>
      </c>
      <c r="Q29" s="1172"/>
      <c r="R29" s="1173"/>
      <c r="S29" s="1171">
        <v>2</v>
      </c>
      <c r="T29" s="1172"/>
      <c r="U29" s="1173"/>
      <c r="V29" s="1171">
        <v>2</v>
      </c>
      <c r="W29" s="1172"/>
      <c r="X29" s="1173"/>
      <c r="Y29" s="1171"/>
      <c r="Z29" s="1172"/>
      <c r="AA29" s="1173"/>
      <c r="AB29" s="1171"/>
      <c r="AC29" s="1172"/>
      <c r="AD29" s="1173"/>
      <c r="AE29" s="1184">
        <f>IF(B29="","",SUM(G29,D29,M29,P29,S29,V29,Y29,AB29,))</f>
        <v>10</v>
      </c>
      <c r="AF29" s="1185"/>
      <c r="AG29" s="1188"/>
      <c r="AH29" s="1174">
        <f>IF(B29="","",RANK(AE29,ГР10О))</f>
        <v>3</v>
      </c>
    </row>
    <row r="30" spans="1:34" ht="12" customHeight="1" x14ac:dyDescent="0.2">
      <c r="A30" s="1164"/>
      <c r="B30" s="1195"/>
      <c r="C30" s="457" t="str">
        <f>IF(B29="","",VLOOKUP(B29,'Списки участников'!A:I,6,FALSE))</f>
        <v>Москва</v>
      </c>
      <c r="D30" s="464">
        <f>IF(J26="","",IF(L26="l","W",L26))</f>
        <v>0</v>
      </c>
      <c r="E30" s="459" t="str">
        <f>IF(K26="","",":")</f>
        <v>:</v>
      </c>
      <c r="F30" s="465">
        <f>IF(L26="","",IF(J26="W","L",J26))</f>
        <v>2</v>
      </c>
      <c r="G30" s="464">
        <f>IF(J28="","",IF(L28="l","W",L28))</f>
        <v>0</v>
      </c>
      <c r="H30" s="459" t="str">
        <f>IF(K28="","",":")</f>
        <v>:</v>
      </c>
      <c r="I30" s="465">
        <f>IF(L28="","",IF(J28="W","L",J28))</f>
        <v>2</v>
      </c>
      <c r="J30" s="1183"/>
      <c r="K30" s="1169"/>
      <c r="L30" s="1170"/>
      <c r="M30" s="458">
        <v>2</v>
      </c>
      <c r="N30" s="459" t="str">
        <f>IF(M29="","",":")</f>
        <v>:</v>
      </c>
      <c r="O30" s="460">
        <v>0</v>
      </c>
      <c r="P30" s="458">
        <v>2</v>
      </c>
      <c r="Q30" s="459" t="str">
        <f>IF(P29="","",":")</f>
        <v>:</v>
      </c>
      <c r="R30" s="460">
        <v>0</v>
      </c>
      <c r="S30" s="458">
        <v>2</v>
      </c>
      <c r="T30" s="459" t="str">
        <f>IF(S29="","",":")</f>
        <v>:</v>
      </c>
      <c r="U30" s="460">
        <v>0</v>
      </c>
      <c r="V30" s="458">
        <v>2</v>
      </c>
      <c r="W30" s="459" t="str">
        <f>IF(V30="","",":")</f>
        <v>:</v>
      </c>
      <c r="X30" s="460">
        <v>0</v>
      </c>
      <c r="Y30" s="458"/>
      <c r="Z30" s="459" t="str">
        <f>IF(Y30="","",":")</f>
        <v/>
      </c>
      <c r="AA30" s="460"/>
      <c r="AB30" s="458"/>
      <c r="AC30" s="459" t="str">
        <f>IF(AB30="","",":")</f>
        <v/>
      </c>
      <c r="AD30" s="460"/>
      <c r="AE30" s="1186"/>
      <c r="AF30" s="1187"/>
      <c r="AG30" s="1189"/>
      <c r="AH30" s="1174"/>
    </row>
    <row r="31" spans="1:34" ht="12" customHeight="1" x14ac:dyDescent="0.2">
      <c r="A31" s="1163">
        <v>4</v>
      </c>
      <c r="B31" s="1193">
        <f>жеребьевка!G54</f>
        <v>57</v>
      </c>
      <c r="C31" s="456" t="str">
        <f>IF(B31="","",VLOOKUP(B31,'Списки участников'!A:I,3,FALSE))</f>
        <v>АКИНЬЩИКОВ Станислав</v>
      </c>
      <c r="D31" s="1171">
        <f>IF(M25="","",IF(M26="W",0,IF(M25=2,1,IF(M25=1,2,IF(M25=0,2)))))</f>
        <v>1</v>
      </c>
      <c r="E31" s="1172"/>
      <c r="F31" s="1173"/>
      <c r="G31" s="1171">
        <f>IF(M27="","",IF(M28="W",0,IF(M27=2,1,IF(M27=1,2,IF(M27=0,2)))))</f>
        <v>1</v>
      </c>
      <c r="H31" s="1172"/>
      <c r="I31" s="1173"/>
      <c r="J31" s="1171">
        <f>IF(M29="","",IF(M30="W",0,IF(M29=2,1,IF(M29=1,2,IF(M29=0,2)))))</f>
        <v>1</v>
      </c>
      <c r="K31" s="1172"/>
      <c r="L31" s="1173"/>
      <c r="M31" s="1181"/>
      <c r="N31" s="1181"/>
      <c r="O31" s="1181"/>
      <c r="P31" s="1171">
        <v>1</v>
      </c>
      <c r="Q31" s="1172"/>
      <c r="R31" s="1173"/>
      <c r="S31" s="1171">
        <v>2</v>
      </c>
      <c r="T31" s="1172"/>
      <c r="U31" s="1173"/>
      <c r="V31" s="1171">
        <v>2</v>
      </c>
      <c r="W31" s="1172"/>
      <c r="X31" s="1173"/>
      <c r="Y31" s="1171"/>
      <c r="Z31" s="1172"/>
      <c r="AA31" s="1173"/>
      <c r="AB31" s="1171"/>
      <c r="AC31" s="1172"/>
      <c r="AD31" s="1173"/>
      <c r="AE31" s="1184">
        <f>IF(B31="","",SUM(G31,J31,D31,P31,S31,V31,Y31,AB31,))</f>
        <v>8</v>
      </c>
      <c r="AF31" s="1185"/>
      <c r="AG31" s="1188"/>
      <c r="AH31" s="1174">
        <f>IF(B31="","",RANK(AE31,ГР10О))</f>
        <v>5</v>
      </c>
    </row>
    <row r="32" spans="1:34" ht="12" customHeight="1" x14ac:dyDescent="0.2">
      <c r="A32" s="1164"/>
      <c r="B32" s="1195"/>
      <c r="C32" s="457" t="str">
        <f>IF(B31="","",VLOOKUP(B31,'Списки участников'!A:I,6,FALSE))</f>
        <v>Ильинский</v>
      </c>
      <c r="D32" s="464">
        <f>IF(M26="","",IF(O26="l","W",O26))</f>
        <v>0</v>
      </c>
      <c r="E32" s="459" t="str">
        <f>IF(N26="","",":")</f>
        <v>:</v>
      </c>
      <c r="F32" s="465">
        <f>IF(O26="","",IF(M26="W","L",M26))</f>
        <v>2</v>
      </c>
      <c r="G32" s="464">
        <f>IF(M28="","",IF(O28="l","W",O28))</f>
        <v>0</v>
      </c>
      <c r="H32" s="459" t="str">
        <f>IF(N28="","",":")</f>
        <v>:</v>
      </c>
      <c r="I32" s="465">
        <f>IF(O28="","",IF(M28="W","L",M28))</f>
        <v>2</v>
      </c>
      <c r="J32" s="464">
        <f>IF(M30="","",IF(O30="l","W",O30))</f>
        <v>0</v>
      </c>
      <c r="K32" s="459" t="str">
        <f>IF(N30="","",":")</f>
        <v>:</v>
      </c>
      <c r="L32" s="465">
        <f>IF(O30="","",IF(M30="W","L",M30))</f>
        <v>2</v>
      </c>
      <c r="M32" s="1190"/>
      <c r="N32" s="1190"/>
      <c r="O32" s="1190"/>
      <c r="P32" s="458">
        <v>0</v>
      </c>
      <c r="Q32" s="459" t="str">
        <f>IF(P31="","",":")</f>
        <v>:</v>
      </c>
      <c r="R32" s="460">
        <v>2</v>
      </c>
      <c r="S32" s="458">
        <v>2</v>
      </c>
      <c r="T32" s="459" t="str">
        <f>IF(S31="","",":")</f>
        <v>:</v>
      </c>
      <c r="U32" s="460">
        <v>0</v>
      </c>
      <c r="V32" s="458">
        <v>2</v>
      </c>
      <c r="W32" s="459" t="str">
        <f>IF(V31="","",":")</f>
        <v>:</v>
      </c>
      <c r="X32" s="460">
        <v>0</v>
      </c>
      <c r="Y32" s="458"/>
      <c r="Z32" s="459" t="str">
        <f>IF(Y32="","",":")</f>
        <v/>
      </c>
      <c r="AA32" s="460"/>
      <c r="AB32" s="458"/>
      <c r="AC32" s="459" t="str">
        <f>IF(AB32="","",":")</f>
        <v/>
      </c>
      <c r="AD32" s="460"/>
      <c r="AE32" s="1186"/>
      <c r="AF32" s="1187"/>
      <c r="AG32" s="1189"/>
      <c r="AH32" s="1174"/>
    </row>
    <row r="33" spans="1:34" ht="12" customHeight="1" x14ac:dyDescent="0.2">
      <c r="A33" s="1163">
        <v>5</v>
      </c>
      <c r="B33" s="1196">
        <f>жеребьевка!G56</f>
        <v>76</v>
      </c>
      <c r="C33" s="456" t="str">
        <f>IF(B33="","",VLOOKUP(B33,'Списки участников'!A:I,3,FALSE))</f>
        <v>ОСМОЛОВСКИЙ Никита</v>
      </c>
      <c r="D33" s="1171">
        <f>IF(P25="","",IF(P26="W",0,IF(P25=2,1,IF(P25=1,2,IF(P25=0,2)))))</f>
        <v>1</v>
      </c>
      <c r="E33" s="1172"/>
      <c r="F33" s="1173"/>
      <c r="G33" s="1171">
        <f>IF(P27="","",IF(P28="W",0,IF(P27=2,1,IF(P27=1,2,IF(P27=0,2)))))</f>
        <v>1</v>
      </c>
      <c r="H33" s="1172"/>
      <c r="I33" s="1173"/>
      <c r="J33" s="1171">
        <f>IF(P29="","",IF(P30="W",0,IF(P29=2,1,IF(P29=1,2,IF(P29=0,2)))))</f>
        <v>1</v>
      </c>
      <c r="K33" s="1172"/>
      <c r="L33" s="1173"/>
      <c r="M33" s="1171">
        <f>IF(P31="","",IF(P32="W",0,IF(P31=2,1,IF(P31=1,2,IF(P31=0,2)))))</f>
        <v>2</v>
      </c>
      <c r="N33" s="1172"/>
      <c r="O33" s="1173"/>
      <c r="P33" s="1180"/>
      <c r="Q33" s="1181"/>
      <c r="R33" s="1182"/>
      <c r="S33" s="1171">
        <v>2</v>
      </c>
      <c r="T33" s="1172"/>
      <c r="U33" s="1173"/>
      <c r="V33" s="1171">
        <v>2</v>
      </c>
      <c r="W33" s="1172"/>
      <c r="X33" s="1173"/>
      <c r="Y33" s="1171"/>
      <c r="Z33" s="1172"/>
      <c r="AA33" s="1173"/>
      <c r="AB33" s="1171"/>
      <c r="AC33" s="1172"/>
      <c r="AD33" s="1173"/>
      <c r="AE33" s="1184">
        <f>IF(B33="","",SUM(G33,J33,M33,D33,S33,V33,Y33,AB33,))</f>
        <v>9</v>
      </c>
      <c r="AF33" s="1185"/>
      <c r="AG33" s="1188"/>
      <c r="AH33" s="1174">
        <f>IF(B33="","",RANK(AE33,ГР10О))</f>
        <v>4</v>
      </c>
    </row>
    <row r="34" spans="1:34" ht="12" customHeight="1" x14ac:dyDescent="0.2">
      <c r="A34" s="1164"/>
      <c r="B34" s="1197"/>
      <c r="C34" s="457" t="str">
        <f>IF(B33="","",VLOOKUP(B33,'Списки участников'!A:I,6,FALSE))</f>
        <v>Дмитров</v>
      </c>
      <c r="D34" s="464">
        <f>IF(P26="","",IF(R26="l","W",R26))</f>
        <v>0</v>
      </c>
      <c r="E34" s="459" t="str">
        <f>IF(Q26="","",":")</f>
        <v>:</v>
      </c>
      <c r="F34" s="465">
        <f>IF(R26="","",IF(P26="W","L",P26))</f>
        <v>2</v>
      </c>
      <c r="G34" s="464">
        <f>IF(P28="","",IF(R28="l","W",R28))</f>
        <v>0</v>
      </c>
      <c r="H34" s="459" t="str">
        <f>IF(Q28="","",":")</f>
        <v>:</v>
      </c>
      <c r="I34" s="465">
        <f>IF(R28="","",IF(P28="W","L",P28))</f>
        <v>2</v>
      </c>
      <c r="J34" s="464">
        <f>IF(P30="","",IF(R30="l","W",R30))</f>
        <v>0</v>
      </c>
      <c r="K34" s="459" t="str">
        <f>IF(Q30="","",":")</f>
        <v>:</v>
      </c>
      <c r="L34" s="465">
        <f>IF(R30="","",IF(P30="W","L",P30))</f>
        <v>2</v>
      </c>
      <c r="M34" s="464">
        <f>IF(P32="","",IF(R32="l","W",R32))</f>
        <v>2</v>
      </c>
      <c r="N34" s="459" t="str">
        <f>IF(Q32="","",":")</f>
        <v>:</v>
      </c>
      <c r="O34" s="465">
        <f>IF(R32="","",IF(P32="W","L",P32))</f>
        <v>0</v>
      </c>
      <c r="P34" s="1183"/>
      <c r="Q34" s="1169"/>
      <c r="R34" s="1170"/>
      <c r="S34" s="458">
        <v>2</v>
      </c>
      <c r="T34" s="459" t="str">
        <f>IF(S33="","",":")</f>
        <v>:</v>
      </c>
      <c r="U34" s="460">
        <v>0</v>
      </c>
      <c r="V34" s="458">
        <v>2</v>
      </c>
      <c r="W34" s="459" t="str">
        <f>IF(V33="","",":")</f>
        <v>:</v>
      </c>
      <c r="X34" s="460">
        <v>0</v>
      </c>
      <c r="Y34" s="458"/>
      <c r="Z34" s="459" t="str">
        <f>IF(Y33="","",":")</f>
        <v/>
      </c>
      <c r="AA34" s="460"/>
      <c r="AB34" s="458"/>
      <c r="AC34" s="459" t="str">
        <f>IF(AB34="","",":")</f>
        <v/>
      </c>
      <c r="AD34" s="460"/>
      <c r="AE34" s="1186"/>
      <c r="AF34" s="1187"/>
      <c r="AG34" s="1189"/>
      <c r="AH34" s="1174"/>
    </row>
    <row r="35" spans="1:34" ht="12" customHeight="1" x14ac:dyDescent="0.2">
      <c r="A35" s="1163">
        <v>6</v>
      </c>
      <c r="B35" s="1196">
        <f>жеребьевка!G58</f>
        <v>90</v>
      </c>
      <c r="C35" s="456" t="str">
        <f>IF(B35="","",VLOOKUP(B35,'Списки участников'!A:I,3,FALSE))</f>
        <v>КАРТАВЦЕВ Михаил</v>
      </c>
      <c r="D35" s="1171">
        <f>IF(S25="","",IF(S26="W",0,IF(S25=2,1,IF(S25=1,2,IF(S25=0,2)))))</f>
        <v>1</v>
      </c>
      <c r="E35" s="1172"/>
      <c r="F35" s="1173"/>
      <c r="G35" s="1171">
        <f>IF(S27="","",IF(S28="W",0,IF(S27=2,1,IF(S27=1,2,IF(S27=0,2)))))</f>
        <v>1</v>
      </c>
      <c r="H35" s="1172"/>
      <c r="I35" s="1173"/>
      <c r="J35" s="1171">
        <f>IF(S29="","",IF(S30="W",0,IF(S29=2,1,IF(S29=1,2,IF(S29=0,2)))))</f>
        <v>1</v>
      </c>
      <c r="K35" s="1172"/>
      <c r="L35" s="1173"/>
      <c r="M35" s="1171">
        <f>IF(S31="","",IF(S32="W",0,IF(S31=2,1,IF(S31=1,2,IF(S31=0,2)))))</f>
        <v>1</v>
      </c>
      <c r="N35" s="1172"/>
      <c r="O35" s="1173"/>
      <c r="P35" s="1171">
        <f>IF(S33="","",IF(S34="W",0,IF(S33=2,1,IF(S33=1,2,IF(S33=0,2)))))</f>
        <v>1</v>
      </c>
      <c r="Q35" s="1172"/>
      <c r="R35" s="1173"/>
      <c r="S35" s="1180"/>
      <c r="T35" s="1181"/>
      <c r="U35" s="1182"/>
      <c r="V35" s="1171">
        <v>2</v>
      </c>
      <c r="W35" s="1172"/>
      <c r="X35" s="1173"/>
      <c r="Y35" s="1171"/>
      <c r="Z35" s="1172"/>
      <c r="AA35" s="1173"/>
      <c r="AB35" s="1171"/>
      <c r="AC35" s="1172"/>
      <c r="AD35" s="1173"/>
      <c r="AE35" s="1184">
        <f>IF(B35="","",SUM(G35,J35,M35,P35,D35,V35,Y35,AB35,))</f>
        <v>7</v>
      </c>
      <c r="AF35" s="1185"/>
      <c r="AG35" s="1188"/>
      <c r="AH35" s="1174">
        <f>IF(B35="","",RANK(AE35,ГР10О))</f>
        <v>6</v>
      </c>
    </row>
    <row r="36" spans="1:34" ht="12" customHeight="1" x14ac:dyDescent="0.2">
      <c r="A36" s="1164"/>
      <c r="B36" s="1197"/>
      <c r="C36" s="457" t="str">
        <f>IF(B35="","",VLOOKUP(B35,'Списки участников'!A:I,6,FALSE))</f>
        <v>Москва</v>
      </c>
      <c r="D36" s="464">
        <f>IF(S26="","",IF(U26="l","W",U26))</f>
        <v>0</v>
      </c>
      <c r="E36" s="459" t="str">
        <f>IF(T26="","",":")</f>
        <v>:</v>
      </c>
      <c r="F36" s="465">
        <f>IF(U26="","",IF(S26="W","L",S26))</f>
        <v>2</v>
      </c>
      <c r="G36" s="464">
        <f>IF(S28="","",IF(U28="l","W",U28))</f>
        <v>0</v>
      </c>
      <c r="H36" s="459" t="str">
        <f>IF(Q28="","",":")</f>
        <v>:</v>
      </c>
      <c r="I36" s="465">
        <f>IF(U28="","",IF(S28="W","L",S28))</f>
        <v>2</v>
      </c>
      <c r="J36" s="464">
        <f>IF(S30="","",IF(U30="l","W",U30))</f>
        <v>0</v>
      </c>
      <c r="K36" s="459" t="str">
        <f>IF(T30="","",":")</f>
        <v>:</v>
      </c>
      <c r="L36" s="465">
        <f>IF(U30="","",IF(S30="W","L",S30))</f>
        <v>2</v>
      </c>
      <c r="M36" s="464">
        <f>IF(S32="","",IF(U32="l","W",U32))</f>
        <v>0</v>
      </c>
      <c r="N36" s="459" t="str">
        <f>IF(T32="","",":")</f>
        <v>:</v>
      </c>
      <c r="O36" s="465">
        <f>IF(U32="","",IF(S32="W","L",S32))</f>
        <v>2</v>
      </c>
      <c r="P36" s="464">
        <f>IF(S34="","",IF(U34="l","W",U34))</f>
        <v>0</v>
      </c>
      <c r="Q36" s="459" t="str">
        <f>IF(T34="","",":")</f>
        <v>:</v>
      </c>
      <c r="R36" s="465">
        <f>IF(U34="","",IF(S34="W","L",S34))</f>
        <v>2</v>
      </c>
      <c r="S36" s="1183"/>
      <c r="T36" s="1169"/>
      <c r="U36" s="1170"/>
      <c r="V36" s="998" t="s">
        <v>12171</v>
      </c>
      <c r="W36" s="459" t="str">
        <f>IF(V35="","",":")</f>
        <v>:</v>
      </c>
      <c r="X36" s="999" t="s">
        <v>12172</v>
      </c>
      <c r="Y36" s="458"/>
      <c r="Z36" s="459" t="str">
        <f>IF(Y35="","",":")</f>
        <v/>
      </c>
      <c r="AA36" s="460"/>
      <c r="AB36" s="458"/>
      <c r="AC36" s="459" t="str">
        <f>IF(AB35="","",":")</f>
        <v/>
      </c>
      <c r="AD36" s="460"/>
      <c r="AE36" s="1186"/>
      <c r="AF36" s="1187"/>
      <c r="AG36" s="1189"/>
      <c r="AH36" s="1174"/>
    </row>
    <row r="37" spans="1:34" ht="12" customHeight="1" x14ac:dyDescent="0.2">
      <c r="A37" s="1163">
        <v>7</v>
      </c>
      <c r="B37" s="1196">
        <f>жеребьевка!G60</f>
        <v>109</v>
      </c>
      <c r="C37" s="456" t="str">
        <f>IF(B37="","",VLOOKUP(B37,'Списки участников'!A:I,3,FALSE))</f>
        <v>РЯБОШАПКА Федор</v>
      </c>
      <c r="D37" s="1171">
        <f>IF(V25="","",IF(V26="W",0,IF(V25=2,1,IF(V25=1,2,IF(V25=0,2)))))</f>
        <v>1</v>
      </c>
      <c r="E37" s="1172"/>
      <c r="F37" s="1173"/>
      <c r="G37" s="1171">
        <f>IF(V27="","",IF(V28="W",0,IF(V27=2,1,IF(V27=1,2,IF(V27=0,2)))))</f>
        <v>1</v>
      </c>
      <c r="H37" s="1172"/>
      <c r="I37" s="1173"/>
      <c r="J37" s="1171">
        <f>IF(V29="","",IF(V30="W",0,IF(V29=2,1,IF(V29=1,2,IF(V29=0,2)))))</f>
        <v>1</v>
      </c>
      <c r="K37" s="1172"/>
      <c r="L37" s="1173"/>
      <c r="M37" s="1171">
        <f>IF(V31="","",IF(V32="W",0,IF(V31=2,1,IF(V31=1,2,IF(V31=0,2)))))</f>
        <v>1</v>
      </c>
      <c r="N37" s="1172"/>
      <c r="O37" s="1173"/>
      <c r="P37" s="1171">
        <f>IF(V33="","",IF(V34="W",0,IF(V33=2,1,IF(V33=1,2,IF(V33=0,2)))))</f>
        <v>1</v>
      </c>
      <c r="Q37" s="1172"/>
      <c r="R37" s="1173"/>
      <c r="S37" s="1171">
        <f>IF(V35="","",IF(V36="W",0,IF(V35=2,1,IF(V35=1,2,IF(V35=0,2)))))</f>
        <v>0</v>
      </c>
      <c r="T37" s="1172"/>
      <c r="U37" s="1173"/>
      <c r="V37" s="1191"/>
      <c r="W37" s="1167"/>
      <c r="X37" s="1168"/>
      <c r="Y37" s="1171"/>
      <c r="Z37" s="1172"/>
      <c r="AA37" s="1173"/>
      <c r="AB37" s="1171"/>
      <c r="AC37" s="1172"/>
      <c r="AD37" s="1173"/>
      <c r="AE37" s="1184">
        <f>IF(B37="","",SUM(G37,J37,M37,P37,S37,D37,Y37,AB37,))</f>
        <v>5</v>
      </c>
      <c r="AF37" s="1185"/>
      <c r="AG37" s="1188"/>
      <c r="AH37" s="1174">
        <f>IF(B37="","",RANK(AE37,ГР10О))</f>
        <v>7</v>
      </c>
    </row>
    <row r="38" spans="1:34" ht="12" customHeight="1" x14ac:dyDescent="0.2">
      <c r="A38" s="1164"/>
      <c r="B38" s="1197"/>
      <c r="C38" s="457" t="str">
        <f>IF(B37="","",VLOOKUP(B37,'Списки участников'!A:I,6,FALSE))</f>
        <v>Домодедово  М.о.</v>
      </c>
      <c r="D38" s="464">
        <f>IF(V26="","",IF(X26="l","W",X26))</f>
        <v>0</v>
      </c>
      <c r="E38" s="459" t="str">
        <f>IF(W26="","",":")</f>
        <v>:</v>
      </c>
      <c r="F38" s="465">
        <f>IF(X26="","",IF(V26="W","L",V26))</f>
        <v>2</v>
      </c>
      <c r="G38" s="464">
        <f>IF(V28="","",IF(X28="l","W",X28))</f>
        <v>0</v>
      </c>
      <c r="H38" s="459" t="str">
        <f>IF(W28="","",":")</f>
        <v>:</v>
      </c>
      <c r="I38" s="465">
        <f>IF(X28="","",IF(V28="W","L",V28))</f>
        <v>2</v>
      </c>
      <c r="J38" s="464">
        <f>IF(V30="","",IF(X30="l","W",X30))</f>
        <v>0</v>
      </c>
      <c r="K38" s="459" t="str">
        <f>IF(W30="","",":")</f>
        <v>:</v>
      </c>
      <c r="L38" s="465">
        <f>IF(X30="","",IF(V30="W","L",V30))</f>
        <v>2</v>
      </c>
      <c r="M38" s="464">
        <f>IF(V32="","",IF(X32="l","W",X32))</f>
        <v>0</v>
      </c>
      <c r="N38" s="459" t="str">
        <f>IF(W32="","",":")</f>
        <v>:</v>
      </c>
      <c r="O38" s="465">
        <f>IF(X32="","",IF(V32="W","L",V32))</f>
        <v>2</v>
      </c>
      <c r="P38" s="464">
        <f>IF(V34="","",IF(X34="l","W",X34))</f>
        <v>0</v>
      </c>
      <c r="Q38" s="459" t="str">
        <f>IF(W34="","",":")</f>
        <v>:</v>
      </c>
      <c r="R38" s="465">
        <f>IF(X34="","",IF(V34="W","L",V34))</f>
        <v>2</v>
      </c>
      <c r="S38" s="464" t="str">
        <f>IF(V36="","",IF(X36="l","W",X36))</f>
        <v>W</v>
      </c>
      <c r="T38" s="459" t="str">
        <f>IF(W36="","",":")</f>
        <v>:</v>
      </c>
      <c r="U38" s="465" t="str">
        <f>IF(X36="","",IF(V36="W","L",V36))</f>
        <v>L</v>
      </c>
      <c r="V38" s="1183"/>
      <c r="W38" s="1169"/>
      <c r="X38" s="1170"/>
      <c r="Y38" s="458"/>
      <c r="Z38" s="459" t="str">
        <f>IF(Y37="","",":")</f>
        <v/>
      </c>
      <c r="AA38" s="460"/>
      <c r="AB38" s="458"/>
      <c r="AC38" s="459" t="str">
        <f>IF(AB37="","",":")</f>
        <v/>
      </c>
      <c r="AD38" s="460"/>
      <c r="AE38" s="1186"/>
      <c r="AF38" s="1187"/>
      <c r="AG38" s="1189"/>
      <c r="AH38" s="1174"/>
    </row>
    <row r="39" spans="1:34" ht="12" customHeight="1" x14ac:dyDescent="0.2">
      <c r="A39" s="1163">
        <v>8</v>
      </c>
      <c r="B39" s="1196"/>
      <c r="C39" s="456" t="str">
        <f>IF(B39="","",VLOOKUP(B39,'Списки участников'!A:I,3,FALSE))</f>
        <v/>
      </c>
      <c r="D39" s="1171" t="str">
        <f>IF(Y25="","",IF(Y26="W",0,IF(Y25=2,1,IF(Y25=1,2,IF(Y25=0,2)))))</f>
        <v/>
      </c>
      <c r="E39" s="1172"/>
      <c r="F39" s="1173"/>
      <c r="G39" s="1171" t="str">
        <f>IF(Y27="","",IF(Y28="W",0,IF(Y27=2,1,IF(Y27=1,2,IF(Y27=0,2)))))</f>
        <v/>
      </c>
      <c r="H39" s="1172"/>
      <c r="I39" s="1173"/>
      <c r="J39" s="1171" t="str">
        <f>IF(Y29="","",IF(Y30="W",0,IF(Y29=2,1,IF(Y29=1,2,IF(Y29=0,2)))))</f>
        <v/>
      </c>
      <c r="K39" s="1172"/>
      <c r="L39" s="1173"/>
      <c r="M39" s="1171" t="str">
        <f>IF(Y31="","",IF(Y32="W",0,IF(Y31=2,1,IF(Y31=1,2,IF(Y31=0,2)))))</f>
        <v/>
      </c>
      <c r="N39" s="1172"/>
      <c r="O39" s="1173"/>
      <c r="P39" s="1171" t="str">
        <f>IF(Y33="","",IF(Y34="W",0,IF(Y33=2,1,IF(Y33=1,2,IF(Y33=0,2)))))</f>
        <v/>
      </c>
      <c r="Q39" s="1172"/>
      <c r="R39" s="1173"/>
      <c r="S39" s="1171" t="str">
        <f>IF(Y35="","",IF(Y36="W",0,IF(Y35=2,1,IF(Y35=1,2,IF(Y35=0,2)))))</f>
        <v/>
      </c>
      <c r="T39" s="1172"/>
      <c r="U39" s="1173"/>
      <c r="V39" s="1171" t="str">
        <f>IF(Y37="","",IF(Y38="W",0,IF(Y37=2,1,IF(Y37=1,2,IF(Y37=0,2)))))</f>
        <v/>
      </c>
      <c r="W39" s="1172"/>
      <c r="X39" s="1173"/>
      <c r="Y39" s="1180"/>
      <c r="Z39" s="1181"/>
      <c r="AA39" s="1182"/>
      <c r="AB39" s="1171"/>
      <c r="AC39" s="1172"/>
      <c r="AD39" s="1173"/>
      <c r="AE39" s="1184" t="str">
        <f>IF(B39="","",SUM(G39,J39,M39,P39,S39,V39,D39,AB39,))</f>
        <v/>
      </c>
      <c r="AF39" s="1185"/>
      <c r="AG39" s="1188"/>
      <c r="AH39" s="1174" t="str">
        <f>IF(B39="","",RANK(AE39,ГР10О))</f>
        <v/>
      </c>
    </row>
    <row r="40" spans="1:34" ht="12" customHeight="1" x14ac:dyDescent="0.2">
      <c r="A40" s="1164"/>
      <c r="B40" s="1197"/>
      <c r="C40" s="457" t="str">
        <f>IF(B39="","",VLOOKUP(B39,'Списки участников'!A:I,6,FALSE))</f>
        <v/>
      </c>
      <c r="D40" s="464" t="str">
        <f>IF(Y26="","",IF(AA26="l","W",AA26))</f>
        <v/>
      </c>
      <c r="E40" s="459" t="str">
        <f>IF(Z26="","",":")</f>
        <v/>
      </c>
      <c r="F40" s="465" t="str">
        <f>IF(AA26="","",IF(Y26="W","L",Y26))</f>
        <v/>
      </c>
      <c r="G40" s="464" t="str">
        <f>IF(Y28="","",IF(AA28="l","W",AA28))</f>
        <v/>
      </c>
      <c r="H40" s="459" t="str">
        <f>IF(Z28="","",":")</f>
        <v/>
      </c>
      <c r="I40" s="465" t="str">
        <f>IF(AA28="","",IF(Y28="W","L",Y28))</f>
        <v/>
      </c>
      <c r="J40" s="464" t="str">
        <f>IF(Y30="","",IF(AA30="l","W",AA30))</f>
        <v/>
      </c>
      <c r="K40" s="459" t="str">
        <f>IF(Z30="","",":")</f>
        <v/>
      </c>
      <c r="L40" s="465" t="str">
        <f>IF(AA30="","",IF(Y30="W","L",Y30))</f>
        <v/>
      </c>
      <c r="M40" s="464" t="str">
        <f>IF(Y32="","",IF(AA32="l","W",AA32))</f>
        <v/>
      </c>
      <c r="N40" s="459" t="str">
        <f>IF(Z32="","",":")</f>
        <v/>
      </c>
      <c r="O40" s="465" t="str">
        <f>IF(AA32="","",IF(Y32="W","L",Y32))</f>
        <v/>
      </c>
      <c r="P40" s="464" t="str">
        <f>IF(Y34="","",IF(AA34="l","W",AA34))</f>
        <v/>
      </c>
      <c r="Q40" s="459" t="str">
        <f>IF(Z34="","",":")</f>
        <v/>
      </c>
      <c r="R40" s="465" t="str">
        <f>IF(AA34="","",IF(Y34="W","L",Y34))</f>
        <v/>
      </c>
      <c r="S40" s="464" t="str">
        <f>IF(Y36="","",IF(AA36="l","W",AA36))</f>
        <v/>
      </c>
      <c r="T40" s="459" t="str">
        <f>IF(Z36="","",":")</f>
        <v/>
      </c>
      <c r="U40" s="465" t="str">
        <f>IF(AA36="","",IF(Y36="W","L",Y36))</f>
        <v/>
      </c>
      <c r="V40" s="464" t="str">
        <f>IF(Y38="","",IF(AA38="l","W",AA38))</f>
        <v/>
      </c>
      <c r="W40" s="459" t="str">
        <f>IF(Z38="","",":")</f>
        <v/>
      </c>
      <c r="X40" s="465" t="str">
        <f>IF(AA38="","",IF(Y38="W","L",Y38))</f>
        <v/>
      </c>
      <c r="Y40" s="1183"/>
      <c r="Z40" s="1169"/>
      <c r="AA40" s="1170"/>
      <c r="AB40" s="458"/>
      <c r="AC40" s="459" t="str">
        <f>IF(AB39="","",":")</f>
        <v/>
      </c>
      <c r="AD40" s="460"/>
      <c r="AE40" s="1186"/>
      <c r="AF40" s="1187"/>
      <c r="AG40" s="1189"/>
      <c r="AH40" s="1174"/>
    </row>
    <row r="41" spans="1:34" ht="12" hidden="1" customHeight="1" outlineLevel="1" x14ac:dyDescent="0.2">
      <c r="A41" s="1163">
        <v>9</v>
      </c>
      <c r="B41" s="1165">
        <f>жеребьевка!G64</f>
        <v>0</v>
      </c>
      <c r="C41" s="456" t="e">
        <f>IF(B41="","",VLOOKUP(B41,'Списки участников'!A:I,3,FALSE))</f>
        <v>#N/A</v>
      </c>
      <c r="D41" s="1171" t="str">
        <f>IF(AB25="","",IF(AB26="W",0,IF(AB25=2,1,IF(AB25=1,2,IF(AB25=0,2)))))</f>
        <v/>
      </c>
      <c r="E41" s="1172"/>
      <c r="F41" s="1173"/>
      <c r="G41" s="1171" t="str">
        <f>IF(AB27="","",IF(AB28="W",0,IF(AB27=2,1,IF(AB27=1,2,IF(AB27=0,2)))))</f>
        <v/>
      </c>
      <c r="H41" s="1172"/>
      <c r="I41" s="1173"/>
      <c r="J41" s="1171" t="str">
        <f>IF(AB29="","",IF(AB30="W",0,IF(AB29=2,1,IF(AB29=1,2,IF(AB29=0,2)))))</f>
        <v/>
      </c>
      <c r="K41" s="1172"/>
      <c r="L41" s="1173"/>
      <c r="M41" s="1171" t="str">
        <f>IF(AB31="","",IF(AB32="W",0,IF(AB31=2,1,IF(AB31=1,2,IF(AB31=0,2)))))</f>
        <v/>
      </c>
      <c r="N41" s="1172"/>
      <c r="O41" s="1173"/>
      <c r="P41" s="1171" t="str">
        <f>IF(AB33="","",IF(AB34="W",0,IF(AB33=2,1,IF(AB33=1,2,IF(AB33=0,2)))))</f>
        <v/>
      </c>
      <c r="Q41" s="1172"/>
      <c r="R41" s="1173"/>
      <c r="S41" s="1171" t="str">
        <f>IF(AB35="","",IF(AB36="W",0,IF(AB35=2,1,IF(AB35=1,2,IF(AB35=0,2)))))</f>
        <v/>
      </c>
      <c r="T41" s="1172"/>
      <c r="U41" s="1173"/>
      <c r="V41" s="1171" t="str">
        <f>IF(AB37="","",IF(AB38="W",0,IF(AB37=2,1,IF(AB37=1,2,IF(AB37=0,2)))))</f>
        <v/>
      </c>
      <c r="W41" s="1172"/>
      <c r="X41" s="1173"/>
      <c r="Y41" s="1171" t="str">
        <f>IF(AB39="","",IF(AB40="W",0,IF(AB39=2,1,IF(AB39=1,2,IF(AB39=0,2)))))</f>
        <v/>
      </c>
      <c r="Z41" s="1172"/>
      <c r="AA41" s="1173"/>
      <c r="AB41" s="1191"/>
      <c r="AC41" s="1167"/>
      <c r="AD41" s="1168"/>
      <c r="AE41" s="1184">
        <f>IF(B41="","",SUM(G41,J41,M41,P41,S41,V41,Y41,D41,))</f>
        <v>0</v>
      </c>
      <c r="AF41" s="1185"/>
      <c r="AG41" s="1188"/>
      <c r="AH41" s="1174">
        <f>IF(B41="","",RANK(AE41,ГР10О))</f>
        <v>8</v>
      </c>
    </row>
    <row r="42" spans="1:34" ht="12" hidden="1" customHeight="1" outlineLevel="1" x14ac:dyDescent="0.2">
      <c r="A42" s="1164"/>
      <c r="B42" s="1166"/>
      <c r="C42" s="457" t="e">
        <f>IF(B41="","",VLOOKUP(B41,'Списки участников'!A:I,6,FALSE))</f>
        <v>#N/A</v>
      </c>
      <c r="D42" s="464" t="str">
        <f>IF(AB26="","",IF(AD26="l","W",AD26))</f>
        <v/>
      </c>
      <c r="E42" s="459" t="str">
        <f>IF(AC26="","",":")</f>
        <v/>
      </c>
      <c r="F42" s="465" t="str">
        <f>IF(AD26="","",IF(AB26="W","L",AB26))</f>
        <v/>
      </c>
      <c r="G42" s="464" t="str">
        <f>IF(AB28="","",IF(AD28="l","W",AD28))</f>
        <v/>
      </c>
      <c r="H42" s="459" t="str">
        <f>IF(AC28="","",":")</f>
        <v/>
      </c>
      <c r="I42" s="465" t="str">
        <f>IF(AD28="","",IF(AB28="W","L",AB28))</f>
        <v/>
      </c>
      <c r="J42" s="464" t="str">
        <f>IF(AB30="","",IF(AD30="l","W",AD30))</f>
        <v/>
      </c>
      <c r="K42" s="459" t="str">
        <f>IF(AC30="","",":")</f>
        <v/>
      </c>
      <c r="L42" s="465" t="str">
        <f>IF(AD30="","",IF(AB30="W","L",AB30))</f>
        <v/>
      </c>
      <c r="M42" s="464" t="str">
        <f>IF(AB32="","",IF(AD32="l","W",AD32))</f>
        <v/>
      </c>
      <c r="N42" s="459" t="str">
        <f>IF(AC32="","",":")</f>
        <v/>
      </c>
      <c r="O42" s="465" t="str">
        <f>IF(AD32="","",IF(AB32="W","L",AB32))</f>
        <v/>
      </c>
      <c r="P42" s="464" t="str">
        <f>IF(AB34="","",IF(AD34="l","W",AD34))</f>
        <v/>
      </c>
      <c r="Q42" s="459" t="str">
        <f>IF(AC34="","",":")</f>
        <v/>
      </c>
      <c r="R42" s="465" t="str">
        <f>IF(AD34="","",IF(AB34="W","L",AB34))</f>
        <v/>
      </c>
      <c r="S42" s="464" t="str">
        <f>IF(AB36="","",IF(AD36="l","W",AD36))</f>
        <v/>
      </c>
      <c r="T42" s="459" t="str">
        <f>IF(AC36="","",":")</f>
        <v/>
      </c>
      <c r="U42" s="465" t="str">
        <f>IF(AD36="","",IF(AB36="W","L",AB36))</f>
        <v/>
      </c>
      <c r="V42" s="464" t="str">
        <f>IF(AB38="","",IF(AD38="l","W",AD38))</f>
        <v/>
      </c>
      <c r="W42" s="459" t="str">
        <f>IF(AC38="","",":")</f>
        <v/>
      </c>
      <c r="X42" s="465" t="str">
        <f>IF(AD38="","",IF(AB38="W","L",AB38))</f>
        <v/>
      </c>
      <c r="Y42" s="464" t="str">
        <f>IF(AB40="","",IF(AD40="l","W",AD40))</f>
        <v/>
      </c>
      <c r="Z42" s="459" t="str">
        <f>IF(AC40="","",":")</f>
        <v/>
      </c>
      <c r="AA42" s="465" t="str">
        <f>IF(AD40="","",IF(AB40="W","L",AB40))</f>
        <v/>
      </c>
      <c r="AB42" s="1183"/>
      <c r="AC42" s="1169"/>
      <c r="AD42" s="1170"/>
      <c r="AE42" s="1186"/>
      <c r="AF42" s="1187"/>
      <c r="AG42" s="1189"/>
      <c r="AH42" s="1174"/>
    </row>
    <row r="43" spans="1:34" ht="12" customHeight="1" collapsed="1" x14ac:dyDescent="0.25">
      <c r="A43" s="135"/>
      <c r="B43" s="135"/>
      <c r="C43" s="954" t="s">
        <v>765</v>
      </c>
      <c r="D43" s="135"/>
      <c r="E43" s="135"/>
      <c r="F43" s="135"/>
      <c r="G43" s="1192" t="s">
        <v>2590</v>
      </c>
      <c r="H43" s="1192"/>
      <c r="I43" s="1192"/>
      <c r="J43" s="1192"/>
      <c r="K43" s="1192"/>
      <c r="L43" s="1192"/>
      <c r="M43" s="1192"/>
      <c r="N43" s="1192"/>
      <c r="O43" s="1192"/>
      <c r="P43" s="1192"/>
      <c r="Q43" s="1192"/>
      <c r="R43" s="1192"/>
      <c r="S43" s="1192"/>
      <c r="T43" s="1192"/>
      <c r="U43" s="1192"/>
      <c r="V43" s="1192"/>
      <c r="W43" s="1192"/>
      <c r="X43" s="1192"/>
      <c r="Y43" s="1192"/>
      <c r="Z43" s="1192"/>
      <c r="AA43" s="1192"/>
      <c r="AB43" s="135"/>
      <c r="AC43" s="135"/>
      <c r="AD43" s="135"/>
      <c r="AE43" s="135"/>
      <c r="AF43" s="135"/>
      <c r="AG43" s="135"/>
      <c r="AH43" s="135"/>
    </row>
    <row r="44" spans="1:34" ht="12" customHeight="1" x14ac:dyDescent="0.2">
      <c r="A44" s="136" t="s">
        <v>3</v>
      </c>
      <c r="B44" s="864"/>
      <c r="C44" s="138" t="s">
        <v>788</v>
      </c>
      <c r="D44" s="1158">
        <v>1</v>
      </c>
      <c r="E44" s="1159"/>
      <c r="F44" s="1160"/>
      <c r="G44" s="1158">
        <v>2</v>
      </c>
      <c r="H44" s="1159"/>
      <c r="I44" s="1160"/>
      <c r="J44" s="1158">
        <v>3</v>
      </c>
      <c r="K44" s="1159"/>
      <c r="L44" s="1160"/>
      <c r="M44" s="1158">
        <v>4</v>
      </c>
      <c r="N44" s="1159"/>
      <c r="O44" s="1160"/>
      <c r="P44" s="1158">
        <v>5</v>
      </c>
      <c r="Q44" s="1159"/>
      <c r="R44" s="1160"/>
      <c r="S44" s="1158">
        <v>6</v>
      </c>
      <c r="T44" s="1159"/>
      <c r="U44" s="1160"/>
      <c r="V44" s="1158">
        <v>7</v>
      </c>
      <c r="W44" s="1159"/>
      <c r="X44" s="1160"/>
      <c r="Y44" s="1158">
        <v>8</v>
      </c>
      <c r="Z44" s="1159"/>
      <c r="AA44" s="1160"/>
      <c r="AB44" s="1158">
        <v>9</v>
      </c>
      <c r="AC44" s="1159"/>
      <c r="AD44" s="1160"/>
      <c r="AE44" s="1161" t="s">
        <v>789</v>
      </c>
      <c r="AF44" s="1162"/>
      <c r="AG44" s="865" t="s">
        <v>790</v>
      </c>
      <c r="AH44" s="455" t="s">
        <v>100</v>
      </c>
    </row>
    <row r="45" spans="1:34" ht="12" customHeight="1" x14ac:dyDescent="0.2">
      <c r="A45" s="1163">
        <v>1</v>
      </c>
      <c r="B45" s="1193">
        <f>жеребьевка!L48</f>
        <v>11</v>
      </c>
      <c r="C45" s="456" t="str">
        <f>IF(B45="","",VLOOKUP(B45,'Списки участников'!A:I,3,FALSE))</f>
        <v>ПАНФИЛОВ Федор</v>
      </c>
      <c r="D45" s="1167"/>
      <c r="E45" s="1167"/>
      <c r="F45" s="1168"/>
      <c r="G45" s="1171">
        <v>2</v>
      </c>
      <c r="H45" s="1172"/>
      <c r="I45" s="1173"/>
      <c r="J45" s="1171">
        <v>2</v>
      </c>
      <c r="K45" s="1172"/>
      <c r="L45" s="1173"/>
      <c r="M45" s="1171">
        <v>2</v>
      </c>
      <c r="N45" s="1172"/>
      <c r="O45" s="1173"/>
      <c r="P45" s="1171">
        <v>2</v>
      </c>
      <c r="Q45" s="1172"/>
      <c r="R45" s="1173"/>
      <c r="S45" s="1171">
        <v>2</v>
      </c>
      <c r="T45" s="1172"/>
      <c r="U45" s="1173"/>
      <c r="V45" s="1171">
        <v>2</v>
      </c>
      <c r="W45" s="1172"/>
      <c r="X45" s="1173"/>
      <c r="Y45" s="1171"/>
      <c r="Z45" s="1172"/>
      <c r="AA45" s="1173"/>
      <c r="AB45" s="1171"/>
      <c r="AC45" s="1172"/>
      <c r="AD45" s="1173"/>
      <c r="AE45" s="1184">
        <f>IF(B45="","",SUM(G45,J45,M45,P45,S45,V45,Y45,AB45,))</f>
        <v>12</v>
      </c>
      <c r="AF45" s="1185"/>
      <c r="AG45" s="1175"/>
      <c r="AH45" s="1174">
        <f>IF(B45="","",RANK(AE45,ГР11О))</f>
        <v>1</v>
      </c>
    </row>
    <row r="46" spans="1:34" ht="12" customHeight="1" x14ac:dyDescent="0.2">
      <c r="A46" s="1164"/>
      <c r="B46" s="1194"/>
      <c r="C46" s="457" t="str">
        <f>IF(B45="","",VLOOKUP(B45,'Списки участников'!A:I,6,FALSE))</f>
        <v>Москва</v>
      </c>
      <c r="D46" s="1169"/>
      <c r="E46" s="1169"/>
      <c r="F46" s="1170"/>
      <c r="G46" s="458">
        <v>2</v>
      </c>
      <c r="H46" s="459" t="str">
        <f>IF(G45="","",":")</f>
        <v>:</v>
      </c>
      <c r="I46" s="460">
        <v>0</v>
      </c>
      <c r="J46" s="458">
        <v>2</v>
      </c>
      <c r="K46" s="459" t="str">
        <f>IF(J45="","",":")</f>
        <v>:</v>
      </c>
      <c r="L46" s="460">
        <v>1</v>
      </c>
      <c r="M46" s="458">
        <v>2</v>
      </c>
      <c r="N46" s="459" t="str">
        <f>IF(M46="","",":")</f>
        <v>:</v>
      </c>
      <c r="O46" s="460">
        <v>0</v>
      </c>
      <c r="P46" s="458">
        <v>2</v>
      </c>
      <c r="Q46" s="459" t="str">
        <f>IF(P46="","",":")</f>
        <v>:</v>
      </c>
      <c r="R46" s="460">
        <v>0</v>
      </c>
      <c r="S46" s="458">
        <v>2</v>
      </c>
      <c r="T46" s="459" t="str">
        <f>IF(S46="","",":")</f>
        <v>:</v>
      </c>
      <c r="U46" s="460">
        <v>0</v>
      </c>
      <c r="V46" s="458">
        <v>2</v>
      </c>
      <c r="W46" s="459" t="str">
        <f>IF(V46="","",":")</f>
        <v>:</v>
      </c>
      <c r="X46" s="460">
        <v>0</v>
      </c>
      <c r="Y46" s="458"/>
      <c r="Z46" s="459" t="str">
        <f>IF(Y46="","",":")</f>
        <v/>
      </c>
      <c r="AA46" s="460"/>
      <c r="AB46" s="458"/>
      <c r="AC46" s="459" t="str">
        <f>IF(AB46="","",":")</f>
        <v/>
      </c>
      <c r="AD46" s="460"/>
      <c r="AE46" s="1186"/>
      <c r="AF46" s="1187"/>
      <c r="AG46" s="1176"/>
      <c r="AH46" s="1174"/>
    </row>
    <row r="47" spans="1:34" ht="12" customHeight="1" x14ac:dyDescent="0.2">
      <c r="A47" s="1163">
        <v>2</v>
      </c>
      <c r="B47" s="1193">
        <f>жеребьевка!L50</f>
        <v>23</v>
      </c>
      <c r="C47" s="456" t="str">
        <f>IF(B47="","",VLOOKUP(B47,'Списки участников'!A:I,3,FALSE))</f>
        <v>КОМИССАРОВ Даниил</v>
      </c>
      <c r="D47" s="1177">
        <f>IF(G45="","",IF(G46="W",0,IF(G45=2,1,IF(G45=1,2,IF(G45=0,2)))))</f>
        <v>1</v>
      </c>
      <c r="E47" s="1178"/>
      <c r="F47" s="1179"/>
      <c r="G47" s="1180"/>
      <c r="H47" s="1181"/>
      <c r="I47" s="1182"/>
      <c r="J47" s="1171">
        <v>2</v>
      </c>
      <c r="K47" s="1172"/>
      <c r="L47" s="1173"/>
      <c r="M47" s="1171">
        <v>1</v>
      </c>
      <c r="N47" s="1172"/>
      <c r="O47" s="1173"/>
      <c r="P47" s="1171">
        <v>2</v>
      </c>
      <c r="Q47" s="1172"/>
      <c r="R47" s="1173"/>
      <c r="S47" s="1171">
        <v>2</v>
      </c>
      <c r="T47" s="1172"/>
      <c r="U47" s="1173"/>
      <c r="V47" s="1171">
        <v>2</v>
      </c>
      <c r="W47" s="1172"/>
      <c r="X47" s="1173"/>
      <c r="Y47" s="1171"/>
      <c r="Z47" s="1172"/>
      <c r="AA47" s="1173"/>
      <c r="AB47" s="1171"/>
      <c r="AC47" s="1172"/>
      <c r="AD47" s="1173"/>
      <c r="AE47" s="1184">
        <f>IF(B47="","",SUM(D47,J47,M47,P47,S47,V47,Y47,AB47,))</f>
        <v>10</v>
      </c>
      <c r="AF47" s="1185"/>
      <c r="AG47" s="1175">
        <v>0.66669999999999996</v>
      </c>
      <c r="AH47" s="1174">
        <v>4</v>
      </c>
    </row>
    <row r="48" spans="1:34" ht="12" customHeight="1" x14ac:dyDescent="0.2">
      <c r="A48" s="1164"/>
      <c r="B48" s="1194"/>
      <c r="C48" s="457" t="str">
        <f>IF(B47="","",VLOOKUP(B47,'Списки участников'!A:I,6,FALSE))</f>
        <v>Москва</v>
      </c>
      <c r="D48" s="461">
        <f>IF(G46="","",IF(I46="l","W",I46))</f>
        <v>0</v>
      </c>
      <c r="E48" s="462" t="str">
        <f>IF(G45="","",":")</f>
        <v>:</v>
      </c>
      <c r="F48" s="463">
        <f>IF(I46="","",IF(G46="W","L",G46))</f>
        <v>2</v>
      </c>
      <c r="G48" s="1183"/>
      <c r="H48" s="1169"/>
      <c r="I48" s="1170"/>
      <c r="J48" s="458">
        <v>2</v>
      </c>
      <c r="K48" s="1035" t="s">
        <v>12173</v>
      </c>
      <c r="L48" s="460">
        <v>1</v>
      </c>
      <c r="M48" s="458">
        <v>0</v>
      </c>
      <c r="N48" s="459" t="str">
        <f>IF(M47="","",":")</f>
        <v>:</v>
      </c>
      <c r="O48" s="460">
        <v>2</v>
      </c>
      <c r="P48" s="458">
        <v>2</v>
      </c>
      <c r="Q48" s="459" t="str">
        <f>IF(P47="","",":")</f>
        <v>:</v>
      </c>
      <c r="R48" s="460">
        <v>0</v>
      </c>
      <c r="S48" s="458">
        <v>2</v>
      </c>
      <c r="T48" s="459" t="str">
        <f>IF(S48="","",":")</f>
        <v>:</v>
      </c>
      <c r="U48" s="460">
        <v>0</v>
      </c>
      <c r="V48" s="458">
        <v>2</v>
      </c>
      <c r="W48" s="459" t="str">
        <f>IF(V48="","",":")</f>
        <v>:</v>
      </c>
      <c r="X48" s="460">
        <v>0</v>
      </c>
      <c r="Y48" s="458"/>
      <c r="Z48" s="459" t="str">
        <f>IF(Y48="","",":")</f>
        <v/>
      </c>
      <c r="AA48" s="460"/>
      <c r="AB48" s="458"/>
      <c r="AC48" s="459" t="str">
        <f>IF(AB48="","",":")</f>
        <v/>
      </c>
      <c r="AD48" s="460"/>
      <c r="AE48" s="1186"/>
      <c r="AF48" s="1187"/>
      <c r="AG48" s="1176"/>
      <c r="AH48" s="1174"/>
    </row>
    <row r="49" spans="1:34" ht="12" customHeight="1" x14ac:dyDescent="0.2">
      <c r="A49" s="1163">
        <v>3</v>
      </c>
      <c r="B49" s="1193">
        <f>жеребьевка!L52</f>
        <v>45</v>
      </c>
      <c r="C49" s="456" t="str">
        <f>IF(B49="","",VLOOKUP(B49,'Списки участников'!A:I,3,FALSE))</f>
        <v>ПЛАХОТНИК Александр</v>
      </c>
      <c r="D49" s="1177">
        <f>IF(J45="","",IF(J46="W",0,IF(J45=2,1,IF(J45=1,2,IF(J45=0,2)))))</f>
        <v>1</v>
      </c>
      <c r="E49" s="1178"/>
      <c r="F49" s="1179"/>
      <c r="G49" s="1171">
        <f>IF(J47="","",IF(J48="W",0,IF(J47=2,1,IF(J47=1,2,IF(J47=0,2)))))</f>
        <v>1</v>
      </c>
      <c r="H49" s="1172"/>
      <c r="I49" s="1173"/>
      <c r="J49" s="1180"/>
      <c r="K49" s="1181"/>
      <c r="L49" s="1182"/>
      <c r="M49" s="1171">
        <v>2</v>
      </c>
      <c r="N49" s="1172"/>
      <c r="O49" s="1173"/>
      <c r="P49" s="1171">
        <v>2</v>
      </c>
      <c r="Q49" s="1172"/>
      <c r="R49" s="1173"/>
      <c r="S49" s="1171">
        <v>2</v>
      </c>
      <c r="T49" s="1172"/>
      <c r="U49" s="1173"/>
      <c r="V49" s="1171">
        <v>2</v>
      </c>
      <c r="W49" s="1172"/>
      <c r="X49" s="1173"/>
      <c r="Y49" s="1171"/>
      <c r="Z49" s="1172"/>
      <c r="AA49" s="1173"/>
      <c r="AB49" s="1171"/>
      <c r="AC49" s="1172"/>
      <c r="AD49" s="1173"/>
      <c r="AE49" s="1184">
        <f>IF(B49="","",SUM(G49,D49,M49,P49,S49,V49,Y49,AB49,))</f>
        <v>10</v>
      </c>
      <c r="AF49" s="1185"/>
      <c r="AG49" s="1188">
        <v>1.5</v>
      </c>
      <c r="AH49" s="1174">
        <f>IF(B49="","",RANK(AE49,ГР11О))</f>
        <v>2</v>
      </c>
    </row>
    <row r="50" spans="1:34" ht="12" customHeight="1" x14ac:dyDescent="0.2">
      <c r="A50" s="1164"/>
      <c r="B50" s="1194"/>
      <c r="C50" s="457" t="str">
        <f>IF(B49="","",VLOOKUP(B49,'Списки участников'!A:I,6,FALSE))</f>
        <v>Москва</v>
      </c>
      <c r="D50" s="464">
        <f>IF(J46="","",IF(L46="l","W",L46))</f>
        <v>1</v>
      </c>
      <c r="E50" s="459" t="str">
        <f>IF(K46="","",":")</f>
        <v>:</v>
      </c>
      <c r="F50" s="465">
        <f>IF(L46="","",IF(J46="W","L",J46))</f>
        <v>2</v>
      </c>
      <c r="G50" s="464">
        <f>IF(J48="","",IF(L48="l","W",L48))</f>
        <v>1</v>
      </c>
      <c r="H50" s="459" t="str">
        <f>IF(K48="","",":")</f>
        <v>:</v>
      </c>
      <c r="I50" s="465">
        <f>IF(L48="","",IF(J48="W","L",J48))</f>
        <v>2</v>
      </c>
      <c r="J50" s="1183"/>
      <c r="K50" s="1169"/>
      <c r="L50" s="1170"/>
      <c r="M50" s="458">
        <v>2</v>
      </c>
      <c r="N50" s="459" t="str">
        <f>IF(M49="","",":")</f>
        <v>:</v>
      </c>
      <c r="O50" s="460">
        <v>0</v>
      </c>
      <c r="P50" s="458">
        <v>2</v>
      </c>
      <c r="Q50" s="459" t="str">
        <f>IF(P49="","",":")</f>
        <v>:</v>
      </c>
      <c r="R50" s="460">
        <v>0</v>
      </c>
      <c r="S50" s="458">
        <v>2</v>
      </c>
      <c r="T50" s="459" t="str">
        <f>IF(S49="","",":")</f>
        <v>:</v>
      </c>
      <c r="U50" s="460">
        <v>0</v>
      </c>
      <c r="V50" s="458">
        <v>2</v>
      </c>
      <c r="W50" s="459" t="str">
        <f>IF(V50="","",":")</f>
        <v>:</v>
      </c>
      <c r="X50" s="460">
        <v>0</v>
      </c>
      <c r="Y50" s="458"/>
      <c r="Z50" s="459" t="str">
        <f>IF(Y50="","",":")</f>
        <v/>
      </c>
      <c r="AA50" s="460"/>
      <c r="AB50" s="458"/>
      <c r="AC50" s="459" t="str">
        <f>IF(AB50="","",":")</f>
        <v/>
      </c>
      <c r="AD50" s="460"/>
      <c r="AE50" s="1186"/>
      <c r="AF50" s="1187"/>
      <c r="AG50" s="1189"/>
      <c r="AH50" s="1174"/>
    </row>
    <row r="51" spans="1:34" ht="12" customHeight="1" x14ac:dyDescent="0.2">
      <c r="A51" s="1163">
        <v>4</v>
      </c>
      <c r="B51" s="1193">
        <f>жеребьевка!L54</f>
        <v>56</v>
      </c>
      <c r="C51" s="456" t="str">
        <f>IF(B51="","",VLOOKUP(B51,'Списки участников'!A:I,3,FALSE))</f>
        <v>ГИНОСЯН Геворг</v>
      </c>
      <c r="D51" s="1171">
        <f>IF(M45="","",IF(M46="W",0,IF(M45=2,1,IF(M45=1,2,IF(M45=0,2)))))</f>
        <v>1</v>
      </c>
      <c r="E51" s="1172"/>
      <c r="F51" s="1173"/>
      <c r="G51" s="1171">
        <f>IF(M47="","",IF(M48="W",0,IF(M47=2,1,IF(M47=1,2,IF(M47=0,2)))))</f>
        <v>2</v>
      </c>
      <c r="H51" s="1172"/>
      <c r="I51" s="1173"/>
      <c r="J51" s="1171">
        <f>IF(M49="","",IF(M50="W",0,IF(M49=2,1,IF(M49=1,2,IF(M49=0,2)))))</f>
        <v>1</v>
      </c>
      <c r="K51" s="1172"/>
      <c r="L51" s="1173"/>
      <c r="M51" s="1181"/>
      <c r="N51" s="1181"/>
      <c r="O51" s="1181"/>
      <c r="P51" s="1171">
        <v>2</v>
      </c>
      <c r="Q51" s="1172"/>
      <c r="R51" s="1173"/>
      <c r="S51" s="1171">
        <v>2</v>
      </c>
      <c r="T51" s="1172"/>
      <c r="U51" s="1173"/>
      <c r="V51" s="1171">
        <v>2</v>
      </c>
      <c r="W51" s="1172"/>
      <c r="X51" s="1173"/>
      <c r="Y51" s="1171"/>
      <c r="Z51" s="1172"/>
      <c r="AA51" s="1173"/>
      <c r="AB51" s="1171"/>
      <c r="AC51" s="1172"/>
      <c r="AD51" s="1173"/>
      <c r="AE51" s="1184">
        <f>IF(B51="","",SUM(G51,J51,D51,P51,S51,V51,Y51,AB51,))</f>
        <v>10</v>
      </c>
      <c r="AF51" s="1185"/>
      <c r="AG51" s="1188">
        <v>1</v>
      </c>
      <c r="AH51" s="1174">
        <v>3</v>
      </c>
    </row>
    <row r="52" spans="1:34" ht="12" customHeight="1" x14ac:dyDescent="0.2">
      <c r="A52" s="1164"/>
      <c r="B52" s="1195"/>
      <c r="C52" s="457" t="str">
        <f>IF(B51="","",VLOOKUP(B51,'Списки участников'!A:I,6,FALSE))</f>
        <v>Коломна</v>
      </c>
      <c r="D52" s="464">
        <f>IF(M46="","",IF(O46="l","W",O46))</f>
        <v>0</v>
      </c>
      <c r="E52" s="459" t="str">
        <f>IF(N46="","",":")</f>
        <v>:</v>
      </c>
      <c r="F52" s="465">
        <f>IF(O46="","",IF(M46="W","L",M46))</f>
        <v>2</v>
      </c>
      <c r="G52" s="464">
        <f>IF(M48="","",IF(O48="l","W",O48))</f>
        <v>2</v>
      </c>
      <c r="H52" s="459" t="str">
        <f>IF(N48="","",":")</f>
        <v>:</v>
      </c>
      <c r="I52" s="465">
        <f>IF(O48="","",IF(M48="W","L",M48))</f>
        <v>0</v>
      </c>
      <c r="J52" s="464">
        <f>IF(M50="","",IF(O50="l","W",O50))</f>
        <v>0</v>
      </c>
      <c r="K52" s="459" t="str">
        <f>IF(N50="","",":")</f>
        <v>:</v>
      </c>
      <c r="L52" s="465">
        <f>IF(O50="","",IF(M50="W","L",M50))</f>
        <v>2</v>
      </c>
      <c r="M52" s="1190"/>
      <c r="N52" s="1190"/>
      <c r="O52" s="1190"/>
      <c r="P52" s="458">
        <v>2</v>
      </c>
      <c r="Q52" s="459" t="str">
        <f>IF(P51="","",":")</f>
        <v>:</v>
      </c>
      <c r="R52" s="460">
        <v>0</v>
      </c>
      <c r="S52" s="458">
        <v>2</v>
      </c>
      <c r="T52" s="459" t="str">
        <f>IF(S51="","",":")</f>
        <v>:</v>
      </c>
      <c r="U52" s="460">
        <v>1</v>
      </c>
      <c r="V52" s="458">
        <v>2</v>
      </c>
      <c r="W52" s="459" t="str">
        <f>IF(V51="","",":")</f>
        <v>:</v>
      </c>
      <c r="X52" s="460">
        <v>0</v>
      </c>
      <c r="Y52" s="458"/>
      <c r="Z52" s="459" t="str">
        <f>IF(Y52="","",":")</f>
        <v/>
      </c>
      <c r="AA52" s="460"/>
      <c r="AB52" s="458"/>
      <c r="AC52" s="459" t="str">
        <f>IF(AB52="","",":")</f>
        <v/>
      </c>
      <c r="AD52" s="460"/>
      <c r="AE52" s="1186"/>
      <c r="AF52" s="1187"/>
      <c r="AG52" s="1189"/>
      <c r="AH52" s="1174"/>
    </row>
    <row r="53" spans="1:34" ht="12" customHeight="1" x14ac:dyDescent="0.2">
      <c r="A53" s="1163">
        <v>5</v>
      </c>
      <c r="B53" s="1193">
        <f>жеребьевка!L56</f>
        <v>77</v>
      </c>
      <c r="C53" s="456" t="str">
        <f>IF(B53="","",VLOOKUP(B53,'Списки участников'!A:I,3,FALSE))</f>
        <v>РЕКУТИН Вадим</v>
      </c>
      <c r="D53" s="1171">
        <f>IF(P45="","",IF(P46="W",0,IF(P45=2,1,IF(P45=1,2,IF(P45=0,2)))))</f>
        <v>1</v>
      </c>
      <c r="E53" s="1172"/>
      <c r="F53" s="1173"/>
      <c r="G53" s="1171">
        <f>IF(P47="","",IF(P48="W",0,IF(P47=2,1,IF(P47=1,2,IF(P47=0,2)))))</f>
        <v>1</v>
      </c>
      <c r="H53" s="1172"/>
      <c r="I53" s="1173"/>
      <c r="J53" s="1171">
        <f>IF(P49="","",IF(P50="W",0,IF(P49=2,1,IF(P49=1,2,IF(P49=0,2)))))</f>
        <v>1</v>
      </c>
      <c r="K53" s="1172"/>
      <c r="L53" s="1173"/>
      <c r="M53" s="1171">
        <f>IF(P51="","",IF(P52="W",0,IF(P51=2,1,IF(P51=1,2,IF(P51=0,2)))))</f>
        <v>1</v>
      </c>
      <c r="N53" s="1172"/>
      <c r="O53" s="1173"/>
      <c r="P53" s="1180"/>
      <c r="Q53" s="1181"/>
      <c r="R53" s="1182"/>
      <c r="S53" s="1171">
        <v>2</v>
      </c>
      <c r="T53" s="1172"/>
      <c r="U53" s="1173"/>
      <c r="V53" s="1171">
        <v>2</v>
      </c>
      <c r="W53" s="1172"/>
      <c r="X53" s="1173"/>
      <c r="Y53" s="1171"/>
      <c r="Z53" s="1172"/>
      <c r="AA53" s="1173"/>
      <c r="AB53" s="1171"/>
      <c r="AC53" s="1172"/>
      <c r="AD53" s="1173"/>
      <c r="AE53" s="1184">
        <f>IF(B53="","",SUM(G53,J53,M53,D53,S53,V53,Y53,AB53,))</f>
        <v>8</v>
      </c>
      <c r="AF53" s="1185"/>
      <c r="AG53" s="1188"/>
      <c r="AH53" s="1174">
        <f>IF(B53="","",RANK(AE53,ГР11О))</f>
        <v>5</v>
      </c>
    </row>
    <row r="54" spans="1:34" ht="12" customHeight="1" x14ac:dyDescent="0.2">
      <c r="A54" s="1164"/>
      <c r="B54" s="1195"/>
      <c r="C54" s="457" t="str">
        <f>IF(B53="","",VLOOKUP(B53,'Списки участников'!A:I,6,FALSE))</f>
        <v>Дрезна  Мос.обл.</v>
      </c>
      <c r="D54" s="464">
        <f>IF(P46="","",IF(R46="l","W",R46))</f>
        <v>0</v>
      </c>
      <c r="E54" s="459" t="str">
        <f>IF(Q46="","",":")</f>
        <v>:</v>
      </c>
      <c r="F54" s="465">
        <f>IF(R46="","",IF(P46="W","L",P46))</f>
        <v>2</v>
      </c>
      <c r="G54" s="464">
        <f>IF(P48="","",IF(R48="l","W",R48))</f>
        <v>0</v>
      </c>
      <c r="H54" s="459" t="str">
        <f>IF(Q48="","",":")</f>
        <v>:</v>
      </c>
      <c r="I54" s="465">
        <f>IF(R48="","",IF(P48="W","L",P48))</f>
        <v>2</v>
      </c>
      <c r="J54" s="464">
        <f>IF(P50="","",IF(R50="l","W",R50))</f>
        <v>0</v>
      </c>
      <c r="K54" s="459" t="str">
        <f>IF(Q50="","",":")</f>
        <v>:</v>
      </c>
      <c r="L54" s="465">
        <f>IF(R50="","",IF(P50="W","L",P50))</f>
        <v>2</v>
      </c>
      <c r="M54" s="464">
        <f>IF(P52="","",IF(R52="l","W",R52))</f>
        <v>0</v>
      </c>
      <c r="N54" s="459" t="str">
        <f>IF(Q52="","",":")</f>
        <v>:</v>
      </c>
      <c r="O54" s="465">
        <f>IF(R52="","",IF(P52="W","L",P52))</f>
        <v>2</v>
      </c>
      <c r="P54" s="1183"/>
      <c r="Q54" s="1169"/>
      <c r="R54" s="1170"/>
      <c r="S54" s="458">
        <v>2</v>
      </c>
      <c r="T54" s="459" t="str">
        <f>IF(S53="","",":")</f>
        <v>:</v>
      </c>
      <c r="U54" s="460">
        <v>0</v>
      </c>
      <c r="V54" s="458">
        <v>2</v>
      </c>
      <c r="W54" s="459" t="str">
        <f>IF(V53="","",":")</f>
        <v>:</v>
      </c>
      <c r="X54" s="460">
        <v>0</v>
      </c>
      <c r="Y54" s="458"/>
      <c r="Z54" s="459" t="str">
        <f>IF(Y53="","",":")</f>
        <v/>
      </c>
      <c r="AA54" s="460"/>
      <c r="AB54" s="458"/>
      <c r="AC54" s="459" t="str">
        <f>IF(AB54="","",":")</f>
        <v/>
      </c>
      <c r="AD54" s="460"/>
      <c r="AE54" s="1186"/>
      <c r="AF54" s="1187"/>
      <c r="AG54" s="1189"/>
      <c r="AH54" s="1174"/>
    </row>
    <row r="55" spans="1:34" ht="12" customHeight="1" x14ac:dyDescent="0.2">
      <c r="A55" s="1163">
        <v>6</v>
      </c>
      <c r="B55" s="1196">
        <f>жеребьевка!L58</f>
        <v>89</v>
      </c>
      <c r="C55" s="456" t="str">
        <f>IF(B55="","",VLOOKUP(B55,'Списки участников'!A:I,3,FALSE))</f>
        <v>МАЛЫК Никита</v>
      </c>
      <c r="D55" s="1171">
        <f>IF(S45="","",IF(S46="W",0,IF(S45=2,1,IF(S45=1,2,IF(S45=0,2)))))</f>
        <v>1</v>
      </c>
      <c r="E55" s="1172"/>
      <c r="F55" s="1173"/>
      <c r="G55" s="1171">
        <f>IF(S47="","",IF(S48="W",0,IF(S47=2,1,IF(S47=1,2,IF(S47=0,2)))))</f>
        <v>1</v>
      </c>
      <c r="H55" s="1172"/>
      <c r="I55" s="1173"/>
      <c r="J55" s="1171">
        <f>IF(S49="","",IF(S50="W",0,IF(S49=2,1,IF(S49=1,2,IF(S49=0,2)))))</f>
        <v>1</v>
      </c>
      <c r="K55" s="1172"/>
      <c r="L55" s="1173"/>
      <c r="M55" s="1171">
        <f>IF(S51="","",IF(S52="W",0,IF(S51=2,1,IF(S51=1,2,IF(S51=0,2)))))</f>
        <v>1</v>
      </c>
      <c r="N55" s="1172"/>
      <c r="O55" s="1173"/>
      <c r="P55" s="1171">
        <f>IF(S53="","",IF(S54="W",0,IF(S53=2,1,IF(S53=1,2,IF(S53=0,2)))))</f>
        <v>1</v>
      </c>
      <c r="Q55" s="1172"/>
      <c r="R55" s="1173"/>
      <c r="S55" s="1180"/>
      <c r="T55" s="1181"/>
      <c r="U55" s="1182"/>
      <c r="V55" s="1171">
        <v>2</v>
      </c>
      <c r="W55" s="1172"/>
      <c r="X55" s="1173"/>
      <c r="Y55" s="1171"/>
      <c r="Z55" s="1172"/>
      <c r="AA55" s="1173"/>
      <c r="AB55" s="1171"/>
      <c r="AC55" s="1172"/>
      <c r="AD55" s="1173"/>
      <c r="AE55" s="1184">
        <f>IF(B55="","",SUM(G55,J55,M55,P55,D55,V55,Y55,AB55,))</f>
        <v>7</v>
      </c>
      <c r="AF55" s="1185"/>
      <c r="AG55" s="1188"/>
      <c r="AH55" s="1174">
        <f>IF(B55="","",RANK(AE55,ГР11О))</f>
        <v>6</v>
      </c>
    </row>
    <row r="56" spans="1:34" ht="12" customHeight="1" x14ac:dyDescent="0.2">
      <c r="A56" s="1164"/>
      <c r="B56" s="1197"/>
      <c r="C56" s="457" t="str">
        <f>IF(B55="","",VLOOKUP(B55,'Списки участников'!A:I,6,FALSE))</f>
        <v>Москва</v>
      </c>
      <c r="D56" s="464">
        <f>IF(S46="","",IF(U46="l","W",U46))</f>
        <v>0</v>
      </c>
      <c r="E56" s="459" t="str">
        <f>IF(T46="","",":")</f>
        <v>:</v>
      </c>
      <c r="F56" s="465">
        <f>IF(U46="","",IF(S46="W","L",S46))</f>
        <v>2</v>
      </c>
      <c r="G56" s="464">
        <f>IF(S48="","",IF(U48="l","W",U48))</f>
        <v>0</v>
      </c>
      <c r="H56" s="459" t="str">
        <f>IF(Q48="","",":")</f>
        <v>:</v>
      </c>
      <c r="I56" s="465">
        <f>IF(U48="","",IF(S48="W","L",S48))</f>
        <v>2</v>
      </c>
      <c r="J56" s="464">
        <f>IF(S50="","",IF(U50="l","W",U50))</f>
        <v>0</v>
      </c>
      <c r="K56" s="459" t="str">
        <f>IF(T50="","",":")</f>
        <v>:</v>
      </c>
      <c r="L56" s="465">
        <f>IF(U50="","",IF(S50="W","L",S50))</f>
        <v>2</v>
      </c>
      <c r="M56" s="464">
        <f>IF(S52="","",IF(U52="l","W",U52))</f>
        <v>1</v>
      </c>
      <c r="N56" s="459" t="str">
        <f>IF(T52="","",":")</f>
        <v>:</v>
      </c>
      <c r="O56" s="465">
        <f>IF(U52="","",IF(S52="W","L",S52))</f>
        <v>2</v>
      </c>
      <c r="P56" s="464">
        <f>IF(S54="","",IF(U54="l","W",U54))</f>
        <v>0</v>
      </c>
      <c r="Q56" s="459" t="str">
        <f>IF(T54="","",":")</f>
        <v>:</v>
      </c>
      <c r="R56" s="465">
        <f>IF(U54="","",IF(S54="W","L",S54))</f>
        <v>2</v>
      </c>
      <c r="S56" s="1183"/>
      <c r="T56" s="1169"/>
      <c r="U56" s="1170"/>
      <c r="V56" s="458">
        <v>2</v>
      </c>
      <c r="W56" s="459" t="str">
        <f>IF(V55="","",":")</f>
        <v>:</v>
      </c>
      <c r="X56" s="460">
        <v>0</v>
      </c>
      <c r="Y56" s="458"/>
      <c r="Z56" s="459" t="str">
        <f>IF(Y55="","",":")</f>
        <v/>
      </c>
      <c r="AA56" s="460"/>
      <c r="AB56" s="458"/>
      <c r="AC56" s="459" t="str">
        <f>IF(AB55="","",":")</f>
        <v/>
      </c>
      <c r="AD56" s="460"/>
      <c r="AE56" s="1186"/>
      <c r="AF56" s="1187"/>
      <c r="AG56" s="1189"/>
      <c r="AH56" s="1174"/>
    </row>
    <row r="57" spans="1:34" ht="12" customHeight="1" x14ac:dyDescent="0.2">
      <c r="A57" s="1163">
        <v>7</v>
      </c>
      <c r="B57" s="1196">
        <f>жеребьевка!L60</f>
        <v>104</v>
      </c>
      <c r="C57" s="456" t="str">
        <f>IF(B57="","",VLOOKUP(B57,'Списки участников'!A:I,3,FALSE))</f>
        <v>БУЛАВИН Михаил</v>
      </c>
      <c r="D57" s="1171">
        <f>IF(V45="","",IF(V46="W",0,IF(V45=2,1,IF(V45=1,2,IF(V45=0,2)))))</f>
        <v>1</v>
      </c>
      <c r="E57" s="1172"/>
      <c r="F57" s="1173"/>
      <c r="G57" s="1171">
        <f>IF(V47="","",IF(V48="W",0,IF(V47=2,1,IF(V47=1,2,IF(V47=0,2)))))</f>
        <v>1</v>
      </c>
      <c r="H57" s="1172"/>
      <c r="I57" s="1173"/>
      <c r="J57" s="1171">
        <f>IF(V49="","",IF(V50="W",0,IF(V49=2,1,IF(V49=1,2,IF(V49=0,2)))))</f>
        <v>1</v>
      </c>
      <c r="K57" s="1172"/>
      <c r="L57" s="1173"/>
      <c r="M57" s="1171">
        <f>IF(V51="","",IF(V52="W",0,IF(V51=2,1,IF(V51=1,2,IF(V51=0,2)))))</f>
        <v>1</v>
      </c>
      <c r="N57" s="1172"/>
      <c r="O57" s="1173"/>
      <c r="P57" s="1171">
        <f>IF(V53="","",IF(V54="W",0,IF(V53=2,1,IF(V53=1,2,IF(V53=0,2)))))</f>
        <v>1</v>
      </c>
      <c r="Q57" s="1172"/>
      <c r="R57" s="1173"/>
      <c r="S57" s="1171">
        <f>IF(V55="","",IF(V56="W",0,IF(V55=2,1,IF(V55=1,2,IF(V55=0,2)))))</f>
        <v>1</v>
      </c>
      <c r="T57" s="1172"/>
      <c r="U57" s="1173"/>
      <c r="V57" s="1191"/>
      <c r="W57" s="1167"/>
      <c r="X57" s="1168"/>
      <c r="Y57" s="1171"/>
      <c r="Z57" s="1172"/>
      <c r="AA57" s="1173"/>
      <c r="AB57" s="1171"/>
      <c r="AC57" s="1172"/>
      <c r="AD57" s="1173"/>
      <c r="AE57" s="1184">
        <f>IF(B57="","",SUM(G57,J57,M57,P57,S57,D57,Y57,AB57,))</f>
        <v>6</v>
      </c>
      <c r="AF57" s="1185"/>
      <c r="AG57" s="1188"/>
      <c r="AH57" s="1174">
        <f>IF(B57="","",RANK(AE57,ГР11О))</f>
        <v>7</v>
      </c>
    </row>
    <row r="58" spans="1:34" ht="12" customHeight="1" x14ac:dyDescent="0.2">
      <c r="A58" s="1164"/>
      <c r="B58" s="1197"/>
      <c r="C58" s="457" t="str">
        <f>IF(B57="","",VLOOKUP(B57,'Списки участников'!A:I,6,FALSE))</f>
        <v>Домодедово  М.о.</v>
      </c>
      <c r="D58" s="464">
        <f>IF(V46="","",IF(X46="l","W",X46))</f>
        <v>0</v>
      </c>
      <c r="E58" s="459" t="str">
        <f>IF(W46="","",":")</f>
        <v>:</v>
      </c>
      <c r="F58" s="465">
        <f>IF(X46="","",IF(V46="W","L",V46))</f>
        <v>2</v>
      </c>
      <c r="G58" s="464">
        <f>IF(V48="","",IF(X48="l","W",X48))</f>
        <v>0</v>
      </c>
      <c r="H58" s="459" t="str">
        <f>IF(W48="","",":")</f>
        <v>:</v>
      </c>
      <c r="I58" s="465">
        <f>IF(X48="","",IF(V48="W","L",V48))</f>
        <v>2</v>
      </c>
      <c r="J58" s="464">
        <f>IF(V50="","",IF(X50="l","W",X50))</f>
        <v>0</v>
      </c>
      <c r="K58" s="459" t="str">
        <f>IF(W50="","",":")</f>
        <v>:</v>
      </c>
      <c r="L58" s="465">
        <f>IF(X50="","",IF(V50="W","L",V50))</f>
        <v>2</v>
      </c>
      <c r="M58" s="464">
        <f>IF(V52="","",IF(X52="l","W",X52))</f>
        <v>0</v>
      </c>
      <c r="N58" s="459" t="str">
        <f>IF(W52="","",":")</f>
        <v>:</v>
      </c>
      <c r="O58" s="465">
        <f>IF(X52="","",IF(V52="W","L",V52))</f>
        <v>2</v>
      </c>
      <c r="P58" s="464">
        <f>IF(V54="","",IF(X54="l","W",X54))</f>
        <v>0</v>
      </c>
      <c r="Q58" s="459" t="str">
        <f>IF(W54="","",":")</f>
        <v>:</v>
      </c>
      <c r="R58" s="465">
        <f>IF(X54="","",IF(V54="W","L",V54))</f>
        <v>2</v>
      </c>
      <c r="S58" s="464">
        <f>IF(V56="","",IF(X56="l","W",X56))</f>
        <v>0</v>
      </c>
      <c r="T58" s="459" t="str">
        <f>IF(W56="","",":")</f>
        <v>:</v>
      </c>
      <c r="U58" s="465">
        <f>IF(X56="","",IF(V56="W","L",V56))</f>
        <v>2</v>
      </c>
      <c r="V58" s="1183"/>
      <c r="W58" s="1169"/>
      <c r="X58" s="1170"/>
      <c r="Y58" s="458"/>
      <c r="Z58" s="459" t="str">
        <f>IF(Y57="","",":")</f>
        <v/>
      </c>
      <c r="AA58" s="460"/>
      <c r="AB58" s="458"/>
      <c r="AC58" s="459" t="str">
        <f>IF(AB57="","",":")</f>
        <v/>
      </c>
      <c r="AD58" s="460"/>
      <c r="AE58" s="1186"/>
      <c r="AF58" s="1187"/>
      <c r="AG58" s="1189"/>
      <c r="AH58" s="1174"/>
    </row>
    <row r="59" spans="1:34" ht="12" customHeight="1" x14ac:dyDescent="0.2">
      <c r="A59" s="1163">
        <v>8</v>
      </c>
      <c r="B59" s="1196"/>
      <c r="C59" s="456" t="str">
        <f>IF(B59="","",VLOOKUP(B59,'Списки участников'!A:I,3,FALSE))</f>
        <v/>
      </c>
      <c r="D59" s="1171" t="str">
        <f>IF(Y45="","",IF(Y46="W",0,IF(Y45=2,1,IF(Y45=1,2,IF(Y45=0,2)))))</f>
        <v/>
      </c>
      <c r="E59" s="1172"/>
      <c r="F59" s="1173"/>
      <c r="G59" s="1171" t="str">
        <f>IF(Y47="","",IF(Y48="W",0,IF(Y47=2,1,IF(Y47=1,2,IF(Y47=0,2)))))</f>
        <v/>
      </c>
      <c r="H59" s="1172"/>
      <c r="I59" s="1173"/>
      <c r="J59" s="1171" t="str">
        <f>IF(Y49="","",IF(Y50="W",0,IF(Y49=2,1,IF(Y49=1,2,IF(Y49=0,2)))))</f>
        <v/>
      </c>
      <c r="K59" s="1172"/>
      <c r="L59" s="1173"/>
      <c r="M59" s="1171" t="str">
        <f>IF(Y51="","",IF(Y52="W",0,IF(Y51=2,1,IF(Y51=1,2,IF(Y51=0,2)))))</f>
        <v/>
      </c>
      <c r="N59" s="1172"/>
      <c r="O59" s="1173"/>
      <c r="P59" s="1171" t="str">
        <f>IF(Y53="","",IF(Y54="W",0,IF(Y53=2,1,IF(Y53=1,2,IF(Y53=0,2)))))</f>
        <v/>
      </c>
      <c r="Q59" s="1172"/>
      <c r="R59" s="1173"/>
      <c r="S59" s="1171" t="str">
        <f>IF(Y55="","",IF(Y56="W",0,IF(Y55=2,1,IF(Y55=1,2,IF(Y55=0,2)))))</f>
        <v/>
      </c>
      <c r="T59" s="1172"/>
      <c r="U59" s="1173"/>
      <c r="V59" s="1171" t="str">
        <f>IF(Y57="","",IF(Y58="W",0,IF(Y57=2,1,IF(Y57=1,2,IF(Y57=0,2)))))</f>
        <v/>
      </c>
      <c r="W59" s="1172"/>
      <c r="X59" s="1173"/>
      <c r="Y59" s="1180"/>
      <c r="Z59" s="1181"/>
      <c r="AA59" s="1182"/>
      <c r="AB59" s="1171"/>
      <c r="AC59" s="1172"/>
      <c r="AD59" s="1173"/>
      <c r="AE59" s="1184" t="str">
        <f>IF(B59="","",SUM(G59,J59,M59,P59,S59,V59,D59,AB59,))</f>
        <v/>
      </c>
      <c r="AF59" s="1185"/>
      <c r="AG59" s="1188"/>
      <c r="AH59" s="1174" t="str">
        <f>IF(B59="","",RANK(AE59,ГР11О))</f>
        <v/>
      </c>
    </row>
    <row r="60" spans="1:34" ht="12" customHeight="1" x14ac:dyDescent="0.2">
      <c r="A60" s="1164"/>
      <c r="B60" s="1197"/>
      <c r="C60" s="457" t="str">
        <f>IF(B59="","",VLOOKUP(B59,'Списки участников'!A:I,6,FALSE))</f>
        <v/>
      </c>
      <c r="D60" s="464" t="str">
        <f>IF(Y46="","",IF(AA46="l","W",AA46))</f>
        <v/>
      </c>
      <c r="E60" s="459" t="str">
        <f>IF(Z46="","",":")</f>
        <v/>
      </c>
      <c r="F60" s="465" t="str">
        <f>IF(AA46="","",IF(Y46="W","L",Y46))</f>
        <v/>
      </c>
      <c r="G60" s="464" t="str">
        <f>IF(Y48="","",IF(AA48="l","W",AA48))</f>
        <v/>
      </c>
      <c r="H60" s="459" t="str">
        <f>IF(Z48="","",":")</f>
        <v/>
      </c>
      <c r="I60" s="465" t="str">
        <f>IF(AA48="","",IF(Y48="W","L",Y48))</f>
        <v/>
      </c>
      <c r="J60" s="464" t="str">
        <f>IF(Y50="","",IF(AA50="l","W",AA50))</f>
        <v/>
      </c>
      <c r="K60" s="459" t="str">
        <f>IF(Z50="","",":")</f>
        <v/>
      </c>
      <c r="L60" s="465" t="str">
        <f>IF(AA50="","",IF(Y50="W","L",Y50))</f>
        <v/>
      </c>
      <c r="M60" s="464" t="str">
        <f>IF(Y52="","",IF(AA52="l","W",AA52))</f>
        <v/>
      </c>
      <c r="N60" s="459" t="str">
        <f>IF(Z52="","",":")</f>
        <v/>
      </c>
      <c r="O60" s="465" t="str">
        <f>IF(AA52="","",IF(Y52="W","L",Y52))</f>
        <v/>
      </c>
      <c r="P60" s="464" t="str">
        <f>IF(Y54="","",IF(AA54="l","W",AA54))</f>
        <v/>
      </c>
      <c r="Q60" s="459" t="str">
        <f>IF(Z54="","",":")</f>
        <v/>
      </c>
      <c r="R60" s="465" t="str">
        <f>IF(AA54="","",IF(Y54="W","L",Y54))</f>
        <v/>
      </c>
      <c r="S60" s="464" t="str">
        <f>IF(Y56="","",IF(AA56="l","W",AA56))</f>
        <v/>
      </c>
      <c r="T60" s="459" t="str">
        <f>IF(Z56="","",":")</f>
        <v/>
      </c>
      <c r="U60" s="465" t="str">
        <f>IF(AA56="","",IF(Y56="W","L",Y56))</f>
        <v/>
      </c>
      <c r="V60" s="464" t="str">
        <f>IF(Y58="","",IF(AA58="l","W",AA58))</f>
        <v/>
      </c>
      <c r="W60" s="459" t="str">
        <f>IF(Z58="","",":")</f>
        <v/>
      </c>
      <c r="X60" s="465" t="str">
        <f>IF(AA58="","",IF(Y58="W","L",Y58))</f>
        <v/>
      </c>
      <c r="Y60" s="1183"/>
      <c r="Z60" s="1169"/>
      <c r="AA60" s="1170"/>
      <c r="AB60" s="458"/>
      <c r="AC60" s="459" t="str">
        <f>IF(AB59="","",":")</f>
        <v/>
      </c>
      <c r="AD60" s="460"/>
      <c r="AE60" s="1186"/>
      <c r="AF60" s="1187"/>
      <c r="AG60" s="1189"/>
      <c r="AH60" s="1174"/>
    </row>
    <row r="61" spans="1:34" ht="12" hidden="1" customHeight="1" outlineLevel="1" x14ac:dyDescent="0.2">
      <c r="A61" s="1163">
        <v>9</v>
      </c>
      <c r="B61" s="1165">
        <f>жеребьевка!L64</f>
        <v>0</v>
      </c>
      <c r="C61" s="456" t="e">
        <f>IF(B61="","",VLOOKUP(B61,'Списки участников'!A:I,3,FALSE))</f>
        <v>#N/A</v>
      </c>
      <c r="D61" s="1171" t="str">
        <f>IF(AB45="","",IF(AB46="W",0,IF(AB45=2,1,IF(AB45=1,2,IF(AB45=0,2)))))</f>
        <v/>
      </c>
      <c r="E61" s="1172"/>
      <c r="F61" s="1173"/>
      <c r="G61" s="1171" t="str">
        <f>IF(AB47="","",IF(AB48="W",0,IF(AB47=2,1,IF(AB47=1,2,IF(AB47=0,2)))))</f>
        <v/>
      </c>
      <c r="H61" s="1172"/>
      <c r="I61" s="1173"/>
      <c r="J61" s="1171" t="str">
        <f>IF(AB49="","",IF(AB50="W",0,IF(AB49=2,1,IF(AB49=1,2,IF(AB49=0,2)))))</f>
        <v/>
      </c>
      <c r="K61" s="1172"/>
      <c r="L61" s="1173"/>
      <c r="M61" s="1171" t="str">
        <f>IF(AB51="","",IF(AB52="W",0,IF(AB51=2,1,IF(AB51=1,2,IF(AB51=0,2)))))</f>
        <v/>
      </c>
      <c r="N61" s="1172"/>
      <c r="O61" s="1173"/>
      <c r="P61" s="1171" t="str">
        <f>IF(AB53="","",IF(AB54="W",0,IF(AB53=2,1,IF(AB53=1,2,IF(AB53=0,2)))))</f>
        <v/>
      </c>
      <c r="Q61" s="1172"/>
      <c r="R61" s="1173"/>
      <c r="S61" s="1171" t="str">
        <f>IF(AB55="","",IF(AB56="W",0,IF(AB55=2,1,IF(AB55=1,2,IF(AB55=0,2)))))</f>
        <v/>
      </c>
      <c r="T61" s="1172"/>
      <c r="U61" s="1173"/>
      <c r="V61" s="1171" t="str">
        <f>IF(AB57="","",IF(AB58="W",0,IF(AB57=2,1,IF(AB57=1,2,IF(AB57=0,2)))))</f>
        <v/>
      </c>
      <c r="W61" s="1172"/>
      <c r="X61" s="1173"/>
      <c r="Y61" s="1171" t="str">
        <f>IF(AB59="","",IF(AB60="W",0,IF(AB59=2,1,IF(AB59=1,2,IF(AB59=0,2)))))</f>
        <v/>
      </c>
      <c r="Z61" s="1172"/>
      <c r="AA61" s="1173"/>
      <c r="AB61" s="1191"/>
      <c r="AC61" s="1167"/>
      <c r="AD61" s="1168"/>
      <c r="AE61" s="1184">
        <f>IF(B61="","",SUM(G61,J61,M61,P61,S61,V61,Y61,D61,))</f>
        <v>0</v>
      </c>
      <c r="AF61" s="1185"/>
      <c r="AG61" s="1188"/>
      <c r="AH61" s="1174">
        <f>IF(B61="","",RANK(AE61,ГР11О))</f>
        <v>8</v>
      </c>
    </row>
    <row r="62" spans="1:34" ht="12" hidden="1" customHeight="1" outlineLevel="1" x14ac:dyDescent="0.2">
      <c r="A62" s="1164"/>
      <c r="B62" s="1166"/>
      <c r="C62" s="457" t="e">
        <f>IF(B61="","",VLOOKUP(B61,'Списки участников'!A:I,6,FALSE))</f>
        <v>#N/A</v>
      </c>
      <c r="D62" s="464" t="str">
        <f>IF(AB46="","",IF(AD46="l","W",AD46))</f>
        <v/>
      </c>
      <c r="E62" s="459" t="str">
        <f>IF(AC46="","",":")</f>
        <v/>
      </c>
      <c r="F62" s="465" t="str">
        <f>IF(AD46="","",IF(AB46="W","L",AB46))</f>
        <v/>
      </c>
      <c r="G62" s="464" t="str">
        <f>IF(AB48="","",IF(AD48="l","W",AD48))</f>
        <v/>
      </c>
      <c r="H62" s="459" t="str">
        <f>IF(AC48="","",":")</f>
        <v/>
      </c>
      <c r="I62" s="465" t="str">
        <f>IF(AD48="","",IF(AB48="W","L",AB48))</f>
        <v/>
      </c>
      <c r="J62" s="464" t="str">
        <f>IF(AB50="","",IF(AD50="l","W",AD50))</f>
        <v/>
      </c>
      <c r="K62" s="459" t="str">
        <f>IF(AC50="","",":")</f>
        <v/>
      </c>
      <c r="L62" s="465" t="str">
        <f>IF(AD50="","",IF(AB50="W","L",AB50))</f>
        <v/>
      </c>
      <c r="M62" s="464" t="str">
        <f>IF(AB52="","",IF(AD52="l","W",AD52))</f>
        <v/>
      </c>
      <c r="N62" s="459" t="str">
        <f>IF(AC52="","",":")</f>
        <v/>
      </c>
      <c r="O62" s="465" t="str">
        <f>IF(AD52="","",IF(AB52="W","L",AB52))</f>
        <v/>
      </c>
      <c r="P62" s="464" t="str">
        <f>IF(AB54="","",IF(AD54="l","W",AD54))</f>
        <v/>
      </c>
      <c r="Q62" s="459" t="str">
        <f>IF(AC54="","",":")</f>
        <v/>
      </c>
      <c r="R62" s="465" t="str">
        <f>IF(AD54="","",IF(AB54="W","L",AB54))</f>
        <v/>
      </c>
      <c r="S62" s="464" t="str">
        <f>IF(AB56="","",IF(AD56="l","W",AD56))</f>
        <v/>
      </c>
      <c r="T62" s="459" t="str">
        <f>IF(AC56="","",":")</f>
        <v/>
      </c>
      <c r="U62" s="465" t="str">
        <f>IF(AD56="","",IF(AB56="W","L",AB56))</f>
        <v/>
      </c>
      <c r="V62" s="464" t="str">
        <f>IF(AB58="","",IF(AD58="l","W",AD58))</f>
        <v/>
      </c>
      <c r="W62" s="459" t="str">
        <f>IF(AC58="","",":")</f>
        <v/>
      </c>
      <c r="X62" s="465" t="str">
        <f>IF(AD58="","",IF(AB58="W","L",AB58))</f>
        <v/>
      </c>
      <c r="Y62" s="464" t="str">
        <f>IF(AB60="","",IF(AD60="l","W",AD60))</f>
        <v/>
      </c>
      <c r="Z62" s="459" t="str">
        <f>IF(AC60="","",":")</f>
        <v/>
      </c>
      <c r="AA62" s="465" t="str">
        <f>IF(AD60="","",IF(AB60="W","L",AB60))</f>
        <v/>
      </c>
      <c r="AB62" s="1183"/>
      <c r="AC62" s="1169"/>
      <c r="AD62" s="1170"/>
      <c r="AE62" s="1186"/>
      <c r="AF62" s="1187"/>
      <c r="AG62" s="1189"/>
      <c r="AH62" s="1174"/>
    </row>
    <row r="63" spans="1:34" ht="12" customHeight="1" collapsed="1" x14ac:dyDescent="0.25">
      <c r="A63" s="135"/>
      <c r="B63" s="135"/>
      <c r="C63" s="954" t="s">
        <v>765</v>
      </c>
      <c r="D63" s="135"/>
      <c r="E63" s="135"/>
      <c r="F63" s="135"/>
      <c r="G63" s="1192" t="s">
        <v>2591</v>
      </c>
      <c r="H63" s="1192"/>
      <c r="I63" s="1192"/>
      <c r="J63" s="1192"/>
      <c r="K63" s="1192"/>
      <c r="L63" s="1192"/>
      <c r="M63" s="1192"/>
      <c r="N63" s="1192"/>
      <c r="O63" s="1192"/>
      <c r="P63" s="1192"/>
      <c r="Q63" s="1192"/>
      <c r="R63" s="1192"/>
      <c r="S63" s="1192"/>
      <c r="T63" s="1192"/>
      <c r="U63" s="1192"/>
      <c r="V63" s="1192"/>
      <c r="W63" s="1192"/>
      <c r="X63" s="1192"/>
      <c r="Y63" s="1192"/>
      <c r="Z63" s="1192"/>
      <c r="AA63" s="1192"/>
      <c r="AB63" s="135"/>
      <c r="AC63" s="135"/>
      <c r="AD63" s="135"/>
      <c r="AE63" s="135"/>
      <c r="AF63" s="135"/>
      <c r="AG63" s="135"/>
      <c r="AH63" s="135"/>
    </row>
    <row r="64" spans="1:34" ht="12" customHeight="1" x14ac:dyDescent="0.2">
      <c r="A64" s="136" t="s">
        <v>3</v>
      </c>
      <c r="B64" s="864"/>
      <c r="C64" s="138" t="s">
        <v>788</v>
      </c>
      <c r="D64" s="1158">
        <v>1</v>
      </c>
      <c r="E64" s="1159"/>
      <c r="F64" s="1160"/>
      <c r="G64" s="1158">
        <v>2</v>
      </c>
      <c r="H64" s="1159"/>
      <c r="I64" s="1160"/>
      <c r="J64" s="1158">
        <v>3</v>
      </c>
      <c r="K64" s="1159"/>
      <c r="L64" s="1160"/>
      <c r="M64" s="1158">
        <v>4</v>
      </c>
      <c r="N64" s="1159"/>
      <c r="O64" s="1160"/>
      <c r="P64" s="1158">
        <v>5</v>
      </c>
      <c r="Q64" s="1159"/>
      <c r="R64" s="1160"/>
      <c r="S64" s="1158">
        <v>6</v>
      </c>
      <c r="T64" s="1159"/>
      <c r="U64" s="1160"/>
      <c r="V64" s="1158">
        <v>7</v>
      </c>
      <c r="W64" s="1159"/>
      <c r="X64" s="1160"/>
      <c r="Y64" s="1158">
        <v>8</v>
      </c>
      <c r="Z64" s="1159"/>
      <c r="AA64" s="1160"/>
      <c r="AB64" s="1158">
        <v>9</v>
      </c>
      <c r="AC64" s="1159"/>
      <c r="AD64" s="1160"/>
      <c r="AE64" s="1161" t="s">
        <v>789</v>
      </c>
      <c r="AF64" s="1162"/>
      <c r="AG64" s="865" t="s">
        <v>790</v>
      </c>
      <c r="AH64" s="455" t="s">
        <v>100</v>
      </c>
    </row>
    <row r="65" spans="1:34" ht="12" customHeight="1" x14ac:dyDescent="0.2">
      <c r="A65" s="1163">
        <v>1</v>
      </c>
      <c r="B65" s="1165">
        <f>жеребьевка!Q48</f>
        <v>12</v>
      </c>
      <c r="C65" s="456" t="str">
        <f>IF(B65="","",VLOOKUP(B65,'Списки участников'!A:I,3,FALSE))</f>
        <v>ПОЛЯКОВ Василий</v>
      </c>
      <c r="D65" s="1167"/>
      <c r="E65" s="1167"/>
      <c r="F65" s="1168"/>
      <c r="G65" s="1171">
        <v>1</v>
      </c>
      <c r="H65" s="1172"/>
      <c r="I65" s="1173"/>
      <c r="J65" s="1171">
        <v>2</v>
      </c>
      <c r="K65" s="1172"/>
      <c r="L65" s="1173"/>
      <c r="M65" s="1171">
        <v>2</v>
      </c>
      <c r="N65" s="1172"/>
      <c r="O65" s="1173"/>
      <c r="P65" s="1171">
        <v>2</v>
      </c>
      <c r="Q65" s="1172"/>
      <c r="R65" s="1173"/>
      <c r="S65" s="1171">
        <v>2</v>
      </c>
      <c r="T65" s="1172"/>
      <c r="U65" s="1173"/>
      <c r="V65" s="1171">
        <v>2</v>
      </c>
      <c r="W65" s="1172"/>
      <c r="X65" s="1173"/>
      <c r="Y65" s="1171"/>
      <c r="Z65" s="1172"/>
      <c r="AA65" s="1173"/>
      <c r="AB65" s="1171"/>
      <c r="AC65" s="1172"/>
      <c r="AD65" s="1173"/>
      <c r="AE65" s="1184">
        <f>IF(B65="","",SUM(G65,J65,M65,P65,S65,V65,Y65,AB65,))</f>
        <v>11</v>
      </c>
      <c r="AF65" s="1185"/>
      <c r="AG65" s="1175" t="s">
        <v>12176</v>
      </c>
      <c r="AH65" s="1174">
        <f>IF(B65="","",RANK(AE65,ГР12О))</f>
        <v>1</v>
      </c>
    </row>
    <row r="66" spans="1:34" ht="12" customHeight="1" x14ac:dyDescent="0.2">
      <c r="A66" s="1164"/>
      <c r="B66" s="1166"/>
      <c r="C66" s="457" t="str">
        <f>IF(B65="","",VLOOKUP(B65,'Списки участников'!A:I,6,FALSE))</f>
        <v>Москва</v>
      </c>
      <c r="D66" s="1169"/>
      <c r="E66" s="1169"/>
      <c r="F66" s="1170"/>
      <c r="G66" s="458">
        <v>1</v>
      </c>
      <c r="H66" s="459" t="str">
        <f>IF(G65="","",":")</f>
        <v>:</v>
      </c>
      <c r="I66" s="460">
        <v>2</v>
      </c>
      <c r="J66" s="458">
        <v>2</v>
      </c>
      <c r="K66" s="459" t="str">
        <f>IF(J65="","",":")</f>
        <v>:</v>
      </c>
      <c r="L66" s="460">
        <v>1</v>
      </c>
      <c r="M66" s="458">
        <v>2</v>
      </c>
      <c r="N66" s="459" t="str">
        <f>IF(M66="","",":")</f>
        <v>:</v>
      </c>
      <c r="O66" s="460">
        <v>0</v>
      </c>
      <c r="P66" s="458">
        <v>2</v>
      </c>
      <c r="Q66" s="459" t="str">
        <f>IF(P66="","",":")</f>
        <v>:</v>
      </c>
      <c r="R66" s="460">
        <v>0</v>
      </c>
      <c r="S66" s="458">
        <v>2</v>
      </c>
      <c r="T66" s="459" t="str">
        <f>IF(S66="","",":")</f>
        <v>:</v>
      </c>
      <c r="U66" s="460">
        <v>0</v>
      </c>
      <c r="V66" s="998" t="s">
        <v>12171</v>
      </c>
      <c r="W66" s="459" t="str">
        <f>IF(V66="","",":")</f>
        <v>:</v>
      </c>
      <c r="X66" s="999" t="s">
        <v>12172</v>
      </c>
      <c r="Y66" s="458"/>
      <c r="Z66" s="459" t="str">
        <f>IF(Y66="","",":")</f>
        <v/>
      </c>
      <c r="AA66" s="460"/>
      <c r="AB66" s="458"/>
      <c r="AC66" s="459" t="str">
        <f>IF(AB66="","",":")</f>
        <v/>
      </c>
      <c r="AD66" s="460"/>
      <c r="AE66" s="1186"/>
      <c r="AF66" s="1187"/>
      <c r="AG66" s="1176"/>
      <c r="AH66" s="1174"/>
    </row>
    <row r="67" spans="1:34" ht="12" customHeight="1" x14ac:dyDescent="0.2">
      <c r="A67" s="1163">
        <v>2</v>
      </c>
      <c r="B67" s="1165">
        <f>жеребьевка!Q50</f>
        <v>22</v>
      </c>
      <c r="C67" s="456" t="str">
        <f>IF(B67="","",VLOOKUP(B67,'Списки участников'!A:I,3,FALSE))</f>
        <v>СТАРОСТИН Максим</v>
      </c>
      <c r="D67" s="1177">
        <f>IF(G65="","",IF(G66="W",0,IF(G65=2,1,IF(G65=1,2,IF(G65=0,2)))))</f>
        <v>2</v>
      </c>
      <c r="E67" s="1178"/>
      <c r="F67" s="1179"/>
      <c r="G67" s="1180"/>
      <c r="H67" s="1181"/>
      <c r="I67" s="1182"/>
      <c r="J67" s="1171">
        <v>1</v>
      </c>
      <c r="K67" s="1172"/>
      <c r="L67" s="1173"/>
      <c r="M67" s="1171">
        <v>2</v>
      </c>
      <c r="N67" s="1172"/>
      <c r="O67" s="1173"/>
      <c r="P67" s="1171">
        <v>2</v>
      </c>
      <c r="Q67" s="1172"/>
      <c r="R67" s="1173"/>
      <c r="S67" s="1171">
        <v>2</v>
      </c>
      <c r="T67" s="1172"/>
      <c r="U67" s="1173"/>
      <c r="V67" s="1171">
        <v>2</v>
      </c>
      <c r="W67" s="1172"/>
      <c r="X67" s="1173"/>
      <c r="Y67" s="1171"/>
      <c r="Z67" s="1172"/>
      <c r="AA67" s="1173"/>
      <c r="AB67" s="1171"/>
      <c r="AC67" s="1172"/>
      <c r="AD67" s="1173"/>
      <c r="AE67" s="1184">
        <f>IF(B67="","",SUM(D67,J67,M67,P67,S67,V67,Y67,AB67,))</f>
        <v>11</v>
      </c>
      <c r="AF67" s="1185"/>
      <c r="AG67" s="1175" t="s">
        <v>12177</v>
      </c>
      <c r="AH67" s="1174">
        <v>2</v>
      </c>
    </row>
    <row r="68" spans="1:34" ht="12" customHeight="1" x14ac:dyDescent="0.2">
      <c r="A68" s="1164"/>
      <c r="B68" s="1166"/>
      <c r="C68" s="457" t="str">
        <f>IF(B67="","",VLOOKUP(B67,'Списки участников'!A:I,6,FALSE))</f>
        <v>Екатеринбург</v>
      </c>
      <c r="D68" s="461">
        <f>IF(G66="","",IF(I66="l","W",I66))</f>
        <v>2</v>
      </c>
      <c r="E68" s="462" t="str">
        <f>IF(G65="","",":")</f>
        <v>:</v>
      </c>
      <c r="F68" s="463">
        <f>IF(I66="","",IF(G66="W","L",G66))</f>
        <v>1</v>
      </c>
      <c r="G68" s="1183"/>
      <c r="H68" s="1169"/>
      <c r="I68" s="1170"/>
      <c r="J68" s="458">
        <v>1</v>
      </c>
      <c r="K68" s="459" t="str">
        <f>IF(J67="","",":")</f>
        <v>:</v>
      </c>
      <c r="L68" s="460">
        <v>2</v>
      </c>
      <c r="M68" s="458">
        <v>2</v>
      </c>
      <c r="N68" s="459" t="str">
        <f>IF(M67="","",":")</f>
        <v>:</v>
      </c>
      <c r="O68" s="460">
        <v>0</v>
      </c>
      <c r="P68" s="458">
        <v>2</v>
      </c>
      <c r="Q68" s="459" t="str">
        <f>IF(P67="","",":")</f>
        <v>:</v>
      </c>
      <c r="R68" s="460">
        <v>0</v>
      </c>
      <c r="S68" s="458">
        <v>2</v>
      </c>
      <c r="T68" s="459" t="str">
        <f>IF(S68="","",":")</f>
        <v>:</v>
      </c>
      <c r="U68" s="460">
        <v>0</v>
      </c>
      <c r="V68" s="458">
        <v>2</v>
      </c>
      <c r="W68" s="459" t="str">
        <f>IF(V68="","",":")</f>
        <v>:</v>
      </c>
      <c r="X68" s="460">
        <v>0</v>
      </c>
      <c r="Y68" s="458"/>
      <c r="Z68" s="459" t="str">
        <f>IF(Y68="","",":")</f>
        <v/>
      </c>
      <c r="AA68" s="460"/>
      <c r="AB68" s="458"/>
      <c r="AC68" s="459" t="str">
        <f>IF(AB68="","",":")</f>
        <v/>
      </c>
      <c r="AD68" s="460"/>
      <c r="AE68" s="1186"/>
      <c r="AF68" s="1187"/>
      <c r="AG68" s="1176"/>
      <c r="AH68" s="1174"/>
    </row>
    <row r="69" spans="1:34" ht="12" customHeight="1" x14ac:dyDescent="0.2">
      <c r="A69" s="1163">
        <v>3</v>
      </c>
      <c r="B69" s="1165">
        <f>жеребьевка!Q52</f>
        <v>16</v>
      </c>
      <c r="C69" s="456" t="str">
        <f>IF(B69="","",VLOOKUP(B69,'Списки участников'!A:I,3,FALSE))</f>
        <v>ТИХОНОВ Евгений</v>
      </c>
      <c r="D69" s="1177">
        <f>IF(J65="","",IF(J66="W",0,IF(J65=2,1,IF(J65=1,2,IF(J65=0,2)))))</f>
        <v>1</v>
      </c>
      <c r="E69" s="1178"/>
      <c r="F69" s="1179"/>
      <c r="G69" s="1171">
        <f>IF(J67="","",IF(J68="W",0,IF(J67=2,1,IF(J67=1,2,IF(J67=0,2)))))</f>
        <v>2</v>
      </c>
      <c r="H69" s="1172"/>
      <c r="I69" s="1173"/>
      <c r="J69" s="1180"/>
      <c r="K69" s="1181"/>
      <c r="L69" s="1182"/>
      <c r="M69" s="1171">
        <v>2</v>
      </c>
      <c r="N69" s="1172"/>
      <c r="O69" s="1173"/>
      <c r="P69" s="1171">
        <v>2</v>
      </c>
      <c r="Q69" s="1172"/>
      <c r="R69" s="1173"/>
      <c r="S69" s="1171">
        <v>2</v>
      </c>
      <c r="T69" s="1172"/>
      <c r="U69" s="1173"/>
      <c r="V69" s="1171">
        <v>2</v>
      </c>
      <c r="W69" s="1172"/>
      <c r="X69" s="1173"/>
      <c r="Y69" s="1171"/>
      <c r="Z69" s="1172"/>
      <c r="AA69" s="1173"/>
      <c r="AB69" s="1171"/>
      <c r="AC69" s="1172"/>
      <c r="AD69" s="1173"/>
      <c r="AE69" s="1184">
        <f>IF(B69="","",SUM(G69,D69,M69,P69,S69,V69,Y69,AB69,))</f>
        <v>11</v>
      </c>
      <c r="AF69" s="1185"/>
      <c r="AG69" s="1188" t="s">
        <v>12178</v>
      </c>
      <c r="AH69" s="1174">
        <v>3</v>
      </c>
    </row>
    <row r="70" spans="1:34" ht="12" customHeight="1" x14ac:dyDescent="0.2">
      <c r="A70" s="1164"/>
      <c r="B70" s="1166"/>
      <c r="C70" s="457" t="str">
        <f>IF(B69="","",VLOOKUP(B69,'Списки участников'!A:I,6,FALSE))</f>
        <v>Москва</v>
      </c>
      <c r="D70" s="464">
        <f>IF(J66="","",IF(L66="l","W",L66))</f>
        <v>1</v>
      </c>
      <c r="E70" s="459" t="str">
        <f>IF(K66="","",":")</f>
        <v>:</v>
      </c>
      <c r="F70" s="465">
        <f>IF(L66="","",IF(J66="W","L",J66))</f>
        <v>2</v>
      </c>
      <c r="G70" s="464">
        <f>IF(J68="","",IF(L68="l","W",L68))</f>
        <v>2</v>
      </c>
      <c r="H70" s="459" t="str">
        <f>IF(K68="","",":")</f>
        <v>:</v>
      </c>
      <c r="I70" s="465">
        <f>IF(L68="","",IF(J68="W","L",J68))</f>
        <v>1</v>
      </c>
      <c r="J70" s="1183"/>
      <c r="K70" s="1169"/>
      <c r="L70" s="1170"/>
      <c r="M70" s="458">
        <v>2</v>
      </c>
      <c r="N70" s="459" t="str">
        <f>IF(M69="","",":")</f>
        <v>:</v>
      </c>
      <c r="O70" s="460">
        <v>1</v>
      </c>
      <c r="P70" s="458">
        <v>2</v>
      </c>
      <c r="Q70" s="459" t="str">
        <f>IF(P69="","",":")</f>
        <v>:</v>
      </c>
      <c r="R70" s="460">
        <v>0</v>
      </c>
      <c r="S70" s="458">
        <v>2</v>
      </c>
      <c r="T70" s="459" t="str">
        <f>IF(S69="","",":")</f>
        <v>:</v>
      </c>
      <c r="U70" s="460">
        <v>0</v>
      </c>
      <c r="V70" s="458">
        <v>2</v>
      </c>
      <c r="W70" s="459" t="str">
        <f>IF(V70="","",":")</f>
        <v>:</v>
      </c>
      <c r="X70" s="460">
        <v>0</v>
      </c>
      <c r="Y70" s="458"/>
      <c r="Z70" s="459" t="str">
        <f>IF(Y70="","",":")</f>
        <v/>
      </c>
      <c r="AA70" s="460"/>
      <c r="AB70" s="458"/>
      <c r="AC70" s="459" t="str">
        <f>IF(AB70="","",":")</f>
        <v/>
      </c>
      <c r="AD70" s="460"/>
      <c r="AE70" s="1186"/>
      <c r="AF70" s="1187"/>
      <c r="AG70" s="1189"/>
      <c r="AH70" s="1174"/>
    </row>
    <row r="71" spans="1:34" ht="12" customHeight="1" x14ac:dyDescent="0.2">
      <c r="A71" s="1163">
        <v>4</v>
      </c>
      <c r="B71" s="1165">
        <f>жеребьевка!Q54</f>
        <v>46</v>
      </c>
      <c r="C71" s="456" t="str">
        <f>IF(B71="","",VLOOKUP(B71,'Списки участников'!A:I,3,FALSE))</f>
        <v>ВОЛЫНКИН Александр</v>
      </c>
      <c r="D71" s="1171">
        <f>IF(M65="","",IF(M66="W",0,IF(M65=2,1,IF(M65=1,2,IF(M65=0,2)))))</f>
        <v>1</v>
      </c>
      <c r="E71" s="1172"/>
      <c r="F71" s="1173"/>
      <c r="G71" s="1171">
        <f>IF(M67="","",IF(M68="W",0,IF(M67=2,1,IF(M67=1,2,IF(M67=0,2)))))</f>
        <v>1</v>
      </c>
      <c r="H71" s="1172"/>
      <c r="I71" s="1173"/>
      <c r="J71" s="1171">
        <f>IF(M69="","",IF(M70="W",0,IF(M69=2,1,IF(M69=1,2,IF(M69=0,2)))))</f>
        <v>1</v>
      </c>
      <c r="K71" s="1172"/>
      <c r="L71" s="1173"/>
      <c r="M71" s="1181"/>
      <c r="N71" s="1181"/>
      <c r="O71" s="1181"/>
      <c r="P71" s="1171">
        <v>2</v>
      </c>
      <c r="Q71" s="1172"/>
      <c r="R71" s="1173"/>
      <c r="S71" s="1171">
        <v>2</v>
      </c>
      <c r="T71" s="1172"/>
      <c r="U71" s="1173"/>
      <c r="V71" s="1171">
        <v>2</v>
      </c>
      <c r="W71" s="1172"/>
      <c r="X71" s="1173"/>
      <c r="Y71" s="1171"/>
      <c r="Z71" s="1172"/>
      <c r="AA71" s="1173"/>
      <c r="AB71" s="1171"/>
      <c r="AC71" s="1172"/>
      <c r="AD71" s="1173"/>
      <c r="AE71" s="1184">
        <f>IF(B71="","",SUM(G71,J71,D71,P71,S71,V71,Y71,AB71,))</f>
        <v>9</v>
      </c>
      <c r="AF71" s="1185"/>
      <c r="AG71" s="1188"/>
      <c r="AH71" s="1174">
        <f>IF(B71="","",RANK(AE71,ГР12О))</f>
        <v>4</v>
      </c>
    </row>
    <row r="72" spans="1:34" ht="12" customHeight="1" x14ac:dyDescent="0.2">
      <c r="A72" s="1164"/>
      <c r="B72" s="1166"/>
      <c r="C72" s="457" t="str">
        <f>IF(B71="","",VLOOKUP(B71,'Списки участников'!A:I,6,FALSE))</f>
        <v>Барнаул</v>
      </c>
      <c r="D72" s="464">
        <f>IF(M66="","",IF(O66="l","W",O66))</f>
        <v>0</v>
      </c>
      <c r="E72" s="459" t="str">
        <f>IF(N66="","",":")</f>
        <v>:</v>
      </c>
      <c r="F72" s="465">
        <f>IF(O66="","",IF(M66="W","L",M66))</f>
        <v>2</v>
      </c>
      <c r="G72" s="464">
        <f>IF(M68="","",IF(O68="l","W",O68))</f>
        <v>0</v>
      </c>
      <c r="H72" s="459" t="str">
        <f>IF(N68="","",":")</f>
        <v>:</v>
      </c>
      <c r="I72" s="465">
        <f>IF(O68="","",IF(M68="W","L",M68))</f>
        <v>2</v>
      </c>
      <c r="J72" s="464">
        <f>IF(M70="","",IF(O70="l","W",O70))</f>
        <v>1</v>
      </c>
      <c r="K72" s="459" t="str">
        <f>IF(N70="","",":")</f>
        <v>:</v>
      </c>
      <c r="L72" s="465">
        <f>IF(O70="","",IF(M70="W","L",M70))</f>
        <v>2</v>
      </c>
      <c r="M72" s="1190"/>
      <c r="N72" s="1190"/>
      <c r="O72" s="1190"/>
      <c r="P72" s="458">
        <v>2</v>
      </c>
      <c r="Q72" s="459" t="str">
        <f>IF(P71="","",":")</f>
        <v>:</v>
      </c>
      <c r="R72" s="460">
        <v>0</v>
      </c>
      <c r="S72" s="458">
        <v>2</v>
      </c>
      <c r="T72" s="459" t="str">
        <f>IF(S71="","",":")</f>
        <v>:</v>
      </c>
      <c r="U72" s="460">
        <v>1</v>
      </c>
      <c r="V72" s="458">
        <v>2</v>
      </c>
      <c r="W72" s="459" t="str">
        <f>IF(V71="","",":")</f>
        <v>:</v>
      </c>
      <c r="X72" s="460">
        <v>0</v>
      </c>
      <c r="Y72" s="458"/>
      <c r="Z72" s="459" t="str">
        <f>IF(Y72="","",":")</f>
        <v/>
      </c>
      <c r="AA72" s="460"/>
      <c r="AB72" s="458"/>
      <c r="AC72" s="459" t="str">
        <f>IF(AB72="","",":")</f>
        <v/>
      </c>
      <c r="AD72" s="460"/>
      <c r="AE72" s="1186"/>
      <c r="AF72" s="1187"/>
      <c r="AG72" s="1189"/>
      <c r="AH72" s="1174"/>
    </row>
    <row r="73" spans="1:34" ht="12" customHeight="1" x14ac:dyDescent="0.2">
      <c r="A73" s="1163">
        <v>5</v>
      </c>
      <c r="B73" s="1165">
        <f>жеребьевка!Q56</f>
        <v>83</v>
      </c>
      <c r="C73" s="456" t="str">
        <f>IF(B73="","",VLOOKUP(B73,'Списки участников'!A:I,3,FALSE))</f>
        <v>ШКРЕД Илья</v>
      </c>
      <c r="D73" s="1171">
        <f>IF(P65="","",IF(P66="W",0,IF(P65=2,1,IF(P65=1,2,IF(P65=0,2)))))</f>
        <v>1</v>
      </c>
      <c r="E73" s="1172"/>
      <c r="F73" s="1173"/>
      <c r="G73" s="1171">
        <f>IF(P67="","",IF(P68="W",0,IF(P67=2,1,IF(P67=1,2,IF(P67=0,2)))))</f>
        <v>1</v>
      </c>
      <c r="H73" s="1172"/>
      <c r="I73" s="1173"/>
      <c r="J73" s="1171">
        <f>IF(P69="","",IF(P70="W",0,IF(P69=2,1,IF(P69=1,2,IF(P69=0,2)))))</f>
        <v>1</v>
      </c>
      <c r="K73" s="1172"/>
      <c r="L73" s="1173"/>
      <c r="M73" s="1171">
        <f>IF(P71="","",IF(P72="W",0,IF(P71=2,1,IF(P71=1,2,IF(P71=0,2)))))</f>
        <v>1</v>
      </c>
      <c r="N73" s="1172"/>
      <c r="O73" s="1173"/>
      <c r="P73" s="1180"/>
      <c r="Q73" s="1181"/>
      <c r="R73" s="1182"/>
      <c r="S73" s="1171">
        <v>1</v>
      </c>
      <c r="T73" s="1172"/>
      <c r="U73" s="1173"/>
      <c r="V73" s="1171">
        <v>1</v>
      </c>
      <c r="W73" s="1172"/>
      <c r="X73" s="1173"/>
      <c r="Y73" s="1171"/>
      <c r="Z73" s="1172"/>
      <c r="AA73" s="1173"/>
      <c r="AB73" s="1171"/>
      <c r="AC73" s="1172"/>
      <c r="AD73" s="1173"/>
      <c r="AE73" s="1184">
        <f>IF(B73="","",SUM(G73,J73,M73,D73,S73,V73,Y73,AB73,))</f>
        <v>6</v>
      </c>
      <c r="AF73" s="1185"/>
      <c r="AG73" s="1188"/>
      <c r="AH73" s="1174">
        <f>IF(B73="","",RANK(AE73,ГР12О))</f>
        <v>6</v>
      </c>
    </row>
    <row r="74" spans="1:34" ht="12" customHeight="1" x14ac:dyDescent="0.2">
      <c r="A74" s="1164"/>
      <c r="B74" s="1166"/>
      <c r="C74" s="457" t="str">
        <f>IF(B73="","",VLOOKUP(B73,'Списки участников'!A:I,6,FALSE))</f>
        <v>Дрезна  Мос.обл.</v>
      </c>
      <c r="D74" s="464">
        <f>IF(P66="","",IF(R66="l","W",R66))</f>
        <v>0</v>
      </c>
      <c r="E74" s="459" t="str">
        <f>IF(Q66="","",":")</f>
        <v>:</v>
      </c>
      <c r="F74" s="465">
        <f>IF(R66="","",IF(P66="W","L",P66))</f>
        <v>2</v>
      </c>
      <c r="G74" s="464">
        <f>IF(P68="","",IF(R68="l","W",R68))</f>
        <v>0</v>
      </c>
      <c r="H74" s="459" t="str">
        <f>IF(Q68="","",":")</f>
        <v>:</v>
      </c>
      <c r="I74" s="465">
        <f>IF(R68="","",IF(P68="W","L",P68))</f>
        <v>2</v>
      </c>
      <c r="J74" s="464">
        <f>IF(P70="","",IF(R70="l","W",R70))</f>
        <v>0</v>
      </c>
      <c r="K74" s="459" t="str">
        <f>IF(Q70="","",":")</f>
        <v>:</v>
      </c>
      <c r="L74" s="465">
        <f>IF(R70="","",IF(P70="W","L",P70))</f>
        <v>2</v>
      </c>
      <c r="M74" s="464">
        <f>IF(P72="","",IF(R72="l","W",R72))</f>
        <v>0</v>
      </c>
      <c r="N74" s="459" t="str">
        <f>IF(Q72="","",":")</f>
        <v>:</v>
      </c>
      <c r="O74" s="465">
        <f>IF(R72="","",IF(P72="W","L",P72))</f>
        <v>2</v>
      </c>
      <c r="P74" s="1183"/>
      <c r="Q74" s="1169"/>
      <c r="R74" s="1170"/>
      <c r="S74" s="458">
        <v>0</v>
      </c>
      <c r="T74" s="459" t="str">
        <f>IF(S73="","",":")</f>
        <v>:</v>
      </c>
      <c r="U74" s="460">
        <v>2</v>
      </c>
      <c r="V74" s="458">
        <v>0</v>
      </c>
      <c r="W74" s="459" t="str">
        <f>IF(V73="","",":")</f>
        <v>:</v>
      </c>
      <c r="X74" s="460">
        <v>2</v>
      </c>
      <c r="Y74" s="458"/>
      <c r="Z74" s="459" t="str">
        <f>IF(Y73="","",":")</f>
        <v/>
      </c>
      <c r="AA74" s="460"/>
      <c r="AB74" s="458"/>
      <c r="AC74" s="459" t="str">
        <f>IF(AB74="","",":")</f>
        <v/>
      </c>
      <c r="AD74" s="460"/>
      <c r="AE74" s="1186"/>
      <c r="AF74" s="1187"/>
      <c r="AG74" s="1189"/>
      <c r="AH74" s="1174"/>
    </row>
    <row r="75" spans="1:34" ht="12" customHeight="1" x14ac:dyDescent="0.2">
      <c r="A75" s="1163">
        <v>6</v>
      </c>
      <c r="B75" s="1165">
        <f>жеребьевка!Q58</f>
        <v>81</v>
      </c>
      <c r="C75" s="456" t="str">
        <f>IF(B75="","",VLOOKUP(B75,'Списки участников'!A:I,3,FALSE))</f>
        <v>ОСТАШОВ Артем</v>
      </c>
      <c r="D75" s="1171">
        <f>IF(S65="","",IF(S66="W",0,IF(S65=2,1,IF(S65=1,2,IF(S65=0,2)))))</f>
        <v>1</v>
      </c>
      <c r="E75" s="1172"/>
      <c r="F75" s="1173"/>
      <c r="G75" s="1171">
        <f>IF(S67="","",IF(S68="W",0,IF(S67=2,1,IF(S67=1,2,IF(S67=0,2)))))</f>
        <v>1</v>
      </c>
      <c r="H75" s="1172"/>
      <c r="I75" s="1173"/>
      <c r="J75" s="1171">
        <f>IF(S69="","",IF(S70="W",0,IF(S69=2,1,IF(S69=1,2,IF(S69=0,2)))))</f>
        <v>1</v>
      </c>
      <c r="K75" s="1172"/>
      <c r="L75" s="1173"/>
      <c r="M75" s="1171">
        <f>IF(S71="","",IF(S72="W",0,IF(S71=2,1,IF(S71=1,2,IF(S71=0,2)))))</f>
        <v>1</v>
      </c>
      <c r="N75" s="1172"/>
      <c r="O75" s="1173"/>
      <c r="P75" s="1171">
        <f>IF(S73="","",IF(S74="W",0,IF(S73=2,1,IF(S73=1,2,IF(S73=0,2)))))</f>
        <v>2</v>
      </c>
      <c r="Q75" s="1172"/>
      <c r="R75" s="1173"/>
      <c r="S75" s="1180"/>
      <c r="T75" s="1181"/>
      <c r="U75" s="1182"/>
      <c r="V75" s="1171">
        <v>2</v>
      </c>
      <c r="W75" s="1172"/>
      <c r="X75" s="1173"/>
      <c r="Y75" s="1171"/>
      <c r="Z75" s="1172"/>
      <c r="AA75" s="1173"/>
      <c r="AB75" s="1171"/>
      <c r="AC75" s="1172"/>
      <c r="AD75" s="1173"/>
      <c r="AE75" s="1184">
        <f>IF(B75="","",SUM(G75,J75,M75,P75,D75,V75,Y75,AB75,))</f>
        <v>8</v>
      </c>
      <c r="AF75" s="1185"/>
      <c r="AG75" s="1188"/>
      <c r="AH75" s="1174">
        <f>IF(B75="","",RANK(AE75,ГР12О))</f>
        <v>5</v>
      </c>
    </row>
    <row r="76" spans="1:34" ht="12" customHeight="1" x14ac:dyDescent="0.2">
      <c r="A76" s="1164"/>
      <c r="B76" s="1166"/>
      <c r="C76" s="457" t="str">
        <f>IF(B75="","",VLOOKUP(B75,'Списки участников'!A:I,6,FALSE))</f>
        <v>Москва</v>
      </c>
      <c r="D76" s="464">
        <f>IF(S66="","",IF(U66="l","W",U66))</f>
        <v>0</v>
      </c>
      <c r="E76" s="459" t="str">
        <f>IF(T66="","",":")</f>
        <v>:</v>
      </c>
      <c r="F76" s="465">
        <f>IF(U66="","",IF(S66="W","L",S66))</f>
        <v>2</v>
      </c>
      <c r="G76" s="464">
        <f>IF(S68="","",IF(U68="l","W",U68))</f>
        <v>0</v>
      </c>
      <c r="H76" s="459" t="str">
        <f>IF(Q68="","",":")</f>
        <v>:</v>
      </c>
      <c r="I76" s="465">
        <f>IF(U68="","",IF(S68="W","L",S68))</f>
        <v>2</v>
      </c>
      <c r="J76" s="464">
        <f>IF(S70="","",IF(U70="l","W",U70))</f>
        <v>0</v>
      </c>
      <c r="K76" s="459" t="str">
        <f>IF(T70="","",":")</f>
        <v>:</v>
      </c>
      <c r="L76" s="465">
        <f>IF(U70="","",IF(S70="W","L",S70))</f>
        <v>2</v>
      </c>
      <c r="M76" s="464">
        <f>IF(S72="","",IF(U72="l","W",U72))</f>
        <v>1</v>
      </c>
      <c r="N76" s="459" t="str">
        <f>IF(T72="","",":")</f>
        <v>:</v>
      </c>
      <c r="O76" s="465">
        <f>IF(U72="","",IF(S72="W","L",S72))</f>
        <v>2</v>
      </c>
      <c r="P76" s="464">
        <f>IF(S74="","",IF(U74="l","W",U74))</f>
        <v>2</v>
      </c>
      <c r="Q76" s="459" t="str">
        <f>IF(T74="","",":")</f>
        <v>:</v>
      </c>
      <c r="R76" s="465">
        <f>IF(U74="","",IF(S74="W","L",S74))</f>
        <v>0</v>
      </c>
      <c r="S76" s="1183"/>
      <c r="T76" s="1169"/>
      <c r="U76" s="1170"/>
      <c r="V76" s="998" t="s">
        <v>12171</v>
      </c>
      <c r="W76" s="459" t="str">
        <f>IF(V75="","",":")</f>
        <v>:</v>
      </c>
      <c r="X76" s="999" t="s">
        <v>12172</v>
      </c>
      <c r="Y76" s="458"/>
      <c r="Z76" s="459" t="str">
        <f>IF(Y75="","",":")</f>
        <v/>
      </c>
      <c r="AA76" s="460"/>
      <c r="AB76" s="458"/>
      <c r="AC76" s="459" t="str">
        <f>IF(AB75="","",":")</f>
        <v/>
      </c>
      <c r="AD76" s="460"/>
      <c r="AE76" s="1186"/>
      <c r="AF76" s="1187"/>
      <c r="AG76" s="1189"/>
      <c r="AH76" s="1174"/>
    </row>
    <row r="77" spans="1:34" ht="12" customHeight="1" x14ac:dyDescent="0.2">
      <c r="A77" s="1163">
        <v>7</v>
      </c>
      <c r="B77" s="1165">
        <f>жеребьевка!Q60</f>
        <v>100</v>
      </c>
      <c r="C77" s="456" t="str">
        <f>IF(B77="","",VLOOKUP(B77,'Списки участников'!A:I,3,FALSE))</f>
        <v>ЕЛИСЕЕВ Илья</v>
      </c>
      <c r="D77" s="1171">
        <f>IF(V65="","",IF(V66="W",0,IF(V65=2,1,IF(V65=1,2,IF(V65=0,2)))))</f>
        <v>0</v>
      </c>
      <c r="E77" s="1172"/>
      <c r="F77" s="1173"/>
      <c r="G77" s="1171">
        <f>IF(V67="","",IF(V68="W",0,IF(V67=2,1,IF(V67=1,2,IF(V67=0,2)))))</f>
        <v>1</v>
      </c>
      <c r="H77" s="1172"/>
      <c r="I77" s="1173"/>
      <c r="J77" s="1171">
        <f>IF(V69="","",IF(V70="W",0,IF(V69=2,1,IF(V69=1,2,IF(V69=0,2)))))</f>
        <v>1</v>
      </c>
      <c r="K77" s="1172"/>
      <c r="L77" s="1173"/>
      <c r="M77" s="1171">
        <f>IF(V71="","",IF(V72="W",0,IF(V71=2,1,IF(V71=1,2,IF(V71=0,2)))))</f>
        <v>1</v>
      </c>
      <c r="N77" s="1172"/>
      <c r="O77" s="1173"/>
      <c r="P77" s="1171">
        <f>IF(V73="","",IF(V74="W",0,IF(V73=2,1,IF(V73=1,2,IF(V73=0,2)))))</f>
        <v>2</v>
      </c>
      <c r="Q77" s="1172"/>
      <c r="R77" s="1173"/>
      <c r="S77" s="1171">
        <f>IF(V75="","",IF(V76="W",0,IF(V75=2,1,IF(V75=1,2,IF(V75=0,2)))))</f>
        <v>0</v>
      </c>
      <c r="T77" s="1172"/>
      <c r="U77" s="1173"/>
      <c r="V77" s="1191"/>
      <c r="W77" s="1167"/>
      <c r="X77" s="1168"/>
      <c r="Y77" s="1171"/>
      <c r="Z77" s="1172"/>
      <c r="AA77" s="1173"/>
      <c r="AB77" s="1171"/>
      <c r="AC77" s="1172"/>
      <c r="AD77" s="1173"/>
      <c r="AE77" s="1184">
        <f>IF(B77="","",SUM(G77,J77,M77,P77,S77,D77,Y77,AB77,))</f>
        <v>5</v>
      </c>
      <c r="AF77" s="1185"/>
      <c r="AG77" s="1188"/>
      <c r="AH77" s="1174">
        <f>IF(B77="","",RANK(AE77,ГР12О))</f>
        <v>7</v>
      </c>
    </row>
    <row r="78" spans="1:34" ht="12" customHeight="1" x14ac:dyDescent="0.2">
      <c r="A78" s="1164"/>
      <c r="B78" s="1166"/>
      <c r="C78" s="457" t="str">
        <f>IF(B77="","",VLOOKUP(B77,'Списки участников'!A:I,6,FALSE))</f>
        <v>Москва</v>
      </c>
      <c r="D78" s="464" t="str">
        <f>IF(V66="","",IF(X66="l","W",X66))</f>
        <v>W</v>
      </c>
      <c r="E78" s="459" t="str">
        <f>IF(W66="","",":")</f>
        <v>:</v>
      </c>
      <c r="F78" s="465" t="str">
        <f>IF(X66="","",IF(V66="W","L",V66))</f>
        <v>L</v>
      </c>
      <c r="G78" s="464">
        <f>IF(V68="","",IF(X68="l","W",X68))</f>
        <v>0</v>
      </c>
      <c r="H78" s="459" t="str">
        <f>IF(W68="","",":")</f>
        <v>:</v>
      </c>
      <c r="I78" s="465">
        <f>IF(X68="","",IF(V68="W","L",V68))</f>
        <v>2</v>
      </c>
      <c r="J78" s="464">
        <f>IF(V70="","",IF(X70="l","W",X70))</f>
        <v>0</v>
      </c>
      <c r="K78" s="459" t="str">
        <f>IF(W70="","",":")</f>
        <v>:</v>
      </c>
      <c r="L78" s="465">
        <f>IF(X70="","",IF(V70="W","L",V70))</f>
        <v>2</v>
      </c>
      <c r="M78" s="464">
        <f>IF(V72="","",IF(X72="l","W",X72))</f>
        <v>0</v>
      </c>
      <c r="N78" s="459" t="str">
        <f>IF(W72="","",":")</f>
        <v>:</v>
      </c>
      <c r="O78" s="465">
        <f>IF(X72="","",IF(V72="W","L",V72))</f>
        <v>2</v>
      </c>
      <c r="P78" s="464">
        <f>IF(V74="","",IF(X74="l","W",X74))</f>
        <v>2</v>
      </c>
      <c r="Q78" s="459" t="str">
        <f>IF(W74="","",":")</f>
        <v>:</v>
      </c>
      <c r="R78" s="465">
        <f>IF(X74="","",IF(V74="W","L",V74))</f>
        <v>0</v>
      </c>
      <c r="S78" s="464" t="str">
        <f>IF(V76="","",IF(X76="l","W",X76))</f>
        <v>W</v>
      </c>
      <c r="T78" s="459" t="str">
        <f>IF(W76="","",":")</f>
        <v>:</v>
      </c>
      <c r="U78" s="465" t="str">
        <f>IF(X76="","",IF(V76="W","L",V76))</f>
        <v>L</v>
      </c>
      <c r="V78" s="1183"/>
      <c r="W78" s="1169"/>
      <c r="X78" s="1170"/>
      <c r="Y78" s="458"/>
      <c r="Z78" s="459" t="str">
        <f>IF(Y77="","",":")</f>
        <v/>
      </c>
      <c r="AA78" s="460"/>
      <c r="AB78" s="458"/>
      <c r="AC78" s="459" t="str">
        <f>IF(AB77="","",":")</f>
        <v/>
      </c>
      <c r="AD78" s="460"/>
      <c r="AE78" s="1186"/>
      <c r="AF78" s="1187"/>
      <c r="AG78" s="1189"/>
      <c r="AH78" s="1174"/>
    </row>
    <row r="79" spans="1:34" ht="12" customHeight="1" x14ac:dyDescent="0.2">
      <c r="A79" s="1163">
        <v>8</v>
      </c>
      <c r="B79" s="1165"/>
      <c r="C79" s="456" t="str">
        <f>IF(B79="","",VLOOKUP(B79,'Списки участников'!A:I,3,FALSE))</f>
        <v/>
      </c>
      <c r="D79" s="1171" t="str">
        <f>IF(Y65="","",IF(Y66="W",0,IF(Y65=2,1,IF(Y65=1,2,IF(Y65=0,2)))))</f>
        <v/>
      </c>
      <c r="E79" s="1172"/>
      <c r="F79" s="1173"/>
      <c r="G79" s="1171" t="str">
        <f>IF(Y67="","",IF(Y68="W",0,IF(Y67=2,1,IF(Y67=1,2,IF(Y67=0,2)))))</f>
        <v/>
      </c>
      <c r="H79" s="1172"/>
      <c r="I79" s="1173"/>
      <c r="J79" s="1171" t="str">
        <f>IF(Y69="","",IF(Y70="W",0,IF(Y69=2,1,IF(Y69=1,2,IF(Y69=0,2)))))</f>
        <v/>
      </c>
      <c r="K79" s="1172"/>
      <c r="L79" s="1173"/>
      <c r="M79" s="1171" t="str">
        <f>IF(Y71="","",IF(Y72="W",0,IF(Y71=2,1,IF(Y71=1,2,IF(Y71=0,2)))))</f>
        <v/>
      </c>
      <c r="N79" s="1172"/>
      <c r="O79" s="1173"/>
      <c r="P79" s="1171" t="str">
        <f>IF(Y73="","",IF(Y74="W",0,IF(Y73=2,1,IF(Y73=1,2,IF(Y73=0,2)))))</f>
        <v/>
      </c>
      <c r="Q79" s="1172"/>
      <c r="R79" s="1173"/>
      <c r="S79" s="1171" t="str">
        <f>IF(Y75="","",IF(Y76="W",0,IF(Y75=2,1,IF(Y75=1,2,IF(Y75=0,2)))))</f>
        <v/>
      </c>
      <c r="T79" s="1172"/>
      <c r="U79" s="1173"/>
      <c r="V79" s="1171" t="str">
        <f>IF(Y77="","",IF(Y78="W",0,IF(Y77=2,1,IF(Y77=1,2,IF(Y77=0,2)))))</f>
        <v/>
      </c>
      <c r="W79" s="1172"/>
      <c r="X79" s="1173"/>
      <c r="Y79" s="1180"/>
      <c r="Z79" s="1181"/>
      <c r="AA79" s="1182"/>
      <c r="AB79" s="1171"/>
      <c r="AC79" s="1172"/>
      <c r="AD79" s="1173"/>
      <c r="AE79" s="1184" t="str">
        <f>IF(B79="","",SUM(G79,J79,M79,P79,S79,V79,D79,AB79,))</f>
        <v/>
      </c>
      <c r="AF79" s="1185"/>
      <c r="AG79" s="1188"/>
      <c r="AH79" s="1174" t="str">
        <f>IF(B79="","",RANK(AE79,ГР12О))</f>
        <v/>
      </c>
    </row>
    <row r="80" spans="1:34" ht="12" customHeight="1" x14ac:dyDescent="0.2">
      <c r="A80" s="1164"/>
      <c r="B80" s="1166"/>
      <c r="C80" s="457" t="str">
        <f>IF(B79="","",VLOOKUP(B79,'Списки участников'!A:I,6,FALSE))</f>
        <v/>
      </c>
      <c r="D80" s="464" t="str">
        <f>IF(Y66="","",IF(AA66="l","W",AA66))</f>
        <v/>
      </c>
      <c r="E80" s="459" t="str">
        <f>IF(Z66="","",":")</f>
        <v/>
      </c>
      <c r="F80" s="465" t="str">
        <f>IF(AA66="","",IF(Y66="W","L",Y66))</f>
        <v/>
      </c>
      <c r="G80" s="464" t="str">
        <f>IF(Y68="","",IF(AA68="l","W",AA68))</f>
        <v/>
      </c>
      <c r="H80" s="459" t="str">
        <f>IF(Z68="","",":")</f>
        <v/>
      </c>
      <c r="I80" s="465" t="str">
        <f>IF(AA68="","",IF(Y68="W","L",Y68))</f>
        <v/>
      </c>
      <c r="J80" s="464" t="str">
        <f>IF(Y70="","",IF(AA70="l","W",AA70))</f>
        <v/>
      </c>
      <c r="K80" s="459" t="str">
        <f>IF(Z70="","",":")</f>
        <v/>
      </c>
      <c r="L80" s="465" t="str">
        <f>IF(AA70="","",IF(Y70="W","L",Y70))</f>
        <v/>
      </c>
      <c r="M80" s="464" t="str">
        <f>IF(Y72="","",IF(AA72="l","W",AA72))</f>
        <v/>
      </c>
      <c r="N80" s="459" t="str">
        <f>IF(Z72="","",":")</f>
        <v/>
      </c>
      <c r="O80" s="465" t="str">
        <f>IF(AA72="","",IF(Y72="W","L",Y72))</f>
        <v/>
      </c>
      <c r="P80" s="464" t="str">
        <f>IF(Y74="","",IF(AA74="l","W",AA74))</f>
        <v/>
      </c>
      <c r="Q80" s="459" t="str">
        <f>IF(Z74="","",":")</f>
        <v/>
      </c>
      <c r="R80" s="465" t="str">
        <f>IF(AA74="","",IF(Y74="W","L",Y74))</f>
        <v/>
      </c>
      <c r="S80" s="464" t="str">
        <f>IF(Y76="","",IF(AA76="l","W",AA76))</f>
        <v/>
      </c>
      <c r="T80" s="459" t="str">
        <f>IF(Z76="","",":")</f>
        <v/>
      </c>
      <c r="U80" s="465" t="str">
        <f>IF(AA76="","",IF(Y76="W","L",Y76))</f>
        <v/>
      </c>
      <c r="V80" s="464" t="str">
        <f>IF(Y78="","",IF(AA78="l","W",AA78))</f>
        <v/>
      </c>
      <c r="W80" s="459" t="str">
        <f>IF(Z78="","",":")</f>
        <v/>
      </c>
      <c r="X80" s="465" t="str">
        <f>IF(AA78="","",IF(Y78="W","L",Y78))</f>
        <v/>
      </c>
      <c r="Y80" s="1183"/>
      <c r="Z80" s="1169"/>
      <c r="AA80" s="1170"/>
      <c r="AB80" s="458"/>
      <c r="AC80" s="459" t="str">
        <f>IF(AB79="","",":")</f>
        <v/>
      </c>
      <c r="AD80" s="460"/>
      <c r="AE80" s="1186"/>
      <c r="AF80" s="1187"/>
      <c r="AG80" s="1189"/>
      <c r="AH80" s="1174"/>
    </row>
    <row r="81" spans="1:34" ht="12" hidden="1" customHeight="1" outlineLevel="1" x14ac:dyDescent="0.2">
      <c r="A81" s="1163">
        <v>9</v>
      </c>
      <c r="B81" s="1165">
        <f>жеребьевка!Q64</f>
        <v>0</v>
      </c>
      <c r="C81" s="456" t="e">
        <f>IF(B81="","",VLOOKUP(B81,'Списки участников'!A:I,3,FALSE))</f>
        <v>#N/A</v>
      </c>
      <c r="D81" s="1171" t="str">
        <f>IF(AB65="","",IF(AB66="W",0,IF(AB65=2,1,IF(AB65=1,2,IF(AB65=0,2)))))</f>
        <v/>
      </c>
      <c r="E81" s="1172"/>
      <c r="F81" s="1173"/>
      <c r="G81" s="1171" t="str">
        <f>IF(AB67="","",IF(AB68="W",0,IF(AB67=2,1,IF(AB67=1,2,IF(AB67=0,2)))))</f>
        <v/>
      </c>
      <c r="H81" s="1172"/>
      <c r="I81" s="1173"/>
      <c r="J81" s="1171" t="str">
        <f>IF(AB69="","",IF(AB70="W",0,IF(AB69=2,1,IF(AB69=1,2,IF(AB69=0,2)))))</f>
        <v/>
      </c>
      <c r="K81" s="1172"/>
      <c r="L81" s="1173"/>
      <c r="M81" s="1171" t="str">
        <f>IF(AB71="","",IF(AB72="W",0,IF(AB71=2,1,IF(AB71=1,2,IF(AB71=0,2)))))</f>
        <v/>
      </c>
      <c r="N81" s="1172"/>
      <c r="O81" s="1173"/>
      <c r="P81" s="1171" t="str">
        <f>IF(AB73="","",IF(AB74="W",0,IF(AB73=2,1,IF(AB73=1,2,IF(AB73=0,2)))))</f>
        <v/>
      </c>
      <c r="Q81" s="1172"/>
      <c r="R81" s="1173"/>
      <c r="S81" s="1171" t="str">
        <f>IF(AB75="","",IF(AB76="W",0,IF(AB75=2,1,IF(AB75=1,2,IF(AB75=0,2)))))</f>
        <v/>
      </c>
      <c r="T81" s="1172"/>
      <c r="U81" s="1173"/>
      <c r="V81" s="1171" t="str">
        <f>IF(AB77="","",IF(AB78="W",0,IF(AB77=2,1,IF(AB77=1,2,IF(AB77=0,2)))))</f>
        <v/>
      </c>
      <c r="W81" s="1172"/>
      <c r="X81" s="1173"/>
      <c r="Y81" s="1171" t="str">
        <f>IF(AB79="","",IF(AB80="W",0,IF(AB79=2,1,IF(AB79=1,2,IF(AB79=0,2)))))</f>
        <v/>
      </c>
      <c r="Z81" s="1172"/>
      <c r="AA81" s="1173"/>
      <c r="AB81" s="1191"/>
      <c r="AC81" s="1167"/>
      <c r="AD81" s="1168"/>
      <c r="AE81" s="1184">
        <f>IF(B81="","",SUM(G81,J81,M81,P81,S81,V81,Y81,D81,))</f>
        <v>0</v>
      </c>
      <c r="AF81" s="1185"/>
      <c r="AG81" s="1188"/>
      <c r="AH81" s="1174">
        <f>IF(B81="","",RANK(AE81,ГР12О))</f>
        <v>8</v>
      </c>
    </row>
    <row r="82" spans="1:34" ht="12" hidden="1" customHeight="1" outlineLevel="1" x14ac:dyDescent="0.2">
      <c r="A82" s="1164"/>
      <c r="B82" s="1166"/>
      <c r="C82" s="457" t="e">
        <f>IF(B81="","",VLOOKUP(B81,'Списки участников'!A:I,6,FALSE))</f>
        <v>#N/A</v>
      </c>
      <c r="D82" s="464" t="str">
        <f>IF(AB66="","",IF(AD66="l","W",AD66))</f>
        <v/>
      </c>
      <c r="E82" s="459" t="str">
        <f>IF(AC66="","",":")</f>
        <v/>
      </c>
      <c r="F82" s="465" t="str">
        <f>IF(AD66="","",IF(AB66="W","L",AB66))</f>
        <v/>
      </c>
      <c r="G82" s="464" t="str">
        <f>IF(AB68="","",IF(AD68="l","W",AD68))</f>
        <v/>
      </c>
      <c r="H82" s="459" t="str">
        <f>IF(AC68="","",":")</f>
        <v/>
      </c>
      <c r="I82" s="465" t="str">
        <f>IF(AD68="","",IF(AB68="W","L",AB68))</f>
        <v/>
      </c>
      <c r="J82" s="464" t="str">
        <f>IF(AB70="","",IF(AD70="l","W",AD70))</f>
        <v/>
      </c>
      <c r="K82" s="459" t="str">
        <f>IF(AC70="","",":")</f>
        <v/>
      </c>
      <c r="L82" s="465" t="str">
        <f>IF(AD70="","",IF(AB70="W","L",AB70))</f>
        <v/>
      </c>
      <c r="M82" s="464" t="str">
        <f>IF(AB72="","",IF(AD72="l","W",AD72))</f>
        <v/>
      </c>
      <c r="N82" s="459" t="str">
        <f>IF(AC72="","",":")</f>
        <v/>
      </c>
      <c r="O82" s="465" t="str">
        <f>IF(AD72="","",IF(AB72="W","L",AB72))</f>
        <v/>
      </c>
      <c r="P82" s="464" t="str">
        <f>IF(AB74="","",IF(AD74="l","W",AD74))</f>
        <v/>
      </c>
      <c r="Q82" s="459" t="str">
        <f>IF(AC74="","",":")</f>
        <v/>
      </c>
      <c r="R82" s="465" t="str">
        <f>IF(AD74="","",IF(AB74="W","L",AB74))</f>
        <v/>
      </c>
      <c r="S82" s="464" t="str">
        <f>IF(AB76="","",IF(AD76="l","W",AD76))</f>
        <v/>
      </c>
      <c r="T82" s="459" t="str">
        <f>IF(AC76="","",":")</f>
        <v/>
      </c>
      <c r="U82" s="465" t="str">
        <f>IF(AD76="","",IF(AB76="W","L",AB76))</f>
        <v/>
      </c>
      <c r="V82" s="464" t="str">
        <f>IF(AB78="","",IF(AD78="l","W",AD78))</f>
        <v/>
      </c>
      <c r="W82" s="459" t="str">
        <f>IF(AC78="","",":")</f>
        <v/>
      </c>
      <c r="X82" s="465" t="str">
        <f>IF(AD78="","",IF(AB78="W","L",AB78))</f>
        <v/>
      </c>
      <c r="Y82" s="464" t="str">
        <f>IF(AB80="","",IF(AD80="l","W",AD80))</f>
        <v/>
      </c>
      <c r="Z82" s="459" t="str">
        <f>IF(AC80="","",":")</f>
        <v/>
      </c>
      <c r="AA82" s="465" t="str">
        <f>IF(AD80="","",IF(AB80="W","L",AB80))</f>
        <v/>
      </c>
      <c r="AB82" s="1183"/>
      <c r="AC82" s="1169"/>
      <c r="AD82" s="1170"/>
      <c r="AE82" s="1186"/>
      <c r="AF82" s="1187"/>
      <c r="AG82" s="1189"/>
      <c r="AH82" s="1174"/>
    </row>
    <row r="83" spans="1:34" collapsed="1" x14ac:dyDescent="0.2"/>
    <row r="84" spans="1:34" ht="15.75" x14ac:dyDescent="0.25">
      <c r="C84" s="468" t="s">
        <v>791</v>
      </c>
      <c r="D84" s="1198" t="str">
        <f>'Списки участников'!I121</f>
        <v>В.А. Коваль</v>
      </c>
      <c r="E84" s="1198"/>
      <c r="F84" s="1198"/>
      <c r="G84" s="1198"/>
      <c r="H84" s="1198"/>
      <c r="I84" s="1198"/>
      <c r="J84" s="1198"/>
      <c r="K84" s="1198"/>
      <c r="L84" s="468"/>
      <c r="M84" s="468"/>
      <c r="N84" s="468"/>
      <c r="O84" s="468"/>
      <c r="P84" s="468"/>
      <c r="Q84" s="1198" t="s">
        <v>792</v>
      </c>
      <c r="R84" s="1198"/>
      <c r="S84" s="1198"/>
      <c r="T84" s="1198"/>
      <c r="U84" s="1198"/>
      <c r="V84" s="1198"/>
      <c r="W84" s="1198"/>
      <c r="X84" s="1198"/>
      <c r="Y84" s="468"/>
      <c r="Z84" s="468"/>
      <c r="AA84" s="468"/>
      <c r="AB84" s="468"/>
      <c r="AC84" s="1198" t="str">
        <f>'Списки участников'!I122</f>
        <v>А.С. Рожкова</v>
      </c>
      <c r="AD84" s="1198"/>
      <c r="AE84" s="1198"/>
      <c r="AF84" s="1198"/>
      <c r="AG84" s="1198"/>
    </row>
  </sheetData>
  <mergeCells count="554">
    <mergeCell ref="C1:AG1"/>
    <mergeCell ref="D2:AA2"/>
    <mergeCell ref="AB2:AG2"/>
    <mergeCell ref="G3:AA3"/>
    <mergeCell ref="D4:F4"/>
    <mergeCell ref="G4:I4"/>
    <mergeCell ref="J4:L4"/>
    <mergeCell ref="M4:O4"/>
    <mergeCell ref="P4:R4"/>
    <mergeCell ref="S4:U4"/>
    <mergeCell ref="V4:X4"/>
    <mergeCell ref="Y4:AA4"/>
    <mergeCell ref="AB4:AD4"/>
    <mergeCell ref="AE4:AF4"/>
    <mergeCell ref="A5:A6"/>
    <mergeCell ref="B5:B6"/>
    <mergeCell ref="D5:F6"/>
    <mergeCell ref="G5:I5"/>
    <mergeCell ref="J5:L5"/>
    <mergeCell ref="M5:O5"/>
    <mergeCell ref="AH7:AH8"/>
    <mergeCell ref="AG5:AG6"/>
    <mergeCell ref="AH5:AH6"/>
    <mergeCell ref="A7:A8"/>
    <mergeCell ref="B7:B8"/>
    <mergeCell ref="D7:F7"/>
    <mergeCell ref="G7:I8"/>
    <mergeCell ref="J7:L7"/>
    <mergeCell ref="M7:O7"/>
    <mergeCell ref="P7:R7"/>
    <mergeCell ref="S7:U7"/>
    <mergeCell ref="P5:R5"/>
    <mergeCell ref="S5:U5"/>
    <mergeCell ref="V5:X5"/>
    <mergeCell ref="Y5:AA5"/>
    <mergeCell ref="AB5:AD5"/>
    <mergeCell ref="AE5:AF6"/>
    <mergeCell ref="D9:F9"/>
    <mergeCell ref="G9:I9"/>
    <mergeCell ref="J9:L10"/>
    <mergeCell ref="M9:O9"/>
    <mergeCell ref="V7:X7"/>
    <mergeCell ref="Y7:AA7"/>
    <mergeCell ref="AB7:AD7"/>
    <mergeCell ref="AE7:AF8"/>
    <mergeCell ref="AG7:AG8"/>
    <mergeCell ref="V11:X11"/>
    <mergeCell ref="Y11:AA11"/>
    <mergeCell ref="AB11:AD11"/>
    <mergeCell ref="AE11:AF12"/>
    <mergeCell ref="AG11:AG12"/>
    <mergeCell ref="AH11:AH12"/>
    <mergeCell ref="AG9:AG10"/>
    <mergeCell ref="AH9:AH10"/>
    <mergeCell ref="A11:A12"/>
    <mergeCell ref="B11:B12"/>
    <mergeCell ref="D11:F11"/>
    <mergeCell ref="G11:I11"/>
    <mergeCell ref="J11:L11"/>
    <mergeCell ref="M11:O12"/>
    <mergeCell ref="P11:R11"/>
    <mergeCell ref="S11:U11"/>
    <mergeCell ref="P9:R9"/>
    <mergeCell ref="S9:U9"/>
    <mergeCell ref="V9:X9"/>
    <mergeCell ref="Y9:AA9"/>
    <mergeCell ref="AB9:AD9"/>
    <mergeCell ref="AE9:AF10"/>
    <mergeCell ref="A9:A10"/>
    <mergeCell ref="B9:B10"/>
    <mergeCell ref="A15:A16"/>
    <mergeCell ref="B15:B16"/>
    <mergeCell ref="D15:F15"/>
    <mergeCell ref="G15:I15"/>
    <mergeCell ref="J15:L15"/>
    <mergeCell ref="M15:O15"/>
    <mergeCell ref="P15:R15"/>
    <mergeCell ref="S15:U16"/>
    <mergeCell ref="P13:R14"/>
    <mergeCell ref="S13:U13"/>
    <mergeCell ref="A13:A14"/>
    <mergeCell ref="B13:B14"/>
    <mergeCell ref="D13:F13"/>
    <mergeCell ref="G13:I13"/>
    <mergeCell ref="J13:L13"/>
    <mergeCell ref="M13:O13"/>
    <mergeCell ref="M17:O17"/>
    <mergeCell ref="V15:X15"/>
    <mergeCell ref="Y15:AA15"/>
    <mergeCell ref="AB15:AD15"/>
    <mergeCell ref="AE15:AF16"/>
    <mergeCell ref="AG15:AG16"/>
    <mergeCell ref="AH15:AH16"/>
    <mergeCell ref="AG13:AG14"/>
    <mergeCell ref="AH13:AH14"/>
    <mergeCell ref="V13:X13"/>
    <mergeCell ref="Y13:AA13"/>
    <mergeCell ref="AB13:AD13"/>
    <mergeCell ref="AE13:AF14"/>
    <mergeCell ref="AE19:AF20"/>
    <mergeCell ref="AG19:AG20"/>
    <mergeCell ref="AH19:AH20"/>
    <mergeCell ref="AG17:AG18"/>
    <mergeCell ref="AH17:AH18"/>
    <mergeCell ref="A19:A20"/>
    <mergeCell ref="B19:B20"/>
    <mergeCell ref="D19:F19"/>
    <mergeCell ref="G19:I19"/>
    <mergeCell ref="J19:L19"/>
    <mergeCell ref="M19:O19"/>
    <mergeCell ref="P19:R19"/>
    <mergeCell ref="S19:U19"/>
    <mergeCell ref="P17:R17"/>
    <mergeCell ref="S17:U17"/>
    <mergeCell ref="V17:X18"/>
    <mergeCell ref="Y17:AA17"/>
    <mergeCell ref="AB17:AD17"/>
    <mergeCell ref="AE17:AF18"/>
    <mergeCell ref="A17:A18"/>
    <mergeCell ref="B17:B18"/>
    <mergeCell ref="D17:F17"/>
    <mergeCell ref="G17:I17"/>
    <mergeCell ref="J17:L17"/>
    <mergeCell ref="A21:A22"/>
    <mergeCell ref="B21:B22"/>
    <mergeCell ref="D21:F21"/>
    <mergeCell ref="G21:I21"/>
    <mergeCell ref="J21:L21"/>
    <mergeCell ref="M21:O21"/>
    <mergeCell ref="V19:X19"/>
    <mergeCell ref="Y19:AA20"/>
    <mergeCell ref="AB19:AD19"/>
    <mergeCell ref="AG21:AG22"/>
    <mergeCell ref="AH21:AH22"/>
    <mergeCell ref="G23:AA23"/>
    <mergeCell ref="D24:F24"/>
    <mergeCell ref="G24:I24"/>
    <mergeCell ref="J24:L24"/>
    <mergeCell ref="M24:O24"/>
    <mergeCell ref="P24:R24"/>
    <mergeCell ref="S24:U24"/>
    <mergeCell ref="V24:X24"/>
    <mergeCell ref="P21:R21"/>
    <mergeCell ref="S21:U21"/>
    <mergeCell ref="V21:X21"/>
    <mergeCell ref="Y21:AA21"/>
    <mergeCell ref="AB21:AD22"/>
    <mergeCell ref="AE21:AF22"/>
    <mergeCell ref="Y24:AA24"/>
    <mergeCell ref="AB24:AD24"/>
    <mergeCell ref="AE24:AF24"/>
    <mergeCell ref="A25:A26"/>
    <mergeCell ref="B25:B26"/>
    <mergeCell ref="D25:F26"/>
    <mergeCell ref="G25:I25"/>
    <mergeCell ref="J25:L25"/>
    <mergeCell ref="M25:O25"/>
    <mergeCell ref="P25:R25"/>
    <mergeCell ref="AH25:AH26"/>
    <mergeCell ref="A27:A28"/>
    <mergeCell ref="B27:B28"/>
    <mergeCell ref="D27:F27"/>
    <mergeCell ref="G27:I28"/>
    <mergeCell ref="J27:L27"/>
    <mergeCell ref="M27:O27"/>
    <mergeCell ref="P27:R27"/>
    <mergeCell ref="S27:U27"/>
    <mergeCell ref="V27:X27"/>
    <mergeCell ref="S25:U25"/>
    <mergeCell ref="V25:X25"/>
    <mergeCell ref="Y25:AA25"/>
    <mergeCell ref="AB25:AD25"/>
    <mergeCell ref="AE25:AF26"/>
    <mergeCell ref="AG25:AG26"/>
    <mergeCell ref="Y27:AA27"/>
    <mergeCell ref="AH27:AH28"/>
    <mergeCell ref="A29:A30"/>
    <mergeCell ref="B29:B30"/>
    <mergeCell ref="D29:F29"/>
    <mergeCell ref="G29:I29"/>
    <mergeCell ref="J29:L30"/>
    <mergeCell ref="AE29:AF30"/>
    <mergeCell ref="AG29:AG30"/>
    <mergeCell ref="AH29:AH30"/>
    <mergeCell ref="S29:U29"/>
    <mergeCell ref="V29:X29"/>
    <mergeCell ref="Y29:AA29"/>
    <mergeCell ref="AB29:AD29"/>
    <mergeCell ref="G31:I31"/>
    <mergeCell ref="J31:L31"/>
    <mergeCell ref="M31:O32"/>
    <mergeCell ref="P31:R31"/>
    <mergeCell ref="M29:O29"/>
    <mergeCell ref="P29:R29"/>
    <mergeCell ref="AB27:AD27"/>
    <mergeCell ref="AE27:AF28"/>
    <mergeCell ref="AG27:AG28"/>
    <mergeCell ref="AH31:AH32"/>
    <mergeCell ref="A33:A34"/>
    <mergeCell ref="B33:B34"/>
    <mergeCell ref="D33:F33"/>
    <mergeCell ref="G33:I33"/>
    <mergeCell ref="J33:L33"/>
    <mergeCell ref="M33:O33"/>
    <mergeCell ref="P33:R34"/>
    <mergeCell ref="S33:U33"/>
    <mergeCell ref="V33:X33"/>
    <mergeCell ref="S31:U31"/>
    <mergeCell ref="V31:X31"/>
    <mergeCell ref="Y31:AA31"/>
    <mergeCell ref="AB31:AD31"/>
    <mergeCell ref="AE31:AF32"/>
    <mergeCell ref="AG31:AG32"/>
    <mergeCell ref="Y33:AA33"/>
    <mergeCell ref="AB33:AD33"/>
    <mergeCell ref="AE33:AF34"/>
    <mergeCell ref="AG33:AG34"/>
    <mergeCell ref="AH33:AH34"/>
    <mergeCell ref="A31:A32"/>
    <mergeCell ref="B31:B32"/>
    <mergeCell ref="D31:F31"/>
    <mergeCell ref="A35:A36"/>
    <mergeCell ref="B35:B36"/>
    <mergeCell ref="D35:F35"/>
    <mergeCell ref="G35:I35"/>
    <mergeCell ref="J35:L35"/>
    <mergeCell ref="AE35:AF36"/>
    <mergeCell ref="AG35:AG36"/>
    <mergeCell ref="AH35:AH36"/>
    <mergeCell ref="A37:A38"/>
    <mergeCell ref="B37:B38"/>
    <mergeCell ref="D37:F37"/>
    <mergeCell ref="G37:I37"/>
    <mergeCell ref="J37:L37"/>
    <mergeCell ref="M37:O37"/>
    <mergeCell ref="P37:R37"/>
    <mergeCell ref="M35:O35"/>
    <mergeCell ref="P35:R35"/>
    <mergeCell ref="S35:U36"/>
    <mergeCell ref="V35:X35"/>
    <mergeCell ref="Y35:AA35"/>
    <mergeCell ref="AB35:AD35"/>
    <mergeCell ref="AH37:AH38"/>
    <mergeCell ref="S37:U37"/>
    <mergeCell ref="V37:X38"/>
    <mergeCell ref="A39:A40"/>
    <mergeCell ref="B39:B40"/>
    <mergeCell ref="D39:F39"/>
    <mergeCell ref="G39:I39"/>
    <mergeCell ref="J39:L39"/>
    <mergeCell ref="M39:O39"/>
    <mergeCell ref="P39:R39"/>
    <mergeCell ref="S39:U39"/>
    <mergeCell ref="V39:X39"/>
    <mergeCell ref="Y37:AA37"/>
    <mergeCell ref="AB37:AD37"/>
    <mergeCell ref="AE37:AF38"/>
    <mergeCell ref="AG37:AG38"/>
    <mergeCell ref="Y39:AA40"/>
    <mergeCell ref="AB39:AD39"/>
    <mergeCell ref="AE39:AF40"/>
    <mergeCell ref="AG39:AG40"/>
    <mergeCell ref="AH39:AH40"/>
    <mergeCell ref="AE41:AF42"/>
    <mergeCell ref="V44:X44"/>
    <mergeCell ref="Y44:AA44"/>
    <mergeCell ref="AB44:AD44"/>
    <mergeCell ref="AE44:AF44"/>
    <mergeCell ref="P44:R44"/>
    <mergeCell ref="S44:U44"/>
    <mergeCell ref="AG41:AG42"/>
    <mergeCell ref="AH41:AH42"/>
    <mergeCell ref="G43:AA43"/>
    <mergeCell ref="V41:X41"/>
    <mergeCell ref="Y41:AA41"/>
    <mergeCell ref="AB41:AD42"/>
    <mergeCell ref="M41:O41"/>
    <mergeCell ref="P41:R41"/>
    <mergeCell ref="S41:U41"/>
    <mergeCell ref="D44:F44"/>
    <mergeCell ref="G44:I44"/>
    <mergeCell ref="J44:L44"/>
    <mergeCell ref="M44:O44"/>
    <mergeCell ref="A41:A42"/>
    <mergeCell ref="B41:B42"/>
    <mergeCell ref="D41:F41"/>
    <mergeCell ref="G41:I41"/>
    <mergeCell ref="J41:L41"/>
    <mergeCell ref="AH47:AH48"/>
    <mergeCell ref="AG45:AG46"/>
    <mergeCell ref="AH45:AH46"/>
    <mergeCell ref="A47:A48"/>
    <mergeCell ref="B47:B48"/>
    <mergeCell ref="D47:F47"/>
    <mergeCell ref="G47:I48"/>
    <mergeCell ref="J47:L47"/>
    <mergeCell ref="M47:O47"/>
    <mergeCell ref="P47:R47"/>
    <mergeCell ref="S47:U47"/>
    <mergeCell ref="P45:R45"/>
    <mergeCell ref="S45:U45"/>
    <mergeCell ref="V45:X45"/>
    <mergeCell ref="Y45:AA45"/>
    <mergeCell ref="AB45:AD45"/>
    <mergeCell ref="AE45:AF46"/>
    <mergeCell ref="A45:A46"/>
    <mergeCell ref="B45:B46"/>
    <mergeCell ref="D45:F46"/>
    <mergeCell ref="G45:I45"/>
    <mergeCell ref="J45:L45"/>
    <mergeCell ref="M45:O45"/>
    <mergeCell ref="D49:F49"/>
    <mergeCell ref="G49:I49"/>
    <mergeCell ref="J49:L50"/>
    <mergeCell ref="M49:O49"/>
    <mergeCell ref="V47:X47"/>
    <mergeCell ref="Y47:AA47"/>
    <mergeCell ref="AB47:AD47"/>
    <mergeCell ref="AE47:AF48"/>
    <mergeCell ref="AG47:AG48"/>
    <mergeCell ref="V51:X51"/>
    <mergeCell ref="Y51:AA51"/>
    <mergeCell ref="AB51:AD51"/>
    <mergeCell ref="AE51:AF52"/>
    <mergeCell ref="AG51:AG52"/>
    <mergeCell ref="AH51:AH52"/>
    <mergeCell ref="AG49:AG50"/>
    <mergeCell ref="AH49:AH50"/>
    <mergeCell ref="A51:A52"/>
    <mergeCell ref="B51:B52"/>
    <mergeCell ref="D51:F51"/>
    <mergeCell ref="G51:I51"/>
    <mergeCell ref="J51:L51"/>
    <mergeCell ref="M51:O52"/>
    <mergeCell ref="P51:R51"/>
    <mergeCell ref="S51:U51"/>
    <mergeCell ref="P49:R49"/>
    <mergeCell ref="S49:U49"/>
    <mergeCell ref="V49:X49"/>
    <mergeCell ref="Y49:AA49"/>
    <mergeCell ref="AB49:AD49"/>
    <mergeCell ref="AE49:AF50"/>
    <mergeCell ref="A49:A50"/>
    <mergeCell ref="B49:B50"/>
    <mergeCell ref="A55:A56"/>
    <mergeCell ref="B55:B56"/>
    <mergeCell ref="D55:F55"/>
    <mergeCell ref="G55:I55"/>
    <mergeCell ref="J55:L55"/>
    <mergeCell ref="M55:O55"/>
    <mergeCell ref="P55:R55"/>
    <mergeCell ref="S55:U56"/>
    <mergeCell ref="P53:R54"/>
    <mergeCell ref="S53:U53"/>
    <mergeCell ref="A53:A54"/>
    <mergeCell ref="B53:B54"/>
    <mergeCell ref="D53:F53"/>
    <mergeCell ref="G53:I53"/>
    <mergeCell ref="J53:L53"/>
    <mergeCell ref="M53:O53"/>
    <mergeCell ref="M57:O57"/>
    <mergeCell ref="V55:X55"/>
    <mergeCell ref="Y55:AA55"/>
    <mergeCell ref="AB55:AD55"/>
    <mergeCell ref="AE55:AF56"/>
    <mergeCell ref="AG55:AG56"/>
    <mergeCell ref="AH55:AH56"/>
    <mergeCell ref="AG53:AG54"/>
    <mergeCell ref="AH53:AH54"/>
    <mergeCell ref="V53:X53"/>
    <mergeCell ref="Y53:AA53"/>
    <mergeCell ref="AB53:AD53"/>
    <mergeCell ref="AE53:AF54"/>
    <mergeCell ref="AE59:AF60"/>
    <mergeCell ref="AG59:AG60"/>
    <mergeCell ref="AH59:AH60"/>
    <mergeCell ref="AG57:AG58"/>
    <mergeCell ref="AH57:AH58"/>
    <mergeCell ref="A59:A60"/>
    <mergeCell ref="B59:B60"/>
    <mergeCell ref="D59:F59"/>
    <mergeCell ref="G59:I59"/>
    <mergeCell ref="J59:L59"/>
    <mergeCell ref="M59:O59"/>
    <mergeCell ref="P59:R59"/>
    <mergeCell ref="S59:U59"/>
    <mergeCell ref="P57:R57"/>
    <mergeCell ref="S57:U57"/>
    <mergeCell ref="V57:X58"/>
    <mergeCell ref="Y57:AA57"/>
    <mergeCell ref="AB57:AD57"/>
    <mergeCell ref="AE57:AF58"/>
    <mergeCell ref="A57:A58"/>
    <mergeCell ref="B57:B58"/>
    <mergeCell ref="D57:F57"/>
    <mergeCell ref="G57:I57"/>
    <mergeCell ref="J57:L57"/>
    <mergeCell ref="A61:A62"/>
    <mergeCell ref="B61:B62"/>
    <mergeCell ref="D61:F61"/>
    <mergeCell ref="G61:I61"/>
    <mergeCell ref="J61:L61"/>
    <mergeCell ref="M61:O61"/>
    <mergeCell ref="V59:X59"/>
    <mergeCell ref="Y59:AA60"/>
    <mergeCell ref="AB59:AD59"/>
    <mergeCell ref="AG61:AG62"/>
    <mergeCell ref="AH61:AH62"/>
    <mergeCell ref="G63:AA63"/>
    <mergeCell ref="D64:F64"/>
    <mergeCell ref="G64:I64"/>
    <mergeCell ref="J64:L64"/>
    <mergeCell ref="M64:O64"/>
    <mergeCell ref="P64:R64"/>
    <mergeCell ref="S64:U64"/>
    <mergeCell ref="V64:X64"/>
    <mergeCell ref="P61:R61"/>
    <mergeCell ref="S61:U61"/>
    <mergeCell ref="V61:X61"/>
    <mergeCell ref="Y61:AA61"/>
    <mergeCell ref="AB61:AD62"/>
    <mergeCell ref="AE61:AF62"/>
    <mergeCell ref="Y64:AA64"/>
    <mergeCell ref="AB64:AD64"/>
    <mergeCell ref="AE64:AF64"/>
    <mergeCell ref="A65:A66"/>
    <mergeCell ref="B65:B66"/>
    <mergeCell ref="D65:F66"/>
    <mergeCell ref="G65:I65"/>
    <mergeCell ref="J65:L65"/>
    <mergeCell ref="M65:O65"/>
    <mergeCell ref="P65:R65"/>
    <mergeCell ref="AH65:AH66"/>
    <mergeCell ref="A67:A68"/>
    <mergeCell ref="B67:B68"/>
    <mergeCell ref="D67:F67"/>
    <mergeCell ref="G67:I68"/>
    <mergeCell ref="J67:L67"/>
    <mergeCell ref="M67:O67"/>
    <mergeCell ref="P67:R67"/>
    <mergeCell ref="S67:U67"/>
    <mergeCell ref="V67:X67"/>
    <mergeCell ref="S65:U65"/>
    <mergeCell ref="V65:X65"/>
    <mergeCell ref="Y65:AA65"/>
    <mergeCell ref="AB65:AD65"/>
    <mergeCell ref="AE65:AF66"/>
    <mergeCell ref="AG65:AG66"/>
    <mergeCell ref="Y67:AA67"/>
    <mergeCell ref="AH67:AH68"/>
    <mergeCell ref="A69:A70"/>
    <mergeCell ref="B69:B70"/>
    <mergeCell ref="D69:F69"/>
    <mergeCell ref="G69:I69"/>
    <mergeCell ref="J69:L70"/>
    <mergeCell ref="AE69:AF70"/>
    <mergeCell ref="AG69:AG70"/>
    <mergeCell ref="AH69:AH70"/>
    <mergeCell ref="S69:U69"/>
    <mergeCell ref="V69:X69"/>
    <mergeCell ref="Y69:AA69"/>
    <mergeCell ref="AB69:AD69"/>
    <mergeCell ref="G71:I71"/>
    <mergeCell ref="J71:L71"/>
    <mergeCell ref="M71:O72"/>
    <mergeCell ref="P71:R71"/>
    <mergeCell ref="M69:O69"/>
    <mergeCell ref="P69:R69"/>
    <mergeCell ref="AB67:AD67"/>
    <mergeCell ref="AE67:AF68"/>
    <mergeCell ref="AG67:AG68"/>
    <mergeCell ref="AH71:AH72"/>
    <mergeCell ref="A73:A74"/>
    <mergeCell ref="B73:B74"/>
    <mergeCell ref="D73:F73"/>
    <mergeCell ref="G73:I73"/>
    <mergeCell ref="J73:L73"/>
    <mergeCell ref="M73:O73"/>
    <mergeCell ref="P73:R74"/>
    <mergeCell ref="S73:U73"/>
    <mergeCell ref="V73:X73"/>
    <mergeCell ref="S71:U71"/>
    <mergeCell ref="V71:X71"/>
    <mergeCell ref="Y71:AA71"/>
    <mergeCell ref="AB71:AD71"/>
    <mergeCell ref="AE71:AF72"/>
    <mergeCell ref="AG71:AG72"/>
    <mergeCell ref="Y73:AA73"/>
    <mergeCell ref="AB73:AD73"/>
    <mergeCell ref="AE73:AF74"/>
    <mergeCell ref="AG73:AG74"/>
    <mergeCell ref="AH73:AH74"/>
    <mergeCell ref="A71:A72"/>
    <mergeCell ref="B71:B72"/>
    <mergeCell ref="D71:F71"/>
    <mergeCell ref="A75:A76"/>
    <mergeCell ref="B75:B76"/>
    <mergeCell ref="D75:F75"/>
    <mergeCell ref="G75:I75"/>
    <mergeCell ref="J75:L75"/>
    <mergeCell ref="AE75:AF76"/>
    <mergeCell ref="AG75:AG76"/>
    <mergeCell ref="AH75:AH76"/>
    <mergeCell ref="A77:A78"/>
    <mergeCell ref="B77:B78"/>
    <mergeCell ref="D77:F77"/>
    <mergeCell ref="G77:I77"/>
    <mergeCell ref="J77:L77"/>
    <mergeCell ref="M77:O77"/>
    <mergeCell ref="P77:R77"/>
    <mergeCell ref="M75:O75"/>
    <mergeCell ref="P75:R75"/>
    <mergeCell ref="S75:U76"/>
    <mergeCell ref="V75:X75"/>
    <mergeCell ref="Y75:AA75"/>
    <mergeCell ref="AB75:AD75"/>
    <mergeCell ref="AH77:AH78"/>
    <mergeCell ref="S77:U77"/>
    <mergeCell ref="V77:X78"/>
    <mergeCell ref="A79:A80"/>
    <mergeCell ref="B79:B80"/>
    <mergeCell ref="D79:F79"/>
    <mergeCell ref="G79:I79"/>
    <mergeCell ref="J79:L79"/>
    <mergeCell ref="M79:O79"/>
    <mergeCell ref="P79:R79"/>
    <mergeCell ref="S79:U79"/>
    <mergeCell ref="V79:X79"/>
    <mergeCell ref="Y77:AA77"/>
    <mergeCell ref="AB77:AD77"/>
    <mergeCell ref="AE77:AF78"/>
    <mergeCell ref="AG77:AG78"/>
    <mergeCell ref="Y79:AA80"/>
    <mergeCell ref="AB79:AD79"/>
    <mergeCell ref="AE79:AF80"/>
    <mergeCell ref="AG79:AG80"/>
    <mergeCell ref="AH79:AH80"/>
    <mergeCell ref="A81:A82"/>
    <mergeCell ref="B81:B82"/>
    <mergeCell ref="D81:F81"/>
    <mergeCell ref="G81:I81"/>
    <mergeCell ref="J81:L81"/>
    <mergeCell ref="AE81:AF82"/>
    <mergeCell ref="AG81:AG82"/>
    <mergeCell ref="AH81:AH82"/>
    <mergeCell ref="D84:K84"/>
    <mergeCell ref="Q84:X84"/>
    <mergeCell ref="AC84:AG84"/>
    <mergeCell ref="M81:O81"/>
    <mergeCell ref="P81:R81"/>
    <mergeCell ref="S81:U81"/>
    <mergeCell ref="V81:X81"/>
    <mergeCell ref="Y81:AA81"/>
    <mergeCell ref="AB81:AD82"/>
  </mergeCells>
  <pageMargins left="0.31496062992125984" right="0.31496062992125984" top="0.35433070866141736" bottom="0.35433070866141736" header="0.31496062992125984" footer="0.31496062992125984"/>
  <pageSetup paperSize="9" scale="76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A133" zoomScale="60" zoomScaleNormal="100" workbookViewId="0">
      <selection activeCell="H20" sqref="H20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9</v>
      </c>
      <c r="D3" s="962"/>
      <c r="E3" s="963"/>
      <c r="G3" s="957" t="s">
        <v>11956</v>
      </c>
      <c r="H3" s="958">
        <f>C3</f>
        <v>9</v>
      </c>
      <c r="I3" s="962"/>
      <c r="J3" s="963"/>
      <c r="L3" s="957" t="s">
        <v>11956</v>
      </c>
      <c r="M3" s="958">
        <f>C3</f>
        <v>9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'гр (9-12)'!C7</f>
        <v>МАНЦУРОВ Тихон</v>
      </c>
      <c r="C5" s="960" t="str">
        <f>'гр (9-12)'!C15</f>
        <v>ВАСИКОВ Евгений</v>
      </c>
      <c r="D5" s="961"/>
      <c r="E5" s="966"/>
      <c r="G5" s="960" t="str">
        <f>'гр (9-12)'!C9</f>
        <v>ПОДЛАЗОВ Владислав</v>
      </c>
      <c r="H5" s="960" t="str">
        <f>'гр (9-12)'!C13</f>
        <v>МИШУКОВ Михаил</v>
      </c>
      <c r="I5" s="961"/>
      <c r="J5" s="966"/>
      <c r="L5" s="960" t="str">
        <f>'гр (9-12)'!C5</f>
        <v>САВЕЛЬЕВ Никита</v>
      </c>
      <c r="M5" s="960" t="str">
        <f>'гр (9-12)'!C17</f>
        <v>ПРИЗЕНКО Артем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9</v>
      </c>
      <c r="D18" s="962"/>
      <c r="E18" s="963"/>
      <c r="G18" s="957" t="s">
        <v>11956</v>
      </c>
      <c r="H18" s="958">
        <f>C3</f>
        <v>9</v>
      </c>
      <c r="I18" s="962"/>
      <c r="J18" s="963"/>
      <c r="L18" s="957" t="s">
        <v>11956</v>
      </c>
      <c r="M18" s="958">
        <f>C3</f>
        <v>9</v>
      </c>
      <c r="N18" s="961"/>
    </row>
    <row r="19" spans="1:14" x14ac:dyDescent="0.3">
      <c r="B19" s="957" t="s">
        <v>11957</v>
      </c>
      <c r="C19" s="959" t="s">
        <v>11958</v>
      </c>
      <c r="D19" s="961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960" t="str">
        <f>'гр (9-12)'!C11</f>
        <v>КУРИЛОВИЧ Ярослав</v>
      </c>
      <c r="C20" s="960" t="str">
        <f>'гр (9-12)'!C19</f>
        <v/>
      </c>
      <c r="D20" s="961"/>
      <c r="E20" s="966"/>
      <c r="G20" s="960" t="str">
        <f>'гр (9-12)'!C13</f>
        <v>МИШУКОВ Михаил</v>
      </c>
      <c r="H20" s="960" t="str">
        <f>'гр (9-12)'!C7</f>
        <v>МАНЦУРОВ Тихон</v>
      </c>
      <c r="I20" s="961"/>
      <c r="J20" s="966"/>
      <c r="L20" s="960" t="str">
        <f>'гр (9-12)'!C15</f>
        <v>ВАСИКОВ Евгений</v>
      </c>
      <c r="M20" s="960" t="str">
        <f>'гр (9-12)'!C5</f>
        <v>САВЕЛЬЕВ Никита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9</v>
      </c>
      <c r="D33" s="962"/>
      <c r="E33" s="963"/>
      <c r="G33" s="957" t="s">
        <v>11956</v>
      </c>
      <c r="H33" s="958">
        <f>C3</f>
        <v>9</v>
      </c>
      <c r="I33" s="962"/>
      <c r="J33" s="963"/>
      <c r="L33" s="957" t="s">
        <v>11956</v>
      </c>
      <c r="M33" s="958">
        <f>C3</f>
        <v>9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'гр (9-12)'!C19</f>
        <v/>
      </c>
      <c r="C35" s="960" t="str">
        <f>'гр (9-12)'!C9</f>
        <v>ПОДЛАЗОВ Владислав</v>
      </c>
      <c r="D35" s="961"/>
      <c r="E35" s="966"/>
      <c r="G35" s="960" t="str">
        <f>'гр (9-12)'!C17</f>
        <v>ПРИЗЕНКО Артем</v>
      </c>
      <c r="H35" s="960" t="str">
        <f>'гр (9-12)'!C11</f>
        <v>КУРИЛОВИЧ Ярослав</v>
      </c>
      <c r="I35" s="961"/>
      <c r="J35" s="966"/>
      <c r="L35" s="960" t="str">
        <f>'гр (9-12)'!C5</f>
        <v>САВЕЛЬЕВ Никита</v>
      </c>
      <c r="M35" s="960" t="str">
        <f>'гр (9-12)'!C13</f>
        <v>МИШУКОВ Михаил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9</v>
      </c>
      <c r="D48" s="962"/>
      <c r="E48" s="963"/>
      <c r="G48" s="957" t="s">
        <v>11956</v>
      </c>
      <c r="H48" s="958">
        <f>C3</f>
        <v>9</v>
      </c>
      <c r="I48" s="962"/>
      <c r="J48" s="963"/>
      <c r="L48" s="957" t="s">
        <v>11956</v>
      </c>
      <c r="M48" s="958">
        <f>C3</f>
        <v>9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'гр (9-12)'!C7</f>
        <v>МАНЦУРОВ Тихон</v>
      </c>
      <c r="C50" s="960" t="str">
        <f>'гр (9-12)'!C19</f>
        <v/>
      </c>
      <c r="D50" s="961"/>
      <c r="E50" s="966"/>
      <c r="G50" s="960" t="str">
        <f>'гр (9-12)'!C11</f>
        <v>КУРИЛОВИЧ Ярослав</v>
      </c>
      <c r="H50" s="960" t="str">
        <f>'гр (9-12)'!C15</f>
        <v>ВАСИКОВ Евгений</v>
      </c>
      <c r="I50" s="961"/>
      <c r="J50" s="966"/>
      <c r="L50" s="960" t="str">
        <f>'гр (9-12)'!C9</f>
        <v>ПОДЛАЗОВ Владислав</v>
      </c>
      <c r="M50" s="960" t="str">
        <f>'гр (9-12)'!C17</f>
        <v>ПРИЗЕНКО Артем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9</v>
      </c>
      <c r="D63" s="962"/>
      <c r="E63" s="963"/>
      <c r="G63" s="957" t="s">
        <v>11956</v>
      </c>
      <c r="H63" s="958">
        <f>C3</f>
        <v>9</v>
      </c>
      <c r="I63" s="962"/>
      <c r="J63" s="963"/>
      <c r="L63" s="957" t="s">
        <v>11956</v>
      </c>
      <c r="M63" s="958">
        <f>C3</f>
        <v>9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'гр (9-12)'!C19</f>
        <v/>
      </c>
      <c r="C65" s="960" t="str">
        <f>'гр (9-12)'!C5</f>
        <v>САВЕЛЬЕВ Никита</v>
      </c>
      <c r="D65" s="961"/>
      <c r="E65" s="966"/>
      <c r="G65" s="960" t="str">
        <f>'гр (9-12)'!C13</f>
        <v>МИШУКОВ Михаил</v>
      </c>
      <c r="H65" s="960" t="str">
        <f>'гр (9-12)'!C11</f>
        <v>КУРИЛОВИЧ Ярослав</v>
      </c>
      <c r="I65" s="961"/>
      <c r="J65" s="966"/>
      <c r="L65" s="960" t="str">
        <f>'гр (9-12)'!C17</f>
        <v>ПРИЗЕНКО Артем</v>
      </c>
      <c r="M65" s="960" t="str">
        <f>'гр (9-12)'!C7</f>
        <v>МАНЦУРОВ Тихон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Групповой этап</v>
      </c>
      <c r="C77" s="1199"/>
      <c r="D77" s="955"/>
      <c r="E77" s="956"/>
      <c r="G77" s="1199" t="str">
        <f>B2</f>
        <v>Групповой этап</v>
      </c>
      <c r="H77" s="1199"/>
      <c r="I77" s="955"/>
      <c r="J77" s="956"/>
      <c r="L77" s="1199" t="str">
        <f>B2</f>
        <v>Групповой этап</v>
      </c>
      <c r="M77" s="1199"/>
      <c r="N77" s="961"/>
    </row>
    <row r="78" spans="1:14" x14ac:dyDescent="0.3">
      <c r="B78" s="957" t="s">
        <v>11956</v>
      </c>
      <c r="C78" s="958">
        <f>C3</f>
        <v>9</v>
      </c>
      <c r="D78" s="962"/>
      <c r="E78" s="963"/>
      <c r="G78" s="957" t="s">
        <v>11956</v>
      </c>
      <c r="H78" s="958">
        <f>C3</f>
        <v>9</v>
      </c>
      <c r="I78" s="962"/>
      <c r="J78" s="963"/>
      <c r="L78" s="957" t="s">
        <v>11956</v>
      </c>
      <c r="M78" s="958">
        <f>C3</f>
        <v>9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'гр (9-12)'!C15</f>
        <v>ВАСИКОВ Евгений</v>
      </c>
      <c r="C80" s="960" t="str">
        <f>'гр (9-12)'!C9</f>
        <v>ПОДЛАЗОВ Владислав</v>
      </c>
      <c r="D80" s="961"/>
      <c r="E80" s="966"/>
      <c r="G80" s="960" t="str">
        <f>'гр (9-12)'!C5</f>
        <v>САВЕЛЬЕВ Никита</v>
      </c>
      <c r="H80" s="960" t="str">
        <f>'гр (9-12)'!C9</f>
        <v>ПОДЛАЗОВ Владислав</v>
      </c>
      <c r="I80" s="961"/>
      <c r="J80" s="966"/>
      <c r="L80" s="960" t="str">
        <f>'гр (9-12)'!C7</f>
        <v>МАНЦУРОВ Тихон</v>
      </c>
      <c r="M80" s="960" t="str">
        <f>'гр (9-12)'!C11</f>
        <v>КУРИЛОВИЧ Ярослав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Групповой этап</v>
      </c>
      <c r="C92" s="1199"/>
      <c r="D92" s="955"/>
      <c r="E92" s="956"/>
      <c r="G92" s="1199" t="str">
        <f>B2</f>
        <v>Групповой этап</v>
      </c>
      <c r="H92" s="1199"/>
      <c r="I92" s="955"/>
      <c r="J92" s="956"/>
      <c r="L92" s="1199" t="str">
        <f>B2</f>
        <v>Групповой этап</v>
      </c>
      <c r="M92" s="1199"/>
      <c r="N92" s="961"/>
    </row>
    <row r="93" spans="1:14" x14ac:dyDescent="0.3">
      <c r="B93" s="957" t="s">
        <v>11956</v>
      </c>
      <c r="C93" s="958">
        <f>C3</f>
        <v>9</v>
      </c>
      <c r="D93" s="962"/>
      <c r="E93" s="963"/>
      <c r="G93" s="957" t="s">
        <v>11956</v>
      </c>
      <c r="H93" s="958">
        <f>C3</f>
        <v>9</v>
      </c>
      <c r="I93" s="962"/>
      <c r="J93" s="963"/>
      <c r="L93" s="957" t="s">
        <v>11956</v>
      </c>
      <c r="M93" s="958">
        <f>C3</f>
        <v>9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'гр (9-12)'!C13</f>
        <v>МИШУКОВ Михаил</v>
      </c>
      <c r="C95" s="960" t="str">
        <f>'гр (9-12)'!C17</f>
        <v>ПРИЗЕНКО Артем</v>
      </c>
      <c r="D95" s="961"/>
      <c r="E95" s="966"/>
      <c r="G95" s="960" t="str">
        <f>'гр (9-12)'!C15</f>
        <v>ВАСИКОВ Евгений</v>
      </c>
      <c r="H95" s="960" t="str">
        <f>'гр (9-12)'!C19</f>
        <v/>
      </c>
      <c r="I95" s="961"/>
      <c r="J95" s="966"/>
      <c r="L95" s="960" t="str">
        <f>'гр (9-12)'!C11</f>
        <v>КУРИЛОВИЧ Ярослав</v>
      </c>
      <c r="M95" s="960" t="str">
        <f>'гр (9-12)'!C5</f>
        <v>САВЕЛЬЕВ Никита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Групповой этап</v>
      </c>
      <c r="C107" s="1199"/>
      <c r="D107" s="955"/>
      <c r="E107" s="956"/>
      <c r="G107" s="1199" t="str">
        <f>B2</f>
        <v>Групповой этап</v>
      </c>
      <c r="H107" s="1199"/>
      <c r="I107" s="955"/>
      <c r="J107" s="956"/>
      <c r="L107" s="1199" t="str">
        <f>B2</f>
        <v>Групповой этап</v>
      </c>
      <c r="M107" s="1199"/>
      <c r="N107" s="961"/>
    </row>
    <row r="108" spans="1:14" x14ac:dyDescent="0.3">
      <c r="B108" s="957" t="s">
        <v>11956</v>
      </c>
      <c r="C108" s="958">
        <f>C3</f>
        <v>9</v>
      </c>
      <c r="D108" s="962"/>
      <c r="E108" s="963"/>
      <c r="G108" s="957" t="s">
        <v>11956</v>
      </c>
      <c r="H108" s="958">
        <f>C3</f>
        <v>9</v>
      </c>
      <c r="I108" s="962"/>
      <c r="J108" s="963"/>
      <c r="L108" s="957" t="s">
        <v>11956</v>
      </c>
      <c r="M108" s="958">
        <f>C3</f>
        <v>9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'гр (9-12)'!C9</f>
        <v>ПОДЛАЗОВ Владислав</v>
      </c>
      <c r="C110" s="960" t="str">
        <f>'гр (9-12)'!C7</f>
        <v>МАНЦУРОВ Тихон</v>
      </c>
      <c r="D110" s="961"/>
      <c r="E110" s="966"/>
      <c r="G110" s="960" t="str">
        <f>'гр (9-12)'!C17</f>
        <v>ПРИЗЕНКО Артем</v>
      </c>
      <c r="H110" s="960" t="str">
        <f>'гр (9-12)'!C15</f>
        <v>ВАСИКОВ Евгений</v>
      </c>
      <c r="I110" s="961"/>
      <c r="J110" s="966"/>
      <c r="L110" s="960" t="str">
        <f>'гр (9-12)'!C19</f>
        <v/>
      </c>
      <c r="M110" s="960" t="str">
        <f>'гр (9-12)'!C13</f>
        <v>МИШУКОВ Михаил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Групповой этап</v>
      </c>
      <c r="C122" s="1199"/>
      <c r="D122" s="955"/>
      <c r="E122" s="956"/>
      <c r="G122" s="1199" t="str">
        <f>B2</f>
        <v>Групповой этап</v>
      </c>
      <c r="H122" s="1199"/>
      <c r="I122" s="955"/>
      <c r="J122" s="956"/>
      <c r="L122" s="1199" t="str">
        <f>B2</f>
        <v>Групповой этап</v>
      </c>
      <c r="M122" s="1199"/>
      <c r="N122" s="961"/>
    </row>
    <row r="123" spans="1:14" x14ac:dyDescent="0.3">
      <c r="B123" s="957" t="s">
        <v>11956</v>
      </c>
      <c r="C123" s="958">
        <f>C3</f>
        <v>9</v>
      </c>
      <c r="D123" s="962"/>
      <c r="E123" s="963"/>
      <c r="G123" s="957" t="s">
        <v>11956</v>
      </c>
      <c r="H123" s="958">
        <f>C3</f>
        <v>9</v>
      </c>
      <c r="I123" s="962"/>
      <c r="J123" s="963"/>
      <c r="L123" s="957" t="s">
        <v>11956</v>
      </c>
      <c r="M123" s="958">
        <f>C3</f>
        <v>9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'гр (9-12)'!C5</f>
        <v>САВЕЛЬЕВ Никита</v>
      </c>
      <c r="C125" s="960" t="str">
        <f>'гр (9-12)'!C7</f>
        <v>МАНЦУРОВ Тихон</v>
      </c>
      <c r="D125" s="961"/>
      <c r="E125" s="966"/>
      <c r="G125" s="960" t="str">
        <f>'гр (9-12)'!C9</f>
        <v>ПОДЛАЗОВ Владислав</v>
      </c>
      <c r="H125" s="960" t="str">
        <f>'гр (9-12)'!C11</f>
        <v>КУРИЛОВИЧ Ярослав</v>
      </c>
      <c r="I125" s="961"/>
      <c r="J125" s="966"/>
      <c r="L125" s="960" t="str">
        <f>'гр (9-12)'!C13</f>
        <v>МИШУКОВ Михаил</v>
      </c>
      <c r="M125" s="960" t="str">
        <f>'гр (9-12)'!C15</f>
        <v>ВАСИКОВ Евгений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Групповой этап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 t="s">
        <v>11956</v>
      </c>
      <c r="C138" s="975">
        <f>C3</f>
        <v>9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'гр (9-12)'!C17</f>
        <v>ПРИЗЕНКО Артем</v>
      </c>
      <c r="C140" s="960" t="str">
        <f>'гр (9-12)'!C19</f>
        <v/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4" manualBreakCount="4">
    <brk id="30" max="16383" man="1"/>
    <brk id="60" max="16383" man="1"/>
    <brk id="90" max="16383" man="1"/>
    <brk id="120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75"/>
  <sheetViews>
    <sheetView topLeftCell="B60" workbookViewId="0">
      <selection activeCell="M66" sqref="M66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9</v>
      </c>
      <c r="D3" s="962"/>
      <c r="E3" s="963"/>
      <c r="G3" s="957" t="s">
        <v>11956</v>
      </c>
      <c r="H3" s="958">
        <f>C3</f>
        <v>9</v>
      </c>
      <c r="I3" s="962"/>
      <c r="J3" s="963"/>
      <c r="L3" s="957" t="s">
        <v>11956</v>
      </c>
      <c r="M3" s="958">
        <f>C3</f>
        <v>9</v>
      </c>
      <c r="N3" s="961"/>
    </row>
    <row r="4" spans="1:14" x14ac:dyDescent="0.3">
      <c r="B4" s="957" t="s">
        <v>11957</v>
      </c>
      <c r="C4" s="959" t="s">
        <v>11970</v>
      </c>
      <c r="D4" s="961"/>
      <c r="G4" s="957" t="s">
        <v>11957</v>
      </c>
      <c r="H4" s="959" t="s">
        <v>11967</v>
      </c>
      <c r="I4" s="964"/>
      <c r="J4" s="965"/>
      <c r="L4" s="957" t="s">
        <v>11957</v>
      </c>
      <c r="M4" s="959" t="s">
        <v>1040</v>
      </c>
      <c r="N4" s="961"/>
    </row>
    <row r="5" spans="1:14" x14ac:dyDescent="0.3">
      <c r="B5" s="960" t="str">
        <f>'гр (9-12)'!C7</f>
        <v>МАНЦУРОВ Тихон</v>
      </c>
      <c r="C5" s="960" t="str">
        <f>'гр (9-12)'!C11</f>
        <v>КУРИЛОВИЧ Ярослав</v>
      </c>
      <c r="D5" s="961"/>
      <c r="E5" s="966"/>
      <c r="G5" s="960" t="str">
        <f>'гр (9-12)'!C5</f>
        <v>САВЕЛЬЕВ Никита</v>
      </c>
      <c r="H5" s="960" t="str">
        <f>'гр (9-12)'!C13</f>
        <v>МИШУКОВ Михаил</v>
      </c>
      <c r="I5" s="961"/>
      <c r="J5" s="966"/>
      <c r="L5" s="960" t="str">
        <f>'гр (9-12)'!C9</f>
        <v>ПОДЛАЗОВ Владислав</v>
      </c>
      <c r="M5" s="960" t="str">
        <f>'гр (9-12)'!C15</f>
        <v>ВАСИКОВ Евгений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9</v>
      </c>
      <c r="D18" s="962"/>
      <c r="E18" s="963"/>
      <c r="G18" s="957" t="s">
        <v>11956</v>
      </c>
      <c r="H18" s="958">
        <f>C3</f>
        <v>9</v>
      </c>
      <c r="I18" s="962"/>
      <c r="J18" s="963"/>
      <c r="L18" s="957" t="s">
        <v>11956</v>
      </c>
      <c r="M18" s="958">
        <f>C3</f>
        <v>9</v>
      </c>
      <c r="N18" s="961"/>
    </row>
    <row r="19" spans="1:14" x14ac:dyDescent="0.3">
      <c r="B19" s="957" t="s">
        <v>11957</v>
      </c>
      <c r="C19" s="959" t="s">
        <v>11981</v>
      </c>
      <c r="D19" s="961"/>
      <c r="G19" s="957" t="s">
        <v>11957</v>
      </c>
      <c r="H19" s="959" t="s">
        <v>1100</v>
      </c>
      <c r="I19" s="964"/>
      <c r="J19" s="965"/>
      <c r="L19" s="957" t="s">
        <v>11957</v>
      </c>
      <c r="M19" s="959" t="s">
        <v>1099</v>
      </c>
      <c r="N19" s="961"/>
    </row>
    <row r="20" spans="1:14" x14ac:dyDescent="0.3">
      <c r="B20" s="960" t="str">
        <f>'гр (9-12)'!C11</f>
        <v>КУРИЛОВИЧ Ярослав</v>
      </c>
      <c r="C20" s="960" t="str">
        <f>'гр (9-12)'!C5</f>
        <v>САВЕЛЬЕВ Никита</v>
      </c>
      <c r="D20" s="961"/>
      <c r="E20" s="966"/>
      <c r="G20" s="960" t="str">
        <f>'гр (9-12)'!C15</f>
        <v>ВАСИКОВ Евгений</v>
      </c>
      <c r="H20" s="960" t="str">
        <f>'гр (9-12)'!C7</f>
        <v>МАНЦУРОВ Тихон</v>
      </c>
      <c r="I20" s="961"/>
      <c r="J20" s="966"/>
      <c r="L20" s="960" t="str">
        <f>'гр (9-12)'!C13</f>
        <v>МИШУКОВ Михаил</v>
      </c>
      <c r="M20" s="960" t="str">
        <f>'гр (9-12)'!C9</f>
        <v>ПОДЛАЗОВ Владислав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9</v>
      </c>
      <c r="D33" s="962"/>
      <c r="E33" s="963"/>
      <c r="G33" s="957" t="s">
        <v>11956</v>
      </c>
      <c r="H33" s="958">
        <f>C3</f>
        <v>9</v>
      </c>
      <c r="I33" s="962"/>
      <c r="J33" s="963"/>
      <c r="L33" s="957" t="s">
        <v>11956</v>
      </c>
      <c r="M33" s="958">
        <f>C3</f>
        <v>9</v>
      </c>
      <c r="N33" s="961"/>
    </row>
    <row r="34" spans="1:14" x14ac:dyDescent="0.3">
      <c r="B34" s="957" t="s">
        <v>11957</v>
      </c>
      <c r="C34" s="959" t="s">
        <v>11971</v>
      </c>
      <c r="D34" s="961"/>
      <c r="G34" s="957" t="s">
        <v>11957</v>
      </c>
      <c r="H34" s="959" t="s">
        <v>1048</v>
      </c>
      <c r="I34" s="964"/>
      <c r="J34" s="965"/>
      <c r="L34" s="957" t="s">
        <v>11957</v>
      </c>
      <c r="M34" s="959" t="s">
        <v>11964</v>
      </c>
      <c r="N34" s="961"/>
    </row>
    <row r="35" spans="1:14" x14ac:dyDescent="0.3">
      <c r="B35" s="960" t="str">
        <f>'гр (9-12)'!C5</f>
        <v>САВЕЛЬЕВ Никита</v>
      </c>
      <c r="C35" s="960" t="str">
        <f>'гр (9-12)'!C9</f>
        <v>ПОДЛАЗОВ Владислав</v>
      </c>
      <c r="D35" s="961"/>
      <c r="E35" s="966"/>
      <c r="G35" s="960" t="str">
        <f>'гр (9-12)'!C7</f>
        <v>МАНЦУРОВ Тихон</v>
      </c>
      <c r="H35" s="960" t="str">
        <f>'гр (9-12)'!C13</f>
        <v>МИШУКОВ Михаил</v>
      </c>
      <c r="I35" s="961"/>
      <c r="J35" s="966"/>
      <c r="L35" s="960" t="str">
        <f>'гр (9-12)'!C11</f>
        <v>КУРИЛОВИЧ Ярослав</v>
      </c>
      <c r="M35" s="960" t="str">
        <f>'гр (9-12)'!C15</f>
        <v>ВАСИКОВ Евгений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9</v>
      </c>
      <c r="D48" s="962"/>
      <c r="E48" s="963"/>
      <c r="G48" s="957" t="s">
        <v>11956</v>
      </c>
      <c r="H48" s="958">
        <f>C3</f>
        <v>9</v>
      </c>
      <c r="I48" s="962"/>
      <c r="J48" s="963"/>
      <c r="L48" s="957" t="s">
        <v>11956</v>
      </c>
      <c r="M48" s="958">
        <f>C3</f>
        <v>9</v>
      </c>
      <c r="N48" s="961"/>
    </row>
    <row r="49" spans="1:14" x14ac:dyDescent="0.3">
      <c r="B49" s="957" t="s">
        <v>11957</v>
      </c>
      <c r="C49" s="959" t="s">
        <v>11982</v>
      </c>
      <c r="D49" s="961"/>
      <c r="G49" s="957" t="s">
        <v>11957</v>
      </c>
      <c r="H49" s="959" t="s">
        <v>11974</v>
      </c>
      <c r="I49" s="964"/>
      <c r="J49" s="965"/>
      <c r="L49" s="957" t="s">
        <v>11957</v>
      </c>
      <c r="M49" s="959" t="s">
        <v>11978</v>
      </c>
      <c r="N49" s="961"/>
    </row>
    <row r="50" spans="1:14" x14ac:dyDescent="0.3">
      <c r="B50" s="960" t="str">
        <f>'гр (9-12)'!C9</f>
        <v>ПОДЛАЗОВ Владислав</v>
      </c>
      <c r="C50" s="960" t="str">
        <f>'гр (9-12)'!C7</f>
        <v>МАНЦУРОВ Тихон</v>
      </c>
      <c r="D50" s="961"/>
      <c r="E50" s="966"/>
      <c r="G50" s="960" t="str">
        <f>'гр (9-12)'!C15</f>
        <v>ВАСИКОВ Евгений</v>
      </c>
      <c r="H50" s="960" t="str">
        <f>'гр (9-12)'!C5</f>
        <v>САВЕЛЬЕВ Никита</v>
      </c>
      <c r="I50" s="961"/>
      <c r="J50" s="966"/>
      <c r="L50" s="960" t="str">
        <f>'гр (9-12)'!C13</f>
        <v>МИШУКОВ Михаил</v>
      </c>
      <c r="M50" s="960" t="str">
        <f>'гр (9-12)'!C11</f>
        <v>КУРИЛОВИЧ Ярослав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9</v>
      </c>
      <c r="D63" s="962"/>
      <c r="E63" s="963"/>
      <c r="G63" s="957" t="s">
        <v>11956</v>
      </c>
      <c r="H63" s="958">
        <f>C3</f>
        <v>9</v>
      </c>
      <c r="I63" s="962"/>
      <c r="J63" s="963"/>
      <c r="L63" s="957" t="s">
        <v>11956</v>
      </c>
      <c r="M63" s="958">
        <f>C3</f>
        <v>9</v>
      </c>
      <c r="N63" s="961"/>
    </row>
    <row r="64" spans="1:14" x14ac:dyDescent="0.3">
      <c r="B64" s="957" t="s">
        <v>11957</v>
      </c>
      <c r="C64" s="959" t="s">
        <v>1114</v>
      </c>
      <c r="D64" s="961"/>
      <c r="G64" s="957" t="s">
        <v>11957</v>
      </c>
      <c r="H64" s="959" t="s">
        <v>1049</v>
      </c>
      <c r="I64" s="964"/>
      <c r="J64" s="965"/>
      <c r="L64" s="957" t="s">
        <v>11957</v>
      </c>
      <c r="M64" s="959" t="s">
        <v>1033</v>
      </c>
      <c r="N64" s="961"/>
    </row>
    <row r="65" spans="1:14" x14ac:dyDescent="0.3">
      <c r="B65" s="960" t="str">
        <f>'гр (9-12)'!C5</f>
        <v>САВЕЛЬЕВ Никита</v>
      </c>
      <c r="C65" s="960" t="str">
        <f>'гр (9-12)'!C7</f>
        <v>МАНЦУРОВ Тихон</v>
      </c>
      <c r="D65" s="961"/>
      <c r="E65" s="966"/>
      <c r="G65" s="960" t="str">
        <f>'гр (9-12)'!C9</f>
        <v>ПОДЛАЗОВ Владислав</v>
      </c>
      <c r="H65" s="960" t="str">
        <f>'гр (9-12)'!C11</f>
        <v>КУРИЛОВИЧ Ярослав</v>
      </c>
      <c r="I65" s="961"/>
      <c r="J65" s="966"/>
      <c r="L65" s="960" t="str">
        <f>'гр (9-12)'!C13</f>
        <v>МИШУКОВ Михаил</v>
      </c>
      <c r="M65" s="960" t="str">
        <f>'гр (9-12)'!C15</f>
        <v>ВАСИКОВ Евгений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</sheetData>
  <mergeCells count="30"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A107" zoomScale="60" zoomScaleNormal="100" workbookViewId="0">
      <selection activeCell="J41" sqref="J31:J41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10</v>
      </c>
      <c r="D3" s="962"/>
      <c r="E3" s="963"/>
      <c r="G3" s="957" t="s">
        <v>11956</v>
      </c>
      <c r="H3" s="958">
        <f>C3</f>
        <v>10</v>
      </c>
      <c r="I3" s="962"/>
      <c r="J3" s="963"/>
      <c r="L3" s="957" t="s">
        <v>11956</v>
      </c>
      <c r="M3" s="958">
        <f>C3</f>
        <v>10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'гр (9-12)'!C27</f>
        <v>КЛЕСТОВ Евгений</v>
      </c>
      <c r="C5" s="960" t="str">
        <f>'гр (9-12)'!C35</f>
        <v>КАРТАВЦЕВ Михаил</v>
      </c>
      <c r="D5" s="961"/>
      <c r="E5" s="966"/>
      <c r="G5" s="960" t="str">
        <f>'гр (9-12)'!C29</f>
        <v>НАЗАРКИН Максим</v>
      </c>
      <c r="H5" s="960" t="str">
        <f>'гр (9-12)'!C33</f>
        <v>ОСМОЛОВСКИЙ Никита</v>
      </c>
      <c r="I5" s="961"/>
      <c r="J5" s="966"/>
      <c r="L5" s="960" t="str">
        <f>'гр (9-12)'!C25</f>
        <v xml:space="preserve">СУЛТАНОВ Артур </v>
      </c>
      <c r="M5" s="960" t="str">
        <f>'гр (9-12)'!C37</f>
        <v>РЯБОШАПКА Федор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10</v>
      </c>
      <c r="D18" s="962"/>
      <c r="E18" s="963"/>
      <c r="G18" s="957" t="s">
        <v>11956</v>
      </c>
      <c r="H18" s="958">
        <f>C3</f>
        <v>10</v>
      </c>
      <c r="I18" s="962"/>
      <c r="J18" s="963"/>
      <c r="L18" s="957" t="s">
        <v>11956</v>
      </c>
      <c r="M18" s="958">
        <f>C3</f>
        <v>10</v>
      </c>
      <c r="N18" s="961"/>
    </row>
    <row r="19" spans="1:14" x14ac:dyDescent="0.3">
      <c r="B19" s="957" t="s">
        <v>11957</v>
      </c>
      <c r="C19" s="959" t="s">
        <v>11958</v>
      </c>
      <c r="D19" s="961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960" t="str">
        <f>'гр (9-12)'!C31</f>
        <v>АКИНЬЩИКОВ Станислав</v>
      </c>
      <c r="C20" s="960" t="str">
        <f>'гр (9-12)'!C39</f>
        <v/>
      </c>
      <c r="D20" s="961"/>
      <c r="E20" s="966"/>
      <c r="G20" s="960" t="str">
        <f>'гр (9-12)'!C33</f>
        <v>ОСМОЛОВСКИЙ Никита</v>
      </c>
      <c r="H20" s="960" t="str">
        <f>'гр (9-12)'!C27</f>
        <v>КЛЕСТОВ Евгений</v>
      </c>
      <c r="I20" s="961"/>
      <c r="J20" s="966"/>
      <c r="L20" s="960" t="str">
        <f>'гр (9-12)'!C35</f>
        <v>КАРТАВЦЕВ Михаил</v>
      </c>
      <c r="M20" s="960" t="str">
        <f>'гр (9-12)'!C25</f>
        <v xml:space="preserve">СУЛТАНОВ Артур 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10</v>
      </c>
      <c r="D33" s="962"/>
      <c r="E33" s="963"/>
      <c r="G33" s="957" t="s">
        <v>11956</v>
      </c>
      <c r="H33" s="958">
        <f>C3</f>
        <v>10</v>
      </c>
      <c r="I33" s="962"/>
      <c r="J33" s="963"/>
      <c r="L33" s="957" t="s">
        <v>11956</v>
      </c>
      <c r="M33" s="958">
        <f>C3</f>
        <v>10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'гр (9-12)'!C39</f>
        <v/>
      </c>
      <c r="C35" s="960" t="str">
        <f>'гр (9-12)'!C29</f>
        <v>НАЗАРКИН Максим</v>
      </c>
      <c r="D35" s="961"/>
      <c r="E35" s="966"/>
      <c r="G35" s="960" t="str">
        <f>'гр (9-12)'!C37</f>
        <v>РЯБОШАПКА Федор</v>
      </c>
      <c r="H35" s="960" t="str">
        <f>'гр (9-12)'!C31</f>
        <v>АКИНЬЩИКОВ Станислав</v>
      </c>
      <c r="I35" s="961"/>
      <c r="J35" s="966"/>
      <c r="L35" s="960" t="str">
        <f>'гр (9-12)'!C25</f>
        <v xml:space="preserve">СУЛТАНОВ Артур </v>
      </c>
      <c r="M35" s="960" t="str">
        <f>'гр (9-12)'!C33</f>
        <v>ОСМОЛОВСКИЙ Никита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10</v>
      </c>
      <c r="D48" s="962"/>
      <c r="E48" s="963"/>
      <c r="G48" s="957" t="s">
        <v>11956</v>
      </c>
      <c r="H48" s="958">
        <f>C3</f>
        <v>10</v>
      </c>
      <c r="I48" s="962"/>
      <c r="J48" s="963"/>
      <c r="L48" s="957" t="s">
        <v>11956</v>
      </c>
      <c r="M48" s="958">
        <f>C3</f>
        <v>10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'гр (9-12)'!C27</f>
        <v>КЛЕСТОВ Евгений</v>
      </c>
      <c r="C50" s="960" t="str">
        <f>'гр (9-12)'!C39</f>
        <v/>
      </c>
      <c r="D50" s="961"/>
      <c r="E50" s="966"/>
      <c r="G50" s="960" t="str">
        <f>'гр (9-12)'!C31</f>
        <v>АКИНЬЩИКОВ Станислав</v>
      </c>
      <c r="H50" s="960" t="str">
        <f>'гр (9-12)'!C35</f>
        <v>КАРТАВЦЕВ Михаил</v>
      </c>
      <c r="I50" s="961"/>
      <c r="J50" s="966"/>
      <c r="L50" s="960" t="str">
        <f>'гр (9-12)'!C29</f>
        <v>НАЗАРКИН Максим</v>
      </c>
      <c r="M50" s="960" t="str">
        <f>'гр (9-12)'!C37</f>
        <v>РЯБОШАПКА Федор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10</v>
      </c>
      <c r="D63" s="962"/>
      <c r="E63" s="963"/>
      <c r="G63" s="957" t="s">
        <v>11956</v>
      </c>
      <c r="H63" s="958">
        <f>C3</f>
        <v>10</v>
      </c>
      <c r="I63" s="962"/>
      <c r="J63" s="963"/>
      <c r="L63" s="957" t="s">
        <v>11956</v>
      </c>
      <c r="M63" s="958">
        <f>C3</f>
        <v>10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'гр (9-12)'!C39</f>
        <v/>
      </c>
      <c r="C65" s="960" t="str">
        <f>'гр (9-12)'!C25</f>
        <v xml:space="preserve">СУЛТАНОВ Артур </v>
      </c>
      <c r="D65" s="961"/>
      <c r="E65" s="966"/>
      <c r="G65" s="960" t="str">
        <f>'гр (9-12)'!C33</f>
        <v>ОСМОЛОВСКИЙ Никита</v>
      </c>
      <c r="H65" s="960" t="str">
        <f>'гр (9-12)'!C31</f>
        <v>АКИНЬЩИКОВ Станислав</v>
      </c>
      <c r="I65" s="961"/>
      <c r="J65" s="966"/>
      <c r="L65" s="960" t="str">
        <f>'гр (9-12)'!C37</f>
        <v>РЯБОШАПКА Федор</v>
      </c>
      <c r="M65" s="960" t="str">
        <f>'гр (9-12)'!C27</f>
        <v>КЛЕСТОВ Евгений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Групповой этап</v>
      </c>
      <c r="C77" s="1199"/>
      <c r="D77" s="955"/>
      <c r="E77" s="956"/>
      <c r="G77" s="1199" t="str">
        <f>B2</f>
        <v>Групповой этап</v>
      </c>
      <c r="H77" s="1199"/>
      <c r="I77" s="955"/>
      <c r="J77" s="956"/>
      <c r="L77" s="1199" t="str">
        <f>B2</f>
        <v>Групповой этап</v>
      </c>
      <c r="M77" s="1199"/>
      <c r="N77" s="961"/>
    </row>
    <row r="78" spans="1:14" x14ac:dyDescent="0.3">
      <c r="B78" s="957" t="s">
        <v>11956</v>
      </c>
      <c r="C78" s="958">
        <f>C3</f>
        <v>10</v>
      </c>
      <c r="D78" s="962"/>
      <c r="E78" s="963"/>
      <c r="G78" s="957" t="s">
        <v>11956</v>
      </c>
      <c r="H78" s="958">
        <f>C3</f>
        <v>10</v>
      </c>
      <c r="I78" s="962"/>
      <c r="J78" s="963"/>
      <c r="L78" s="957" t="s">
        <v>11956</v>
      </c>
      <c r="M78" s="958">
        <f>C3</f>
        <v>10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'гр (9-12)'!C35</f>
        <v>КАРТАВЦЕВ Михаил</v>
      </c>
      <c r="C80" s="960" t="str">
        <f>'гр (9-12)'!C29</f>
        <v>НАЗАРКИН Максим</v>
      </c>
      <c r="D80" s="961"/>
      <c r="E80" s="966"/>
      <c r="G80" s="960" t="str">
        <f>'гр (9-12)'!C25</f>
        <v xml:space="preserve">СУЛТАНОВ Артур </v>
      </c>
      <c r="H80" s="960" t="str">
        <f>'гр (9-12)'!C29</f>
        <v>НАЗАРКИН Максим</v>
      </c>
      <c r="I80" s="961"/>
      <c r="J80" s="966"/>
      <c r="L80" s="960" t="str">
        <f>'гр (9-12)'!C27</f>
        <v>КЛЕСТОВ Евгений</v>
      </c>
      <c r="M80" s="960" t="str">
        <f>'гр (9-12)'!C31</f>
        <v>АКИНЬЩИКОВ Станислав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Групповой этап</v>
      </c>
      <c r="C92" s="1199"/>
      <c r="D92" s="955"/>
      <c r="E92" s="956"/>
      <c r="G92" s="1199" t="str">
        <f>B2</f>
        <v>Групповой этап</v>
      </c>
      <c r="H92" s="1199"/>
      <c r="I92" s="955"/>
      <c r="J92" s="956"/>
      <c r="L92" s="1199" t="str">
        <f>B2</f>
        <v>Групповой этап</v>
      </c>
      <c r="M92" s="1199"/>
      <c r="N92" s="961"/>
    </row>
    <row r="93" spans="1:14" x14ac:dyDescent="0.3">
      <c r="B93" s="957" t="s">
        <v>11956</v>
      </c>
      <c r="C93" s="958">
        <f>C3</f>
        <v>10</v>
      </c>
      <c r="D93" s="962"/>
      <c r="E93" s="963"/>
      <c r="G93" s="957" t="s">
        <v>11956</v>
      </c>
      <c r="H93" s="958">
        <f>C3</f>
        <v>10</v>
      </c>
      <c r="I93" s="962"/>
      <c r="J93" s="963"/>
      <c r="L93" s="957" t="s">
        <v>11956</v>
      </c>
      <c r="M93" s="958">
        <f>C3</f>
        <v>10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'гр (9-12)'!C33</f>
        <v>ОСМОЛОВСКИЙ Никита</v>
      </c>
      <c r="C95" s="960" t="str">
        <f>'гр (9-12)'!C37</f>
        <v>РЯБОШАПКА Федор</v>
      </c>
      <c r="D95" s="961"/>
      <c r="E95" s="966"/>
      <c r="G95" s="960" t="str">
        <f>'гр (9-12)'!C35</f>
        <v>КАРТАВЦЕВ Михаил</v>
      </c>
      <c r="H95" s="960" t="str">
        <f>'гр (9-12)'!C39</f>
        <v/>
      </c>
      <c r="I95" s="961"/>
      <c r="J95" s="966"/>
      <c r="L95" s="960" t="str">
        <f>'гр (9-12)'!C31</f>
        <v>АКИНЬЩИКОВ Станислав</v>
      </c>
      <c r="M95" s="960" t="str">
        <f>'гр (9-12)'!C25</f>
        <v xml:space="preserve">СУЛТАНОВ Артур 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Групповой этап</v>
      </c>
      <c r="C107" s="1199"/>
      <c r="D107" s="955"/>
      <c r="E107" s="956"/>
      <c r="G107" s="1199" t="str">
        <f>B2</f>
        <v>Групповой этап</v>
      </c>
      <c r="H107" s="1199"/>
      <c r="I107" s="955"/>
      <c r="J107" s="956"/>
      <c r="L107" s="1199" t="str">
        <f>B2</f>
        <v>Групповой этап</v>
      </c>
      <c r="M107" s="1199"/>
      <c r="N107" s="961"/>
    </row>
    <row r="108" spans="1:14" x14ac:dyDescent="0.3">
      <c r="B108" s="957" t="s">
        <v>11956</v>
      </c>
      <c r="C108" s="958">
        <f>C3</f>
        <v>10</v>
      </c>
      <c r="D108" s="962"/>
      <c r="E108" s="963"/>
      <c r="G108" s="957" t="s">
        <v>11956</v>
      </c>
      <c r="H108" s="958">
        <f>C3</f>
        <v>10</v>
      </c>
      <c r="I108" s="962"/>
      <c r="J108" s="963"/>
      <c r="L108" s="957" t="s">
        <v>11956</v>
      </c>
      <c r="M108" s="958">
        <f>C3</f>
        <v>10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'гр (9-12)'!C29</f>
        <v>НАЗАРКИН Максим</v>
      </c>
      <c r="C110" s="960" t="str">
        <f>'гр (9-12)'!C27</f>
        <v>КЛЕСТОВ Евгений</v>
      </c>
      <c r="D110" s="961"/>
      <c r="E110" s="966"/>
      <c r="G110" s="960" t="str">
        <f>'гр (9-12)'!C37</f>
        <v>РЯБОШАПКА Федор</v>
      </c>
      <c r="H110" s="960" t="str">
        <f>'гр (9-12)'!C35</f>
        <v>КАРТАВЦЕВ Михаил</v>
      </c>
      <c r="I110" s="961"/>
      <c r="J110" s="966"/>
      <c r="L110" s="960" t="str">
        <f>'гр (9-12)'!C39</f>
        <v/>
      </c>
      <c r="M110" s="960" t="str">
        <f>'гр (9-12)'!C33</f>
        <v>ОСМОЛОВСКИЙ Никита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Групповой этап</v>
      </c>
      <c r="C122" s="1199"/>
      <c r="D122" s="955"/>
      <c r="E122" s="956"/>
      <c r="G122" s="1199" t="str">
        <f>B2</f>
        <v>Групповой этап</v>
      </c>
      <c r="H122" s="1199"/>
      <c r="I122" s="955"/>
      <c r="J122" s="956"/>
      <c r="L122" s="1199" t="str">
        <f>B2</f>
        <v>Групповой этап</v>
      </c>
      <c r="M122" s="1199"/>
      <c r="N122" s="961"/>
    </row>
    <row r="123" spans="1:14" x14ac:dyDescent="0.3">
      <c r="B123" s="957" t="s">
        <v>11956</v>
      </c>
      <c r="C123" s="958">
        <f>C3</f>
        <v>10</v>
      </c>
      <c r="D123" s="962"/>
      <c r="E123" s="963"/>
      <c r="G123" s="957" t="s">
        <v>11956</v>
      </c>
      <c r="H123" s="958">
        <f>C3</f>
        <v>10</v>
      </c>
      <c r="I123" s="962"/>
      <c r="J123" s="963"/>
      <c r="L123" s="957" t="s">
        <v>11956</v>
      </c>
      <c r="M123" s="958">
        <f>C3</f>
        <v>10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'гр (9-12)'!C25</f>
        <v xml:space="preserve">СУЛТАНОВ Артур </v>
      </c>
      <c r="C125" s="960" t="str">
        <f>'гр (9-12)'!C27</f>
        <v>КЛЕСТОВ Евгений</v>
      </c>
      <c r="D125" s="961"/>
      <c r="E125" s="966"/>
      <c r="G125" s="960" t="str">
        <f>'гр (9-12)'!C29</f>
        <v>НАЗАРКИН Максим</v>
      </c>
      <c r="H125" s="960" t="str">
        <f>'гр (9-12)'!C31</f>
        <v>АКИНЬЩИКОВ Станислав</v>
      </c>
      <c r="I125" s="961"/>
      <c r="J125" s="966"/>
      <c r="L125" s="960" t="str">
        <f>'гр (9-12)'!C33</f>
        <v>ОСМОЛОВСКИЙ Никита</v>
      </c>
      <c r="M125" s="960" t="str">
        <f>'гр (9-12)'!C35</f>
        <v>КАРТАВЦЕВ Михаил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Групповой этап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 t="s">
        <v>11956</v>
      </c>
      <c r="C138" s="975">
        <f>C3</f>
        <v>10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'гр (9-12)'!C37</f>
        <v>РЯБОШАПКА Федор</v>
      </c>
      <c r="C140" s="960" t="str">
        <f>'гр (9-12)'!C39</f>
        <v/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4" manualBreakCount="4">
    <brk id="30" max="16383" man="1"/>
    <brk id="60" max="16383" man="1"/>
    <brk id="90" max="16383" man="1"/>
    <brk id="120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75"/>
  <sheetViews>
    <sheetView topLeftCell="B45" workbookViewId="0">
      <selection activeCell="B55" sqref="B55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10</v>
      </c>
      <c r="D3" s="962"/>
      <c r="E3" s="963"/>
      <c r="G3" s="957" t="s">
        <v>11956</v>
      </c>
      <c r="H3" s="958">
        <f>C3</f>
        <v>10</v>
      </c>
      <c r="I3" s="962"/>
      <c r="J3" s="963"/>
      <c r="L3" s="957" t="s">
        <v>11956</v>
      </c>
      <c r="M3" s="958">
        <f>C3</f>
        <v>10</v>
      </c>
      <c r="N3" s="961"/>
    </row>
    <row r="4" spans="1:14" x14ac:dyDescent="0.3">
      <c r="B4" s="957" t="s">
        <v>11957</v>
      </c>
      <c r="C4" s="959" t="s">
        <v>11970</v>
      </c>
      <c r="D4" s="961"/>
      <c r="G4" s="957" t="s">
        <v>11957</v>
      </c>
      <c r="H4" s="959" t="s">
        <v>11967</v>
      </c>
      <c r="I4" s="964"/>
      <c r="J4" s="965"/>
      <c r="L4" s="957" t="s">
        <v>11957</v>
      </c>
      <c r="M4" s="959" t="s">
        <v>1040</v>
      </c>
      <c r="N4" s="961"/>
    </row>
    <row r="5" spans="1:14" x14ac:dyDescent="0.3">
      <c r="B5" s="960" t="str">
        <f>'гр (9-12)'!C27</f>
        <v>КЛЕСТОВ Евгений</v>
      </c>
      <c r="C5" s="960" t="str">
        <f>'гр (9-12)'!C31</f>
        <v>АКИНЬЩИКОВ Станислав</v>
      </c>
      <c r="D5" s="961"/>
      <c r="E5" s="966"/>
      <c r="G5" s="960" t="str">
        <f>'гр (9-12)'!C25</f>
        <v xml:space="preserve">СУЛТАНОВ Артур </v>
      </c>
      <c r="H5" s="960" t="str">
        <f>'гр (9-12)'!C33</f>
        <v>ОСМОЛОВСКИЙ Никита</v>
      </c>
      <c r="I5" s="961"/>
      <c r="J5" s="966"/>
      <c r="L5" s="960" t="str">
        <f>'гр (9-12)'!C29</f>
        <v>НАЗАРКИН Максим</v>
      </c>
      <c r="M5" s="960" t="str">
        <f>'гр (9-12)'!C35</f>
        <v>КАРТАВЦЕВ Михаил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10</v>
      </c>
      <c r="D18" s="962"/>
      <c r="E18" s="963"/>
      <c r="G18" s="957" t="s">
        <v>11956</v>
      </c>
      <c r="H18" s="958">
        <f>C3</f>
        <v>10</v>
      </c>
      <c r="I18" s="962"/>
      <c r="J18" s="963"/>
      <c r="L18" s="957" t="s">
        <v>11956</v>
      </c>
      <c r="M18" s="958">
        <f>C3</f>
        <v>10</v>
      </c>
      <c r="N18" s="961"/>
    </row>
    <row r="19" spans="1:14" x14ac:dyDescent="0.3">
      <c r="B19" s="957" t="s">
        <v>11957</v>
      </c>
      <c r="C19" s="959" t="s">
        <v>11981</v>
      </c>
      <c r="D19" s="961"/>
      <c r="G19" s="957" t="s">
        <v>11957</v>
      </c>
      <c r="H19" s="959" t="s">
        <v>1100</v>
      </c>
      <c r="I19" s="964"/>
      <c r="J19" s="965"/>
      <c r="L19" s="957" t="s">
        <v>11957</v>
      </c>
      <c r="M19" s="959" t="s">
        <v>1099</v>
      </c>
      <c r="N19" s="961"/>
    </row>
    <row r="20" spans="1:14" x14ac:dyDescent="0.3">
      <c r="B20" s="960" t="str">
        <f>'гр (9-12)'!C31</f>
        <v>АКИНЬЩИКОВ Станислав</v>
      </c>
      <c r="C20" s="960" t="str">
        <f>'гр (9-12)'!C25</f>
        <v xml:space="preserve">СУЛТАНОВ Артур </v>
      </c>
      <c r="D20" s="961"/>
      <c r="E20" s="966"/>
      <c r="G20" s="960" t="str">
        <f>'гр (9-12)'!C35</f>
        <v>КАРТАВЦЕВ Михаил</v>
      </c>
      <c r="H20" s="960" t="str">
        <f>'гр (9-12)'!C27</f>
        <v>КЛЕСТОВ Евгений</v>
      </c>
      <c r="I20" s="961"/>
      <c r="J20" s="966"/>
      <c r="L20" s="960" t="str">
        <f>'гр (9-12)'!C33</f>
        <v>ОСМОЛОВСКИЙ Никита</v>
      </c>
      <c r="M20" s="960" t="str">
        <f>'гр (9-12)'!C29</f>
        <v>НАЗАРКИН Максим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10</v>
      </c>
      <c r="D33" s="962"/>
      <c r="E33" s="963"/>
      <c r="G33" s="957" t="s">
        <v>11956</v>
      </c>
      <c r="H33" s="958">
        <f>C3</f>
        <v>10</v>
      </c>
      <c r="I33" s="962"/>
      <c r="J33" s="963"/>
      <c r="L33" s="957" t="s">
        <v>11956</v>
      </c>
      <c r="M33" s="958">
        <f>C3</f>
        <v>10</v>
      </c>
      <c r="N33" s="961"/>
    </row>
    <row r="34" spans="1:14" x14ac:dyDescent="0.3">
      <c r="B34" s="957" t="s">
        <v>11957</v>
      </c>
      <c r="C34" s="959" t="s">
        <v>11971</v>
      </c>
      <c r="D34" s="961"/>
      <c r="G34" s="957" t="s">
        <v>11957</v>
      </c>
      <c r="H34" s="959" t="s">
        <v>1048</v>
      </c>
      <c r="I34" s="964"/>
      <c r="J34" s="965"/>
      <c r="L34" s="957" t="s">
        <v>11957</v>
      </c>
      <c r="M34" s="959" t="s">
        <v>11964</v>
      </c>
      <c r="N34" s="961"/>
    </row>
    <row r="35" spans="1:14" x14ac:dyDescent="0.3">
      <c r="B35" s="960" t="str">
        <f>'гр (9-12)'!C25</f>
        <v xml:space="preserve">СУЛТАНОВ Артур </v>
      </c>
      <c r="C35" s="960" t="str">
        <f>'гр (9-12)'!C29</f>
        <v>НАЗАРКИН Максим</v>
      </c>
      <c r="D35" s="961"/>
      <c r="E35" s="966"/>
      <c r="G35" s="960" t="str">
        <f>'гр (9-12)'!C27</f>
        <v>КЛЕСТОВ Евгений</v>
      </c>
      <c r="H35" s="960" t="str">
        <f>'гр (9-12)'!C33</f>
        <v>ОСМОЛОВСКИЙ Никита</v>
      </c>
      <c r="I35" s="961"/>
      <c r="J35" s="966"/>
      <c r="L35" s="960" t="str">
        <f>'гр (9-12)'!C31</f>
        <v>АКИНЬЩИКОВ Станислав</v>
      </c>
      <c r="M35" s="960" t="str">
        <f>'гр (9-12)'!C35</f>
        <v>КАРТАВЦЕВ Михаил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10</v>
      </c>
      <c r="D48" s="962"/>
      <c r="E48" s="963"/>
      <c r="G48" s="957" t="s">
        <v>11956</v>
      </c>
      <c r="H48" s="958">
        <f>C3</f>
        <v>10</v>
      </c>
      <c r="I48" s="962"/>
      <c r="J48" s="963"/>
      <c r="L48" s="957" t="s">
        <v>11956</v>
      </c>
      <c r="M48" s="958">
        <f>C3</f>
        <v>10</v>
      </c>
      <c r="N48" s="961"/>
    </row>
    <row r="49" spans="1:14" x14ac:dyDescent="0.3">
      <c r="B49" s="957" t="s">
        <v>11957</v>
      </c>
      <c r="C49" s="959" t="s">
        <v>11982</v>
      </c>
      <c r="D49" s="961"/>
      <c r="G49" s="957" t="s">
        <v>11957</v>
      </c>
      <c r="H49" s="959" t="s">
        <v>11974</v>
      </c>
      <c r="I49" s="964"/>
      <c r="J49" s="965"/>
      <c r="L49" s="957" t="s">
        <v>11957</v>
      </c>
      <c r="M49" s="959" t="s">
        <v>11978</v>
      </c>
      <c r="N49" s="961"/>
    </row>
    <row r="50" spans="1:14" x14ac:dyDescent="0.3">
      <c r="B50" s="960" t="str">
        <f>'гр (9-12)'!C29</f>
        <v>НАЗАРКИН Максим</v>
      </c>
      <c r="C50" s="960" t="str">
        <f>'гр (9-12)'!C27</f>
        <v>КЛЕСТОВ Евгений</v>
      </c>
      <c r="D50" s="961"/>
      <c r="E50" s="966"/>
      <c r="G50" s="960" t="str">
        <f>'гр (9-12)'!C35</f>
        <v>КАРТАВЦЕВ Михаил</v>
      </c>
      <c r="H50" s="960" t="str">
        <f>'гр (9-12)'!C25</f>
        <v xml:space="preserve">СУЛТАНОВ Артур </v>
      </c>
      <c r="I50" s="961"/>
      <c r="J50" s="966"/>
      <c r="L50" s="960" t="str">
        <f>'гр (9-12)'!C33</f>
        <v>ОСМОЛОВСКИЙ Никита</v>
      </c>
      <c r="M50" s="960" t="str">
        <f>'гр (9-12)'!C31</f>
        <v>АКИНЬЩИКОВ Станислав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10</v>
      </c>
      <c r="D63" s="962"/>
      <c r="E63" s="963"/>
      <c r="G63" s="957" t="s">
        <v>11956</v>
      </c>
      <c r="H63" s="958">
        <f>C3</f>
        <v>10</v>
      </c>
      <c r="I63" s="962"/>
      <c r="J63" s="963"/>
      <c r="L63" s="957" t="s">
        <v>11956</v>
      </c>
      <c r="M63" s="958">
        <f>C3</f>
        <v>10</v>
      </c>
      <c r="N63" s="961"/>
    </row>
    <row r="64" spans="1:14" x14ac:dyDescent="0.3">
      <c r="B64" s="957" t="s">
        <v>11957</v>
      </c>
      <c r="C64" s="959" t="s">
        <v>1114</v>
      </c>
      <c r="D64" s="961"/>
      <c r="G64" s="957" t="s">
        <v>11957</v>
      </c>
      <c r="H64" s="959" t="s">
        <v>1049</v>
      </c>
      <c r="I64" s="964"/>
      <c r="J64" s="965"/>
      <c r="L64" s="957" t="s">
        <v>11957</v>
      </c>
      <c r="M64" s="959" t="s">
        <v>1033</v>
      </c>
      <c r="N64" s="961"/>
    </row>
    <row r="65" spans="1:14" x14ac:dyDescent="0.3">
      <c r="B65" s="960" t="str">
        <f>'гр (9-12)'!C25</f>
        <v xml:space="preserve">СУЛТАНОВ Артур </v>
      </c>
      <c r="C65" s="960" t="str">
        <f>'гр (9-12)'!C27</f>
        <v>КЛЕСТОВ Евгений</v>
      </c>
      <c r="D65" s="961"/>
      <c r="E65" s="966"/>
      <c r="G65" s="960" t="str">
        <f>'гр (9-12)'!C29</f>
        <v>НАЗАРКИН Максим</v>
      </c>
      <c r="H65" s="960" t="str">
        <f>'гр (9-12)'!C31</f>
        <v>АКИНЬЩИКОВ Станислав</v>
      </c>
      <c r="I65" s="961"/>
      <c r="J65" s="966"/>
      <c r="L65" s="960" t="str">
        <f>'гр (9-12)'!C33</f>
        <v>ОСМОЛОВСКИЙ Никита</v>
      </c>
      <c r="M65" s="960" t="str">
        <f>'гр (9-12)'!C35</f>
        <v>КАРТАВЦЕВ Михаил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</sheetData>
  <mergeCells count="30"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A140" zoomScale="60" zoomScaleNormal="100" workbookViewId="0">
      <selection activeCell="H127" sqref="H123:H127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11</v>
      </c>
      <c r="D3" s="962"/>
      <c r="E3" s="963"/>
      <c r="G3" s="957" t="s">
        <v>11956</v>
      </c>
      <c r="H3" s="958">
        <f>C3</f>
        <v>11</v>
      </c>
      <c r="I3" s="962"/>
      <c r="J3" s="963"/>
      <c r="L3" s="957" t="s">
        <v>11956</v>
      </c>
      <c r="M3" s="958">
        <f>C3</f>
        <v>11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'гр (9-12)'!C47</f>
        <v>КОМИССАРОВ Даниил</v>
      </c>
      <c r="C5" s="960" t="str">
        <f>'гр (9-12)'!C55</f>
        <v>МАЛЫК Никита</v>
      </c>
      <c r="D5" s="961"/>
      <c r="E5" s="966"/>
      <c r="G5" s="960" t="str">
        <f>'гр (9-12)'!C49</f>
        <v>ПЛАХОТНИК Александр</v>
      </c>
      <c r="H5" s="960" t="str">
        <f>'гр (9-12)'!C53</f>
        <v>РЕКУТИН Вадим</v>
      </c>
      <c r="I5" s="961"/>
      <c r="J5" s="966"/>
      <c r="L5" s="960" t="str">
        <f>'гр (9-12)'!C45</f>
        <v>ПАНФИЛОВ Федор</v>
      </c>
      <c r="M5" s="960" t="str">
        <f>'гр (9-12)'!C57</f>
        <v>БУЛАВИН Михаил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11</v>
      </c>
      <c r="D18" s="962"/>
      <c r="E18" s="963"/>
      <c r="G18" s="957" t="s">
        <v>11956</v>
      </c>
      <c r="H18" s="958">
        <f>C3</f>
        <v>11</v>
      </c>
      <c r="I18" s="962"/>
      <c r="J18" s="963"/>
      <c r="L18" s="957" t="s">
        <v>11956</v>
      </c>
      <c r="M18" s="958">
        <f>C3</f>
        <v>11</v>
      </c>
      <c r="N18" s="961"/>
    </row>
    <row r="19" spans="1:14" x14ac:dyDescent="0.3">
      <c r="B19" s="957" t="s">
        <v>11957</v>
      </c>
      <c r="C19" s="959" t="s">
        <v>11958</v>
      </c>
      <c r="D19" s="961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960" t="str">
        <f>'гр (9-12)'!C51</f>
        <v>ГИНОСЯН Геворг</v>
      </c>
      <c r="C20" s="960" t="str">
        <f>'гр (9-12)'!C59</f>
        <v/>
      </c>
      <c r="D20" s="961"/>
      <c r="E20" s="966"/>
      <c r="G20" s="960" t="str">
        <f>'гр (9-12)'!C53</f>
        <v>РЕКУТИН Вадим</v>
      </c>
      <c r="H20" s="960" t="str">
        <f>'гр (9-12)'!C47</f>
        <v>КОМИССАРОВ Даниил</v>
      </c>
      <c r="I20" s="961"/>
      <c r="J20" s="966"/>
      <c r="L20" s="960" t="str">
        <f>'гр (9-12)'!C55</f>
        <v>МАЛЫК Никита</v>
      </c>
      <c r="M20" s="960" t="str">
        <f>'гр (9-12)'!C45</f>
        <v>ПАНФИЛОВ Федор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11</v>
      </c>
      <c r="D33" s="962"/>
      <c r="E33" s="963"/>
      <c r="G33" s="957" t="s">
        <v>11956</v>
      </c>
      <c r="H33" s="958">
        <f>C3</f>
        <v>11</v>
      </c>
      <c r="I33" s="962"/>
      <c r="J33" s="963"/>
      <c r="L33" s="957" t="s">
        <v>11956</v>
      </c>
      <c r="M33" s="958">
        <f>C3</f>
        <v>11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'гр (9-12)'!C59</f>
        <v/>
      </c>
      <c r="C35" s="960" t="str">
        <f>'гр (9-12)'!C49</f>
        <v>ПЛАХОТНИК Александр</v>
      </c>
      <c r="D35" s="961"/>
      <c r="E35" s="966"/>
      <c r="G35" s="960" t="str">
        <f>'гр (9-12)'!C57</f>
        <v>БУЛАВИН Михаил</v>
      </c>
      <c r="H35" s="960" t="str">
        <f>'гр (9-12)'!C51</f>
        <v>ГИНОСЯН Геворг</v>
      </c>
      <c r="I35" s="961"/>
      <c r="J35" s="966"/>
      <c r="L35" s="960" t="str">
        <f>'гр (9-12)'!C45</f>
        <v>ПАНФИЛОВ Федор</v>
      </c>
      <c r="M35" s="960" t="str">
        <f>'гр (9-12)'!C53</f>
        <v>РЕКУТИН Вадим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11</v>
      </c>
      <c r="D48" s="962"/>
      <c r="E48" s="963"/>
      <c r="G48" s="957" t="s">
        <v>11956</v>
      </c>
      <c r="H48" s="958">
        <f>C3</f>
        <v>11</v>
      </c>
      <c r="I48" s="962"/>
      <c r="J48" s="963"/>
      <c r="L48" s="957" t="s">
        <v>11956</v>
      </c>
      <c r="M48" s="958">
        <f>C3</f>
        <v>11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'гр (9-12)'!C47</f>
        <v>КОМИССАРОВ Даниил</v>
      </c>
      <c r="C50" s="960" t="str">
        <f>'гр (9-12)'!C59</f>
        <v/>
      </c>
      <c r="D50" s="961"/>
      <c r="E50" s="966"/>
      <c r="G50" s="960" t="str">
        <f>'гр (9-12)'!C51</f>
        <v>ГИНОСЯН Геворг</v>
      </c>
      <c r="H50" s="960" t="str">
        <f>'гр (9-12)'!C55</f>
        <v>МАЛЫК Никита</v>
      </c>
      <c r="I50" s="961"/>
      <c r="J50" s="966"/>
      <c r="L50" s="960" t="str">
        <f>'гр (9-12)'!C49</f>
        <v>ПЛАХОТНИК Александр</v>
      </c>
      <c r="M50" s="960" t="str">
        <f>'гр (9-12)'!C57</f>
        <v>БУЛАВИН Михаил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11</v>
      </c>
      <c r="D63" s="962"/>
      <c r="E63" s="963"/>
      <c r="G63" s="957" t="s">
        <v>11956</v>
      </c>
      <c r="H63" s="958">
        <f>C3</f>
        <v>11</v>
      </c>
      <c r="I63" s="962"/>
      <c r="J63" s="963"/>
      <c r="L63" s="957" t="s">
        <v>11956</v>
      </c>
      <c r="M63" s="958">
        <f>C3</f>
        <v>11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'гр (9-12)'!C59</f>
        <v/>
      </c>
      <c r="C65" s="960" t="str">
        <f>'гр (9-12)'!C45</f>
        <v>ПАНФИЛОВ Федор</v>
      </c>
      <c r="D65" s="961"/>
      <c r="E65" s="966"/>
      <c r="G65" s="960" t="str">
        <f>'гр (9-12)'!C53</f>
        <v>РЕКУТИН Вадим</v>
      </c>
      <c r="H65" s="960" t="str">
        <f>'гр (9-12)'!C51</f>
        <v>ГИНОСЯН Геворг</v>
      </c>
      <c r="I65" s="961"/>
      <c r="J65" s="966"/>
      <c r="L65" s="960" t="str">
        <f>'гр (9-12)'!C57</f>
        <v>БУЛАВИН Михаил</v>
      </c>
      <c r="M65" s="960" t="str">
        <f>'гр (9-12)'!C47</f>
        <v>КОМИССАРОВ Даниил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Групповой этап</v>
      </c>
      <c r="C77" s="1199"/>
      <c r="D77" s="955"/>
      <c r="E77" s="956"/>
      <c r="G77" s="1199" t="str">
        <f>B2</f>
        <v>Групповой этап</v>
      </c>
      <c r="H77" s="1199"/>
      <c r="I77" s="955"/>
      <c r="J77" s="956"/>
      <c r="L77" s="1199" t="str">
        <f>B2</f>
        <v>Групповой этап</v>
      </c>
      <c r="M77" s="1199"/>
      <c r="N77" s="961"/>
    </row>
    <row r="78" spans="1:14" x14ac:dyDescent="0.3">
      <c r="B78" s="957" t="s">
        <v>11956</v>
      </c>
      <c r="C78" s="958">
        <f>C3</f>
        <v>11</v>
      </c>
      <c r="D78" s="962"/>
      <c r="E78" s="963"/>
      <c r="G78" s="957" t="s">
        <v>11956</v>
      </c>
      <c r="H78" s="958">
        <f>C3</f>
        <v>11</v>
      </c>
      <c r="I78" s="962"/>
      <c r="J78" s="963"/>
      <c r="L78" s="957" t="s">
        <v>11956</v>
      </c>
      <c r="M78" s="958">
        <f>C3</f>
        <v>11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'гр (9-12)'!C55</f>
        <v>МАЛЫК Никита</v>
      </c>
      <c r="C80" s="960" t="str">
        <f>'гр (9-12)'!C49</f>
        <v>ПЛАХОТНИК Александр</v>
      </c>
      <c r="D80" s="961"/>
      <c r="E80" s="966"/>
      <c r="G80" s="960" t="str">
        <f>'гр (9-12)'!C45</f>
        <v>ПАНФИЛОВ Федор</v>
      </c>
      <c r="H80" s="960" t="str">
        <f>'гр (9-12)'!C49</f>
        <v>ПЛАХОТНИК Александр</v>
      </c>
      <c r="I80" s="961"/>
      <c r="J80" s="966"/>
      <c r="L80" s="960" t="str">
        <f>'гр (9-12)'!C47</f>
        <v>КОМИССАРОВ Даниил</v>
      </c>
      <c r="M80" s="960" t="str">
        <f>'гр (9-12)'!C51</f>
        <v>ГИНОСЯН Геворг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Групповой этап</v>
      </c>
      <c r="C92" s="1199"/>
      <c r="D92" s="955"/>
      <c r="E92" s="956"/>
      <c r="G92" s="1199" t="str">
        <f>B2</f>
        <v>Групповой этап</v>
      </c>
      <c r="H92" s="1199"/>
      <c r="I92" s="955"/>
      <c r="J92" s="956"/>
      <c r="L92" s="1199" t="str">
        <f>B2</f>
        <v>Групповой этап</v>
      </c>
      <c r="M92" s="1199"/>
      <c r="N92" s="961"/>
    </row>
    <row r="93" spans="1:14" x14ac:dyDescent="0.3">
      <c r="B93" s="957" t="s">
        <v>11956</v>
      </c>
      <c r="C93" s="958">
        <f>C3</f>
        <v>11</v>
      </c>
      <c r="D93" s="962"/>
      <c r="E93" s="963"/>
      <c r="G93" s="957" t="s">
        <v>11956</v>
      </c>
      <c r="H93" s="958">
        <f>C3</f>
        <v>11</v>
      </c>
      <c r="I93" s="962"/>
      <c r="J93" s="963"/>
      <c r="L93" s="957" t="s">
        <v>11956</v>
      </c>
      <c r="M93" s="958">
        <f>C3</f>
        <v>11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'гр (9-12)'!C53</f>
        <v>РЕКУТИН Вадим</v>
      </c>
      <c r="C95" s="960" t="str">
        <f>'гр (9-12)'!C57</f>
        <v>БУЛАВИН Михаил</v>
      </c>
      <c r="D95" s="961"/>
      <c r="E95" s="966"/>
      <c r="G95" s="960" t="str">
        <f>'гр (9-12)'!C55</f>
        <v>МАЛЫК Никита</v>
      </c>
      <c r="H95" s="960" t="str">
        <f>'гр (9-12)'!C59</f>
        <v/>
      </c>
      <c r="I95" s="961"/>
      <c r="J95" s="966"/>
      <c r="L95" s="960" t="str">
        <f>'гр (9-12)'!C51</f>
        <v>ГИНОСЯН Геворг</v>
      </c>
      <c r="M95" s="960" t="str">
        <f>'гр (9-12)'!C45</f>
        <v>ПАНФИЛОВ Федор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Групповой этап</v>
      </c>
      <c r="C107" s="1199"/>
      <c r="D107" s="955"/>
      <c r="E107" s="956"/>
      <c r="G107" s="1199" t="str">
        <f>B2</f>
        <v>Групповой этап</v>
      </c>
      <c r="H107" s="1199"/>
      <c r="I107" s="955"/>
      <c r="J107" s="956"/>
      <c r="L107" s="1199" t="str">
        <f>B2</f>
        <v>Групповой этап</v>
      </c>
      <c r="M107" s="1199"/>
      <c r="N107" s="961"/>
    </row>
    <row r="108" spans="1:14" x14ac:dyDescent="0.3">
      <c r="B108" s="957" t="s">
        <v>11956</v>
      </c>
      <c r="C108" s="958">
        <f>C3</f>
        <v>11</v>
      </c>
      <c r="D108" s="962"/>
      <c r="E108" s="963"/>
      <c r="G108" s="957" t="s">
        <v>11956</v>
      </c>
      <c r="H108" s="958">
        <f>C3</f>
        <v>11</v>
      </c>
      <c r="I108" s="962"/>
      <c r="J108" s="963"/>
      <c r="L108" s="957" t="s">
        <v>11956</v>
      </c>
      <c r="M108" s="958">
        <f>C3</f>
        <v>11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'гр (9-12)'!C49</f>
        <v>ПЛАХОТНИК Александр</v>
      </c>
      <c r="C110" s="960" t="str">
        <f>'гр (9-12)'!C47</f>
        <v>КОМИССАРОВ Даниил</v>
      </c>
      <c r="D110" s="961"/>
      <c r="E110" s="966"/>
      <c r="G110" s="960" t="str">
        <f>'гр (9-12)'!C57</f>
        <v>БУЛАВИН Михаил</v>
      </c>
      <c r="H110" s="960" t="str">
        <f>'гр (9-12)'!C55</f>
        <v>МАЛЫК Никита</v>
      </c>
      <c r="I110" s="961"/>
      <c r="J110" s="966"/>
      <c r="L110" s="960" t="str">
        <f>'гр (9-12)'!C59</f>
        <v/>
      </c>
      <c r="M110" s="960" t="str">
        <f>'гр (9-12)'!C53</f>
        <v>РЕКУТИН Вадим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Групповой этап</v>
      </c>
      <c r="C122" s="1199"/>
      <c r="D122" s="955"/>
      <c r="E122" s="956"/>
      <c r="G122" s="1199" t="str">
        <f>B2</f>
        <v>Групповой этап</v>
      </c>
      <c r="H122" s="1199"/>
      <c r="I122" s="955"/>
      <c r="J122" s="956"/>
      <c r="L122" s="1199" t="str">
        <f>B2</f>
        <v>Групповой этап</v>
      </c>
      <c r="M122" s="1199"/>
      <c r="N122" s="961"/>
    </row>
    <row r="123" spans="1:14" x14ac:dyDescent="0.3">
      <c r="B123" s="957" t="s">
        <v>11956</v>
      </c>
      <c r="C123" s="958">
        <f>C3</f>
        <v>11</v>
      </c>
      <c r="D123" s="962"/>
      <c r="E123" s="963"/>
      <c r="G123" s="957" t="s">
        <v>11956</v>
      </c>
      <c r="H123" s="958">
        <f>C3</f>
        <v>11</v>
      </c>
      <c r="I123" s="962"/>
      <c r="J123" s="963"/>
      <c r="L123" s="957" t="s">
        <v>11956</v>
      </c>
      <c r="M123" s="958">
        <f>C3</f>
        <v>11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'гр (9-12)'!C45</f>
        <v>ПАНФИЛОВ Федор</v>
      </c>
      <c r="C125" s="960" t="str">
        <f>'гр (9-12)'!C47</f>
        <v>КОМИССАРОВ Даниил</v>
      </c>
      <c r="D125" s="961"/>
      <c r="E125" s="966"/>
      <c r="G125" s="960" t="str">
        <f>'гр (9-12)'!C49</f>
        <v>ПЛАХОТНИК Александр</v>
      </c>
      <c r="H125" s="960" t="str">
        <f>'гр (9-12)'!C51</f>
        <v>ГИНОСЯН Геворг</v>
      </c>
      <c r="I125" s="961"/>
      <c r="J125" s="966"/>
      <c r="L125" s="960" t="str">
        <f>'гр (9-12)'!C53</f>
        <v>РЕКУТИН Вадим</v>
      </c>
      <c r="M125" s="960" t="str">
        <f>'гр (9-12)'!C55</f>
        <v>МАЛЫК Никита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Групповой этап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 t="s">
        <v>11956</v>
      </c>
      <c r="C138" s="975">
        <f>C3</f>
        <v>11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'гр (9-12)'!C57</f>
        <v>БУЛАВИН Михаил</v>
      </c>
      <c r="C140" s="960" t="str">
        <f>'гр (9-12)'!C59</f>
        <v/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4" manualBreakCount="4">
    <brk id="30" max="16383" man="1"/>
    <brk id="60" max="16383" man="1"/>
    <brk id="90" max="16383" man="1"/>
    <brk id="120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75"/>
  <sheetViews>
    <sheetView topLeftCell="B55" workbookViewId="0">
      <selection activeCell="M66" sqref="M66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11</v>
      </c>
      <c r="D3" s="962"/>
      <c r="E3" s="963"/>
      <c r="G3" s="957" t="s">
        <v>11956</v>
      </c>
      <c r="H3" s="958">
        <f>C3</f>
        <v>11</v>
      </c>
      <c r="I3" s="962"/>
      <c r="J3" s="963"/>
      <c r="L3" s="957" t="s">
        <v>11956</v>
      </c>
      <c r="M3" s="958">
        <f>C3</f>
        <v>11</v>
      </c>
      <c r="N3" s="961"/>
    </row>
    <row r="4" spans="1:14" x14ac:dyDescent="0.3">
      <c r="B4" s="957" t="s">
        <v>11957</v>
      </c>
      <c r="C4" s="959" t="s">
        <v>11970</v>
      </c>
      <c r="D4" s="961"/>
      <c r="G4" s="957" t="s">
        <v>11957</v>
      </c>
      <c r="H4" s="959" t="s">
        <v>11967</v>
      </c>
      <c r="I4" s="964"/>
      <c r="J4" s="965"/>
      <c r="L4" s="957" t="s">
        <v>11957</v>
      </c>
      <c r="M4" s="959" t="s">
        <v>1040</v>
      </c>
      <c r="N4" s="961"/>
    </row>
    <row r="5" spans="1:14" x14ac:dyDescent="0.3">
      <c r="B5" s="960" t="str">
        <f>'гр (9-12)'!C47</f>
        <v>КОМИССАРОВ Даниил</v>
      </c>
      <c r="C5" s="960" t="str">
        <f>'гр (9-12)'!C51</f>
        <v>ГИНОСЯН Геворг</v>
      </c>
      <c r="D5" s="961"/>
      <c r="E5" s="966"/>
      <c r="G5" s="960" t="str">
        <f>'гр (9-12)'!C45</f>
        <v>ПАНФИЛОВ Федор</v>
      </c>
      <c r="H5" s="960" t="str">
        <f>'гр (9-12)'!C53</f>
        <v>РЕКУТИН Вадим</v>
      </c>
      <c r="I5" s="961"/>
      <c r="J5" s="966"/>
      <c r="L5" s="960" t="str">
        <f>'гр (9-12)'!C49</f>
        <v>ПЛАХОТНИК Александр</v>
      </c>
      <c r="M5" s="960" t="str">
        <f>'гр (9-12)'!C55</f>
        <v>МАЛЫК Никита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11</v>
      </c>
      <c r="D18" s="962"/>
      <c r="E18" s="963"/>
      <c r="G18" s="957" t="s">
        <v>11956</v>
      </c>
      <c r="H18" s="958">
        <f>C3</f>
        <v>11</v>
      </c>
      <c r="I18" s="962"/>
      <c r="J18" s="963"/>
      <c r="L18" s="957" t="s">
        <v>11956</v>
      </c>
      <c r="M18" s="958">
        <f>C3</f>
        <v>11</v>
      </c>
      <c r="N18" s="961"/>
    </row>
    <row r="19" spans="1:14" x14ac:dyDescent="0.3">
      <c r="B19" s="957" t="s">
        <v>11957</v>
      </c>
      <c r="C19" s="959" t="s">
        <v>11981</v>
      </c>
      <c r="D19" s="961"/>
      <c r="G19" s="957" t="s">
        <v>11957</v>
      </c>
      <c r="H19" s="959" t="s">
        <v>1100</v>
      </c>
      <c r="I19" s="964"/>
      <c r="J19" s="965"/>
      <c r="L19" s="957" t="s">
        <v>11957</v>
      </c>
      <c r="M19" s="959" t="s">
        <v>1099</v>
      </c>
      <c r="N19" s="961"/>
    </row>
    <row r="20" spans="1:14" x14ac:dyDescent="0.3">
      <c r="B20" s="960" t="str">
        <f>'гр (9-12)'!C51</f>
        <v>ГИНОСЯН Геворг</v>
      </c>
      <c r="C20" s="960" t="str">
        <f>'гр (9-12)'!C45</f>
        <v>ПАНФИЛОВ Федор</v>
      </c>
      <c r="D20" s="961"/>
      <c r="E20" s="966"/>
      <c r="G20" s="960" t="str">
        <f>'гр (9-12)'!C55</f>
        <v>МАЛЫК Никита</v>
      </c>
      <c r="H20" s="960" t="str">
        <f>'гр (9-12)'!C47</f>
        <v>КОМИССАРОВ Даниил</v>
      </c>
      <c r="I20" s="961"/>
      <c r="J20" s="966"/>
      <c r="L20" s="960" t="str">
        <f>'гр (9-12)'!C53</f>
        <v>РЕКУТИН Вадим</v>
      </c>
      <c r="M20" s="960" t="str">
        <f>'гр (9-12)'!C49</f>
        <v>ПЛАХОТНИК Александр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11</v>
      </c>
      <c r="D33" s="962"/>
      <c r="E33" s="963"/>
      <c r="G33" s="957" t="s">
        <v>11956</v>
      </c>
      <c r="H33" s="958">
        <f>C3</f>
        <v>11</v>
      </c>
      <c r="I33" s="962"/>
      <c r="J33" s="963"/>
      <c r="L33" s="957" t="s">
        <v>11956</v>
      </c>
      <c r="M33" s="958">
        <f>C3</f>
        <v>11</v>
      </c>
      <c r="N33" s="961"/>
    </row>
    <row r="34" spans="1:14" x14ac:dyDescent="0.3">
      <c r="B34" s="957" t="s">
        <v>11957</v>
      </c>
      <c r="C34" s="959" t="s">
        <v>11971</v>
      </c>
      <c r="D34" s="961"/>
      <c r="G34" s="957" t="s">
        <v>11957</v>
      </c>
      <c r="H34" s="959" t="s">
        <v>1048</v>
      </c>
      <c r="I34" s="964"/>
      <c r="J34" s="965"/>
      <c r="L34" s="957" t="s">
        <v>11957</v>
      </c>
      <c r="M34" s="959" t="s">
        <v>11964</v>
      </c>
      <c r="N34" s="961"/>
    </row>
    <row r="35" spans="1:14" x14ac:dyDescent="0.3">
      <c r="B35" s="960" t="str">
        <f>'гр (9-12)'!C45</f>
        <v>ПАНФИЛОВ Федор</v>
      </c>
      <c r="C35" s="960" t="str">
        <f>'гр (9-12)'!C49</f>
        <v>ПЛАХОТНИК Александр</v>
      </c>
      <c r="D35" s="961"/>
      <c r="E35" s="966"/>
      <c r="G35" s="960" t="str">
        <f>'гр (9-12)'!C47</f>
        <v>КОМИССАРОВ Даниил</v>
      </c>
      <c r="H35" s="960" t="str">
        <f>'гр (9-12)'!C53</f>
        <v>РЕКУТИН Вадим</v>
      </c>
      <c r="I35" s="961"/>
      <c r="J35" s="966"/>
      <c r="L35" s="960" t="str">
        <f>'гр (9-12)'!C51</f>
        <v>ГИНОСЯН Геворг</v>
      </c>
      <c r="M35" s="960" t="str">
        <f>'гр (9-12)'!C55</f>
        <v>МАЛЫК Никита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11</v>
      </c>
      <c r="D48" s="962"/>
      <c r="E48" s="963"/>
      <c r="G48" s="957" t="s">
        <v>11956</v>
      </c>
      <c r="H48" s="958">
        <f>C3</f>
        <v>11</v>
      </c>
      <c r="I48" s="962"/>
      <c r="J48" s="963"/>
      <c r="L48" s="957" t="s">
        <v>11956</v>
      </c>
      <c r="M48" s="958">
        <f>C3</f>
        <v>11</v>
      </c>
      <c r="N48" s="961"/>
    </row>
    <row r="49" spans="1:14" x14ac:dyDescent="0.3">
      <c r="B49" s="957" t="s">
        <v>11957</v>
      </c>
      <c r="C49" s="959" t="s">
        <v>11982</v>
      </c>
      <c r="D49" s="961"/>
      <c r="G49" s="957" t="s">
        <v>11957</v>
      </c>
      <c r="H49" s="959" t="s">
        <v>11974</v>
      </c>
      <c r="I49" s="964"/>
      <c r="J49" s="965"/>
      <c r="L49" s="957" t="s">
        <v>11957</v>
      </c>
      <c r="M49" s="959" t="s">
        <v>11978</v>
      </c>
      <c r="N49" s="961"/>
    </row>
    <row r="50" spans="1:14" x14ac:dyDescent="0.3">
      <c r="B50" s="960" t="str">
        <f>'гр (9-12)'!C49</f>
        <v>ПЛАХОТНИК Александр</v>
      </c>
      <c r="C50" s="960" t="str">
        <f>'гр (9-12)'!C47</f>
        <v>КОМИССАРОВ Даниил</v>
      </c>
      <c r="D50" s="961"/>
      <c r="E50" s="966"/>
      <c r="G50" s="960" t="str">
        <f>'гр (9-12)'!C55</f>
        <v>МАЛЫК Никита</v>
      </c>
      <c r="H50" s="960" t="str">
        <f>'гр (9-12)'!C45</f>
        <v>ПАНФИЛОВ Федор</v>
      </c>
      <c r="I50" s="961"/>
      <c r="J50" s="966"/>
      <c r="L50" s="960" t="str">
        <f>'гр (9-12)'!C53</f>
        <v>РЕКУТИН Вадим</v>
      </c>
      <c r="M50" s="960" t="str">
        <f>'гр (9-12)'!C51</f>
        <v>ГИНОСЯН Геворг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11</v>
      </c>
      <c r="D63" s="962"/>
      <c r="E63" s="963"/>
      <c r="G63" s="957" t="s">
        <v>11956</v>
      </c>
      <c r="H63" s="958">
        <f>C3</f>
        <v>11</v>
      </c>
      <c r="I63" s="962"/>
      <c r="J63" s="963"/>
      <c r="L63" s="957" t="s">
        <v>11956</v>
      </c>
      <c r="M63" s="958">
        <f>C3</f>
        <v>11</v>
      </c>
      <c r="N63" s="961"/>
    </row>
    <row r="64" spans="1:14" x14ac:dyDescent="0.3">
      <c r="B64" s="957" t="s">
        <v>11957</v>
      </c>
      <c r="C64" s="959" t="s">
        <v>1114</v>
      </c>
      <c r="D64" s="961"/>
      <c r="G64" s="957" t="s">
        <v>11957</v>
      </c>
      <c r="H64" s="959" t="s">
        <v>1049</v>
      </c>
      <c r="I64" s="964"/>
      <c r="J64" s="965"/>
      <c r="L64" s="957" t="s">
        <v>11957</v>
      </c>
      <c r="M64" s="959" t="s">
        <v>1033</v>
      </c>
      <c r="N64" s="961"/>
    </row>
    <row r="65" spans="1:14" x14ac:dyDescent="0.3">
      <c r="B65" s="960" t="str">
        <f>'гр (9-12)'!C45</f>
        <v>ПАНФИЛОВ Федор</v>
      </c>
      <c r="C65" s="960" t="str">
        <f>'гр (9-12)'!C47</f>
        <v>КОМИССАРОВ Даниил</v>
      </c>
      <c r="D65" s="961"/>
      <c r="E65" s="966"/>
      <c r="G65" s="960" t="str">
        <f>'гр (9-12)'!C49</f>
        <v>ПЛАХОТНИК Александр</v>
      </c>
      <c r="H65" s="960" t="str">
        <f>'гр (9-12)'!C51</f>
        <v>ГИНОСЯН Геворг</v>
      </c>
      <c r="I65" s="961"/>
      <c r="J65" s="966"/>
      <c r="L65" s="960" t="str">
        <f>'гр (9-12)'!C53</f>
        <v>РЕКУТИН Вадим</v>
      </c>
      <c r="M65" s="960" t="str">
        <f>'гр (9-12)'!C55</f>
        <v>МАЛЫК Никита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</sheetData>
  <mergeCells count="30"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A125" zoomScale="60" zoomScaleNormal="100" workbookViewId="0">
      <selection activeCell="I17" sqref="I17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12</v>
      </c>
      <c r="D3" s="962"/>
      <c r="E3" s="963"/>
      <c r="G3" s="957" t="s">
        <v>11956</v>
      </c>
      <c r="H3" s="958">
        <f>C3</f>
        <v>12</v>
      </c>
      <c r="I3" s="962"/>
      <c r="J3" s="963"/>
      <c r="L3" s="957" t="s">
        <v>11956</v>
      </c>
      <c r="M3" s="958">
        <f>C3</f>
        <v>12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'гр (9-12)'!C67</f>
        <v>СТАРОСТИН Максим</v>
      </c>
      <c r="C5" s="960" t="str">
        <f>'гр (9-12)'!C75</f>
        <v>ОСТАШОВ Артем</v>
      </c>
      <c r="D5" s="961"/>
      <c r="E5" s="966"/>
      <c r="G5" s="960" t="str">
        <f>'гр (9-12)'!C69</f>
        <v>ТИХОНОВ Евгений</v>
      </c>
      <c r="H5" s="960" t="str">
        <f>'гр (9-12)'!C73</f>
        <v>ШКРЕД Илья</v>
      </c>
      <c r="I5" s="961"/>
      <c r="J5" s="966"/>
      <c r="L5" s="960" t="str">
        <f>'гр (9-12)'!C65</f>
        <v>ПОЛЯКОВ Василий</v>
      </c>
      <c r="M5" s="960" t="str">
        <f>'гр (9-12)'!C77</f>
        <v>ЕЛИСЕЕВ Илья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12</v>
      </c>
      <c r="D18" s="962"/>
      <c r="E18" s="963"/>
      <c r="G18" s="957" t="s">
        <v>11956</v>
      </c>
      <c r="H18" s="958">
        <f>C3</f>
        <v>12</v>
      </c>
      <c r="I18" s="962"/>
      <c r="J18" s="963"/>
      <c r="L18" s="957" t="s">
        <v>11956</v>
      </c>
      <c r="M18" s="958">
        <f>C3</f>
        <v>12</v>
      </c>
      <c r="N18" s="961"/>
    </row>
    <row r="19" spans="1:14" x14ac:dyDescent="0.3">
      <c r="B19" s="957" t="s">
        <v>11957</v>
      </c>
      <c r="C19" s="959" t="s">
        <v>11958</v>
      </c>
      <c r="D19" s="961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960" t="str">
        <f>'гр (9-12)'!C71</f>
        <v>ВОЛЫНКИН Александр</v>
      </c>
      <c r="C20" s="960" t="str">
        <f>'гр (9-12)'!C79</f>
        <v/>
      </c>
      <c r="D20" s="961"/>
      <c r="E20" s="966"/>
      <c r="G20" s="960" t="str">
        <f>'гр (9-12)'!C73</f>
        <v>ШКРЕД Илья</v>
      </c>
      <c r="H20" s="960" t="str">
        <f>'гр (9-12)'!C67</f>
        <v>СТАРОСТИН Максим</v>
      </c>
      <c r="I20" s="961"/>
      <c r="J20" s="966"/>
      <c r="L20" s="960" t="str">
        <f>'гр (9-12)'!C75</f>
        <v>ОСТАШОВ Артем</v>
      </c>
      <c r="M20" s="960" t="str">
        <f>'гр (9-12)'!C65</f>
        <v>ПОЛЯКОВ Василий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12</v>
      </c>
      <c r="D33" s="962"/>
      <c r="E33" s="963"/>
      <c r="G33" s="957" t="s">
        <v>11956</v>
      </c>
      <c r="H33" s="958">
        <f>C3</f>
        <v>12</v>
      </c>
      <c r="I33" s="962"/>
      <c r="J33" s="963"/>
      <c r="L33" s="957" t="s">
        <v>11956</v>
      </c>
      <c r="M33" s="958">
        <f>C3</f>
        <v>12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'гр (9-12)'!C79</f>
        <v/>
      </c>
      <c r="C35" s="960" t="str">
        <f>'гр (9-12)'!C69</f>
        <v>ТИХОНОВ Евгений</v>
      </c>
      <c r="D35" s="961"/>
      <c r="E35" s="966"/>
      <c r="G35" s="960" t="str">
        <f>'гр (9-12)'!C77</f>
        <v>ЕЛИСЕЕВ Илья</v>
      </c>
      <c r="H35" s="960" t="str">
        <f>'гр (9-12)'!C71</f>
        <v>ВОЛЫНКИН Александр</v>
      </c>
      <c r="I35" s="961"/>
      <c r="J35" s="966"/>
      <c r="L35" s="960" t="str">
        <f>'гр (9-12)'!C65</f>
        <v>ПОЛЯКОВ Василий</v>
      </c>
      <c r="M35" s="960" t="str">
        <f>'гр (9-12)'!C73</f>
        <v>ШКРЕД Илья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12</v>
      </c>
      <c r="D48" s="962"/>
      <c r="E48" s="963"/>
      <c r="G48" s="957" t="s">
        <v>11956</v>
      </c>
      <c r="H48" s="958">
        <f>C3</f>
        <v>12</v>
      </c>
      <c r="I48" s="962"/>
      <c r="J48" s="963"/>
      <c r="L48" s="957" t="s">
        <v>11956</v>
      </c>
      <c r="M48" s="958">
        <f>C3</f>
        <v>12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'гр (9-12)'!C67</f>
        <v>СТАРОСТИН Максим</v>
      </c>
      <c r="C50" s="960" t="str">
        <f>'гр (9-12)'!C79</f>
        <v/>
      </c>
      <c r="D50" s="961"/>
      <c r="E50" s="966"/>
      <c r="G50" s="960" t="str">
        <f>'гр (9-12)'!C71</f>
        <v>ВОЛЫНКИН Александр</v>
      </c>
      <c r="H50" s="960" t="str">
        <f>'гр (9-12)'!C75</f>
        <v>ОСТАШОВ Артем</v>
      </c>
      <c r="I50" s="961"/>
      <c r="J50" s="966"/>
      <c r="L50" s="960" t="str">
        <f>'гр (9-12)'!C69</f>
        <v>ТИХОНОВ Евгений</v>
      </c>
      <c r="M50" s="960" t="str">
        <f>'гр (9-12)'!C77</f>
        <v>ЕЛИСЕЕВ Илья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12</v>
      </c>
      <c r="D63" s="962"/>
      <c r="E63" s="963"/>
      <c r="G63" s="957" t="s">
        <v>11956</v>
      </c>
      <c r="H63" s="958">
        <f>C3</f>
        <v>12</v>
      </c>
      <c r="I63" s="962"/>
      <c r="J63" s="963"/>
      <c r="L63" s="957" t="s">
        <v>11956</v>
      </c>
      <c r="M63" s="958">
        <f>C3</f>
        <v>12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'гр (9-12)'!C79</f>
        <v/>
      </c>
      <c r="C65" s="960" t="str">
        <f>'гр (9-12)'!C65</f>
        <v>ПОЛЯКОВ Василий</v>
      </c>
      <c r="D65" s="961"/>
      <c r="E65" s="966"/>
      <c r="G65" s="960" t="str">
        <f>'гр (9-12)'!C73</f>
        <v>ШКРЕД Илья</v>
      </c>
      <c r="H65" s="960" t="str">
        <f>'гр (9-12)'!C71</f>
        <v>ВОЛЫНКИН Александр</v>
      </c>
      <c r="I65" s="961"/>
      <c r="J65" s="966"/>
      <c r="L65" s="960" t="str">
        <f>'гр (9-12)'!C77</f>
        <v>ЕЛИСЕЕВ Илья</v>
      </c>
      <c r="M65" s="960" t="str">
        <f>'гр (9-12)'!C67</f>
        <v>СТАРОСТИН Максим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Групповой этап</v>
      </c>
      <c r="C77" s="1199"/>
      <c r="D77" s="955"/>
      <c r="E77" s="956"/>
      <c r="G77" s="1199" t="str">
        <f>B2</f>
        <v>Групповой этап</v>
      </c>
      <c r="H77" s="1199"/>
      <c r="I77" s="955"/>
      <c r="J77" s="956"/>
      <c r="L77" s="1199" t="str">
        <f>B2</f>
        <v>Групповой этап</v>
      </c>
      <c r="M77" s="1199"/>
      <c r="N77" s="961"/>
    </row>
    <row r="78" spans="1:14" x14ac:dyDescent="0.3">
      <c r="B78" s="957" t="s">
        <v>11956</v>
      </c>
      <c r="C78" s="958">
        <f>C3</f>
        <v>12</v>
      </c>
      <c r="D78" s="962"/>
      <c r="E78" s="963"/>
      <c r="G78" s="957" t="s">
        <v>11956</v>
      </c>
      <c r="H78" s="958">
        <f>C3</f>
        <v>12</v>
      </c>
      <c r="I78" s="962"/>
      <c r="J78" s="963"/>
      <c r="L78" s="957" t="s">
        <v>11956</v>
      </c>
      <c r="M78" s="958">
        <f>C3</f>
        <v>12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'гр (9-12)'!C75</f>
        <v>ОСТАШОВ Артем</v>
      </c>
      <c r="C80" s="960" t="str">
        <f>'гр (9-12)'!C69</f>
        <v>ТИХОНОВ Евгений</v>
      </c>
      <c r="D80" s="961"/>
      <c r="E80" s="966"/>
      <c r="G80" s="960" t="str">
        <f>'гр (9-12)'!C65</f>
        <v>ПОЛЯКОВ Василий</v>
      </c>
      <c r="H80" s="960" t="str">
        <f>'гр (9-12)'!C69</f>
        <v>ТИХОНОВ Евгений</v>
      </c>
      <c r="I80" s="961"/>
      <c r="J80" s="966"/>
      <c r="L80" s="960" t="str">
        <f>'гр (9-12)'!C67</f>
        <v>СТАРОСТИН Максим</v>
      </c>
      <c r="M80" s="960" t="str">
        <f>'гр (9-12)'!C71</f>
        <v>ВОЛЫНКИН Александр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Групповой этап</v>
      </c>
      <c r="C92" s="1199"/>
      <c r="D92" s="955"/>
      <c r="E92" s="956"/>
      <c r="G92" s="1199" t="str">
        <f>B2</f>
        <v>Групповой этап</v>
      </c>
      <c r="H92" s="1199"/>
      <c r="I92" s="955"/>
      <c r="J92" s="956"/>
      <c r="L92" s="1199" t="str">
        <f>B2</f>
        <v>Групповой этап</v>
      </c>
      <c r="M92" s="1199"/>
      <c r="N92" s="961"/>
    </row>
    <row r="93" spans="1:14" x14ac:dyDescent="0.3">
      <c r="B93" s="957" t="s">
        <v>11956</v>
      </c>
      <c r="C93" s="958">
        <f>C3</f>
        <v>12</v>
      </c>
      <c r="D93" s="962"/>
      <c r="E93" s="963"/>
      <c r="G93" s="957" t="s">
        <v>11956</v>
      </c>
      <c r="H93" s="958">
        <f>C3</f>
        <v>12</v>
      </c>
      <c r="I93" s="962"/>
      <c r="J93" s="963"/>
      <c r="L93" s="957" t="s">
        <v>11956</v>
      </c>
      <c r="M93" s="958">
        <f>C3</f>
        <v>12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'гр (9-12)'!C73</f>
        <v>ШКРЕД Илья</v>
      </c>
      <c r="C95" s="960" t="str">
        <f>'гр (9-12)'!C77</f>
        <v>ЕЛИСЕЕВ Илья</v>
      </c>
      <c r="D95" s="961"/>
      <c r="E95" s="966"/>
      <c r="G95" s="960" t="str">
        <f>'гр (9-12)'!C75</f>
        <v>ОСТАШОВ Артем</v>
      </c>
      <c r="H95" s="960" t="str">
        <f>'гр (9-12)'!C79</f>
        <v/>
      </c>
      <c r="I95" s="961"/>
      <c r="J95" s="966"/>
      <c r="L95" s="960" t="str">
        <f>'гр (9-12)'!C71</f>
        <v>ВОЛЫНКИН Александр</v>
      </c>
      <c r="M95" s="960" t="str">
        <f>'гр (9-12)'!C65</f>
        <v>ПОЛЯКОВ Василий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Групповой этап</v>
      </c>
      <c r="C107" s="1199"/>
      <c r="D107" s="955"/>
      <c r="E107" s="956"/>
      <c r="G107" s="1199" t="str">
        <f>B2</f>
        <v>Групповой этап</v>
      </c>
      <c r="H107" s="1199"/>
      <c r="I107" s="955"/>
      <c r="J107" s="956"/>
      <c r="L107" s="1199" t="str">
        <f>B2</f>
        <v>Групповой этап</v>
      </c>
      <c r="M107" s="1199"/>
      <c r="N107" s="961"/>
    </row>
    <row r="108" spans="1:14" x14ac:dyDescent="0.3">
      <c r="B108" s="957" t="s">
        <v>11956</v>
      </c>
      <c r="C108" s="958">
        <f>C3</f>
        <v>12</v>
      </c>
      <c r="D108" s="962"/>
      <c r="E108" s="963"/>
      <c r="G108" s="957" t="s">
        <v>11956</v>
      </c>
      <c r="H108" s="958">
        <f>C3</f>
        <v>12</v>
      </c>
      <c r="I108" s="962"/>
      <c r="J108" s="963"/>
      <c r="L108" s="957" t="s">
        <v>11956</v>
      </c>
      <c r="M108" s="958">
        <f>C3</f>
        <v>12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'гр (9-12)'!C69</f>
        <v>ТИХОНОВ Евгений</v>
      </c>
      <c r="C110" s="960" t="str">
        <f>'гр (9-12)'!C67</f>
        <v>СТАРОСТИН Максим</v>
      </c>
      <c r="D110" s="961"/>
      <c r="E110" s="966"/>
      <c r="G110" s="960" t="str">
        <f>'гр (9-12)'!C77</f>
        <v>ЕЛИСЕЕВ Илья</v>
      </c>
      <c r="H110" s="960" t="str">
        <f>'гр (9-12)'!C75</f>
        <v>ОСТАШОВ Артем</v>
      </c>
      <c r="I110" s="961"/>
      <c r="J110" s="966"/>
      <c r="L110" s="960" t="str">
        <f>'гр (9-12)'!C79</f>
        <v/>
      </c>
      <c r="M110" s="960" t="str">
        <f>'гр (9-12)'!C73</f>
        <v>ШКРЕД Илья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Групповой этап</v>
      </c>
      <c r="C122" s="1199"/>
      <c r="D122" s="955"/>
      <c r="E122" s="956"/>
      <c r="G122" s="1199" t="str">
        <f>B2</f>
        <v>Групповой этап</v>
      </c>
      <c r="H122" s="1199"/>
      <c r="I122" s="955"/>
      <c r="J122" s="956"/>
      <c r="L122" s="1199" t="str">
        <f>B2</f>
        <v>Групповой этап</v>
      </c>
      <c r="M122" s="1199"/>
      <c r="N122" s="961"/>
    </row>
    <row r="123" spans="1:14" x14ac:dyDescent="0.3">
      <c r="B123" s="957" t="s">
        <v>11956</v>
      </c>
      <c r="C123" s="958">
        <f>C3</f>
        <v>12</v>
      </c>
      <c r="D123" s="962"/>
      <c r="E123" s="963"/>
      <c r="G123" s="957" t="s">
        <v>11956</v>
      </c>
      <c r="H123" s="958">
        <f>C3</f>
        <v>12</v>
      </c>
      <c r="I123" s="962"/>
      <c r="J123" s="963"/>
      <c r="L123" s="957" t="s">
        <v>11956</v>
      </c>
      <c r="M123" s="958">
        <f>C3</f>
        <v>12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'гр (9-12)'!C65</f>
        <v>ПОЛЯКОВ Василий</v>
      </c>
      <c r="C125" s="960" t="str">
        <f>'гр (9-12)'!C67</f>
        <v>СТАРОСТИН Максим</v>
      </c>
      <c r="D125" s="961"/>
      <c r="E125" s="966"/>
      <c r="G125" s="960" t="str">
        <f>'гр (9-12)'!C69</f>
        <v>ТИХОНОВ Евгений</v>
      </c>
      <c r="H125" s="960" t="str">
        <f>'гр (9-12)'!C71</f>
        <v>ВОЛЫНКИН Александр</v>
      </c>
      <c r="I125" s="961"/>
      <c r="J125" s="966"/>
      <c r="L125" s="960" t="str">
        <f>'гр (9-12)'!C73</f>
        <v>ШКРЕД Илья</v>
      </c>
      <c r="M125" s="960" t="str">
        <f>'гр (9-12)'!C75</f>
        <v>ОСТАШОВ Артем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Групповой этап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 t="s">
        <v>11956</v>
      </c>
      <c r="C138" s="975">
        <f>C3</f>
        <v>12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'гр (9-12)'!C77</f>
        <v>ЕЛИСЕЕВ Илья</v>
      </c>
      <c r="C140" s="960" t="str">
        <f>'гр (9-12)'!C79</f>
        <v/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4" manualBreakCount="4">
    <brk id="30" max="16383" man="1"/>
    <brk id="60" max="16383" man="1"/>
    <brk id="90" max="16383" man="1"/>
    <brk id="12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21"/>
  <sheetViews>
    <sheetView view="pageBreakPreview" topLeftCell="A97" zoomScale="86" zoomScaleNormal="100" zoomScaleSheetLayoutView="86" workbookViewId="0">
      <selection activeCell="F104" sqref="F104"/>
    </sheetView>
  </sheetViews>
  <sheetFormatPr defaultRowHeight="12.75" outlineLevelCol="1" x14ac:dyDescent="0.2"/>
  <cols>
    <col min="1" max="1" width="6.83203125" customWidth="1"/>
    <col min="2" max="2" width="42.1640625" hidden="1" customWidth="1" outlineLevel="1"/>
    <col min="3" max="3" width="46.1640625" customWidth="1" collapsed="1"/>
    <col min="4" max="4" width="20.6640625" customWidth="1"/>
    <col min="5" max="5" width="11.5" customWidth="1"/>
    <col min="6" max="6" width="31.6640625" customWidth="1"/>
    <col min="7" max="7" width="30.6640625" hidden="1" customWidth="1"/>
    <col min="8" max="8" width="11.1640625" customWidth="1"/>
    <col min="9" max="9" width="41.1640625" customWidth="1"/>
    <col min="10" max="10" width="17.6640625" hidden="1" customWidth="1" outlineLevel="1"/>
    <col min="11" max="11" width="4.83203125" hidden="1" customWidth="1" outlineLevel="1"/>
    <col min="12" max="12" width="15.5" hidden="1" customWidth="1" outlineLevel="1"/>
    <col min="13" max="13" width="12.1640625" customWidth="1" collapsed="1"/>
    <col min="14" max="14" width="6" customWidth="1"/>
  </cols>
  <sheetData>
    <row r="1" spans="1:14" ht="15.75" x14ac:dyDescent="0.25">
      <c r="A1" s="1126"/>
      <c r="B1" s="1126"/>
      <c r="C1" s="1126"/>
      <c r="D1" s="1126"/>
      <c r="E1" s="1126"/>
      <c r="F1" s="1126"/>
      <c r="G1" s="1126"/>
      <c r="H1" s="1126"/>
      <c r="I1" s="1126"/>
      <c r="J1" s="91"/>
      <c r="K1" s="91"/>
      <c r="L1" s="91"/>
    </row>
    <row r="2" spans="1:14" ht="16.5" thickBot="1" x14ac:dyDescent="0.3">
      <c r="A2" s="1125"/>
      <c r="B2" s="1125"/>
      <c r="C2" s="1125"/>
      <c r="D2" s="1125"/>
      <c r="E2" s="1125"/>
      <c r="F2" s="1125"/>
      <c r="G2" s="1125"/>
      <c r="H2" s="1125"/>
      <c r="I2" s="1125"/>
      <c r="J2" s="91"/>
      <c r="K2" s="91"/>
      <c r="L2" s="91"/>
    </row>
    <row r="3" spans="1:14" ht="18.75" x14ac:dyDescent="0.2">
      <c r="A3" s="195"/>
      <c r="B3" s="195" t="s">
        <v>9442</v>
      </c>
      <c r="C3" s="195"/>
      <c r="D3" s="195"/>
      <c r="E3" s="195"/>
      <c r="F3" s="195"/>
      <c r="G3" s="195"/>
      <c r="H3" s="195"/>
      <c r="I3" s="196" t="s">
        <v>9443</v>
      </c>
      <c r="J3" s="91"/>
      <c r="K3" s="91"/>
      <c r="L3" s="91"/>
    </row>
    <row r="4" spans="1:14" ht="15.75" x14ac:dyDescent="0.2">
      <c r="A4" s="739"/>
      <c r="B4" s="739"/>
      <c r="C4" s="739"/>
      <c r="D4" s="1122" t="s">
        <v>1135</v>
      </c>
      <c r="E4" s="1122"/>
      <c r="F4" s="1122"/>
      <c r="G4" s="1122"/>
      <c r="H4" s="1122"/>
      <c r="I4" s="739"/>
      <c r="J4" s="91"/>
      <c r="K4" s="91"/>
      <c r="L4" s="91"/>
    </row>
    <row r="5" spans="1:14" ht="15.75" x14ac:dyDescent="0.25">
      <c r="A5" s="976"/>
      <c r="B5" s="976"/>
      <c r="C5" s="976"/>
      <c r="D5" s="1123"/>
      <c r="E5" s="1123"/>
      <c r="F5" s="1123"/>
      <c r="G5" s="1123"/>
      <c r="H5" s="1123"/>
      <c r="I5" s="976"/>
      <c r="J5" s="91"/>
      <c r="K5" s="91"/>
      <c r="L5" s="91"/>
    </row>
    <row r="6" spans="1:14" ht="15.75" x14ac:dyDescent="0.25">
      <c r="A6" s="91"/>
      <c r="B6" s="91"/>
      <c r="C6" s="91"/>
      <c r="D6" s="1124" t="s">
        <v>765</v>
      </c>
      <c r="E6" s="1124"/>
      <c r="F6" s="1124"/>
      <c r="G6" s="1124"/>
      <c r="H6" s="1124"/>
      <c r="I6" s="94"/>
      <c r="J6" s="91"/>
      <c r="K6" s="91"/>
      <c r="L6" s="91"/>
    </row>
    <row r="7" spans="1:14" ht="13.5" thickBot="1" x14ac:dyDescent="0.25">
      <c r="A7" s="91"/>
      <c r="B7" s="91"/>
      <c r="C7" s="91"/>
      <c r="D7" s="93"/>
      <c r="E7" s="91"/>
      <c r="F7" s="94"/>
      <c r="G7" s="94"/>
      <c r="H7" s="94"/>
      <c r="I7" s="94"/>
      <c r="J7" s="91"/>
      <c r="K7" s="91"/>
      <c r="L7" s="91"/>
    </row>
    <row r="8" spans="1:14" ht="17.25" thickTop="1" thickBot="1" x14ac:dyDescent="0.25">
      <c r="A8" s="95" t="s">
        <v>3</v>
      </c>
      <c r="B8" s="96" t="s">
        <v>4</v>
      </c>
      <c r="C8" s="98" t="s">
        <v>4</v>
      </c>
      <c r="D8" s="97" t="s">
        <v>5</v>
      </c>
      <c r="E8" s="95" t="s">
        <v>6</v>
      </c>
      <c r="F8" s="95" t="s">
        <v>44</v>
      </c>
      <c r="G8" s="98"/>
      <c r="H8" s="98" t="s">
        <v>915</v>
      </c>
      <c r="I8" s="98" t="s">
        <v>57</v>
      </c>
      <c r="J8" s="91"/>
      <c r="K8" s="91"/>
      <c r="L8" s="91"/>
      <c r="M8" s="122" t="s">
        <v>100</v>
      </c>
    </row>
    <row r="9" spans="1:14" ht="17.25" thickTop="1" thickBot="1" x14ac:dyDescent="0.25">
      <c r="A9" s="115" t="s">
        <v>10</v>
      </c>
      <c r="B9" s="1001" t="s">
        <v>12133</v>
      </c>
      <c r="C9" s="1038" t="s">
        <v>12218</v>
      </c>
      <c r="D9" s="1045" t="s">
        <v>2657</v>
      </c>
      <c r="E9" s="1046">
        <v>185</v>
      </c>
      <c r="F9" s="1047" t="s">
        <v>133</v>
      </c>
      <c r="G9" s="1048"/>
      <c r="H9" s="1049"/>
      <c r="I9" s="1050" t="s">
        <v>12132</v>
      </c>
      <c r="J9" s="104" t="str">
        <f t="shared" ref="J9:J33" si="0">MID(B9,1,SEARCH(" ",B9)-1)</f>
        <v>АВЕРИН</v>
      </c>
      <c r="K9" s="104" t="str">
        <f t="shared" ref="K9:K33" si="1">MID(B9,SEARCH(" ",B9)+1,1)</f>
        <v>В</v>
      </c>
      <c r="L9" s="104" t="str">
        <f t="shared" ref="L9:L71" si="2">CONCATENATE(J9," ",K9,".")</f>
        <v>АВЕРИН В.</v>
      </c>
      <c r="M9" s="123">
        <v>1</v>
      </c>
      <c r="N9" t="e">
        <f>SUMIF('R-Муж'!#REF!,B9,'R-Муж'!F:F)</f>
        <v>#REF!</v>
      </c>
    </row>
    <row r="10" spans="1:14" ht="17.25" thickTop="1" thickBot="1" x14ac:dyDescent="0.25">
      <c r="A10" s="116" t="s">
        <v>41</v>
      </c>
      <c r="B10" s="1001" t="s">
        <v>12077</v>
      </c>
      <c r="C10" s="1012" t="s">
        <v>12270</v>
      </c>
      <c r="D10" s="1045" t="s">
        <v>2659</v>
      </c>
      <c r="E10" s="1046">
        <v>49</v>
      </c>
      <c r="F10" s="1051" t="s">
        <v>2660</v>
      </c>
      <c r="G10" s="1045"/>
      <c r="H10" s="1045" t="s">
        <v>12057</v>
      </c>
      <c r="I10" s="1050" t="s">
        <v>12078</v>
      </c>
      <c r="J10" s="886" t="str">
        <f t="shared" si="0"/>
        <v>АВЕРИН</v>
      </c>
      <c r="K10" s="886" t="str">
        <f t="shared" si="1"/>
        <v>Д</v>
      </c>
      <c r="L10" s="886" t="str">
        <f t="shared" si="2"/>
        <v>АВЕРИН Д.</v>
      </c>
      <c r="M10" s="123">
        <v>2</v>
      </c>
      <c r="N10" t="e">
        <f>SUMIF('R-Муж'!#REF!,B10,'R-Муж'!F:F)</f>
        <v>#REF!</v>
      </c>
    </row>
    <row r="11" spans="1:14" ht="17.25" thickTop="1" thickBot="1" x14ac:dyDescent="0.3">
      <c r="A11" s="115" t="s">
        <v>35</v>
      </c>
      <c r="B11" s="1002" t="s">
        <v>12150</v>
      </c>
      <c r="C11" s="1013" t="s">
        <v>12264</v>
      </c>
      <c r="D11" s="1052" t="s">
        <v>2662</v>
      </c>
      <c r="E11" s="1053">
        <v>154</v>
      </c>
      <c r="F11" s="1054" t="s">
        <v>105</v>
      </c>
      <c r="G11" s="1048"/>
      <c r="H11" s="1052">
        <v>2</v>
      </c>
      <c r="I11" s="1055" t="s">
        <v>12153</v>
      </c>
      <c r="J11" s="118" t="str">
        <f t="shared" si="0"/>
        <v>АВЕРИН</v>
      </c>
      <c r="K11" s="119" t="str">
        <f t="shared" si="1"/>
        <v>Т</v>
      </c>
      <c r="L11" s="119" t="str">
        <f t="shared" si="2"/>
        <v>АВЕРИН Т.</v>
      </c>
      <c r="M11" s="123">
        <v>3</v>
      </c>
      <c r="N11" t="e">
        <f>SUMIF('R-Муж'!#REF!,B11,'R-Муж'!F:F)</f>
        <v>#REF!</v>
      </c>
    </row>
    <row r="12" spans="1:14" ht="17.25" thickTop="1" thickBot="1" x14ac:dyDescent="0.25">
      <c r="A12" s="116" t="s">
        <v>15</v>
      </c>
      <c r="B12" s="1000" t="s">
        <v>12095</v>
      </c>
      <c r="C12" s="1011" t="s">
        <v>12272</v>
      </c>
      <c r="D12" s="1045" t="s">
        <v>2719</v>
      </c>
      <c r="E12" s="1046">
        <v>43</v>
      </c>
      <c r="F12" s="1047" t="s">
        <v>2720</v>
      </c>
      <c r="G12" s="1045"/>
      <c r="H12" s="1045">
        <v>3</v>
      </c>
      <c r="I12" s="1056" t="s">
        <v>12096</v>
      </c>
      <c r="J12" s="104" t="str">
        <f t="shared" si="0"/>
        <v>АКЕНТЬЕВ</v>
      </c>
      <c r="K12" s="104" t="str">
        <f t="shared" si="1"/>
        <v>А</v>
      </c>
      <c r="L12" s="104" t="str">
        <f t="shared" si="2"/>
        <v>АКЕНТЬЕВ А.</v>
      </c>
      <c r="M12" s="123">
        <v>4</v>
      </c>
      <c r="N12" t="e">
        <f>SUMIF('R-Муж'!#REF!,B12,'R-Муж'!F:F)</f>
        <v>#REF!</v>
      </c>
    </row>
    <row r="13" spans="1:14" ht="17.25" thickTop="1" thickBot="1" x14ac:dyDescent="0.3">
      <c r="A13" s="115" t="s">
        <v>37</v>
      </c>
      <c r="B13" s="1002" t="s">
        <v>12156</v>
      </c>
      <c r="C13" s="1013" t="s">
        <v>12248</v>
      </c>
      <c r="D13" s="1045" t="s">
        <v>2714</v>
      </c>
      <c r="E13" s="1046">
        <v>55</v>
      </c>
      <c r="F13" s="1047" t="s">
        <v>1939</v>
      </c>
      <c r="G13" s="1048"/>
      <c r="H13" s="1049">
        <v>2</v>
      </c>
      <c r="I13" s="1056" t="s">
        <v>12091</v>
      </c>
      <c r="J13" s="886" t="str">
        <f t="shared" si="0"/>
        <v>АКИНЬЩИКОВ</v>
      </c>
      <c r="K13" s="886" t="str">
        <f t="shared" si="1"/>
        <v>С</v>
      </c>
      <c r="L13" s="886" t="str">
        <f t="shared" si="2"/>
        <v>АКИНЬЩИКОВ С.</v>
      </c>
      <c r="M13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13" t="e">
        <f>SUMIF('R-Муж'!#REF!,B13,'R-Муж'!F:F)</f>
        <v>#REF!</v>
      </c>
    </row>
    <row r="14" spans="1:14" ht="17.25" thickTop="1" thickBot="1" x14ac:dyDescent="0.3">
      <c r="A14" s="116" t="s">
        <v>42</v>
      </c>
      <c r="B14" s="1002" t="s">
        <v>12157</v>
      </c>
      <c r="C14" s="1013" t="s">
        <v>12249</v>
      </c>
      <c r="D14" s="1045" t="s">
        <v>7061</v>
      </c>
      <c r="E14" s="1046">
        <v>42</v>
      </c>
      <c r="F14" s="1047" t="s">
        <v>126</v>
      </c>
      <c r="G14" s="1045"/>
      <c r="H14" s="1045">
        <v>2</v>
      </c>
      <c r="I14" s="1056" t="s">
        <v>12091</v>
      </c>
      <c r="J14" s="104" t="str">
        <f t="shared" si="0"/>
        <v>АКИНьЩИКОВ</v>
      </c>
      <c r="K14" s="104" t="str">
        <f t="shared" si="1"/>
        <v>Я</v>
      </c>
      <c r="L14" s="104" t="str">
        <f t="shared" si="2"/>
        <v>АКИНьЩИКОВ Я.</v>
      </c>
      <c r="M14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14" t="e">
        <f>SUMIF('R-Муж'!#REF!,B14,'R-Муж'!F:F)</f>
        <v>#REF!</v>
      </c>
    </row>
    <row r="15" spans="1:14" ht="17.25" thickTop="1" thickBot="1" x14ac:dyDescent="0.3">
      <c r="A15" s="115" t="s">
        <v>28</v>
      </c>
      <c r="B15" s="1003" t="s">
        <v>12162</v>
      </c>
      <c r="C15" s="1014" t="s">
        <v>12262</v>
      </c>
      <c r="D15" s="1045" t="s">
        <v>2813</v>
      </c>
      <c r="E15" s="1046">
        <v>19</v>
      </c>
      <c r="F15" s="1047" t="s">
        <v>105</v>
      </c>
      <c r="G15" s="1048"/>
      <c r="H15" s="1049">
        <v>1</v>
      </c>
      <c r="I15" s="1056" t="s">
        <v>12154</v>
      </c>
      <c r="J15" s="886" t="str">
        <f t="shared" si="0"/>
        <v>АМУРСКИЙ</v>
      </c>
      <c r="K15" s="886" t="str">
        <f t="shared" si="1"/>
        <v>В</v>
      </c>
      <c r="L15" s="886" t="str">
        <f t="shared" si="2"/>
        <v>АМУРСКИЙ В.</v>
      </c>
      <c r="M15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15" t="e">
        <f>SUMIF('R-Муж'!#REF!,B15,'R-Муж'!F:F)</f>
        <v>#REF!</v>
      </c>
    </row>
    <row r="16" spans="1:14" ht="17.25" thickTop="1" thickBot="1" x14ac:dyDescent="0.25">
      <c r="A16" s="116" t="s">
        <v>22</v>
      </c>
      <c r="B16" s="1001" t="s">
        <v>11993</v>
      </c>
      <c r="C16" s="1012" t="s">
        <v>12187</v>
      </c>
      <c r="D16" s="1045" t="s">
        <v>2854</v>
      </c>
      <c r="E16" s="1046">
        <v>40</v>
      </c>
      <c r="F16" s="1047" t="s">
        <v>105</v>
      </c>
      <c r="G16" s="1048"/>
      <c r="H16" s="1049"/>
      <c r="I16" s="1056" t="s">
        <v>11994</v>
      </c>
      <c r="J16" s="886" t="str">
        <f t="shared" si="0"/>
        <v>АНДРОНОВ</v>
      </c>
      <c r="K16" s="886" t="str">
        <f t="shared" si="1"/>
        <v>Ф</v>
      </c>
      <c r="L16" s="886" t="str">
        <f t="shared" si="2"/>
        <v>АНДРОНОВ Ф.</v>
      </c>
      <c r="M16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16" t="e">
        <f>SUMIF('R-Муж'!#REF!,B16,'R-Муж'!F:F)</f>
        <v>#REF!</v>
      </c>
    </row>
    <row r="17" spans="1:14" ht="17.25" thickTop="1" thickBot="1" x14ac:dyDescent="0.3">
      <c r="A17" s="115" t="s">
        <v>38</v>
      </c>
      <c r="B17" s="1003" t="s">
        <v>12163</v>
      </c>
      <c r="C17" s="1014" t="s">
        <v>12256</v>
      </c>
      <c r="D17" s="1045" t="s">
        <v>2922</v>
      </c>
      <c r="E17" s="1046">
        <v>64</v>
      </c>
      <c r="F17" s="1047" t="s">
        <v>105</v>
      </c>
      <c r="G17" s="1045"/>
      <c r="H17" s="1045" t="s">
        <v>12000</v>
      </c>
      <c r="I17" s="1056" t="s">
        <v>12154</v>
      </c>
      <c r="J17" s="886" t="str">
        <f t="shared" si="0"/>
        <v>АРИСТОВ</v>
      </c>
      <c r="K17" s="886" t="str">
        <f t="shared" si="1"/>
        <v>А</v>
      </c>
      <c r="L17" s="886" t="str">
        <f t="shared" si="2"/>
        <v>АРИСТОВ А.</v>
      </c>
      <c r="M17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17" t="e">
        <f>SUMIF('R-Муж'!#REF!,B17,'R-Муж'!F:F)</f>
        <v>#REF!</v>
      </c>
    </row>
    <row r="18" spans="1:14" ht="17.25" thickTop="1" thickBot="1" x14ac:dyDescent="0.25">
      <c r="A18" s="116" t="s">
        <v>30</v>
      </c>
      <c r="B18" s="1001" t="s">
        <v>12159</v>
      </c>
      <c r="C18" s="1012" t="s">
        <v>12260</v>
      </c>
      <c r="D18" s="1045" t="s">
        <v>3080</v>
      </c>
      <c r="E18" s="1046">
        <v>144</v>
      </c>
      <c r="F18" s="1047" t="s">
        <v>105</v>
      </c>
      <c r="G18" s="1045"/>
      <c r="H18" s="1045">
        <v>1</v>
      </c>
      <c r="I18" s="1056" t="s">
        <v>12154</v>
      </c>
      <c r="J18" s="118" t="str">
        <f t="shared" si="0"/>
        <v>БАКШИНСКИЙ</v>
      </c>
      <c r="K18" s="119" t="str">
        <f t="shared" si="1"/>
        <v>И</v>
      </c>
      <c r="L18" s="119" t="str">
        <f t="shared" si="2"/>
        <v>БАКШИНСКИЙ И.</v>
      </c>
      <c r="M18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18" t="e">
        <f>SUMIF('R-Муж'!#REF!,B18,'R-Муж'!F:F)</f>
        <v>#REF!</v>
      </c>
    </row>
    <row r="19" spans="1:14" ht="17.25" thickTop="1" thickBot="1" x14ac:dyDescent="0.3">
      <c r="A19" s="115" t="s">
        <v>25</v>
      </c>
      <c r="B19" s="1002" t="s">
        <v>12123</v>
      </c>
      <c r="C19" s="1013" t="s">
        <v>12277</v>
      </c>
      <c r="D19" s="1045" t="s">
        <v>3115</v>
      </c>
      <c r="E19" s="1046">
        <v>124</v>
      </c>
      <c r="F19" s="1047" t="s">
        <v>105</v>
      </c>
      <c r="G19" s="1048"/>
      <c r="H19" s="1049">
        <v>3</v>
      </c>
      <c r="I19" s="1056" t="s">
        <v>12122</v>
      </c>
      <c r="J19" s="104" t="str">
        <f t="shared" si="0"/>
        <v>БАНДУРИН</v>
      </c>
      <c r="K19" s="104" t="str">
        <f t="shared" si="1"/>
        <v>М</v>
      </c>
      <c r="L19" s="104" t="str">
        <f t="shared" si="2"/>
        <v>БАНДУРИН М.</v>
      </c>
      <c r="M19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19" t="e">
        <f>SUMIF('R-Муж'!#REF!,B19,'R-Муж'!F:F)</f>
        <v>#REF!</v>
      </c>
    </row>
    <row r="20" spans="1:14" ht="17.25" thickTop="1" thickBot="1" x14ac:dyDescent="0.3">
      <c r="A20" s="116" t="s">
        <v>17</v>
      </c>
      <c r="B20" s="1002" t="s">
        <v>12068</v>
      </c>
      <c r="C20" s="1013" t="s">
        <v>12247</v>
      </c>
      <c r="D20" s="1045" t="s">
        <v>3160</v>
      </c>
      <c r="E20" s="1046">
        <v>326</v>
      </c>
      <c r="F20" s="1047" t="s">
        <v>126</v>
      </c>
      <c r="G20" s="1048"/>
      <c r="H20" s="1049">
        <v>1</v>
      </c>
      <c r="I20" s="1056" t="s">
        <v>12070</v>
      </c>
      <c r="J20" s="104" t="str">
        <f t="shared" si="0"/>
        <v>БАТАЛОВ</v>
      </c>
      <c r="K20" s="104" t="str">
        <f t="shared" si="1"/>
        <v>А</v>
      </c>
      <c r="L20" s="104" t="str">
        <f t="shared" si="2"/>
        <v>БАТАЛОВ А.</v>
      </c>
      <c r="M20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20" t="e">
        <f>SUMIF('R-Муж'!#REF!,B20,'R-Муж'!F:F)</f>
        <v>#REF!</v>
      </c>
    </row>
    <row r="21" spans="1:14" ht="17.25" thickTop="1" thickBot="1" x14ac:dyDescent="0.3">
      <c r="A21" s="115" t="s">
        <v>23</v>
      </c>
      <c r="B21" s="1036" t="s">
        <v>12064</v>
      </c>
      <c r="C21" s="105" t="s">
        <v>12210</v>
      </c>
      <c r="D21" s="1045" t="s">
        <v>3352</v>
      </c>
      <c r="E21" s="1046">
        <v>5</v>
      </c>
      <c r="F21" s="1047" t="s">
        <v>1844</v>
      </c>
      <c r="G21" s="1048"/>
      <c r="H21" s="1049"/>
      <c r="I21" s="1056" t="s">
        <v>12065</v>
      </c>
      <c r="J21" s="886" t="str">
        <f t="shared" si="0"/>
        <v>БОЖЕНКОВ</v>
      </c>
      <c r="K21" s="886" t="str">
        <f t="shared" si="1"/>
        <v>Е</v>
      </c>
      <c r="L21" s="886" t="str">
        <f t="shared" si="2"/>
        <v>БОЖЕНКОВ Е.</v>
      </c>
      <c r="M21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21" t="e">
        <f>SUMIF('R-Муж'!#REF!,B21,'R-Муж'!F:F)</f>
        <v>#REF!</v>
      </c>
    </row>
    <row r="22" spans="1:14" ht="17.25" thickTop="1" thickBot="1" x14ac:dyDescent="0.25">
      <c r="A22" s="116" t="s">
        <v>7</v>
      </c>
      <c r="B22" s="1000" t="s">
        <v>12174</v>
      </c>
      <c r="C22" s="1011" t="s">
        <v>12186</v>
      </c>
      <c r="D22" s="1046" t="s">
        <v>12310</v>
      </c>
      <c r="E22" s="1046">
        <v>552</v>
      </c>
      <c r="F22" s="1046" t="s">
        <v>105</v>
      </c>
      <c r="G22" s="1081"/>
      <c r="H22" s="1081" t="s">
        <v>12062</v>
      </c>
      <c r="I22" s="1056" t="s">
        <v>12063</v>
      </c>
      <c r="J22" s="104" t="str">
        <f t="shared" si="0"/>
        <v>БОКОВ</v>
      </c>
      <c r="K22" s="104" t="str">
        <f t="shared" si="1"/>
        <v>М</v>
      </c>
      <c r="L22" s="104" t="str">
        <f t="shared" si="2"/>
        <v>БОКОВ М.</v>
      </c>
      <c r="M22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22" t="e">
        <f>SUMIF('R-Муж'!#REF!,B22,'R-Муж'!F:F)</f>
        <v>#REF!</v>
      </c>
    </row>
    <row r="23" spans="1:14" ht="17.25" thickTop="1" thickBot="1" x14ac:dyDescent="0.3">
      <c r="A23" s="115" t="s">
        <v>12</v>
      </c>
      <c r="B23" s="1002" t="s">
        <v>12140</v>
      </c>
      <c r="C23" s="1013" t="s">
        <v>12224</v>
      </c>
      <c r="D23" s="1045" t="s">
        <v>7913</v>
      </c>
      <c r="E23" s="1046"/>
      <c r="F23" s="1047" t="s">
        <v>1578</v>
      </c>
      <c r="G23" s="1048"/>
      <c r="H23" s="1049"/>
      <c r="I23" s="1056" t="s">
        <v>12138</v>
      </c>
      <c r="J23" s="118" t="str">
        <f t="shared" si="0"/>
        <v>БУЛАВИН</v>
      </c>
      <c r="K23" s="119" t="str">
        <f t="shared" si="1"/>
        <v>М</v>
      </c>
      <c r="L23" s="119" t="str">
        <f t="shared" si="2"/>
        <v>БУЛАВИН М.</v>
      </c>
      <c r="M23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23" t="e">
        <f>SUMIF('R-Муж'!#REF!,B23,'R-Муж'!F:F)</f>
        <v>#REF!</v>
      </c>
    </row>
    <row r="24" spans="1:14" ht="17.25" thickTop="1" thickBot="1" x14ac:dyDescent="0.25">
      <c r="A24" s="116" t="s">
        <v>29</v>
      </c>
      <c r="B24" s="1004" t="s">
        <v>12039</v>
      </c>
      <c r="C24" s="1015" t="s">
        <v>12232</v>
      </c>
      <c r="D24" s="1045" t="s">
        <v>3505</v>
      </c>
      <c r="E24" s="1046">
        <v>46</v>
      </c>
      <c r="F24" s="1047" t="s">
        <v>105</v>
      </c>
      <c r="G24" s="1045"/>
      <c r="H24" s="1045">
        <v>3</v>
      </c>
      <c r="I24" s="1056" t="s">
        <v>12036</v>
      </c>
      <c r="J24" s="104" t="str">
        <f t="shared" si="0"/>
        <v>БУРГАСОВ</v>
      </c>
      <c r="K24" s="104" t="str">
        <f t="shared" si="1"/>
        <v>В</v>
      </c>
      <c r="L24" s="104" t="str">
        <f t="shared" si="2"/>
        <v>БУРГАСОВ В.</v>
      </c>
      <c r="M24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24" t="e">
        <f>SUMIF('R-Муж'!#REF!,B24,'R-Муж'!F:F)</f>
        <v>#REF!</v>
      </c>
    </row>
    <row r="25" spans="1:14" ht="17.25" thickTop="1" thickBot="1" x14ac:dyDescent="0.3">
      <c r="A25" s="115" t="s">
        <v>8</v>
      </c>
      <c r="B25" s="1002" t="s">
        <v>11999</v>
      </c>
      <c r="C25" s="1013" t="s">
        <v>12207</v>
      </c>
      <c r="D25" s="1045" t="s">
        <v>3612</v>
      </c>
      <c r="E25" s="1046">
        <v>8</v>
      </c>
      <c r="F25" s="1047" t="s">
        <v>2654</v>
      </c>
      <c r="G25" s="1048"/>
      <c r="H25" s="1049" t="s">
        <v>12000</v>
      </c>
      <c r="I25" s="1056" t="s">
        <v>11998</v>
      </c>
      <c r="J25" s="104" t="str">
        <f t="shared" si="0"/>
        <v>ВАСИКОВ</v>
      </c>
      <c r="K25" s="104" t="str">
        <f t="shared" si="1"/>
        <v>Е</v>
      </c>
      <c r="L25" s="104" t="str">
        <f t="shared" si="2"/>
        <v>ВАСИКОВ Е.</v>
      </c>
      <c r="M25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25" t="e">
        <f>SUMIF('R-Муж'!#REF!,B25,'R-Муж'!F:F)</f>
        <v>#REF!</v>
      </c>
    </row>
    <row r="26" spans="1:14" ht="17.25" thickTop="1" thickBot="1" x14ac:dyDescent="0.3">
      <c r="A26" s="116" t="s">
        <v>14</v>
      </c>
      <c r="B26" s="1002" t="s">
        <v>12029</v>
      </c>
      <c r="C26" s="1013" t="s">
        <v>12212</v>
      </c>
      <c r="D26" s="1045" t="s">
        <v>3764</v>
      </c>
      <c r="E26" s="1046">
        <v>83</v>
      </c>
      <c r="F26" s="1047" t="s">
        <v>1158</v>
      </c>
      <c r="G26" s="1045"/>
      <c r="H26" s="1045">
        <v>3</v>
      </c>
      <c r="I26" s="1056" t="s">
        <v>12030</v>
      </c>
      <c r="J26" s="104" t="str">
        <f t="shared" si="0"/>
        <v>ВОЛЫНКИН</v>
      </c>
      <c r="K26" s="104" t="str">
        <f t="shared" si="1"/>
        <v>А</v>
      </c>
      <c r="L26" s="104" t="str">
        <f t="shared" si="2"/>
        <v>ВОЛЫНКИН А.</v>
      </c>
      <c r="M26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26" t="e">
        <f>SUMIF('R-Муж'!#REF!,B26,'R-Муж'!F:F)</f>
        <v>#REF!</v>
      </c>
    </row>
    <row r="27" spans="1:14" ht="17.25" thickTop="1" thickBot="1" x14ac:dyDescent="0.3">
      <c r="A27" s="115" t="s">
        <v>43</v>
      </c>
      <c r="B27" s="1002" t="s">
        <v>12131</v>
      </c>
      <c r="C27" s="1013" t="s">
        <v>12217</v>
      </c>
      <c r="D27" s="1045" t="s">
        <v>3974</v>
      </c>
      <c r="E27" s="1057">
        <v>56</v>
      </c>
      <c r="F27" s="1047" t="s">
        <v>133</v>
      </c>
      <c r="G27" s="1048"/>
      <c r="H27" s="1049">
        <v>2</v>
      </c>
      <c r="I27" s="1056" t="s">
        <v>12132</v>
      </c>
      <c r="J27" s="104" t="str">
        <f t="shared" si="0"/>
        <v>ГИНОСЯН</v>
      </c>
      <c r="K27" s="104" t="str">
        <f t="shared" si="1"/>
        <v>Г</v>
      </c>
      <c r="L27" s="104" t="str">
        <f t="shared" si="2"/>
        <v>ГИНОСЯН Г.</v>
      </c>
      <c r="M27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27" t="e">
        <f>SUMIF('R-Муж'!#REF!,B27,'R-Муж'!F:F)</f>
        <v>#REF!</v>
      </c>
    </row>
    <row r="28" spans="1:14" ht="17.25" thickTop="1" thickBot="1" x14ac:dyDescent="0.3">
      <c r="A28" s="116" t="s">
        <v>19</v>
      </c>
      <c r="B28" s="1002" t="s">
        <v>12007</v>
      </c>
      <c r="C28" s="1013" t="s">
        <v>12219</v>
      </c>
      <c r="D28" s="1045" t="s">
        <v>12183</v>
      </c>
      <c r="E28" s="1046">
        <v>0</v>
      </c>
      <c r="F28" s="1047" t="s">
        <v>105</v>
      </c>
      <c r="G28" s="1045"/>
      <c r="H28" s="1045" t="s">
        <v>12009</v>
      </c>
      <c r="I28" s="1056" t="s">
        <v>12128</v>
      </c>
      <c r="J28" s="118" t="str">
        <f t="shared" si="0"/>
        <v>ГРИЦЕВИЧ</v>
      </c>
      <c r="K28" s="119" t="str">
        <f t="shared" si="1"/>
        <v>С</v>
      </c>
      <c r="L28" s="119" t="str">
        <f t="shared" si="2"/>
        <v>ГРИЦЕВИЧ С.</v>
      </c>
      <c r="M28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28" t="e">
        <f>SUMIF('R-Муж'!#REF!,B28,'R-Муж'!F:F)</f>
        <v>#REF!</v>
      </c>
    </row>
    <row r="29" spans="1:14" ht="17.25" thickTop="1" thickBot="1" x14ac:dyDescent="0.3">
      <c r="A29" s="115" t="s">
        <v>36</v>
      </c>
      <c r="B29" s="1002" t="s">
        <v>12147</v>
      </c>
      <c r="C29" s="1013" t="s">
        <v>12258</v>
      </c>
      <c r="D29" s="1045" t="s">
        <v>4376</v>
      </c>
      <c r="E29" s="1046">
        <v>185</v>
      </c>
      <c r="F29" s="1047" t="s">
        <v>105</v>
      </c>
      <c r="G29" s="1045"/>
      <c r="H29" s="1045"/>
      <c r="I29" s="1056" t="s">
        <v>12154</v>
      </c>
      <c r="J29" s="104" t="str">
        <f t="shared" si="0"/>
        <v>ДЕРНИКОВ</v>
      </c>
      <c r="K29" s="104" t="str">
        <f t="shared" si="1"/>
        <v>Е</v>
      </c>
      <c r="L29" s="104" t="str">
        <f t="shared" si="2"/>
        <v>ДЕРНИКОВ Е.</v>
      </c>
      <c r="M29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29" t="e">
        <f>SUMIF('R-Муж'!#REF!,B29,'R-Муж'!F:F)</f>
        <v>#REF!</v>
      </c>
    </row>
    <row r="30" spans="1:14" ht="17.25" thickTop="1" thickBot="1" x14ac:dyDescent="0.3">
      <c r="A30" s="116" t="s">
        <v>27</v>
      </c>
      <c r="B30" s="1003" t="s">
        <v>12047</v>
      </c>
      <c r="C30" s="1014" t="s">
        <v>12238</v>
      </c>
      <c r="D30" s="1045" t="s">
        <v>4396</v>
      </c>
      <c r="E30" s="1046">
        <v>25</v>
      </c>
      <c r="F30" s="1047" t="s">
        <v>105</v>
      </c>
      <c r="G30" s="1058"/>
      <c r="H30" s="1046">
        <v>2</v>
      </c>
      <c r="I30" s="1059" t="s">
        <v>12048</v>
      </c>
      <c r="J30" s="886" t="str">
        <f t="shared" si="0"/>
        <v>ДИНИСЕНКО</v>
      </c>
      <c r="K30" s="886" t="str">
        <f t="shared" si="1"/>
        <v>Т</v>
      </c>
      <c r="L30" s="886" t="str">
        <f t="shared" si="2"/>
        <v>ДИНИСЕНКО Т.</v>
      </c>
      <c r="M30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30" t="e">
        <f>SUMIF('R-Муж'!#REF!,B30,'R-Муж'!F:F)</f>
        <v>#REF!</v>
      </c>
    </row>
    <row r="31" spans="1:14" ht="17.25" thickTop="1" thickBot="1" x14ac:dyDescent="0.3">
      <c r="A31" s="115" t="s">
        <v>40</v>
      </c>
      <c r="B31" s="1002" t="s">
        <v>12141</v>
      </c>
      <c r="C31" s="1013" t="s">
        <v>12225</v>
      </c>
      <c r="D31" s="1045" t="s">
        <v>4517</v>
      </c>
      <c r="E31" s="1046">
        <v>107</v>
      </c>
      <c r="F31" s="1047" t="s">
        <v>106</v>
      </c>
      <c r="G31" s="1047"/>
      <c r="H31" s="1047" t="s">
        <v>12009</v>
      </c>
      <c r="I31" s="1060" t="s">
        <v>12142</v>
      </c>
      <c r="J31" s="104" t="str">
        <f t="shared" si="0"/>
        <v>ДУБРОВСКИЙ</v>
      </c>
      <c r="K31" s="104" t="str">
        <f t="shared" si="1"/>
        <v>И</v>
      </c>
      <c r="L31" s="104" t="str">
        <f t="shared" si="2"/>
        <v>ДУБРОВСКИЙ И.</v>
      </c>
      <c r="M31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31" t="e">
        <f>SUMIF('R-Муж'!#REF!,B31,'R-Муж'!F:F)</f>
        <v>#REF!</v>
      </c>
    </row>
    <row r="32" spans="1:14" ht="17.25" thickTop="1" thickBot="1" x14ac:dyDescent="0.3">
      <c r="A32" s="116" t="s">
        <v>9</v>
      </c>
      <c r="B32" s="1002" t="s">
        <v>12144</v>
      </c>
      <c r="C32" s="1013" t="s">
        <v>12254</v>
      </c>
      <c r="D32" s="1045" t="s">
        <v>3460</v>
      </c>
      <c r="E32" s="1046">
        <v>126</v>
      </c>
      <c r="F32" s="1047" t="s">
        <v>105</v>
      </c>
      <c r="G32" s="1045"/>
      <c r="H32" s="1045"/>
      <c r="I32" s="1056" t="s">
        <v>12154</v>
      </c>
      <c r="J32" s="118" t="str">
        <f t="shared" si="0"/>
        <v>ДЯГЕЛЕВ</v>
      </c>
      <c r="K32" s="119" t="str">
        <f t="shared" si="1"/>
        <v>А</v>
      </c>
      <c r="L32" s="119" t="str">
        <f t="shared" si="2"/>
        <v>ДЯГЕЛЕВ А.</v>
      </c>
      <c r="M32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32" t="e">
        <f>SUMIF('R-Муж'!#REF!,B32,'R-Муж'!F:F)</f>
        <v>#REF!</v>
      </c>
    </row>
    <row r="33" spans="1:14" ht="17.25" thickTop="1" thickBot="1" x14ac:dyDescent="0.3">
      <c r="A33" s="115" t="s">
        <v>18</v>
      </c>
      <c r="B33" s="1002" t="s">
        <v>12165</v>
      </c>
      <c r="C33" s="1013" t="s">
        <v>12165</v>
      </c>
      <c r="D33" s="1045" t="s">
        <v>4616</v>
      </c>
      <c r="E33" s="1046">
        <v>0</v>
      </c>
      <c r="F33" s="1047" t="s">
        <v>105</v>
      </c>
      <c r="G33" s="1048"/>
      <c r="H33" s="1049"/>
      <c r="I33" s="1056" t="s">
        <v>12034</v>
      </c>
      <c r="J33" s="104" t="str">
        <f t="shared" si="0"/>
        <v>ЕЛИСЕЕВ</v>
      </c>
      <c r="K33" s="104" t="str">
        <f t="shared" si="1"/>
        <v>И</v>
      </c>
      <c r="L33" s="104" t="str">
        <f t="shared" si="2"/>
        <v>ЕЛИСЕЕВ И.</v>
      </c>
      <c r="M33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33" t="e">
        <f>SUMIF('R-Муж'!#REF!,B33,'R-Муж'!F:F)</f>
        <v>#REF!</v>
      </c>
    </row>
    <row r="34" spans="1:14" ht="17.25" thickTop="1" thickBot="1" x14ac:dyDescent="0.25">
      <c r="A34" s="116" t="s">
        <v>33</v>
      </c>
      <c r="B34" s="1001" t="s">
        <v>12082</v>
      </c>
      <c r="C34" s="1012" t="s">
        <v>12305</v>
      </c>
      <c r="D34" s="1045" t="s">
        <v>4753</v>
      </c>
      <c r="E34" s="1046">
        <v>3</v>
      </c>
      <c r="F34" s="1047" t="s">
        <v>105</v>
      </c>
      <c r="G34" s="1045"/>
      <c r="H34" s="1045"/>
      <c r="I34" s="1056" t="s">
        <v>12081</v>
      </c>
      <c r="J34" s="118" t="e">
        <f>MID(#REF!,1,SEARCH(" ",#REF!)-1)</f>
        <v>#REF!</v>
      </c>
      <c r="K34" s="119" t="e">
        <f>MID(#REF!,SEARCH(" ",#REF!)+1,1)</f>
        <v>#REF!</v>
      </c>
      <c r="L34" s="119" t="e">
        <f t="shared" si="2"/>
        <v>#REF!</v>
      </c>
      <c r="M34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34" t="e">
        <f>SUMIF('R-Муж'!#REF!,#REF!,'R-Муж'!F:F)</f>
        <v>#REF!</v>
      </c>
    </row>
    <row r="35" spans="1:14" ht="17.25" thickTop="1" thickBot="1" x14ac:dyDescent="0.3">
      <c r="A35" s="115" t="s">
        <v>39</v>
      </c>
      <c r="B35" s="1002" t="s">
        <v>12067</v>
      </c>
      <c r="C35" s="1013" t="s">
        <v>12208</v>
      </c>
      <c r="D35" s="1045" t="s">
        <v>4828</v>
      </c>
      <c r="E35" s="1046">
        <v>7</v>
      </c>
      <c r="F35" s="1047" t="s">
        <v>1844</v>
      </c>
      <c r="G35" s="1045"/>
      <c r="H35" s="1045"/>
      <c r="I35" s="1056" t="s">
        <v>12065</v>
      </c>
      <c r="J35" s="120" t="e">
        <f>MID(#REF!,1,SEARCH(" ",#REF!)-1)</f>
        <v>#REF!</v>
      </c>
      <c r="K35" s="121" t="e">
        <f>MID(#REF!,SEARCH(" ",#REF!)+1,1)</f>
        <v>#REF!</v>
      </c>
      <c r="L35" s="121" t="e">
        <f t="shared" si="2"/>
        <v>#REF!</v>
      </c>
      <c r="M35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35" t="e">
        <f>SUMIF('R-Муж'!#REF!,#REF!,'R-Муж'!F:F)</f>
        <v>#REF!</v>
      </c>
    </row>
    <row r="36" spans="1:14" ht="17.25" thickTop="1" thickBot="1" x14ac:dyDescent="0.3">
      <c r="A36" s="116" t="s">
        <v>26</v>
      </c>
      <c r="B36" s="1003" t="s">
        <v>12003</v>
      </c>
      <c r="C36" s="1014" t="s">
        <v>12275</v>
      </c>
      <c r="D36" s="1045" t="s">
        <v>4927</v>
      </c>
      <c r="E36" s="1046">
        <v>16</v>
      </c>
      <c r="F36" s="1047" t="s">
        <v>3673</v>
      </c>
      <c r="G36" s="1048"/>
      <c r="H36" s="1049"/>
      <c r="I36" s="1056" t="s">
        <v>12004</v>
      </c>
      <c r="J36" s="104" t="e">
        <f>MID(#REF!,1,SEARCH(" ",#REF!)-1)</f>
        <v>#REF!</v>
      </c>
      <c r="K36" s="104" t="e">
        <f>MID(#REF!,SEARCH(" ",#REF!)+1,1)</f>
        <v>#REF!</v>
      </c>
      <c r="L36" s="104" t="e">
        <f t="shared" si="2"/>
        <v>#REF!</v>
      </c>
      <c r="M36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36" t="e">
        <f>SUMIF('R-Муж'!#REF!,#REF!,'R-Муж'!F:F)</f>
        <v>#REF!</v>
      </c>
    </row>
    <row r="37" spans="1:14" ht="17.25" thickTop="1" thickBot="1" x14ac:dyDescent="0.3">
      <c r="A37" s="115" t="s">
        <v>13</v>
      </c>
      <c r="B37" s="1003" t="s">
        <v>12038</v>
      </c>
      <c r="C37" s="1014" t="s">
        <v>12231</v>
      </c>
      <c r="D37" s="1045" t="s">
        <v>5175</v>
      </c>
      <c r="E37" s="1046">
        <v>321</v>
      </c>
      <c r="F37" s="1047" t="s">
        <v>105</v>
      </c>
      <c r="G37" s="1061"/>
      <c r="H37" s="1062">
        <v>1</v>
      </c>
      <c r="I37" s="1063" t="s">
        <v>12035</v>
      </c>
      <c r="J37" s="104" t="e">
        <f>MID(#REF!,1,SEARCH(" ",#REF!)-1)</f>
        <v>#REF!</v>
      </c>
      <c r="K37" s="104" t="e">
        <f>MID(#REF!,SEARCH(" ",#REF!)+1,1)</f>
        <v>#REF!</v>
      </c>
      <c r="L37" s="104" t="e">
        <f t="shared" si="2"/>
        <v>#REF!</v>
      </c>
      <c r="M37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37" t="e">
        <f>SUMIF('R-Муж'!#REF!,#REF!,'R-Муж'!F:F)</f>
        <v>#REF!</v>
      </c>
    </row>
    <row r="38" spans="1:14" ht="17.25" thickTop="1" thickBot="1" x14ac:dyDescent="0.25">
      <c r="A38" s="116" t="s">
        <v>32</v>
      </c>
      <c r="B38" s="1001" t="s">
        <v>12008</v>
      </c>
      <c r="C38" s="1012" t="s">
        <v>12180</v>
      </c>
      <c r="D38" s="1045" t="s">
        <v>4629</v>
      </c>
      <c r="E38" s="1046">
        <v>9</v>
      </c>
      <c r="F38" s="1047" t="s">
        <v>105</v>
      </c>
      <c r="G38" s="1048"/>
      <c r="H38" s="1049" t="s">
        <v>12009</v>
      </c>
      <c r="I38" s="1050" t="s">
        <v>12011</v>
      </c>
      <c r="J38" s="104" t="e">
        <f>MID(#REF!,1,SEARCH(" ",#REF!)-1)</f>
        <v>#REF!</v>
      </c>
      <c r="K38" s="104" t="e">
        <f>MID(#REF!,SEARCH(" ",#REF!)+1,1)</f>
        <v>#REF!</v>
      </c>
      <c r="L38" s="104" t="e">
        <f t="shared" si="2"/>
        <v>#REF!</v>
      </c>
      <c r="M38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38" t="e">
        <f>SUMIF('R-Муж'!#REF!,#REF!,'R-Муж'!F:F)</f>
        <v>#REF!</v>
      </c>
    </row>
    <row r="39" spans="1:14" ht="17.25" thickTop="1" thickBot="1" x14ac:dyDescent="0.25">
      <c r="A39" s="115" t="s">
        <v>31</v>
      </c>
      <c r="B39" s="1001" t="s">
        <v>11997</v>
      </c>
      <c r="C39" s="1012" t="s">
        <v>12206</v>
      </c>
      <c r="D39" s="1045" t="s">
        <v>5393</v>
      </c>
      <c r="E39" s="1046">
        <v>168</v>
      </c>
      <c r="F39" s="1047" t="s">
        <v>2654</v>
      </c>
      <c r="G39" s="1048"/>
      <c r="H39" s="1049">
        <v>2</v>
      </c>
      <c r="I39" s="1056" t="s">
        <v>11998</v>
      </c>
      <c r="J39" s="104" t="str">
        <f t="shared" ref="J39" si="3">MID(B34,1,SEARCH(" ",B34)-1)</f>
        <v>ЖИЛОВ</v>
      </c>
      <c r="K39" s="104" t="str">
        <f t="shared" ref="K39" si="4">MID(B34,SEARCH(" ",B34)+1,1)</f>
        <v>К</v>
      </c>
      <c r="L39" s="104" t="str">
        <f t="shared" si="2"/>
        <v>ЖИЛОВ К.</v>
      </c>
      <c r="M39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39" t="e">
        <f>SUMIF('R-Муж'!#REF!,B34,'R-Муж'!F:F)</f>
        <v>#REF!</v>
      </c>
    </row>
    <row r="40" spans="1:14" ht="17.25" thickTop="1" thickBot="1" x14ac:dyDescent="0.3">
      <c r="A40" s="115" t="s">
        <v>34</v>
      </c>
      <c r="B40" s="1002" t="s">
        <v>11995</v>
      </c>
      <c r="C40" s="1013" t="s">
        <v>12205</v>
      </c>
      <c r="D40" s="1045" t="s">
        <v>2886</v>
      </c>
      <c r="E40" s="1046">
        <v>5</v>
      </c>
      <c r="F40" s="1047" t="s">
        <v>2654</v>
      </c>
      <c r="G40" s="1048"/>
      <c r="H40" s="1049"/>
      <c r="I40" s="1056" t="s">
        <v>11996</v>
      </c>
      <c r="J40" s="104" t="str">
        <f>MID(B36,1,SEARCH(" ",B36)-1)</f>
        <v>ЗОЛОТКОВ</v>
      </c>
      <c r="K40" s="104" t="str">
        <f>MID(B36,SEARCH(" ",B36)+1,1)</f>
        <v>М</v>
      </c>
      <c r="L40" s="104" t="str">
        <f t="shared" si="2"/>
        <v>ЗОЛОТКОВ М.</v>
      </c>
      <c r="M40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40" t="e">
        <f>SUMIF('R-Муж'!#REF!,B36,'R-Муж'!F:F)</f>
        <v>#REF!</v>
      </c>
    </row>
    <row r="41" spans="1:14" ht="17.25" thickTop="1" thickBot="1" x14ac:dyDescent="0.3">
      <c r="A41" s="116" t="s">
        <v>24</v>
      </c>
      <c r="B41" s="1002" t="s">
        <v>12143</v>
      </c>
      <c r="C41" s="1013" t="s">
        <v>12253</v>
      </c>
      <c r="D41" s="1045" t="s">
        <v>3173</v>
      </c>
      <c r="E41" s="1046">
        <v>172</v>
      </c>
      <c r="F41" s="1047" t="s">
        <v>105</v>
      </c>
      <c r="G41" s="1048"/>
      <c r="H41" s="1049"/>
      <c r="I41" s="1056" t="s">
        <v>12154</v>
      </c>
      <c r="J41" s="104" t="str">
        <f>MID(B37,1,SEARCH(" ",B37)-1)</f>
        <v>КАЛИМУЛЛИН</v>
      </c>
      <c r="K41" s="104" t="str">
        <f>MID(B37,SEARCH(" ",B37)+1,1)</f>
        <v>К</v>
      </c>
      <c r="L41" s="104" t="str">
        <f t="shared" si="2"/>
        <v>КАЛИМУЛЛИН К.</v>
      </c>
      <c r="M41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41" t="e">
        <f>SUMIF('R-Муж'!#REF!,B37,'R-Муж'!F:F)</f>
        <v>#REF!</v>
      </c>
    </row>
    <row r="42" spans="1:14" ht="17.25" thickTop="1" thickBot="1" x14ac:dyDescent="0.3">
      <c r="A42" s="115" t="s">
        <v>20</v>
      </c>
      <c r="B42" s="1003" t="s">
        <v>12051</v>
      </c>
      <c r="C42" s="1014" t="s">
        <v>12241</v>
      </c>
      <c r="D42" s="1045" t="s">
        <v>3486</v>
      </c>
      <c r="E42" s="1046">
        <v>192</v>
      </c>
      <c r="F42" s="1047" t="s">
        <v>105</v>
      </c>
      <c r="G42" s="1045"/>
      <c r="H42" s="1045">
        <v>2</v>
      </c>
      <c r="I42" s="1056" t="s">
        <v>12052</v>
      </c>
      <c r="J42" s="104" t="str">
        <f>MID(B38,1,SEARCH(" ",B38)-1)</f>
        <v>КАРТАВЦЕВ</v>
      </c>
      <c r="K42" s="104" t="str">
        <f>MID(B38,SEARCH(" ",B38)+1,1)</f>
        <v>М</v>
      </c>
      <c r="L42" s="104" t="str">
        <f t="shared" si="2"/>
        <v>КАРТАВЦЕВ М.</v>
      </c>
      <c r="M42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42" t="e">
        <f>SUMIF('R-Муж'!#REF!,B38,'R-Муж'!F:F)</f>
        <v>#REF!</v>
      </c>
    </row>
    <row r="43" spans="1:14" ht="17.25" thickTop="1" thickBot="1" x14ac:dyDescent="0.3">
      <c r="A43" s="116" t="s">
        <v>16</v>
      </c>
      <c r="B43" s="1002" t="s">
        <v>12121</v>
      </c>
      <c r="C43" s="1013" t="s">
        <v>12278</v>
      </c>
      <c r="D43" s="1052" t="s">
        <v>4177</v>
      </c>
      <c r="E43" s="1064">
        <v>15</v>
      </c>
      <c r="F43" s="1054" t="s">
        <v>105</v>
      </c>
      <c r="G43" s="1065"/>
      <c r="H43" s="1065">
        <v>3</v>
      </c>
      <c r="I43" s="1066" t="s">
        <v>12122</v>
      </c>
      <c r="J43" s="104" t="str">
        <f>MID(B39,1,SEARCH(" ",B39)-1)</f>
        <v>КЛЕСТОВ</v>
      </c>
      <c r="K43" s="104" t="str">
        <f>MID(B39,SEARCH(" ",B39)+1,1)</f>
        <v>Е</v>
      </c>
      <c r="L43" s="104" t="str">
        <f t="shared" si="2"/>
        <v>КЛЕСТОВ Е.</v>
      </c>
      <c r="M43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43" t="e">
        <f>SUMIF('R-Муж'!#REF!,B39,'R-Муж'!F:F)</f>
        <v>#REF!</v>
      </c>
    </row>
    <row r="44" spans="1:14" ht="17.25" thickTop="1" thickBot="1" x14ac:dyDescent="0.25">
      <c r="A44" s="115" t="s">
        <v>11</v>
      </c>
      <c r="B44" s="1001" t="s">
        <v>12083</v>
      </c>
      <c r="C44" s="1012" t="s">
        <v>12306</v>
      </c>
      <c r="D44" s="1045" t="s">
        <v>5670</v>
      </c>
      <c r="E44" s="1046">
        <v>0</v>
      </c>
      <c r="F44" s="1047" t="s">
        <v>105</v>
      </c>
      <c r="G44" s="1048"/>
      <c r="H44" s="1049" t="s">
        <v>12057</v>
      </c>
      <c r="I44" s="1056" t="s">
        <v>12081</v>
      </c>
      <c r="J44" s="104" t="e">
        <f>MID(#REF!,1,SEARCH(" ",#REF!)-1)</f>
        <v>#REF!</v>
      </c>
      <c r="K44" s="104" t="e">
        <f>MID(#REF!,SEARCH(" ",#REF!)+1,1)</f>
        <v>#REF!</v>
      </c>
      <c r="L44" s="104" t="e">
        <f t="shared" si="2"/>
        <v>#REF!</v>
      </c>
      <c r="M44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44" t="e">
        <f>SUMIF('R-Муж'!#REF!,#REF!,'R-Муж'!F:F)</f>
        <v>#REF!</v>
      </c>
    </row>
    <row r="45" spans="1:14" ht="17.25" thickTop="1" thickBot="1" x14ac:dyDescent="0.3">
      <c r="A45" s="116" t="s">
        <v>21</v>
      </c>
      <c r="B45" s="1002" t="s">
        <v>12137</v>
      </c>
      <c r="C45" s="1013" t="s">
        <v>12222</v>
      </c>
      <c r="D45" s="1045" t="s">
        <v>5793</v>
      </c>
      <c r="E45" s="1046">
        <v>0</v>
      </c>
      <c r="F45" s="1047" t="s">
        <v>1578</v>
      </c>
      <c r="G45" s="1045"/>
      <c r="H45" s="1045"/>
      <c r="I45" s="1056" t="s">
        <v>12138</v>
      </c>
      <c r="J45" s="104" t="e">
        <f>MID(#REF!,1,SEARCH(" ",#REF!)-1)</f>
        <v>#REF!</v>
      </c>
      <c r="K45" s="104" t="e">
        <f>MID(#REF!,SEARCH(" ",#REF!)+1,1)</f>
        <v>#REF!</v>
      </c>
      <c r="L45" s="104" t="e">
        <f t="shared" si="2"/>
        <v>#REF!</v>
      </c>
      <c r="M45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45" t="e">
        <f>SUMIF('R-Муж'!#REF!,#REF!,'R-Муж'!F:F)</f>
        <v>#REF!</v>
      </c>
    </row>
    <row r="46" spans="1:14" ht="17.25" thickTop="1" thickBot="1" x14ac:dyDescent="0.3">
      <c r="A46" s="115" t="s">
        <v>45</v>
      </c>
      <c r="B46" s="1002" t="s">
        <v>12092</v>
      </c>
      <c r="C46" s="1013" t="s">
        <v>12282</v>
      </c>
      <c r="D46" s="1045" t="s">
        <v>5956</v>
      </c>
      <c r="E46" s="1046">
        <v>51</v>
      </c>
      <c r="F46" s="1047" t="s">
        <v>105</v>
      </c>
      <c r="G46" s="1048"/>
      <c r="H46" s="1049">
        <v>3</v>
      </c>
      <c r="I46" s="1056" t="s">
        <v>12093</v>
      </c>
      <c r="J46" s="104" t="str">
        <f>MID(B40,1,SEARCH(" ",B40)-1)</f>
        <v>КОБЗЕВ</v>
      </c>
      <c r="K46" s="104" t="str">
        <f>MID(B40,SEARCH(" ",B40)+1,1)</f>
        <v>П</v>
      </c>
      <c r="L46" s="104" t="str">
        <f t="shared" si="2"/>
        <v>КОБЗЕВ П.</v>
      </c>
      <c r="M46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46" t="e">
        <f>SUMIF('R-Муж'!#REF!,B40,'R-Муж'!F:F)</f>
        <v>#REF!</v>
      </c>
    </row>
    <row r="47" spans="1:14" ht="17.25" thickTop="1" thickBot="1" x14ac:dyDescent="0.3">
      <c r="A47" s="116" t="s">
        <v>46</v>
      </c>
      <c r="B47" s="1004" t="s">
        <v>12040</v>
      </c>
      <c r="C47" s="1015" t="s">
        <v>12233</v>
      </c>
      <c r="D47" s="1052" t="s">
        <v>3233</v>
      </c>
      <c r="E47" s="1053">
        <v>137</v>
      </c>
      <c r="F47" s="1054" t="s">
        <v>105</v>
      </c>
      <c r="G47" s="1065"/>
      <c r="H47" s="1052">
        <v>2</v>
      </c>
      <c r="I47" s="1067" t="s">
        <v>12035</v>
      </c>
      <c r="J47" s="104" t="str">
        <f>MID(B41,1,SEARCH(" ",B41)-1)</f>
        <v>КОМИССАРОВ</v>
      </c>
      <c r="K47" s="104" t="str">
        <f>MID(B41,SEARCH(" ",B41)+1,1)</f>
        <v>Д</v>
      </c>
      <c r="L47" s="104" t="str">
        <f t="shared" si="2"/>
        <v>КОМИССАРОВ Д.</v>
      </c>
      <c r="M47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47" t="e">
        <f>SUMIF('R-Муж'!#REF!,B41,'R-Муж'!F:F)</f>
        <v>#REF!</v>
      </c>
    </row>
    <row r="48" spans="1:14" ht="17.25" thickTop="1" thickBot="1" x14ac:dyDescent="0.3">
      <c r="A48" s="115" t="s">
        <v>47</v>
      </c>
      <c r="B48" s="1002" t="s">
        <v>12170</v>
      </c>
      <c r="C48" s="1013" t="s">
        <v>12307</v>
      </c>
      <c r="D48" s="1045" t="s">
        <v>5991</v>
      </c>
      <c r="E48" s="1046">
        <v>19</v>
      </c>
      <c r="F48" s="1047" t="s">
        <v>105</v>
      </c>
      <c r="G48" s="1048"/>
      <c r="H48" s="1049" t="s">
        <v>12057</v>
      </c>
      <c r="I48" s="1056" t="s">
        <v>12089</v>
      </c>
      <c r="J48" s="104" t="e">
        <f>MID(#REF!,1,SEARCH(" ",#REF!)-1)</f>
        <v>#REF!</v>
      </c>
      <c r="K48" s="104" t="e">
        <f>MID(#REF!,SEARCH(" ",#REF!)+1,1)</f>
        <v>#REF!</v>
      </c>
      <c r="L48" s="104" t="e">
        <f t="shared" si="2"/>
        <v>#REF!</v>
      </c>
      <c r="M48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48" t="e">
        <f>SUMIF('R-Муж'!#REF!,#REF!,'R-Муж'!F:F)</f>
        <v>#REF!</v>
      </c>
    </row>
    <row r="49" spans="1:14" ht="17.25" thickTop="1" thickBot="1" x14ac:dyDescent="0.25">
      <c r="A49" s="116" t="s">
        <v>48</v>
      </c>
      <c r="B49" s="1004" t="s">
        <v>12045</v>
      </c>
      <c r="C49" s="1015" t="s">
        <v>12237</v>
      </c>
      <c r="D49" s="1045" t="s">
        <v>6015</v>
      </c>
      <c r="E49" s="1046">
        <v>244</v>
      </c>
      <c r="F49" s="1047" t="s">
        <v>105</v>
      </c>
      <c r="G49" s="1048"/>
      <c r="H49" s="1049">
        <v>1</v>
      </c>
      <c r="I49" s="1056" t="s">
        <v>12046</v>
      </c>
      <c r="J49" s="104" t="str">
        <f>MID(B42,1,SEARCH(" ",B42)-1)</f>
        <v>КОРОЛЬ</v>
      </c>
      <c r="K49" s="104" t="str">
        <f>MID(B42,SEARCH(" ",B42)+1,1)</f>
        <v>В</v>
      </c>
      <c r="L49" s="104" t="str">
        <f t="shared" si="2"/>
        <v>КОРОЛЬ В.</v>
      </c>
      <c r="M49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49" t="e">
        <f>SUMIF('R-Муж'!#REF!,B42,'R-Муж'!F:F)</f>
        <v>#REF!</v>
      </c>
    </row>
    <row r="50" spans="1:14" ht="17.25" thickTop="1" thickBot="1" x14ac:dyDescent="0.3">
      <c r="A50" s="115" t="s">
        <v>49</v>
      </c>
      <c r="B50" s="1002" t="s">
        <v>12076</v>
      </c>
      <c r="C50" s="1013" t="s">
        <v>12204</v>
      </c>
      <c r="D50" s="1045" t="s">
        <v>2813</v>
      </c>
      <c r="E50" s="1046">
        <v>46</v>
      </c>
      <c r="F50" s="1047" t="s">
        <v>105</v>
      </c>
      <c r="G50" s="1045"/>
      <c r="H50" s="1045">
        <v>2</v>
      </c>
      <c r="I50" s="1056" t="s">
        <v>12072</v>
      </c>
      <c r="J50" s="104" t="str">
        <f>MID(B43,1,SEARCH(" ",B43)-1)</f>
        <v>КОРОЛЬКОВ</v>
      </c>
      <c r="K50" s="104" t="str">
        <f>MID(B43,SEARCH(" ",B43)+1,1)</f>
        <v>Е</v>
      </c>
      <c r="L50" s="104" t="str">
        <f t="shared" si="2"/>
        <v>КОРОЛЬКОВ Е.</v>
      </c>
      <c r="M50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50" t="e">
        <f>SUMIF('R-Муж'!#REF!,B43,'R-Муж'!F:F)</f>
        <v>#REF!</v>
      </c>
    </row>
    <row r="51" spans="1:14" ht="17.25" thickTop="1" thickBot="1" x14ac:dyDescent="0.3">
      <c r="A51" s="116" t="s">
        <v>50</v>
      </c>
      <c r="B51" s="1002" t="s">
        <v>12088</v>
      </c>
      <c r="C51" s="1013" t="s">
        <v>12308</v>
      </c>
      <c r="D51" s="1045" t="s">
        <v>6091</v>
      </c>
      <c r="E51" s="1046">
        <v>19</v>
      </c>
      <c r="F51" s="1047" t="s">
        <v>105</v>
      </c>
      <c r="G51" s="1068"/>
      <c r="H51" s="1069" t="s">
        <v>12057</v>
      </c>
      <c r="I51" s="1050" t="s">
        <v>12089</v>
      </c>
      <c r="J51" s="104" t="str">
        <f>MID(B44,1,SEARCH(" ",B44)-1)</f>
        <v>КОРОТКОВ</v>
      </c>
      <c r="K51" s="104" t="str">
        <f>MID(B44,SEARCH(" ",B44)+1,1)</f>
        <v>С</v>
      </c>
      <c r="L51" s="104" t="str">
        <f t="shared" si="2"/>
        <v>КОРОТКОВ С.</v>
      </c>
      <c r="M51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51" t="e">
        <f>SUMIF('R-Муж'!#REF!,B44,'R-Муж'!F:F)</f>
        <v>#REF!</v>
      </c>
    </row>
    <row r="52" spans="1:14" ht="17.25" thickTop="1" thickBot="1" x14ac:dyDescent="0.3">
      <c r="A52" s="115" t="s">
        <v>51</v>
      </c>
      <c r="B52" s="1002" t="s">
        <v>12135</v>
      </c>
      <c r="C52" s="1013" t="s">
        <v>12221</v>
      </c>
      <c r="D52" s="1045" t="s">
        <v>2662</v>
      </c>
      <c r="E52" s="1046">
        <v>76</v>
      </c>
      <c r="F52" s="1047" t="s">
        <v>105</v>
      </c>
      <c r="G52" s="1070"/>
      <c r="H52" s="1071">
        <v>3</v>
      </c>
      <c r="I52" s="1050" t="s">
        <v>12136</v>
      </c>
      <c r="J52" s="104" t="e">
        <f>MID(#REF!,1,SEARCH(" ",#REF!)-1)</f>
        <v>#REF!</v>
      </c>
      <c r="K52" s="104" t="e">
        <f>MID(#REF!,SEARCH(" ",#REF!)+1,1)</f>
        <v>#REF!</v>
      </c>
      <c r="L52" s="104" t="e">
        <f t="shared" si="2"/>
        <v>#REF!</v>
      </c>
      <c r="M52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52" t="e">
        <f>SUMIF('R-Муж'!#REF!,#REF!,'R-Муж'!F:F)</f>
        <v>#REF!</v>
      </c>
    </row>
    <row r="53" spans="1:14" ht="17.25" thickTop="1" thickBot="1" x14ac:dyDescent="0.25">
      <c r="A53" s="116" t="s">
        <v>52</v>
      </c>
      <c r="B53" s="1001" t="s">
        <v>12010</v>
      </c>
      <c r="C53" s="1012" t="s">
        <v>12181</v>
      </c>
      <c r="D53" s="1045" t="s">
        <v>6193</v>
      </c>
      <c r="E53" s="1046">
        <v>57</v>
      </c>
      <c r="F53" s="1047" t="s">
        <v>105</v>
      </c>
      <c r="G53" s="1068"/>
      <c r="H53" s="1069">
        <v>3</v>
      </c>
      <c r="I53" s="1056" t="s">
        <v>12011</v>
      </c>
      <c r="J53" s="104" t="str">
        <f>MID(B45,1,SEARCH(" ",B45)-1)</f>
        <v>КРАСНОЖОН</v>
      </c>
      <c r="K53" s="104" t="str">
        <f>MID(B45,SEARCH(" ",B45)+1,1)</f>
        <v>М</v>
      </c>
      <c r="L53" s="104" t="str">
        <f t="shared" si="2"/>
        <v>КРАСНОЖОН М.</v>
      </c>
      <c r="M53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53" t="e">
        <f>SUMIF('R-Муж'!#REF!,B45,'R-Муж'!F:F)</f>
        <v>#REF!</v>
      </c>
    </row>
    <row r="54" spans="1:14" ht="17.25" thickTop="1" thickBot="1" x14ac:dyDescent="0.3">
      <c r="A54" s="115" t="s">
        <v>53</v>
      </c>
      <c r="B54" s="1002" t="s">
        <v>12103</v>
      </c>
      <c r="C54" s="1013" t="s">
        <v>12227</v>
      </c>
      <c r="D54" s="1045" t="s">
        <v>2653</v>
      </c>
      <c r="E54" s="1046">
        <v>35</v>
      </c>
      <c r="F54" s="1047" t="s">
        <v>105</v>
      </c>
      <c r="G54" s="1068"/>
      <c r="H54" s="1069">
        <v>3</v>
      </c>
      <c r="I54" s="1050" t="s">
        <v>12034</v>
      </c>
      <c r="J54" s="104" t="str">
        <f>MID(B46,1,SEARCH(" ",B46)-1)</f>
        <v>КУРИЛОВИЧ</v>
      </c>
      <c r="K54" s="104" t="str">
        <f>MID(B46,SEARCH(" ",B46)+1,1)</f>
        <v>Я</v>
      </c>
      <c r="L54" s="104" t="str">
        <f t="shared" si="2"/>
        <v>КУРИЛОВИЧ Я.</v>
      </c>
      <c r="M54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54" t="e">
        <f>SUMIF('R-Муж'!#REF!,B46,'R-Муж'!F:F)</f>
        <v>#REF!</v>
      </c>
    </row>
    <row r="55" spans="1:14" ht="17.25" thickTop="1" thickBot="1" x14ac:dyDescent="0.25">
      <c r="A55" s="116" t="s">
        <v>54</v>
      </c>
      <c r="B55" s="1001" t="s">
        <v>12104</v>
      </c>
      <c r="C55" s="1012" t="s">
        <v>12229</v>
      </c>
      <c r="D55" s="1045" t="s">
        <v>12182</v>
      </c>
      <c r="E55" s="1046">
        <v>116</v>
      </c>
      <c r="F55" s="1047" t="s">
        <v>105</v>
      </c>
      <c r="G55" s="1068"/>
      <c r="H55" s="1069">
        <v>1</v>
      </c>
      <c r="I55" s="1056" t="s">
        <v>12034</v>
      </c>
      <c r="J55" s="104" t="str">
        <f>MID(B47,1,SEARCH(" ",B47)-1)</f>
        <v>КУРОЧКИН</v>
      </c>
      <c r="K55" s="104" t="str">
        <f>MID(B47,SEARCH(" ",B47)+1,1)</f>
        <v>Е</v>
      </c>
      <c r="L55" s="104" t="str">
        <f t="shared" si="2"/>
        <v>КУРОЧКИН Е.</v>
      </c>
      <c r="M55" s="123">
        <f>SUMIFS('Юноши 1ф'!BC:BC,'Юноши 1ф'!B:B,#REF!)+SUMIFS('Юноши 2ф'!BC:BC,'Юноши 2ф'!B:B,#REF!)+SUMIFS('Юноши 3ф'!BC:BC,'Юноши 3ф'!B:B,#REF!)+SUMIFS('Юноши 4ф'!BC:BC,'Юноши 4ф'!B:B,#REF!)</f>
        <v>0</v>
      </c>
      <c r="N55" t="e">
        <f>SUMIF('R-Муж'!#REF!,B47,'R-Муж'!F:F)</f>
        <v>#REF!</v>
      </c>
    </row>
    <row r="56" spans="1:14" ht="17.25" thickTop="1" thickBot="1" x14ac:dyDescent="0.3">
      <c r="A56" s="115" t="s">
        <v>55</v>
      </c>
      <c r="B56" s="1005" t="s">
        <v>12085</v>
      </c>
      <c r="C56" s="1016" t="s">
        <v>12314</v>
      </c>
      <c r="D56" s="1045" t="s">
        <v>6311</v>
      </c>
      <c r="E56" s="1046">
        <v>195</v>
      </c>
      <c r="F56" s="1047" t="s">
        <v>105</v>
      </c>
      <c r="G56" s="1070"/>
      <c r="H56" s="1071">
        <v>1</v>
      </c>
      <c r="I56" s="1050" t="s">
        <v>12046</v>
      </c>
      <c r="J56" s="886" t="str">
        <f>MID(B48,1,SEARCH(" ",B48)-1)</f>
        <v>КУЧЕРЕНКО</v>
      </c>
      <c r="K56" s="886" t="str">
        <f>MID(B48,SEARCH(" ",B48)+1,1)</f>
        <v>И</v>
      </c>
      <c r="L56" s="886" t="str">
        <f t="shared" si="2"/>
        <v>КУЧЕРЕНКО И.</v>
      </c>
      <c r="M56" s="123">
        <v>49</v>
      </c>
      <c r="N56" t="e">
        <f>SUMIF('R-Муж'!#REF!,B48,'R-Муж'!F:F)</f>
        <v>#REF!</v>
      </c>
    </row>
    <row r="57" spans="1:14" ht="17.25" thickTop="1" thickBot="1" x14ac:dyDescent="0.3">
      <c r="A57" s="116" t="s">
        <v>59</v>
      </c>
      <c r="B57" s="1002" t="s">
        <v>12127</v>
      </c>
      <c r="C57" s="1013" t="s">
        <v>12279</v>
      </c>
      <c r="D57" s="1045" t="s">
        <v>4306</v>
      </c>
      <c r="E57" s="1046">
        <v>10</v>
      </c>
      <c r="F57" s="1047" t="s">
        <v>105</v>
      </c>
      <c r="G57" s="1068"/>
      <c r="H57" s="1069" t="s">
        <v>12057</v>
      </c>
      <c r="I57" s="1056" t="s">
        <v>12122</v>
      </c>
      <c r="J57" s="104" t="e">
        <f>MID(#REF!,1,SEARCH(" ",#REF!)-1)</f>
        <v>#REF!</v>
      </c>
      <c r="K57" s="104" t="e">
        <f>MID(#REF!,SEARCH(" ",#REF!)+1,1)</f>
        <v>#REF!</v>
      </c>
      <c r="L57" s="104" t="e">
        <f t="shared" si="2"/>
        <v>#REF!</v>
      </c>
      <c r="M57" s="123">
        <v>50</v>
      </c>
      <c r="N57" t="e">
        <f>SUMIF('R-Муж'!#REF!,#REF!,'R-Муж'!F:F)</f>
        <v>#REF!</v>
      </c>
    </row>
    <row r="58" spans="1:14" ht="17.25" thickTop="1" thickBot="1" x14ac:dyDescent="0.25">
      <c r="A58" s="115" t="s">
        <v>60</v>
      </c>
      <c r="B58" s="1001" t="s">
        <v>12001</v>
      </c>
      <c r="C58" s="1012" t="s">
        <v>12220</v>
      </c>
      <c r="D58" s="1045" t="s">
        <v>6359</v>
      </c>
      <c r="E58" s="1046">
        <v>164</v>
      </c>
      <c r="F58" s="1047" t="s">
        <v>139</v>
      </c>
      <c r="G58" s="1068"/>
      <c r="H58" s="1069">
        <v>2</v>
      </c>
      <c r="I58" s="1050" t="s">
        <v>12002</v>
      </c>
      <c r="J58" s="104" t="e">
        <f>MID(#REF!,1,SEARCH(" ",#REF!)-1)</f>
        <v>#REF!</v>
      </c>
      <c r="K58" s="104" t="e">
        <f>MID(#REF!,SEARCH(" ",#REF!)+1,1)</f>
        <v>#REF!</v>
      </c>
      <c r="L58" s="104" t="e">
        <f t="shared" si="2"/>
        <v>#REF!</v>
      </c>
      <c r="M58" s="123">
        <v>51</v>
      </c>
      <c r="N58" t="e">
        <f>SUMIF('R-Муж'!#REF!,#REF!,'R-Муж'!F:F)</f>
        <v>#REF!</v>
      </c>
    </row>
    <row r="59" spans="1:14" ht="17.25" thickTop="1" thickBot="1" x14ac:dyDescent="0.25">
      <c r="A59" s="116" t="s">
        <v>61</v>
      </c>
      <c r="B59" s="1001" t="s">
        <v>12148</v>
      </c>
      <c r="C59" s="1012" t="s">
        <v>12259</v>
      </c>
      <c r="D59" s="1045" t="s">
        <v>6377</v>
      </c>
      <c r="E59" s="1046">
        <v>144</v>
      </c>
      <c r="F59" s="1047" t="s">
        <v>105</v>
      </c>
      <c r="G59" s="1068"/>
      <c r="H59" s="1069"/>
      <c r="I59" s="1056" t="s">
        <v>12154</v>
      </c>
      <c r="J59" s="104" t="e">
        <f>MID(#REF!,1,SEARCH(" ",#REF!)-1)</f>
        <v>#REF!</v>
      </c>
      <c r="K59" s="104" t="e">
        <f>MID(#REF!,SEARCH(" ",#REF!)+1,1)</f>
        <v>#REF!</v>
      </c>
      <c r="L59" s="104" t="e">
        <f t="shared" si="2"/>
        <v>#REF!</v>
      </c>
      <c r="M59" s="123">
        <v>52</v>
      </c>
      <c r="N59" t="e">
        <f>SUMIF('R-Муж'!#REF!,#REF!,'R-Муж'!F:F)</f>
        <v>#REF!</v>
      </c>
    </row>
    <row r="60" spans="1:14" ht="17.25" thickTop="1" thickBot="1" x14ac:dyDescent="0.3">
      <c r="A60" s="115" t="s">
        <v>62</v>
      </c>
      <c r="B60" s="1002" t="s">
        <v>12020</v>
      </c>
      <c r="C60" s="1013" t="s">
        <v>12193</v>
      </c>
      <c r="D60" s="1045" t="s">
        <v>5605</v>
      </c>
      <c r="E60" s="1046">
        <v>33</v>
      </c>
      <c r="F60" s="1047" t="s">
        <v>213</v>
      </c>
      <c r="G60" s="1070"/>
      <c r="H60" s="1071" t="s">
        <v>12009</v>
      </c>
      <c r="I60" s="1050" t="s">
        <v>12017</v>
      </c>
      <c r="J60" s="104" t="e">
        <f>MID(#REF!,1,SEARCH(" ",#REF!)-1)</f>
        <v>#REF!</v>
      </c>
      <c r="K60" s="104" t="e">
        <f>MID(#REF!,SEARCH(" ",#REF!)+1,1)</f>
        <v>#REF!</v>
      </c>
      <c r="L60" s="104" t="e">
        <f t="shared" si="2"/>
        <v>#REF!</v>
      </c>
      <c r="M60" s="123">
        <v>53</v>
      </c>
      <c r="N60" t="e">
        <f>SUMIF('R-Муж'!#REF!,#REF!,'R-Муж'!F:F)</f>
        <v>#REF!</v>
      </c>
    </row>
    <row r="61" spans="1:14" ht="17.25" thickTop="1" thickBot="1" x14ac:dyDescent="0.3">
      <c r="A61" s="116" t="s">
        <v>63</v>
      </c>
      <c r="B61" s="1002" t="s">
        <v>12086</v>
      </c>
      <c r="C61" s="1013" t="s">
        <v>12309</v>
      </c>
      <c r="D61" s="1045" t="s">
        <v>12185</v>
      </c>
      <c r="E61" s="1046"/>
      <c r="F61" s="1047" t="s">
        <v>105</v>
      </c>
      <c r="G61" s="1068"/>
      <c r="H61" s="1069" t="s">
        <v>12009</v>
      </c>
      <c r="I61" s="1056" t="s">
        <v>12087</v>
      </c>
      <c r="J61" s="104" t="str">
        <f>MID(B49,1,SEARCH(" ",B49)-1)</f>
        <v>ЛАЗАРЕВ</v>
      </c>
      <c r="K61" s="104" t="str">
        <f>MID(B49,SEARCH(" ",B49)+1,1)</f>
        <v>В</v>
      </c>
      <c r="L61" s="104" t="str">
        <f t="shared" si="2"/>
        <v>ЛАЗАРЕВ В.</v>
      </c>
      <c r="M61" s="123">
        <v>54</v>
      </c>
      <c r="N61" t="e">
        <f>SUMIF('R-Муж'!#REF!,B49,'R-Муж'!F:F)</f>
        <v>#REF!</v>
      </c>
    </row>
    <row r="62" spans="1:14" ht="17.25" thickTop="1" thickBot="1" x14ac:dyDescent="0.3">
      <c r="A62" s="115" t="s">
        <v>64</v>
      </c>
      <c r="B62" s="1003" t="s">
        <v>12037</v>
      </c>
      <c r="C62" s="1014" t="s">
        <v>12230</v>
      </c>
      <c r="D62" s="1045" t="s">
        <v>6552</v>
      </c>
      <c r="E62" s="1046">
        <v>338</v>
      </c>
      <c r="F62" s="1047" t="s">
        <v>105</v>
      </c>
      <c r="G62" s="1068"/>
      <c r="H62" s="1069">
        <v>1</v>
      </c>
      <c r="I62" s="1056" t="s">
        <v>12035</v>
      </c>
      <c r="J62" s="104" t="str">
        <f>MID(B50,1,SEARCH(" ",B50)-1)</f>
        <v>ЛЕДНЕВ</v>
      </c>
      <c r="K62" s="104" t="str">
        <f>MID(B50,SEARCH(" ",B50)+1,1)</f>
        <v>Д</v>
      </c>
      <c r="L62" s="104" t="str">
        <f t="shared" si="2"/>
        <v>ЛЕДНЕВ Д.</v>
      </c>
      <c r="M62" s="123">
        <v>55</v>
      </c>
      <c r="N62" t="e">
        <f>SUMIF('R-Муж'!#REF!,B50,'R-Муж'!F:F)</f>
        <v>#REF!</v>
      </c>
    </row>
    <row r="63" spans="1:14" ht="17.25" thickTop="1" thickBot="1" x14ac:dyDescent="0.3">
      <c r="A63" s="116" t="s">
        <v>65</v>
      </c>
      <c r="B63" s="1002" t="s">
        <v>12084</v>
      </c>
      <c r="C63" s="1013" t="s">
        <v>12228</v>
      </c>
      <c r="D63" s="1045" t="s">
        <v>6627</v>
      </c>
      <c r="E63" s="1046">
        <v>24</v>
      </c>
      <c r="F63" s="1047" t="s">
        <v>105</v>
      </c>
      <c r="G63" s="1070"/>
      <c r="H63" s="1071"/>
      <c r="I63" s="1050" t="s">
        <v>12034</v>
      </c>
      <c r="J63" s="104" t="str">
        <f>MID(B51,1,SEARCH(" ",B51)-1)</f>
        <v>ЛЕОНИДОВ</v>
      </c>
      <c r="K63" s="104" t="str">
        <f>MID(B51,SEARCH(" ",B51)+1,1)</f>
        <v>А</v>
      </c>
      <c r="L63" s="104" t="str">
        <f t="shared" si="2"/>
        <v>ЛЕОНИДОВ А.</v>
      </c>
      <c r="M63" s="123">
        <v>56</v>
      </c>
      <c r="N63" t="e">
        <f>SUMIF('R-Муж'!#REF!,B51,'R-Муж'!F:F)</f>
        <v>#REF!</v>
      </c>
    </row>
    <row r="64" spans="1:14" ht="17.25" thickTop="1" thickBot="1" x14ac:dyDescent="0.3">
      <c r="A64" s="115" t="s">
        <v>66</v>
      </c>
      <c r="B64" s="1003" t="s">
        <v>12044</v>
      </c>
      <c r="C64" s="1014" t="s">
        <v>12236</v>
      </c>
      <c r="D64" s="1045" t="s">
        <v>6710</v>
      </c>
      <c r="E64" s="1046">
        <v>151</v>
      </c>
      <c r="F64" s="1047" t="s">
        <v>105</v>
      </c>
      <c r="G64" s="1070"/>
      <c r="H64" s="1071">
        <v>2</v>
      </c>
      <c r="I64" s="1056" t="s">
        <v>12043</v>
      </c>
      <c r="J64" s="104" t="e">
        <f>MID(#REF!,1,SEARCH(" ",#REF!)-1)</f>
        <v>#REF!</v>
      </c>
      <c r="K64" s="104" t="e">
        <f>MID(#REF!,SEARCH(" ",#REF!)+1,1)</f>
        <v>#REF!</v>
      </c>
      <c r="L64" s="104" t="e">
        <f t="shared" si="2"/>
        <v>#REF!</v>
      </c>
      <c r="M64" s="123">
        <v>57</v>
      </c>
      <c r="N64" t="e">
        <f>SUMIF('R-Муж'!#REF!,#REF!,'R-Муж'!F:F)</f>
        <v>#REF!</v>
      </c>
    </row>
    <row r="65" spans="1:14" ht="17.25" thickTop="1" thickBot="1" x14ac:dyDescent="0.25">
      <c r="A65" s="116" t="s">
        <v>67</v>
      </c>
      <c r="B65" s="1004" t="s">
        <v>12060</v>
      </c>
      <c r="C65" s="1015" t="s">
        <v>12274</v>
      </c>
      <c r="D65" s="1045" t="s">
        <v>12179</v>
      </c>
      <c r="E65" s="1046">
        <v>286</v>
      </c>
      <c r="F65" s="1047" t="s">
        <v>165</v>
      </c>
      <c r="G65" s="1070"/>
      <c r="H65" s="1071">
        <v>1</v>
      </c>
      <c r="I65" s="1050" t="s">
        <v>12061</v>
      </c>
      <c r="J65" s="104" t="str">
        <f t="shared" ref="J65:J96" si="5">MID(B52,1,SEARCH(" ",B52)-1)</f>
        <v>ЛОМАКИН</v>
      </c>
      <c r="K65" s="104" t="str">
        <f t="shared" ref="K65:K96" si="6">MID(B52,SEARCH(" ",B52)+1,1)</f>
        <v>П</v>
      </c>
      <c r="L65" s="104" t="str">
        <f t="shared" si="2"/>
        <v>ЛОМАКИН П.</v>
      </c>
      <c r="M65" s="123">
        <v>58</v>
      </c>
      <c r="N65" t="e">
        <f>SUMIF('R-Муж'!#REF!,B52,'R-Муж'!F:F)</f>
        <v>#REF!</v>
      </c>
    </row>
    <row r="66" spans="1:14" ht="17.25" thickTop="1" thickBot="1" x14ac:dyDescent="0.3">
      <c r="A66" s="115" t="s">
        <v>758</v>
      </c>
      <c r="B66" s="1003" t="s">
        <v>12050</v>
      </c>
      <c r="C66" s="1014" t="s">
        <v>12240</v>
      </c>
      <c r="D66" s="1045" t="s">
        <v>6793</v>
      </c>
      <c r="E66" s="1046">
        <v>93</v>
      </c>
      <c r="F66" s="1047" t="s">
        <v>105</v>
      </c>
      <c r="G66" s="1070"/>
      <c r="H66" s="1071">
        <v>3</v>
      </c>
      <c r="I66" s="1056" t="s">
        <v>12048</v>
      </c>
      <c r="J66" s="104" t="str">
        <f t="shared" si="5"/>
        <v>ЛУЗАНОВ</v>
      </c>
      <c r="K66" s="104" t="str">
        <f t="shared" si="6"/>
        <v>Д</v>
      </c>
      <c r="L66" s="104" t="str">
        <f t="shared" si="2"/>
        <v>ЛУЗАНОВ Д.</v>
      </c>
      <c r="M66" s="123">
        <v>59</v>
      </c>
      <c r="N66" t="e">
        <f>SUMIF('R-Муж'!#REF!,B53,'R-Муж'!F:F)</f>
        <v>#REF!</v>
      </c>
    </row>
    <row r="67" spans="1:14" ht="17.25" thickTop="1" thickBot="1" x14ac:dyDescent="0.25">
      <c r="A67" s="116" t="s">
        <v>759</v>
      </c>
      <c r="B67" s="1001" t="s">
        <v>12019</v>
      </c>
      <c r="C67" s="1012" t="s">
        <v>12192</v>
      </c>
      <c r="D67" s="1045" t="s">
        <v>6823</v>
      </c>
      <c r="E67" s="1046">
        <v>111</v>
      </c>
      <c r="F67" s="1047" t="s">
        <v>213</v>
      </c>
      <c r="G67" s="1068"/>
      <c r="H67" s="1069">
        <v>2</v>
      </c>
      <c r="I67" s="1050" t="s">
        <v>12017</v>
      </c>
      <c r="J67" s="104" t="str">
        <f t="shared" si="5"/>
        <v>МАКАРОВ</v>
      </c>
      <c r="K67" s="104" t="str">
        <f t="shared" si="6"/>
        <v>Н</v>
      </c>
      <c r="L67" s="104" t="str">
        <f t="shared" si="2"/>
        <v>МАКАРОВ Н.</v>
      </c>
      <c r="M67" s="123">
        <v>60</v>
      </c>
      <c r="N67" t="e">
        <f>SUMIF('R-Муж'!#REF!,B54,'R-Муж'!F:F)</f>
        <v>#REF!</v>
      </c>
    </row>
    <row r="68" spans="1:14" ht="17.25" thickTop="1" thickBot="1" x14ac:dyDescent="0.3">
      <c r="A68" s="115" t="s">
        <v>760</v>
      </c>
      <c r="B68" s="1003" t="s">
        <v>12053</v>
      </c>
      <c r="C68" s="1014" t="s">
        <v>12242</v>
      </c>
      <c r="D68" s="1045" t="s">
        <v>6928</v>
      </c>
      <c r="E68" s="1046">
        <v>152</v>
      </c>
      <c r="F68" s="1047" t="s">
        <v>105</v>
      </c>
      <c r="G68" s="1070"/>
      <c r="H68" s="1071">
        <v>2</v>
      </c>
      <c r="I68" s="1056" t="s">
        <v>12052</v>
      </c>
      <c r="J68" s="104" t="str">
        <f t="shared" si="5"/>
        <v>МАКЕЕВ</v>
      </c>
      <c r="K68" s="104" t="str">
        <f t="shared" si="6"/>
        <v>А</v>
      </c>
      <c r="L68" s="104" t="str">
        <f t="shared" si="2"/>
        <v>МАКЕЕВ А.</v>
      </c>
      <c r="M68" s="123">
        <v>61</v>
      </c>
      <c r="N68" t="e">
        <f>SUMIF('R-Муж'!#REF!,B55,'R-Муж'!F:F)</f>
        <v>#REF!</v>
      </c>
    </row>
    <row r="69" spans="1:14" ht="17.25" thickTop="1" thickBot="1" x14ac:dyDescent="0.25">
      <c r="A69" s="116" t="s">
        <v>761</v>
      </c>
      <c r="B69" s="1004" t="s">
        <v>12164</v>
      </c>
      <c r="C69" s="1015" t="s">
        <v>12261</v>
      </c>
      <c r="D69" s="1045" t="s">
        <v>6953</v>
      </c>
      <c r="E69" s="1046">
        <v>71</v>
      </c>
      <c r="F69" s="1047" t="s">
        <v>105</v>
      </c>
      <c r="G69" s="1068"/>
      <c r="H69" s="1069" t="s">
        <v>12057</v>
      </c>
      <c r="I69" s="1050" t="s">
        <v>12154</v>
      </c>
      <c r="J69" s="104" t="str">
        <f t="shared" si="5"/>
        <v>МАЛОВ</v>
      </c>
      <c r="K69" s="104" t="str">
        <f t="shared" si="6"/>
        <v>И</v>
      </c>
      <c r="L69" s="104" t="str">
        <f t="shared" si="2"/>
        <v>МАЛОВ И.</v>
      </c>
      <c r="M69" s="123">
        <v>62</v>
      </c>
      <c r="N69" t="e">
        <f>SUMIF('R-Муж'!#REF!,B56,'R-Муж'!F:F)</f>
        <v>#REF!</v>
      </c>
    </row>
    <row r="70" spans="1:14" ht="17.25" thickTop="1" thickBot="1" x14ac:dyDescent="0.25">
      <c r="A70" s="115" t="s">
        <v>762</v>
      </c>
      <c r="B70" s="1000" t="s">
        <v>12168</v>
      </c>
      <c r="C70" s="1011" t="s">
        <v>12267</v>
      </c>
      <c r="D70" s="1045" t="s">
        <v>3714</v>
      </c>
      <c r="E70" s="1046"/>
      <c r="F70" s="1047" t="s">
        <v>12098</v>
      </c>
      <c r="G70" s="1068"/>
      <c r="H70" s="1069" t="s">
        <v>12009</v>
      </c>
      <c r="I70" s="1056" t="s">
        <v>12099</v>
      </c>
      <c r="J70" s="104" t="str">
        <f t="shared" si="5"/>
        <v>МАЛЫК</v>
      </c>
      <c r="K70" s="104" t="str">
        <f t="shared" si="6"/>
        <v>Н</v>
      </c>
      <c r="L70" s="104" t="str">
        <f t="shared" si="2"/>
        <v>МАЛЫК Н.</v>
      </c>
      <c r="M70" s="123">
        <v>63</v>
      </c>
      <c r="N70" t="e">
        <f>SUMIF('R-Муж'!#REF!,B57,'R-Муж'!F:F)</f>
        <v>#REF!</v>
      </c>
    </row>
    <row r="71" spans="1:14" ht="17.25" thickTop="1" thickBot="1" x14ac:dyDescent="0.3">
      <c r="A71" s="116" t="s">
        <v>68</v>
      </c>
      <c r="B71" s="1002" t="s">
        <v>12021</v>
      </c>
      <c r="C71" s="1013" t="s">
        <v>12213</v>
      </c>
      <c r="D71" s="1045" t="s">
        <v>2813</v>
      </c>
      <c r="E71" s="1046">
        <v>11</v>
      </c>
      <c r="F71" s="1047" t="s">
        <v>108</v>
      </c>
      <c r="G71" s="1070"/>
      <c r="H71" s="1071">
        <v>2</v>
      </c>
      <c r="I71" s="1050" t="s">
        <v>12022</v>
      </c>
      <c r="J71" s="104" t="str">
        <f t="shared" si="5"/>
        <v>МАНЦУРОВ</v>
      </c>
      <c r="K71" s="104" t="str">
        <f t="shared" si="6"/>
        <v>Т</v>
      </c>
      <c r="L71" s="104" t="str">
        <f t="shared" si="2"/>
        <v>МАНЦУРОВ Т.</v>
      </c>
      <c r="M71" s="123">
        <v>64</v>
      </c>
      <c r="N71" t="e">
        <f>SUMIF('R-Муж'!#REF!,B58,'R-Муж'!F:F)</f>
        <v>#REF!</v>
      </c>
    </row>
    <row r="72" spans="1:14" ht="17.25" thickTop="1" thickBot="1" x14ac:dyDescent="0.3">
      <c r="A72" s="115" t="s">
        <v>69</v>
      </c>
      <c r="B72" s="1002" t="s">
        <v>12100</v>
      </c>
      <c r="C72" s="1013" t="s">
        <v>12268</v>
      </c>
      <c r="D72" s="1045" t="s">
        <v>4633</v>
      </c>
      <c r="E72" s="1046">
        <v>23</v>
      </c>
      <c r="F72" s="1047" t="s">
        <v>1844</v>
      </c>
      <c r="G72" s="1068"/>
      <c r="H72" s="1069" t="s">
        <v>12009</v>
      </c>
      <c r="I72" s="1056" t="s">
        <v>12099</v>
      </c>
      <c r="J72" s="104" t="str">
        <f t="shared" si="5"/>
        <v>МАРКИН</v>
      </c>
      <c r="K72" s="104" t="str">
        <f t="shared" si="6"/>
        <v>И</v>
      </c>
      <c r="L72" s="104" t="str">
        <f t="shared" ref="L72:L119" si="7">CONCATENATE(J72," ",K72,".")</f>
        <v>МАРКИН И.</v>
      </c>
      <c r="M72" s="123">
        <v>65</v>
      </c>
      <c r="N72" t="e">
        <f>SUMIF('R-Муж'!#REF!,B59,'R-Муж'!F:F)</f>
        <v>#REF!</v>
      </c>
    </row>
    <row r="73" spans="1:14" ht="17.25" thickTop="1" thickBot="1" x14ac:dyDescent="0.3">
      <c r="A73" s="116" t="s">
        <v>763</v>
      </c>
      <c r="B73" s="1002" t="s">
        <v>12146</v>
      </c>
      <c r="C73" s="1013" t="s">
        <v>12257</v>
      </c>
      <c r="D73" s="1045" t="s">
        <v>4634</v>
      </c>
      <c r="E73" s="1046">
        <v>19</v>
      </c>
      <c r="F73" s="1047" t="s">
        <v>105</v>
      </c>
      <c r="G73" s="1070"/>
      <c r="H73" s="1071"/>
      <c r="I73" s="1050" t="s">
        <v>12154</v>
      </c>
      <c r="J73" s="104" t="str">
        <f t="shared" si="5"/>
        <v>МАСЛАКОВ</v>
      </c>
      <c r="K73" s="104" t="str">
        <f t="shared" si="6"/>
        <v>А</v>
      </c>
      <c r="L73" s="104" t="str">
        <f t="shared" si="7"/>
        <v>МАСЛАКОВ А.</v>
      </c>
      <c r="M73" s="123">
        <v>66</v>
      </c>
      <c r="N73" t="e">
        <f>SUMIF('R-Муж'!#REF!,B60,'R-Муж'!F:F)</f>
        <v>#REF!</v>
      </c>
    </row>
    <row r="74" spans="1:14" ht="17.25" thickTop="1" thickBot="1" x14ac:dyDescent="0.3">
      <c r="A74" s="115" t="s">
        <v>77</v>
      </c>
      <c r="B74" s="1002" t="s">
        <v>12149</v>
      </c>
      <c r="C74" s="1013" t="s">
        <v>12263</v>
      </c>
      <c r="D74" s="1045" t="s">
        <v>4806</v>
      </c>
      <c r="E74" s="1046">
        <v>269</v>
      </c>
      <c r="F74" s="1047" t="s">
        <v>105</v>
      </c>
      <c r="G74" s="1068"/>
      <c r="H74" s="1069">
        <v>1</v>
      </c>
      <c r="I74" s="1056" t="s">
        <v>12153</v>
      </c>
      <c r="J74" s="104" t="str">
        <f t="shared" si="5"/>
        <v>МЕДВЕДЕВ</v>
      </c>
      <c r="K74" s="104" t="str">
        <f t="shared" si="6"/>
        <v>М</v>
      </c>
      <c r="L74" s="104" t="str">
        <f t="shared" si="7"/>
        <v>МЕДВЕДЕВ М.</v>
      </c>
      <c r="M74" s="123">
        <v>67</v>
      </c>
      <c r="N74" t="e">
        <f>SUMIF('R-Муж'!#REF!,B61,'R-Муж'!F:F)</f>
        <v>#REF!</v>
      </c>
    </row>
    <row r="75" spans="1:14" ht="17.25" thickTop="1" thickBot="1" x14ac:dyDescent="0.3">
      <c r="A75" s="116" t="s">
        <v>78</v>
      </c>
      <c r="B75" s="1002" t="s">
        <v>12027</v>
      </c>
      <c r="C75" s="1013" t="s">
        <v>12211</v>
      </c>
      <c r="D75" s="1045" t="s">
        <v>7217</v>
      </c>
      <c r="E75" s="1046">
        <v>221</v>
      </c>
      <c r="F75" s="1047" t="s">
        <v>1158</v>
      </c>
      <c r="G75" s="1070"/>
      <c r="H75" s="1071">
        <v>3</v>
      </c>
      <c r="I75" s="1050" t="s">
        <v>12028</v>
      </c>
      <c r="J75" s="104" t="str">
        <f t="shared" si="5"/>
        <v>МИРОНОВ</v>
      </c>
      <c r="K75" s="104" t="str">
        <f t="shared" si="6"/>
        <v>Е</v>
      </c>
      <c r="L75" s="104" t="str">
        <f t="shared" si="7"/>
        <v>МИРОНОВ Е.</v>
      </c>
      <c r="M75" s="123">
        <v>68</v>
      </c>
      <c r="N75" t="e">
        <f>SUMIF('R-Муж'!#REF!,B62,'R-Муж'!F:F)</f>
        <v>#REF!</v>
      </c>
    </row>
    <row r="76" spans="1:14" ht="17.25" thickTop="1" thickBot="1" x14ac:dyDescent="0.25">
      <c r="A76" s="115" t="s">
        <v>79</v>
      </c>
      <c r="B76" s="1000" t="s">
        <v>12097</v>
      </c>
      <c r="C76" s="1011" t="s">
        <v>12273</v>
      </c>
      <c r="D76" s="1045" t="s">
        <v>7236</v>
      </c>
      <c r="E76" s="1046">
        <v>0</v>
      </c>
      <c r="F76" s="1047" t="s">
        <v>2720</v>
      </c>
      <c r="G76" s="1070"/>
      <c r="H76" s="1071" t="s">
        <v>12009</v>
      </c>
      <c r="I76" s="1056" t="s">
        <v>12096</v>
      </c>
      <c r="J76" s="104" t="str">
        <f t="shared" si="5"/>
        <v>МИШУКОВ</v>
      </c>
      <c r="K76" s="104" t="str">
        <f t="shared" si="6"/>
        <v>М</v>
      </c>
      <c r="L76" s="104" t="str">
        <f t="shared" si="7"/>
        <v>МИШУКОВ М.</v>
      </c>
      <c r="M76" s="123">
        <v>69</v>
      </c>
      <c r="N76" t="e">
        <f>SUMIF('R-Муж'!#REF!,B63,'R-Муж'!F:F)</f>
        <v>#REF!</v>
      </c>
    </row>
    <row r="77" spans="1:14" ht="17.25" thickTop="1" thickBot="1" x14ac:dyDescent="0.3">
      <c r="A77" s="116" t="s">
        <v>764</v>
      </c>
      <c r="B77" s="1002" t="s">
        <v>12118</v>
      </c>
      <c r="C77" s="1013" t="s">
        <v>12216</v>
      </c>
      <c r="D77" s="1045" t="s">
        <v>4159</v>
      </c>
      <c r="E77" s="1046">
        <v>59</v>
      </c>
      <c r="F77" s="1047" t="s">
        <v>1578</v>
      </c>
      <c r="G77" s="1070"/>
      <c r="H77" s="1071" t="s">
        <v>12009</v>
      </c>
      <c r="I77" s="1050" t="s">
        <v>12119</v>
      </c>
      <c r="J77" s="104" t="str">
        <f t="shared" si="5"/>
        <v>МОСПАНОВ</v>
      </c>
      <c r="K77" s="104" t="str">
        <f t="shared" si="6"/>
        <v>И</v>
      </c>
      <c r="L77" s="104" t="str">
        <f t="shared" si="7"/>
        <v>МОСПАНОВ И.</v>
      </c>
      <c r="M77" s="123">
        <v>70</v>
      </c>
      <c r="N77" t="e">
        <f>SUMIF('R-Муж'!#REF!,B64,'R-Муж'!F:F)</f>
        <v>#REF!</v>
      </c>
    </row>
    <row r="78" spans="1:14" ht="17.25" thickTop="1" thickBot="1" x14ac:dyDescent="0.25">
      <c r="A78" s="115" t="s">
        <v>81</v>
      </c>
      <c r="B78" s="1004" t="s">
        <v>12042</v>
      </c>
      <c r="C78" s="1015" t="s">
        <v>12235</v>
      </c>
      <c r="D78" s="1045" t="s">
        <v>6124</v>
      </c>
      <c r="E78" s="1046">
        <v>66</v>
      </c>
      <c r="F78" s="1047" t="s">
        <v>105</v>
      </c>
      <c r="G78" s="1070"/>
      <c r="H78" s="1071" t="s">
        <v>12009</v>
      </c>
      <c r="I78" s="1056" t="s">
        <v>12036</v>
      </c>
      <c r="J78" s="104" t="str">
        <f t="shared" si="5"/>
        <v>МУКОВ</v>
      </c>
      <c r="K78" s="104" t="str">
        <f t="shared" si="6"/>
        <v>Р</v>
      </c>
      <c r="L78" s="104" t="str">
        <f t="shared" si="7"/>
        <v>МУКОВ Р.</v>
      </c>
      <c r="M78" s="123">
        <v>71</v>
      </c>
      <c r="N78" t="e">
        <f>SUMIF('R-Муж'!#REF!,B65,'R-Муж'!F:F)</f>
        <v>#REF!</v>
      </c>
    </row>
    <row r="79" spans="1:14" ht="17.25" thickTop="1" thickBot="1" x14ac:dyDescent="0.25">
      <c r="A79" s="116" t="s">
        <v>82</v>
      </c>
      <c r="B79" s="1004" t="s">
        <v>12059</v>
      </c>
      <c r="C79" s="1015" t="s">
        <v>12226</v>
      </c>
      <c r="D79" s="1045" t="s">
        <v>2788</v>
      </c>
      <c r="E79" s="1046">
        <v>90</v>
      </c>
      <c r="F79" s="1047" t="s">
        <v>105</v>
      </c>
      <c r="G79" s="1070"/>
      <c r="H79" s="1071">
        <v>2</v>
      </c>
      <c r="I79" s="1050" t="s">
        <v>12033</v>
      </c>
      <c r="J79" s="104" t="str">
        <f t="shared" si="5"/>
        <v>НАЗАРКИН</v>
      </c>
      <c r="K79" s="104" t="str">
        <f t="shared" si="6"/>
        <v>М</v>
      </c>
      <c r="L79" s="104" t="str">
        <f t="shared" si="7"/>
        <v>НАЗАРКИН М.</v>
      </c>
      <c r="M79" s="123">
        <v>72</v>
      </c>
      <c r="N79" t="e">
        <f>SUMIF('R-Муж'!#REF!,B66,'R-Муж'!F:F)</f>
        <v>#REF!</v>
      </c>
    </row>
    <row r="80" spans="1:14" ht="17.25" thickTop="1" thickBot="1" x14ac:dyDescent="0.3">
      <c r="A80" s="115" t="s">
        <v>86</v>
      </c>
      <c r="B80" s="1003" t="s">
        <v>12055</v>
      </c>
      <c r="C80" s="1014" t="s">
        <v>12244</v>
      </c>
      <c r="D80" s="1052" t="s">
        <v>6870</v>
      </c>
      <c r="E80" s="1064">
        <v>101</v>
      </c>
      <c r="F80" s="1054" t="s">
        <v>105</v>
      </c>
      <c r="G80" s="1072"/>
      <c r="H80" s="1073">
        <v>2</v>
      </c>
      <c r="I80" s="1066" t="s">
        <v>12052</v>
      </c>
      <c r="J80" s="104" t="str">
        <f t="shared" si="5"/>
        <v>НАСИРОВ</v>
      </c>
      <c r="K80" s="104" t="str">
        <f t="shared" si="6"/>
        <v>Ф</v>
      </c>
      <c r="L80" s="104" t="str">
        <f t="shared" si="7"/>
        <v>НАСИРОВ Ф.</v>
      </c>
      <c r="M80" s="123">
        <v>73</v>
      </c>
      <c r="N80" t="e">
        <f>SUMIF('R-Муж'!#REF!,B67,'R-Муж'!F:F)</f>
        <v>#REF!</v>
      </c>
    </row>
    <row r="81" spans="1:14" ht="17.25" thickTop="1" thickBot="1" x14ac:dyDescent="0.3">
      <c r="A81" s="116" t="s">
        <v>87</v>
      </c>
      <c r="B81" s="1002" t="s">
        <v>12152</v>
      </c>
      <c r="C81" s="1013" t="s">
        <v>12266</v>
      </c>
      <c r="D81" s="1045" t="s">
        <v>6701</v>
      </c>
      <c r="E81" s="1046">
        <v>245</v>
      </c>
      <c r="F81" s="1047" t="s">
        <v>105</v>
      </c>
      <c r="G81" s="1070"/>
      <c r="H81" s="1071">
        <v>1</v>
      </c>
      <c r="I81" s="1050" t="s">
        <v>12153</v>
      </c>
      <c r="J81" s="104" t="str">
        <f t="shared" si="5"/>
        <v>НИКИШАЕВ</v>
      </c>
      <c r="K81" s="104" t="str">
        <f t="shared" si="6"/>
        <v>М</v>
      </c>
      <c r="L81" s="104" t="str">
        <f t="shared" si="7"/>
        <v>НИКИШАЕВ М.</v>
      </c>
      <c r="M81" s="123">
        <v>74</v>
      </c>
      <c r="N81" t="e">
        <f>SUMIF('R-Муж'!#REF!,B68,'R-Муж'!F:F)</f>
        <v>#REF!</v>
      </c>
    </row>
    <row r="82" spans="1:14" ht="17.25" thickTop="1" thickBot="1" x14ac:dyDescent="0.3">
      <c r="A82" s="115" t="s">
        <v>88</v>
      </c>
      <c r="B82" s="1003" t="s">
        <v>12056</v>
      </c>
      <c r="C82" s="1014" t="s">
        <v>12245</v>
      </c>
      <c r="D82" s="1045" t="s">
        <v>4828</v>
      </c>
      <c r="E82" s="1046">
        <v>61</v>
      </c>
      <c r="F82" s="1047" t="s">
        <v>105</v>
      </c>
      <c r="G82" s="1070"/>
      <c r="H82" s="1071">
        <v>3</v>
      </c>
      <c r="I82" s="1056" t="s">
        <v>12052</v>
      </c>
      <c r="J82" s="104" t="str">
        <f t="shared" si="5"/>
        <v>НОВИКОВ</v>
      </c>
      <c r="K82" s="104" t="str">
        <f t="shared" si="6"/>
        <v>К</v>
      </c>
      <c r="L82" s="104" t="str">
        <f t="shared" si="7"/>
        <v>НОВИКОВ К.</v>
      </c>
      <c r="M82" s="123">
        <v>75</v>
      </c>
      <c r="N82" t="e">
        <f>SUMIF('R-Муж'!#REF!,B69,'R-Муж'!F:F)</f>
        <v>#REF!</v>
      </c>
    </row>
    <row r="83" spans="1:14" ht="17.25" thickTop="1" thickBot="1" x14ac:dyDescent="0.3">
      <c r="A83" s="116" t="s">
        <v>892</v>
      </c>
      <c r="B83" s="1002" t="s">
        <v>12079</v>
      </c>
      <c r="C83" s="1013" t="s">
        <v>12271</v>
      </c>
      <c r="D83" s="1045" t="s">
        <v>12184</v>
      </c>
      <c r="E83" s="1046"/>
      <c r="F83" s="1047" t="s">
        <v>2660</v>
      </c>
      <c r="G83" s="1070"/>
      <c r="H83" s="1071" t="s">
        <v>12057</v>
      </c>
      <c r="I83" s="1050" t="s">
        <v>12078</v>
      </c>
      <c r="J83" s="104" t="str">
        <f t="shared" si="5"/>
        <v>НОВОСЕЛОВ</v>
      </c>
      <c r="K83" s="104" t="str">
        <f t="shared" si="6"/>
        <v>М</v>
      </c>
      <c r="L83" s="104" t="str">
        <f t="shared" si="7"/>
        <v>НОВОСЕЛОВ М.</v>
      </c>
      <c r="M83" s="123">
        <v>76</v>
      </c>
      <c r="N83" t="e">
        <f>SUMIF('R-Муж'!#REF!,B70,'R-Муж'!F:F)</f>
        <v>#REF!</v>
      </c>
    </row>
    <row r="84" spans="1:14" ht="17.25" thickTop="1" thickBot="1" x14ac:dyDescent="0.3">
      <c r="A84" s="115" t="s">
        <v>893</v>
      </c>
      <c r="B84" s="1002" t="s">
        <v>12145</v>
      </c>
      <c r="C84" s="1013" t="s">
        <v>12255</v>
      </c>
      <c r="D84" s="1045" t="s">
        <v>7323</v>
      </c>
      <c r="E84" s="1046">
        <v>46</v>
      </c>
      <c r="F84" s="1047" t="s">
        <v>105</v>
      </c>
      <c r="G84" s="1068"/>
      <c r="H84" s="1069"/>
      <c r="I84" s="1056" t="s">
        <v>12154</v>
      </c>
      <c r="J84" s="886" t="str">
        <f t="shared" si="5"/>
        <v>ОДЕРКОВ</v>
      </c>
      <c r="K84" s="886" t="str">
        <f t="shared" si="6"/>
        <v>М</v>
      </c>
      <c r="L84" s="886" t="str">
        <f t="shared" si="7"/>
        <v>ОДЕРКОВ М.</v>
      </c>
      <c r="M84" s="123">
        <v>77</v>
      </c>
      <c r="N84" t="e">
        <f>SUMIF('R-Муж'!#REF!,B71,'R-Муж'!F:F)</f>
        <v>#REF!</v>
      </c>
    </row>
    <row r="85" spans="1:14" ht="17.25" thickTop="1" thickBot="1" x14ac:dyDescent="0.3">
      <c r="A85" s="116" t="s">
        <v>894</v>
      </c>
      <c r="B85" s="1002" t="s">
        <v>12075</v>
      </c>
      <c r="C85" s="1013" t="s">
        <v>12200</v>
      </c>
      <c r="D85" s="1045" t="s">
        <v>3626</v>
      </c>
      <c r="E85" s="1046">
        <v>186</v>
      </c>
      <c r="F85" s="1047" t="s">
        <v>105</v>
      </c>
      <c r="G85" s="1068"/>
      <c r="H85" s="1069">
        <v>3</v>
      </c>
      <c r="I85" s="1056" t="s">
        <v>12072</v>
      </c>
      <c r="J85" s="104" t="str">
        <f t="shared" si="5"/>
        <v>ОСМОЛОВСКИЙ</v>
      </c>
      <c r="K85" s="104" t="str">
        <f t="shared" si="6"/>
        <v>Н</v>
      </c>
      <c r="L85" s="104" t="str">
        <f t="shared" si="7"/>
        <v>ОСМОЛОВСКИЙ Н.</v>
      </c>
      <c r="M85" s="123">
        <v>78</v>
      </c>
      <c r="N85" t="e">
        <f>SUMIF('R-Муж'!#REF!,B72,'R-Муж'!F:F)</f>
        <v>#REF!</v>
      </c>
    </row>
    <row r="86" spans="1:14" ht="17.25" thickTop="1" thickBot="1" x14ac:dyDescent="0.3">
      <c r="A86" s="115" t="s">
        <v>895</v>
      </c>
      <c r="B86" s="1002" t="s">
        <v>12120</v>
      </c>
      <c r="C86" s="1013" t="s">
        <v>12315</v>
      </c>
      <c r="D86" s="1045" t="s">
        <v>7169</v>
      </c>
      <c r="E86" s="1046"/>
      <c r="F86" s="1047" t="s">
        <v>105</v>
      </c>
      <c r="G86" s="1068"/>
      <c r="H86" s="1069">
        <v>2</v>
      </c>
      <c r="I86" s="1050" t="s">
        <v>12155</v>
      </c>
      <c r="J86" s="104" t="str">
        <f t="shared" si="5"/>
        <v>ОСТАШОВ</v>
      </c>
      <c r="K86" s="104" t="str">
        <f t="shared" si="6"/>
        <v>А</v>
      </c>
      <c r="L86" s="104" t="str">
        <f t="shared" si="7"/>
        <v>ОСТАШОВ А.</v>
      </c>
      <c r="M86" s="123">
        <v>79</v>
      </c>
      <c r="N86" t="e">
        <f>SUMIF('R-Муж'!#REF!,B73,'R-Муж'!F:F)</f>
        <v>#REF!</v>
      </c>
    </row>
    <row r="87" spans="1:14" ht="17.25" thickTop="1" thickBot="1" x14ac:dyDescent="0.3">
      <c r="A87" s="116" t="s">
        <v>896</v>
      </c>
      <c r="B87" s="1002" t="s">
        <v>12116</v>
      </c>
      <c r="C87" s="1013" t="s">
        <v>12215</v>
      </c>
      <c r="D87" s="1045" t="s">
        <v>2813</v>
      </c>
      <c r="E87" s="1046">
        <v>82</v>
      </c>
      <c r="F87" s="1047" t="s">
        <v>1578</v>
      </c>
      <c r="G87" s="1070"/>
      <c r="H87" s="1071" t="s">
        <v>12009</v>
      </c>
      <c r="I87" s="1056" t="s">
        <v>12117</v>
      </c>
      <c r="J87" s="104" t="str">
        <f t="shared" si="5"/>
        <v>ПАНФИЛОВ</v>
      </c>
      <c r="K87" s="104" t="str">
        <f t="shared" si="6"/>
        <v>Ф</v>
      </c>
      <c r="L87" s="104" t="str">
        <f t="shared" si="7"/>
        <v>ПАНФИЛОВ Ф.</v>
      </c>
      <c r="M87" s="123">
        <v>80</v>
      </c>
      <c r="N87" t="e">
        <f>SUMIF('R-Муж'!#REF!,B74,'R-Муж'!F:F)</f>
        <v>#REF!</v>
      </c>
    </row>
    <row r="88" spans="1:14" ht="17.25" thickTop="1" thickBot="1" x14ac:dyDescent="0.3">
      <c r="A88" s="901" t="s">
        <v>897</v>
      </c>
      <c r="B88" s="1008" t="s">
        <v>12025</v>
      </c>
      <c r="C88" s="1013" t="s">
        <v>12250</v>
      </c>
      <c r="D88" s="1045" t="s">
        <v>7541</v>
      </c>
      <c r="E88" s="1046">
        <v>378</v>
      </c>
      <c r="F88" s="1047" t="s">
        <v>99</v>
      </c>
      <c r="G88" s="1068"/>
      <c r="H88" s="1069">
        <v>2</v>
      </c>
      <c r="I88" s="1050" t="s">
        <v>12026</v>
      </c>
      <c r="J88" s="104" t="str">
        <f t="shared" si="5"/>
        <v>ПЕРФИЛЬЕВ</v>
      </c>
      <c r="K88" s="104" t="str">
        <f t="shared" si="6"/>
        <v>А</v>
      </c>
      <c r="L88" s="104" t="str">
        <f t="shared" si="7"/>
        <v>ПЕРФИЛЬЕВ А.</v>
      </c>
      <c r="M88" s="123">
        <v>81</v>
      </c>
      <c r="N88" t="e">
        <f>SUMIF('R-Муж'!#REF!,B75,'R-Муж'!F:F)</f>
        <v>#REF!</v>
      </c>
    </row>
    <row r="89" spans="1:14" ht="17.25" thickTop="1" thickBot="1" x14ac:dyDescent="0.3">
      <c r="A89" s="901" t="s">
        <v>898</v>
      </c>
      <c r="B89" s="1007" t="s">
        <v>12012</v>
      </c>
      <c r="C89" s="105" t="s">
        <v>12188</v>
      </c>
      <c r="D89" s="1045" t="s">
        <v>3142</v>
      </c>
      <c r="E89" s="1046">
        <v>22</v>
      </c>
      <c r="F89" s="1047" t="s">
        <v>3114</v>
      </c>
      <c r="G89" s="1068"/>
      <c r="H89" s="1074" t="s">
        <v>12009</v>
      </c>
      <c r="I89" s="1075" t="s">
        <v>12013</v>
      </c>
      <c r="J89" s="104" t="str">
        <f t="shared" si="5"/>
        <v>ПЕТРОВ</v>
      </c>
      <c r="K89" s="104" t="str">
        <f t="shared" si="6"/>
        <v>Е</v>
      </c>
      <c r="L89" s="104" t="str">
        <f t="shared" si="7"/>
        <v>ПЕТРОВ Е.</v>
      </c>
      <c r="M89" s="123">
        <v>82</v>
      </c>
      <c r="N89" t="e">
        <f>SUMIF('R-Муж'!#REF!,B76,'R-Муж'!F:F)</f>
        <v>#REF!</v>
      </c>
    </row>
    <row r="90" spans="1:14" ht="17.25" thickTop="1" thickBot="1" x14ac:dyDescent="0.3">
      <c r="A90" s="902" t="s">
        <v>899</v>
      </c>
      <c r="B90" s="1008" t="s">
        <v>12151</v>
      </c>
      <c r="C90" s="1013" t="s">
        <v>12265</v>
      </c>
      <c r="D90" s="1045" t="s">
        <v>2714</v>
      </c>
      <c r="E90" s="1046">
        <v>167</v>
      </c>
      <c r="F90" s="1047" t="s">
        <v>105</v>
      </c>
      <c r="G90" s="1076"/>
      <c r="H90" s="1069" t="s">
        <v>12009</v>
      </c>
      <c r="I90" s="1060" t="s">
        <v>12169</v>
      </c>
      <c r="J90" s="104" t="str">
        <f t="shared" si="5"/>
        <v>ПЕТУХОВ</v>
      </c>
      <c r="K90" s="104" t="str">
        <f t="shared" si="6"/>
        <v>А</v>
      </c>
      <c r="L90" s="104" t="str">
        <f t="shared" si="7"/>
        <v>ПЕТУХОВ А.</v>
      </c>
      <c r="M90" s="123">
        <v>83</v>
      </c>
      <c r="N90" t="e">
        <f>SUMIF('R-Муж'!#REF!,B77,'R-Муж'!F:F)</f>
        <v>#REF!</v>
      </c>
    </row>
    <row r="91" spans="1:14" ht="17.25" thickTop="1" thickBot="1" x14ac:dyDescent="0.3">
      <c r="A91" s="901" t="s">
        <v>94</v>
      </c>
      <c r="B91" s="1006" t="s">
        <v>12054</v>
      </c>
      <c r="C91" s="1014" t="s">
        <v>12243</v>
      </c>
      <c r="D91" s="1045" t="s">
        <v>4611</v>
      </c>
      <c r="E91" s="1046">
        <v>12</v>
      </c>
      <c r="F91" s="1047" t="s">
        <v>105</v>
      </c>
      <c r="G91" s="1076"/>
      <c r="H91" s="1069"/>
      <c r="I91" s="1060" t="s">
        <v>12033</v>
      </c>
      <c r="J91" s="104" t="str">
        <f t="shared" si="5"/>
        <v>ПИВОВАРОВ</v>
      </c>
      <c r="K91" s="104" t="str">
        <f t="shared" si="6"/>
        <v>И</v>
      </c>
      <c r="L91" s="104" t="str">
        <f t="shared" si="7"/>
        <v>ПИВОВАРОВ И.</v>
      </c>
      <c r="M91" s="123">
        <v>84</v>
      </c>
      <c r="N91" t="e">
        <f>SUMIF('R-Муж'!#REF!,B78,'R-Муж'!F:F)</f>
        <v>#REF!</v>
      </c>
    </row>
    <row r="92" spans="1:14" ht="17.25" thickTop="1" thickBot="1" x14ac:dyDescent="0.3">
      <c r="A92" s="902" t="s">
        <v>95</v>
      </c>
      <c r="B92" s="1008" t="s">
        <v>12134</v>
      </c>
      <c r="C92" s="1013" t="s">
        <v>12214</v>
      </c>
      <c r="D92" s="1045" t="s">
        <v>7667</v>
      </c>
      <c r="E92" s="1046">
        <v>112</v>
      </c>
      <c r="F92" s="1047" t="s">
        <v>108</v>
      </c>
      <c r="G92" s="1077"/>
      <c r="H92" s="1071">
        <v>2</v>
      </c>
      <c r="I92" s="1060" t="s">
        <v>12022</v>
      </c>
      <c r="J92" s="104" t="str">
        <f t="shared" si="5"/>
        <v>ПЛАХОТНИК</v>
      </c>
      <c r="K92" s="104" t="str">
        <f t="shared" si="6"/>
        <v>А</v>
      </c>
      <c r="L92" s="104" t="str">
        <f t="shared" si="7"/>
        <v>ПЛАХОТНИК А.</v>
      </c>
      <c r="M92" s="123">
        <v>85</v>
      </c>
      <c r="N92" t="e">
        <f>SUMIF('R-Муж'!#REF!,B79,'R-Муж'!F:F)</f>
        <v>#REF!</v>
      </c>
    </row>
    <row r="93" spans="1:14" ht="17.25" thickTop="1" thickBot="1" x14ac:dyDescent="0.3">
      <c r="A93" s="901" t="s">
        <v>96</v>
      </c>
      <c r="B93" s="1008" t="s">
        <v>12102</v>
      </c>
      <c r="C93" s="1013" t="s">
        <v>12102</v>
      </c>
      <c r="D93" s="1045" t="s">
        <v>3202</v>
      </c>
      <c r="E93" s="1046">
        <v>32</v>
      </c>
      <c r="F93" s="1047" t="s">
        <v>105</v>
      </c>
      <c r="G93" s="1077"/>
      <c r="H93" s="1071">
        <v>3</v>
      </c>
      <c r="I93" s="1060" t="s">
        <v>12034</v>
      </c>
      <c r="J93" s="886" t="str">
        <f t="shared" si="5"/>
        <v>ПОДЛАЗОВ</v>
      </c>
      <c r="K93" s="886" t="str">
        <f t="shared" si="6"/>
        <v>В</v>
      </c>
      <c r="L93" s="886" t="str">
        <f t="shared" si="7"/>
        <v>ПОДЛАЗОВ В.</v>
      </c>
      <c r="M93" s="123">
        <v>86</v>
      </c>
      <c r="N93" t="e">
        <f>SUMIF('R-Муж'!#REF!,B80,'R-Муж'!F:F)</f>
        <v>#REF!</v>
      </c>
    </row>
    <row r="94" spans="1:14" ht="17.25" thickTop="1" thickBot="1" x14ac:dyDescent="0.3">
      <c r="A94" s="902" t="s">
        <v>97</v>
      </c>
      <c r="B94" s="1008" t="s">
        <v>12139</v>
      </c>
      <c r="C94" s="1013" t="s">
        <v>12223</v>
      </c>
      <c r="D94" s="1045" t="s">
        <v>4013</v>
      </c>
      <c r="E94" s="1046"/>
      <c r="F94" s="1047" t="s">
        <v>1578</v>
      </c>
      <c r="G94" s="1076"/>
      <c r="H94" s="1069"/>
      <c r="I94" s="1060" t="s">
        <v>12138</v>
      </c>
      <c r="J94" s="104" t="str">
        <f t="shared" si="5"/>
        <v>ПОЛЯКОВ</v>
      </c>
      <c r="K94" s="104" t="str">
        <f t="shared" si="6"/>
        <v>В</v>
      </c>
      <c r="L94" s="104" t="str">
        <f t="shared" si="7"/>
        <v>ПОЛЯКОВ В.</v>
      </c>
      <c r="M94" s="123">
        <v>87</v>
      </c>
      <c r="N94" t="e">
        <f>SUMIF('R-Муж'!#REF!,B81,'R-Муж'!F:F)</f>
        <v>#REF!</v>
      </c>
    </row>
    <row r="95" spans="1:14" ht="17.25" thickTop="1" thickBot="1" x14ac:dyDescent="0.3">
      <c r="A95" s="901" t="s">
        <v>900</v>
      </c>
      <c r="B95" s="1008" t="s">
        <v>12074</v>
      </c>
      <c r="C95" s="1013" t="s">
        <v>12203</v>
      </c>
      <c r="D95" s="1045" t="s">
        <v>7756</v>
      </c>
      <c r="E95" s="1046">
        <v>276</v>
      </c>
      <c r="F95" s="1047" t="s">
        <v>105</v>
      </c>
      <c r="G95" s="1068"/>
      <c r="H95" s="1069">
        <v>2</v>
      </c>
      <c r="I95" s="1056" t="s">
        <v>12072</v>
      </c>
      <c r="J95" s="104" t="str">
        <f t="shared" si="5"/>
        <v>ПОПОВ</v>
      </c>
      <c r="K95" s="104" t="str">
        <f t="shared" si="6"/>
        <v>Д</v>
      </c>
      <c r="L95" s="104" t="str">
        <f t="shared" si="7"/>
        <v>ПОПОВ Д.</v>
      </c>
      <c r="M95" s="123">
        <v>88</v>
      </c>
      <c r="N95" t="e">
        <f>SUMIF('R-Муж'!#REF!,B82,'R-Муж'!F:F)</f>
        <v>#REF!</v>
      </c>
    </row>
    <row r="96" spans="1:14" ht="17.25" thickTop="1" thickBot="1" x14ac:dyDescent="0.25">
      <c r="A96" s="115" t="s">
        <v>901</v>
      </c>
      <c r="B96" s="1004" t="s">
        <v>12041</v>
      </c>
      <c r="C96" s="1015" t="s">
        <v>12234</v>
      </c>
      <c r="D96" s="1045" t="s">
        <v>7767</v>
      </c>
      <c r="E96" s="1046">
        <v>115</v>
      </c>
      <c r="F96" s="1047" t="s">
        <v>105</v>
      </c>
      <c r="G96" s="1068"/>
      <c r="H96" s="1069">
        <v>3</v>
      </c>
      <c r="I96" s="1056" t="s">
        <v>12036</v>
      </c>
      <c r="J96" s="104" t="str">
        <f t="shared" si="5"/>
        <v>ПОПОВ</v>
      </c>
      <c r="K96" s="104" t="str">
        <f t="shared" si="6"/>
        <v>М</v>
      </c>
      <c r="L96" s="104" t="str">
        <f t="shared" si="7"/>
        <v>ПОПОВ М.</v>
      </c>
      <c r="M96" s="123">
        <v>89</v>
      </c>
      <c r="N96" t="e">
        <f>SUMIF('R-Муж'!#REF!,B83,'R-Муж'!F:F)</f>
        <v>#REF!</v>
      </c>
    </row>
    <row r="97" spans="1:14" ht="17.25" thickTop="1" thickBot="1" x14ac:dyDescent="0.25">
      <c r="A97" s="116" t="s">
        <v>902</v>
      </c>
      <c r="B97" s="1000" t="s">
        <v>12071</v>
      </c>
      <c r="C97" s="1011" t="s">
        <v>12201</v>
      </c>
      <c r="D97" s="1045" t="s">
        <v>5118</v>
      </c>
      <c r="E97" s="1046">
        <v>138</v>
      </c>
      <c r="F97" s="1047" t="s">
        <v>105</v>
      </c>
      <c r="G97" s="1070"/>
      <c r="H97" s="1071">
        <v>3</v>
      </c>
      <c r="I97" s="1050" t="s">
        <v>12072</v>
      </c>
      <c r="J97" s="104" t="str">
        <f t="shared" ref="J97:J119" si="8">MID(B84,1,SEARCH(" ",B84)-1)</f>
        <v>ПОПОВ</v>
      </c>
      <c r="K97" s="104" t="str">
        <f t="shared" ref="K97:K119" si="9">MID(B84,SEARCH(" ",B84)+1,1)</f>
        <v>П</v>
      </c>
      <c r="L97" s="104" t="str">
        <f t="shared" si="7"/>
        <v>ПОПОВ П.</v>
      </c>
      <c r="M97" s="123">
        <v>90</v>
      </c>
      <c r="N97" t="e">
        <f>SUMIF('R-Муж'!#REF!,B84,'R-Муж'!F:F)</f>
        <v>#REF!</v>
      </c>
    </row>
    <row r="98" spans="1:14" ht="17.25" thickTop="1" thickBot="1" x14ac:dyDescent="0.3">
      <c r="A98" s="115" t="s">
        <v>903</v>
      </c>
      <c r="B98" s="1003" t="s">
        <v>12049</v>
      </c>
      <c r="C98" s="1014" t="s">
        <v>12239</v>
      </c>
      <c r="D98" s="1045" t="s">
        <v>7900</v>
      </c>
      <c r="E98" s="1046">
        <v>62</v>
      </c>
      <c r="F98" s="1047" t="s">
        <v>105</v>
      </c>
      <c r="G98" s="1068"/>
      <c r="H98" s="1069">
        <v>3</v>
      </c>
      <c r="I98" s="1056" t="s">
        <v>12048</v>
      </c>
      <c r="J98" s="104" t="str">
        <f t="shared" si="8"/>
        <v>ПОРТНОВ</v>
      </c>
      <c r="K98" s="104" t="str">
        <f t="shared" si="9"/>
        <v>Ф</v>
      </c>
      <c r="L98" s="104" t="str">
        <f t="shared" si="7"/>
        <v>ПОРТНОВ Ф.</v>
      </c>
      <c r="M98" s="123">
        <v>91</v>
      </c>
      <c r="N98" t="e">
        <f>SUMIF('R-Муж'!#REF!,B85,'R-Муж'!F:F)</f>
        <v>#REF!</v>
      </c>
    </row>
    <row r="99" spans="1:14" ht="17.25" thickTop="1" thickBot="1" x14ac:dyDescent="0.3">
      <c r="A99" s="901" t="s">
        <v>904</v>
      </c>
      <c r="B99" s="1008" t="s">
        <v>12005</v>
      </c>
      <c r="C99" s="1013" t="s">
        <v>12194</v>
      </c>
      <c r="D99" s="1045" t="s">
        <v>5613</v>
      </c>
      <c r="E99" s="1046">
        <v>106</v>
      </c>
      <c r="F99" s="1047" t="s">
        <v>1906</v>
      </c>
      <c r="G99" s="1070"/>
      <c r="H99" s="1071">
        <v>3</v>
      </c>
      <c r="I99" s="1050" t="s">
        <v>12006</v>
      </c>
      <c r="J99" s="886" t="str">
        <f t="shared" si="8"/>
        <v>ПРИЗЕНКО</v>
      </c>
      <c r="K99" s="886" t="str">
        <f t="shared" si="9"/>
        <v>А</v>
      </c>
      <c r="L99" s="886" t="str">
        <f t="shared" si="7"/>
        <v>ПРИЗЕНКО А.</v>
      </c>
      <c r="M99" s="123">
        <v>92</v>
      </c>
      <c r="N99" t="e">
        <f>SUMIF('R-Муж'!#REF!,B86,'R-Муж'!F:F)</f>
        <v>#REF!</v>
      </c>
    </row>
    <row r="100" spans="1:14" ht="17.25" thickTop="1" thickBot="1" x14ac:dyDescent="0.3">
      <c r="A100" s="902" t="s">
        <v>905</v>
      </c>
      <c r="B100" s="1007" t="s">
        <v>12080</v>
      </c>
      <c r="C100" s="105" t="s">
        <v>12283</v>
      </c>
      <c r="D100" s="1045" t="s">
        <v>6524</v>
      </c>
      <c r="E100" s="1046">
        <v>43</v>
      </c>
      <c r="F100" s="1047" t="s">
        <v>105</v>
      </c>
      <c r="G100" s="1070"/>
      <c r="H100" s="1078" t="s">
        <v>12057</v>
      </c>
      <c r="I100" s="1075" t="s">
        <v>12081</v>
      </c>
      <c r="J100" s="104" t="str">
        <f t="shared" si="8"/>
        <v>ПРОХОРОВ</v>
      </c>
      <c r="K100" s="104" t="str">
        <f t="shared" si="9"/>
        <v>К</v>
      </c>
      <c r="L100" s="104" t="str">
        <f t="shared" si="7"/>
        <v>ПРОХОРОВ К.</v>
      </c>
      <c r="M100" s="123">
        <v>93</v>
      </c>
      <c r="N100" t="e">
        <f>SUMIF('R-Муж'!#REF!,B87,'R-Муж'!F:F)</f>
        <v>#REF!</v>
      </c>
    </row>
    <row r="101" spans="1:14" ht="17.25" thickTop="1" thickBot="1" x14ac:dyDescent="0.25">
      <c r="A101" s="901" t="s">
        <v>906</v>
      </c>
      <c r="B101" s="1009" t="s">
        <v>12073</v>
      </c>
      <c r="C101" s="1012" t="s">
        <v>12202</v>
      </c>
      <c r="D101" s="1045" t="s">
        <v>2615</v>
      </c>
      <c r="E101" s="1046">
        <v>472</v>
      </c>
      <c r="F101" s="1047" t="s">
        <v>105</v>
      </c>
      <c r="G101" s="1077"/>
      <c r="H101" s="1071">
        <v>2</v>
      </c>
      <c r="I101" s="1060" t="s">
        <v>12072</v>
      </c>
      <c r="J101" s="104" t="str">
        <f t="shared" si="8"/>
        <v>РАМС</v>
      </c>
      <c r="K101" s="104" t="str">
        <f t="shared" si="9"/>
        <v>С</v>
      </c>
      <c r="L101" s="104" t="str">
        <f t="shared" si="7"/>
        <v>РАМС С.</v>
      </c>
      <c r="M101" s="123">
        <v>94</v>
      </c>
      <c r="N101" t="e">
        <f>SUMIF('R-Муж'!#REF!,B88,'R-Муж'!F:F)</f>
        <v>#REF!</v>
      </c>
    </row>
    <row r="102" spans="1:14" ht="17.25" thickTop="1" thickBot="1" x14ac:dyDescent="0.3">
      <c r="A102" s="902" t="s">
        <v>907</v>
      </c>
      <c r="B102" s="1008" t="s">
        <v>12158</v>
      </c>
      <c r="C102" s="1013" t="s">
        <v>12252</v>
      </c>
      <c r="D102" s="1045" t="s">
        <v>2888</v>
      </c>
      <c r="E102" s="1046">
        <v>8</v>
      </c>
      <c r="F102" s="1047" t="s">
        <v>1939</v>
      </c>
      <c r="G102" s="1077"/>
      <c r="H102" s="1071" t="s">
        <v>12009</v>
      </c>
      <c r="I102" s="1060" t="s">
        <v>12091</v>
      </c>
      <c r="J102" s="104" t="str">
        <f t="shared" si="8"/>
        <v>РЕКУТИН</v>
      </c>
      <c r="K102" s="104" t="str">
        <f t="shared" si="9"/>
        <v>В</v>
      </c>
      <c r="L102" s="104" t="str">
        <f t="shared" si="7"/>
        <v>РЕКУТИН В.</v>
      </c>
      <c r="M102" s="898">
        <v>95</v>
      </c>
      <c r="N102" t="e">
        <f>SUMIF('R-Муж'!#REF!,B89,'R-Муж'!F:F)</f>
        <v>#REF!</v>
      </c>
    </row>
    <row r="103" spans="1:14" ht="17.25" thickTop="1" thickBot="1" x14ac:dyDescent="0.3">
      <c r="A103" s="901" t="s">
        <v>908</v>
      </c>
      <c r="B103" s="1008" t="s">
        <v>12023</v>
      </c>
      <c r="C103" s="1013" t="s">
        <v>12316</v>
      </c>
      <c r="D103" s="1045" t="s">
        <v>4068</v>
      </c>
      <c r="E103" s="1046">
        <v>175</v>
      </c>
      <c r="F103" s="1047" t="s">
        <v>113</v>
      </c>
      <c r="G103" s="1076"/>
      <c r="H103" s="1069">
        <v>1</v>
      </c>
      <c r="I103" s="1060" t="s">
        <v>12024</v>
      </c>
      <c r="J103" s="894" t="str">
        <f t="shared" si="8"/>
        <v>РОДИОНОВ</v>
      </c>
      <c r="K103" s="869" t="str">
        <f t="shared" si="9"/>
        <v>В</v>
      </c>
      <c r="L103" s="869" t="str">
        <f t="shared" si="7"/>
        <v>РОДИОНОВ В.</v>
      </c>
      <c r="M103" s="896">
        <v>96</v>
      </c>
      <c r="N103" t="e">
        <f>SUMIF('R-Муж'!#REF!,B90,'R-Муж'!F:F)</f>
        <v>#REF!</v>
      </c>
    </row>
    <row r="104" spans="1:14" ht="17.25" thickTop="1" thickBot="1" x14ac:dyDescent="0.3">
      <c r="A104" s="902" t="s">
        <v>909</v>
      </c>
      <c r="B104" s="1008" t="s">
        <v>12129</v>
      </c>
      <c r="C104" s="1013" t="s">
        <v>12199</v>
      </c>
      <c r="D104" s="1045" t="s">
        <v>8233</v>
      </c>
      <c r="E104" s="1046">
        <v>348</v>
      </c>
      <c r="F104" s="1047" t="s">
        <v>12317</v>
      </c>
      <c r="G104" s="1077"/>
      <c r="H104" s="1071">
        <v>1</v>
      </c>
      <c r="I104" s="1060" t="s">
        <v>12130</v>
      </c>
      <c r="J104" s="894" t="str">
        <f t="shared" si="8"/>
        <v>РОСТОШИНСКИЙ</v>
      </c>
      <c r="K104" s="869" t="str">
        <f t="shared" si="9"/>
        <v>И</v>
      </c>
      <c r="L104" s="869" t="str">
        <f t="shared" si="7"/>
        <v>РОСТОШИНСКИЙ И.</v>
      </c>
      <c r="M104" s="897">
        <v>97</v>
      </c>
      <c r="N104" t="e">
        <f>SUMIF('R-Муж'!#REF!,B91,'R-Муж'!F:F)</f>
        <v>#REF!</v>
      </c>
    </row>
    <row r="105" spans="1:14" ht="17.25" thickTop="1" thickBot="1" x14ac:dyDescent="0.25">
      <c r="A105" s="901" t="s">
        <v>910</v>
      </c>
      <c r="B105" s="1009" t="s">
        <v>12031</v>
      </c>
      <c r="C105" s="1012" t="s">
        <v>12276</v>
      </c>
      <c r="D105" s="1045" t="s">
        <v>8290</v>
      </c>
      <c r="E105" s="1046">
        <v>270</v>
      </c>
      <c r="F105" s="1047" t="s">
        <v>72</v>
      </c>
      <c r="G105" s="1077"/>
      <c r="H105" s="1071">
        <v>2</v>
      </c>
      <c r="I105" s="1060" t="s">
        <v>12032</v>
      </c>
      <c r="J105" s="894" t="str">
        <f t="shared" si="8"/>
        <v>РОТНОВ</v>
      </c>
      <c r="K105" s="869" t="str">
        <f t="shared" si="9"/>
        <v>Е</v>
      </c>
      <c r="L105" s="869" t="str">
        <f t="shared" si="7"/>
        <v>РОТНОВ Е.</v>
      </c>
      <c r="M105" s="896">
        <v>98</v>
      </c>
      <c r="N105" t="e">
        <f>SUMIF('R-Муж'!#REF!,B92,'R-Муж'!F:F)</f>
        <v>#REF!</v>
      </c>
    </row>
    <row r="106" spans="1:14" ht="17.25" thickTop="1" thickBot="1" x14ac:dyDescent="0.3">
      <c r="A106" s="902" t="s">
        <v>911</v>
      </c>
      <c r="B106" s="1002" t="s">
        <v>12090</v>
      </c>
      <c r="C106" s="1013" t="s">
        <v>12251</v>
      </c>
      <c r="D106" s="1045" t="s">
        <v>4125</v>
      </c>
      <c r="E106" s="1046">
        <v>50</v>
      </c>
      <c r="F106" s="1047" t="s">
        <v>1939</v>
      </c>
      <c r="G106" s="1070"/>
      <c r="H106" s="1071" t="s">
        <v>12009</v>
      </c>
      <c r="I106" s="1056" t="s">
        <v>12091</v>
      </c>
      <c r="J106" s="894" t="str">
        <f t="shared" si="8"/>
        <v>РЫЖОВ</v>
      </c>
      <c r="K106" s="869" t="str">
        <f t="shared" si="9"/>
        <v>П</v>
      </c>
      <c r="L106" s="869" t="str">
        <f t="shared" si="7"/>
        <v>РЫЖОВ П.</v>
      </c>
      <c r="M106" s="897">
        <v>99</v>
      </c>
      <c r="N106" t="e">
        <f>SUMIF('R-Муж'!#REF!,B93,'R-Муж'!F:F)</f>
        <v>#REF!</v>
      </c>
    </row>
    <row r="107" spans="1:14" ht="17.25" thickTop="1" thickBot="1" x14ac:dyDescent="0.25">
      <c r="A107" s="901" t="s">
        <v>912</v>
      </c>
      <c r="B107" s="1009" t="s">
        <v>12066</v>
      </c>
      <c r="C107" s="1012" t="s">
        <v>12209</v>
      </c>
      <c r="D107" s="1045" t="s">
        <v>8313</v>
      </c>
      <c r="E107" s="1046">
        <v>19</v>
      </c>
      <c r="F107" s="1047" t="s">
        <v>1844</v>
      </c>
      <c r="G107" s="1068"/>
      <c r="H107" s="1069"/>
      <c r="I107" s="1050" t="s">
        <v>12065</v>
      </c>
      <c r="J107" s="894" t="str">
        <f t="shared" si="8"/>
        <v>РЯБОШАПКА</v>
      </c>
      <c r="K107" s="869" t="str">
        <f t="shared" si="9"/>
        <v>Ф</v>
      </c>
      <c r="L107" s="869" t="str">
        <f t="shared" si="7"/>
        <v>РЯБОШАПКА Ф.</v>
      </c>
      <c r="M107" s="896">
        <v>100</v>
      </c>
      <c r="N107" t="e">
        <f>SUMIF('R-Муж'!#REF!,B94,'R-Муж'!F:F)</f>
        <v>#REF!</v>
      </c>
    </row>
    <row r="108" spans="1:14" ht="17.25" thickTop="1" thickBot="1" x14ac:dyDescent="0.3">
      <c r="A108" s="901" t="s">
        <v>913</v>
      </c>
      <c r="B108" s="1008" t="s">
        <v>12101</v>
      </c>
      <c r="C108" s="1013" t="s">
        <v>12269</v>
      </c>
      <c r="D108" s="1052" t="s">
        <v>7035</v>
      </c>
      <c r="E108" s="1053"/>
      <c r="F108" s="1054" t="s">
        <v>1844</v>
      </c>
      <c r="G108" s="1076"/>
      <c r="H108" s="1079" t="s">
        <v>12057</v>
      </c>
      <c r="I108" s="1080" t="s">
        <v>12099</v>
      </c>
      <c r="J108" s="104" t="str">
        <f t="shared" si="8"/>
        <v>САВЕЛЬЕВ</v>
      </c>
      <c r="K108" s="104" t="str">
        <f t="shared" si="9"/>
        <v>Н</v>
      </c>
      <c r="L108" s="104" t="str">
        <f t="shared" si="7"/>
        <v>САВЕЛЬЕВ Н.</v>
      </c>
      <c r="M108" s="123">
        <v>90</v>
      </c>
      <c r="N108" t="e">
        <f>SUMIF('R-Муж'!#REF!,B95,'R-Муж'!F:F)</f>
        <v>#REF!</v>
      </c>
    </row>
    <row r="109" spans="1:14" ht="17.25" thickTop="1" thickBot="1" x14ac:dyDescent="0.3">
      <c r="A109" s="902" t="s">
        <v>12105</v>
      </c>
      <c r="B109" s="1006" t="s">
        <v>12058</v>
      </c>
      <c r="C109" s="1014" t="s">
        <v>12246</v>
      </c>
      <c r="D109" s="1045" t="s">
        <v>8433</v>
      </c>
      <c r="E109" s="1046">
        <v>208</v>
      </c>
      <c r="F109" s="1047" t="s">
        <v>105</v>
      </c>
      <c r="G109" s="1076"/>
      <c r="H109" s="1069">
        <v>2</v>
      </c>
      <c r="I109" s="1060" t="s">
        <v>12052</v>
      </c>
      <c r="J109" s="104" t="str">
        <f t="shared" si="8"/>
        <v>САВИЧЕВ</v>
      </c>
      <c r="K109" s="104" t="str">
        <f t="shared" si="9"/>
        <v>Д</v>
      </c>
      <c r="L109" s="104" t="str">
        <f t="shared" si="7"/>
        <v>САВИЧЕВ Д.</v>
      </c>
      <c r="M109" s="123">
        <v>91</v>
      </c>
      <c r="N109" t="e">
        <f>SUMIF('R-Муж'!#REF!,B96,'R-Муж'!F:F)</f>
        <v>#REF!</v>
      </c>
    </row>
    <row r="110" spans="1:14" ht="17.25" thickTop="1" thickBot="1" x14ac:dyDescent="0.3">
      <c r="A110" s="901" t="s">
        <v>12106</v>
      </c>
      <c r="B110" s="1008" t="s">
        <v>12069</v>
      </c>
      <c r="C110" s="1013" t="s">
        <v>12284</v>
      </c>
      <c r="D110" s="1045" t="s">
        <v>4681</v>
      </c>
      <c r="E110" s="1046">
        <v>16</v>
      </c>
      <c r="F110" s="1047" t="s">
        <v>126</v>
      </c>
      <c r="G110" s="1076"/>
      <c r="H110" s="1069">
        <v>2</v>
      </c>
      <c r="I110" s="1060" t="s">
        <v>12070</v>
      </c>
      <c r="J110" s="886" t="str">
        <f t="shared" si="8"/>
        <v>САТДАРОВ</v>
      </c>
      <c r="K110" s="886" t="str">
        <f t="shared" si="9"/>
        <v>А</v>
      </c>
      <c r="L110" s="886" t="str">
        <f t="shared" si="7"/>
        <v>САТДАРОВ А.</v>
      </c>
      <c r="M110" s="123">
        <v>92</v>
      </c>
      <c r="N110" t="e">
        <f>SUMIF('R-Муж'!#REF!,B97,'R-Муж'!F:F)</f>
        <v>#REF!</v>
      </c>
    </row>
    <row r="111" spans="1:14" ht="17.25" thickTop="1" thickBot="1" x14ac:dyDescent="0.3">
      <c r="A111" s="902" t="s">
        <v>12107</v>
      </c>
      <c r="B111" s="1008" t="s">
        <v>12166</v>
      </c>
      <c r="C111" s="1013" t="s">
        <v>12166</v>
      </c>
      <c r="D111" s="1045" t="s">
        <v>5554</v>
      </c>
      <c r="E111" s="1046">
        <v>6</v>
      </c>
      <c r="F111" s="1047" t="s">
        <v>105</v>
      </c>
      <c r="G111" s="1076"/>
      <c r="H111" s="1069" t="s">
        <v>12057</v>
      </c>
      <c r="I111" s="1060" t="s">
        <v>12167</v>
      </c>
      <c r="J111" s="104" t="str">
        <f t="shared" si="8"/>
        <v>СВИРЩЕВСКИЙ</v>
      </c>
      <c r="K111" s="104" t="str">
        <f t="shared" si="9"/>
        <v>Ю</v>
      </c>
      <c r="L111" s="104" t="str">
        <f t="shared" si="7"/>
        <v>СВИРЩЕВСКИЙ Ю.</v>
      </c>
      <c r="M111" s="123">
        <v>93</v>
      </c>
      <c r="N111" t="e">
        <f>SUMIF('R-Муж'!#REF!,B98,'R-Муж'!F:F)</f>
        <v>#REF!</v>
      </c>
    </row>
    <row r="112" spans="1:14" ht="17.25" thickTop="1" thickBot="1" x14ac:dyDescent="0.3">
      <c r="A112" s="901" t="s">
        <v>12108</v>
      </c>
      <c r="B112" s="1008" t="s">
        <v>12160</v>
      </c>
      <c r="C112" s="1013" t="s">
        <v>12312</v>
      </c>
      <c r="D112" s="1045" t="s">
        <v>4841</v>
      </c>
      <c r="E112" s="1046">
        <v>33</v>
      </c>
      <c r="F112" s="1047" t="s">
        <v>105</v>
      </c>
      <c r="G112" s="1076"/>
      <c r="H112" s="1069" t="s">
        <v>12009</v>
      </c>
      <c r="I112" s="1060" t="s">
        <v>12093</v>
      </c>
      <c r="J112" s="104" t="str">
        <f t="shared" si="8"/>
        <v>СИТНИКОВ</v>
      </c>
      <c r="K112" s="104" t="str">
        <f t="shared" si="9"/>
        <v>К</v>
      </c>
      <c r="L112" s="104" t="str">
        <f t="shared" si="7"/>
        <v>СИТНИКОВ К.</v>
      </c>
      <c r="M112" s="123">
        <v>94</v>
      </c>
      <c r="N112" t="e">
        <f>SUMIF('R-Муж'!#REF!,B99,'R-Муж'!F:F)</f>
        <v>#REF!</v>
      </c>
    </row>
    <row r="113" spans="1:14" ht="17.25" thickTop="1" thickBot="1" x14ac:dyDescent="0.3">
      <c r="A113" s="902" t="s">
        <v>12109</v>
      </c>
      <c r="B113" s="1008" t="s">
        <v>12161</v>
      </c>
      <c r="C113" s="1013" t="s">
        <v>12313</v>
      </c>
      <c r="D113" s="1045" t="s">
        <v>5563</v>
      </c>
      <c r="E113" s="1046">
        <v>33</v>
      </c>
      <c r="F113" s="1047" t="s">
        <v>105</v>
      </c>
      <c r="G113" s="1077"/>
      <c r="H113" s="1071" t="s">
        <v>12000</v>
      </c>
      <c r="I113" s="1060" t="s">
        <v>12093</v>
      </c>
      <c r="J113" s="104" t="str">
        <f t="shared" si="8"/>
        <v>СОБАКИН</v>
      </c>
      <c r="K113" s="104" t="str">
        <f t="shared" si="9"/>
        <v>Ю</v>
      </c>
      <c r="L113" s="104" t="str">
        <f t="shared" si="7"/>
        <v>СОБАКИН Ю.</v>
      </c>
      <c r="M113" s="898">
        <v>95</v>
      </c>
      <c r="N113" t="e">
        <f>SUMIF('R-Муж'!#REF!,B100,'R-Муж'!F:F)</f>
        <v>#REF!</v>
      </c>
    </row>
    <row r="114" spans="1:14" ht="17.25" thickTop="1" thickBot="1" x14ac:dyDescent="0.3">
      <c r="A114" s="901" t="s">
        <v>12110</v>
      </c>
      <c r="B114" s="1008" t="s">
        <v>12094</v>
      </c>
      <c r="C114" s="1013" t="s">
        <v>12311</v>
      </c>
      <c r="D114" s="1045" t="s">
        <v>10588</v>
      </c>
      <c r="E114" s="1046"/>
      <c r="F114" s="1045" t="s">
        <v>105</v>
      </c>
      <c r="G114" s="1077"/>
      <c r="H114" s="1071">
        <v>2</v>
      </c>
      <c r="I114" s="1060" t="s">
        <v>12093</v>
      </c>
      <c r="J114" s="894" t="str">
        <f t="shared" si="8"/>
        <v>СОДЫЛЬ</v>
      </c>
      <c r="K114" s="869" t="str">
        <f t="shared" si="9"/>
        <v>М</v>
      </c>
      <c r="L114" s="869" t="str">
        <f t="shared" si="7"/>
        <v>СОДЫЛЬ М.</v>
      </c>
      <c r="M114" s="896">
        <v>96</v>
      </c>
      <c r="N114" t="e">
        <f>SUMIF('R-Муж'!#REF!,B101,'R-Муж'!F:F)</f>
        <v>#REF!</v>
      </c>
    </row>
    <row r="115" spans="1:14" ht="17.25" thickTop="1" thickBot="1" x14ac:dyDescent="0.3">
      <c r="A115" s="902" t="s">
        <v>12111</v>
      </c>
      <c r="B115" s="1008" t="s">
        <v>12124</v>
      </c>
      <c r="C115" s="105" t="s">
        <v>12280</v>
      </c>
      <c r="D115" s="1081" t="s">
        <v>9009</v>
      </c>
      <c r="E115" s="1046">
        <v>2</v>
      </c>
      <c r="F115" s="1082" t="s">
        <v>105</v>
      </c>
      <c r="G115" s="1083"/>
      <c r="H115" s="1084" t="s">
        <v>12009</v>
      </c>
      <c r="I115" s="1085" t="s">
        <v>12125</v>
      </c>
      <c r="J115" s="894" t="str">
        <f t="shared" si="8"/>
        <v>СОРОКИН</v>
      </c>
      <c r="K115" s="869" t="str">
        <f t="shared" si="9"/>
        <v>Н</v>
      </c>
      <c r="L115" s="989" t="str">
        <f t="shared" si="7"/>
        <v>СОРОКИН Н.</v>
      </c>
      <c r="M115" s="990">
        <v>97</v>
      </c>
      <c r="N115" t="e">
        <f>SUMIF('R-Муж'!#REF!,B102,'R-Муж'!F:F)</f>
        <v>#REF!</v>
      </c>
    </row>
    <row r="116" spans="1:14" ht="17.25" thickTop="1" thickBot="1" x14ac:dyDescent="0.3">
      <c r="A116" s="901" t="s">
        <v>12112</v>
      </c>
      <c r="B116" s="1008" t="s">
        <v>12018</v>
      </c>
      <c r="C116" s="105" t="s">
        <v>12191</v>
      </c>
      <c r="D116" s="1081" t="s">
        <v>4769</v>
      </c>
      <c r="E116" s="1046">
        <v>216</v>
      </c>
      <c r="F116" s="1082" t="s">
        <v>213</v>
      </c>
      <c r="G116" s="1083"/>
      <c r="H116" s="1086">
        <v>1</v>
      </c>
      <c r="I116" s="1087" t="s">
        <v>12013</v>
      </c>
      <c r="J116" s="894" t="str">
        <f t="shared" si="8"/>
        <v>СТАРОСТИН</v>
      </c>
      <c r="K116" s="869" t="str">
        <f t="shared" si="9"/>
        <v>М</v>
      </c>
      <c r="L116" s="989" t="str">
        <f t="shared" si="7"/>
        <v>СТАРОСТИН М.</v>
      </c>
      <c r="M116" s="991">
        <v>98</v>
      </c>
      <c r="N116" t="e">
        <f>SUMIF('R-Муж'!#REF!,B103,'R-Муж'!F:F)</f>
        <v>#REF!</v>
      </c>
    </row>
    <row r="117" spans="1:14" ht="17.25" thickTop="1" thickBot="1" x14ac:dyDescent="0.3">
      <c r="A117" s="902" t="s">
        <v>12113</v>
      </c>
      <c r="B117" s="1002" t="s">
        <v>12014</v>
      </c>
      <c r="C117" s="105" t="s">
        <v>12189</v>
      </c>
      <c r="D117" s="1081" t="s">
        <v>7040</v>
      </c>
      <c r="E117" s="1046">
        <v>19</v>
      </c>
      <c r="F117" s="1082" t="s">
        <v>3114</v>
      </c>
      <c r="G117" s="1083"/>
      <c r="H117" s="1086" t="s">
        <v>12009</v>
      </c>
      <c r="I117" s="1088" t="s">
        <v>12015</v>
      </c>
      <c r="J117" s="894" t="str">
        <f t="shared" si="8"/>
        <v>СТАШКОВСКИЙ</v>
      </c>
      <c r="K117" s="869" t="str">
        <f t="shared" si="9"/>
        <v>Г</v>
      </c>
      <c r="L117" s="989" t="str">
        <f t="shared" si="7"/>
        <v>СТАШКОВСКИЙ Г.</v>
      </c>
      <c r="M117" s="990">
        <v>99</v>
      </c>
      <c r="N117" t="e">
        <f>SUMIF('R-Муж'!#REF!,B104,'R-Муж'!F:F)</f>
        <v>#REF!</v>
      </c>
    </row>
    <row r="118" spans="1:14" ht="17.25" thickTop="1" thickBot="1" x14ac:dyDescent="0.3">
      <c r="A118" s="901" t="s">
        <v>12114</v>
      </c>
      <c r="B118" s="987" t="s">
        <v>12016</v>
      </c>
      <c r="C118" s="890" t="s">
        <v>12190</v>
      </c>
      <c r="D118" s="1058" t="s">
        <v>7407</v>
      </c>
      <c r="E118" s="1047">
        <v>137</v>
      </c>
      <c r="F118" s="1058" t="s">
        <v>213</v>
      </c>
      <c r="G118" s="1070"/>
      <c r="H118" s="1089">
        <v>1</v>
      </c>
      <c r="I118" s="1090" t="s">
        <v>12017</v>
      </c>
      <c r="J118" s="894" t="str">
        <f t="shared" si="8"/>
        <v>СУЛТАНОВ</v>
      </c>
      <c r="K118" s="869" t="str">
        <f t="shared" si="9"/>
        <v>А</v>
      </c>
      <c r="L118" s="869" t="str">
        <f t="shared" si="7"/>
        <v>СУЛТАНОВ А.</v>
      </c>
      <c r="M118" s="896">
        <v>100</v>
      </c>
      <c r="N118" t="e">
        <f>SUMIF('R-Муж'!#REF!,B105,'R-Муж'!F:F)</f>
        <v>#REF!</v>
      </c>
    </row>
    <row r="119" spans="1:14" ht="17.25" thickTop="1" thickBot="1" x14ac:dyDescent="0.3">
      <c r="A119" s="902" t="s">
        <v>12115</v>
      </c>
      <c r="B119" s="1010" t="s">
        <v>12126</v>
      </c>
      <c r="C119" s="994" t="s">
        <v>12281</v>
      </c>
      <c r="D119" s="1091" t="s">
        <v>2902</v>
      </c>
      <c r="E119" s="1092">
        <v>34</v>
      </c>
      <c r="F119" s="1093" t="s">
        <v>105</v>
      </c>
      <c r="G119" s="1094"/>
      <c r="H119" s="1095" t="s">
        <v>12009</v>
      </c>
      <c r="I119" s="1096" t="s">
        <v>12122</v>
      </c>
      <c r="J119" s="104" t="str">
        <f t="shared" si="8"/>
        <v>СУРОВЦЕВ</v>
      </c>
      <c r="K119" s="104" t="str">
        <f t="shared" si="9"/>
        <v>Д</v>
      </c>
      <c r="L119" s="104" t="str">
        <f t="shared" si="7"/>
        <v>СУРОВЦЕВ Д.</v>
      </c>
      <c r="M119" s="123">
        <v>93</v>
      </c>
      <c r="N119" t="e">
        <f>SUMIF('R-Муж'!#REF!,B106,'R-Муж'!F:F)</f>
        <v>#REF!</v>
      </c>
    </row>
    <row r="120" spans="1:14" ht="16.5" thickTop="1" x14ac:dyDescent="0.25">
      <c r="A120" s="192"/>
      <c r="B120" s="110" t="s">
        <v>9444</v>
      </c>
      <c r="C120" s="110" t="s">
        <v>9444</v>
      </c>
      <c r="D120" s="93"/>
      <c r="E120" s="91"/>
      <c r="F120" s="94"/>
      <c r="G120" s="94"/>
      <c r="H120" s="94"/>
      <c r="I120" s="111" t="s">
        <v>11991</v>
      </c>
      <c r="J120" s="91"/>
      <c r="K120" s="91"/>
      <c r="L120" s="91"/>
    </row>
    <row r="121" spans="1:14" ht="15.75" x14ac:dyDescent="0.25">
      <c r="A121" s="192"/>
      <c r="B121" s="112" t="s">
        <v>9445</v>
      </c>
      <c r="C121" s="112" t="s">
        <v>9445</v>
      </c>
      <c r="D121" s="93"/>
      <c r="E121" s="91"/>
      <c r="F121" s="94"/>
      <c r="G121" s="94"/>
      <c r="H121" s="94"/>
      <c r="I121" s="111" t="s">
        <v>11992</v>
      </c>
      <c r="J121" s="91"/>
      <c r="K121" s="91"/>
      <c r="L121" s="91"/>
    </row>
  </sheetData>
  <sortState ref="B9:H120">
    <sortCondition ref="B9:B120"/>
  </sortState>
  <mergeCells count="5">
    <mergeCell ref="A1:I1"/>
    <mergeCell ref="A2:I2"/>
    <mergeCell ref="D4:H4"/>
    <mergeCell ref="D5:H5"/>
    <mergeCell ref="D6:H6"/>
  </mergeCells>
  <conditionalFormatting sqref="N120:N1048576 N1:N107">
    <cfRule type="cellIs" dxfId="18" priority="16" stopIfTrue="1" operator="greaterThan">
      <formula>1</formula>
    </cfRule>
    <cfRule type="cellIs" dxfId="17" priority="17" stopIfTrue="1" operator="greaterThan">
      <formula>1</formula>
    </cfRule>
    <cfRule type="cellIs" dxfId="16" priority="18" stopIfTrue="1" operator="greaterThan">
      <formula>1</formula>
    </cfRule>
    <cfRule type="cellIs" dxfId="15" priority="19" stopIfTrue="1" operator="greaterThan">
      <formula>1</formula>
    </cfRule>
  </conditionalFormatting>
  <conditionalFormatting sqref="N108:N118">
    <cfRule type="cellIs" dxfId="14" priority="9" stopIfTrue="1" operator="greaterThan">
      <formula>1</formula>
    </cfRule>
    <cfRule type="cellIs" dxfId="13" priority="10" stopIfTrue="1" operator="greaterThan">
      <formula>1</formula>
    </cfRule>
    <cfRule type="cellIs" dxfId="12" priority="11" stopIfTrue="1" operator="greaterThan">
      <formula>1</formula>
    </cfRule>
    <cfRule type="cellIs" dxfId="11" priority="12" stopIfTrue="1" operator="greaterThan">
      <formula>1</formula>
    </cfRule>
  </conditionalFormatting>
  <conditionalFormatting sqref="N119">
    <cfRule type="cellIs" dxfId="10" priority="2" stopIfTrue="1" operator="greaterThan">
      <formula>1</formula>
    </cfRule>
    <cfRule type="cellIs" dxfId="9" priority="3" stopIfTrue="1" operator="greaterThan">
      <formula>1</formula>
    </cfRule>
    <cfRule type="cellIs" dxfId="8" priority="4" stopIfTrue="1" operator="greaterThan">
      <formula>1</formula>
    </cfRule>
    <cfRule type="cellIs" dxfId="7" priority="5" stopIfTrue="1" operator="greaterThan">
      <formula>1</formula>
    </cfRule>
  </conditionalFormatting>
  <pageMargins left="0.7" right="0.7" top="0.75" bottom="0.75" header="0.3" footer="0.3"/>
  <pageSetup paperSize="9" scale="57" fitToHeight="0" orientation="portrait" verticalDpi="0" r:id="rId1"/>
  <colBreaks count="1" manualBreakCount="1">
    <brk id="12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5" id="{442CA45F-ECF9-4888-A1DC-784A2E93AE9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NoIcons" iconId="0"/>
              <x14:cfIcon iconSet="NoIcons" iconId="0"/>
              <x14:cfIcon iconSet="3TrafficLights2" iconId="0"/>
            </x14:iconSet>
          </x14:cfRule>
          <xm:sqref>N120:N1048576 N1:N107</xm:sqref>
        </x14:conditionalFormatting>
        <x14:conditionalFormatting xmlns:xm="http://schemas.microsoft.com/office/excel/2006/main">
          <x14:cfRule type="iconSet" priority="8" id="{057F57F5-BDD2-42D5-9E21-5C5C2283144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NoIcons" iconId="0"/>
              <x14:cfIcon iconSet="NoIcons" iconId="0"/>
              <x14:cfIcon iconSet="3TrafficLights2" iconId="0"/>
            </x14:iconSet>
          </x14:cfRule>
          <xm:sqref>N108:N118</xm:sqref>
        </x14:conditionalFormatting>
        <x14:conditionalFormatting xmlns:xm="http://schemas.microsoft.com/office/excel/2006/main">
          <x14:cfRule type="iconSet" priority="13" id="{A91D009A-131D-4E91-A87B-EE0BB6554844}">
            <x14:iconSet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NoIcons" iconId="0"/>
              <x14:cfIcon iconSet="NoIcons" iconId="0"/>
              <x14:cfIcon iconSet="3TrafficLights2" iconId="0"/>
            </x14:iconSet>
          </x14:cfRule>
          <xm:sqref>N108:N118</xm:sqref>
        </x14:conditionalFormatting>
        <x14:conditionalFormatting xmlns:xm="http://schemas.microsoft.com/office/excel/2006/main">
          <x14:cfRule type="iconSet" priority="14" id="{2BD22405-3F44-46D8-847E-5F93BBB510B8}">
            <x14:iconSet iconSet="3TrafficLights2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NoIcons" iconId="0"/>
              <x14:cfIcon iconSet="NoIcons" iconId="0"/>
              <x14:cfIcon iconSet="3TrafficLights2" iconId="0"/>
            </x14:iconSet>
          </x14:cfRule>
          <xm:sqref>N108:N118</xm:sqref>
        </x14:conditionalFormatting>
        <x14:conditionalFormatting xmlns:xm="http://schemas.microsoft.com/office/excel/2006/main">
          <x14:cfRule type="iconSet" priority="97" id="{BD016DB8-BEA4-4853-9DDC-825B75D20774}">
            <x14:iconSet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NoIcons" iconId="0"/>
              <x14:cfIcon iconSet="NoIcons" iconId="0"/>
              <x14:cfIcon iconSet="3TrafficLights2" iconId="0"/>
            </x14:iconSet>
          </x14:cfRule>
          <xm:sqref>N9:N107</xm:sqref>
        </x14:conditionalFormatting>
        <x14:conditionalFormatting xmlns:xm="http://schemas.microsoft.com/office/excel/2006/main">
          <x14:cfRule type="iconSet" priority="99" id="{F021C4B4-FC04-4C69-B44E-B5B2A3F10BB8}">
            <x14:iconSet iconSet="3TrafficLights2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NoIcons" iconId="0"/>
              <x14:cfIcon iconSet="NoIcons" iconId="0"/>
              <x14:cfIcon iconSet="3TrafficLights2" iconId="0"/>
            </x14:iconSet>
          </x14:cfRule>
          <xm:sqref>N9:N107</xm:sqref>
        </x14:conditionalFormatting>
        <x14:conditionalFormatting xmlns:xm="http://schemas.microsoft.com/office/excel/2006/main">
          <x14:cfRule type="iconSet" priority="115" id="{6F8C9E01-4111-493E-9E97-76507EF346B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NoIcons" iconId="0"/>
              <x14:cfIcon iconSet="NoIcons" iconId="0"/>
              <x14:cfIcon iconSet="3TrafficLights2" iconId="0"/>
            </x14:iconSet>
          </x14:cfRule>
          <xm:sqref>N119</xm:sqref>
        </x14:conditionalFormatting>
        <x14:conditionalFormatting xmlns:xm="http://schemas.microsoft.com/office/excel/2006/main">
          <x14:cfRule type="iconSet" priority="116" id="{CA2D821B-A9D2-42B0-90D2-D3ACEA095244}">
            <x14:iconSet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NoIcons" iconId="0"/>
              <x14:cfIcon iconSet="NoIcons" iconId="0"/>
              <x14:cfIcon iconSet="3TrafficLights2" iconId="0"/>
            </x14:iconSet>
          </x14:cfRule>
          <xm:sqref>N119</xm:sqref>
        </x14:conditionalFormatting>
        <x14:conditionalFormatting xmlns:xm="http://schemas.microsoft.com/office/excel/2006/main">
          <x14:cfRule type="iconSet" priority="117" id="{F748E977-341E-4C0D-979C-2FF865A936C0}">
            <x14:iconSet iconSet="3TrafficLights2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NoIcons" iconId="0"/>
              <x14:cfIcon iconSet="NoIcons" iconId="0"/>
              <x14:cfIcon iconSet="3TrafficLights2" iconId="0"/>
            </x14:iconSet>
          </x14:cfRule>
          <xm:sqref>N119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75"/>
  <sheetViews>
    <sheetView topLeftCell="B24" workbookViewId="0">
      <selection activeCell="C35" sqref="C35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12</v>
      </c>
      <c r="D3" s="962"/>
      <c r="E3" s="963"/>
      <c r="G3" s="957" t="s">
        <v>11956</v>
      </c>
      <c r="H3" s="958">
        <f>C3</f>
        <v>12</v>
      </c>
      <c r="I3" s="962"/>
      <c r="J3" s="963"/>
      <c r="L3" s="957" t="s">
        <v>11956</v>
      </c>
      <c r="M3" s="958">
        <f>C3</f>
        <v>12</v>
      </c>
      <c r="N3" s="961"/>
    </row>
    <row r="4" spans="1:14" x14ac:dyDescent="0.3">
      <c r="B4" s="957" t="s">
        <v>11957</v>
      </c>
      <c r="C4" s="959" t="s">
        <v>11970</v>
      </c>
      <c r="D4" s="961"/>
      <c r="G4" s="957" t="s">
        <v>11957</v>
      </c>
      <c r="H4" s="959" t="s">
        <v>11967</v>
      </c>
      <c r="I4" s="964"/>
      <c r="J4" s="965"/>
      <c r="L4" s="957" t="s">
        <v>11957</v>
      </c>
      <c r="M4" s="959" t="s">
        <v>1040</v>
      </c>
      <c r="N4" s="961"/>
    </row>
    <row r="5" spans="1:14" x14ac:dyDescent="0.3">
      <c r="B5" s="960" t="str">
        <f>'гр (9-12)'!C67</f>
        <v>СТАРОСТИН Максим</v>
      </c>
      <c r="C5" s="960" t="str">
        <f>'гр (9-12)'!C71</f>
        <v>ВОЛЫНКИН Александр</v>
      </c>
      <c r="D5" s="961"/>
      <c r="E5" s="966"/>
      <c r="G5" s="960" t="str">
        <f>'гр (9-12)'!C65</f>
        <v>ПОЛЯКОВ Василий</v>
      </c>
      <c r="H5" s="960" t="str">
        <f>'гр (9-12)'!C73</f>
        <v>ШКРЕД Илья</v>
      </c>
      <c r="I5" s="961"/>
      <c r="J5" s="966"/>
      <c r="L5" s="960" t="str">
        <f>'гр (9-12)'!C69</f>
        <v>ТИХОНОВ Евгений</v>
      </c>
      <c r="M5" s="960" t="str">
        <f>'гр (9-12)'!C75</f>
        <v>ОСТАШОВ Артем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12</v>
      </c>
      <c r="D18" s="962"/>
      <c r="E18" s="963"/>
      <c r="G18" s="957" t="s">
        <v>11956</v>
      </c>
      <c r="H18" s="958">
        <f>C3</f>
        <v>12</v>
      </c>
      <c r="I18" s="962"/>
      <c r="J18" s="963"/>
      <c r="L18" s="957" t="s">
        <v>11956</v>
      </c>
      <c r="M18" s="958">
        <f>C3</f>
        <v>12</v>
      </c>
      <c r="N18" s="961"/>
    </row>
    <row r="19" spans="1:14" x14ac:dyDescent="0.3">
      <c r="B19" s="957" t="s">
        <v>11957</v>
      </c>
      <c r="C19" s="959" t="s">
        <v>11981</v>
      </c>
      <c r="D19" s="961"/>
      <c r="G19" s="957" t="s">
        <v>11957</v>
      </c>
      <c r="H19" s="959" t="s">
        <v>1100</v>
      </c>
      <c r="I19" s="964"/>
      <c r="J19" s="965"/>
      <c r="L19" s="957" t="s">
        <v>11957</v>
      </c>
      <c r="M19" s="959" t="s">
        <v>1099</v>
      </c>
      <c r="N19" s="961"/>
    </row>
    <row r="20" spans="1:14" x14ac:dyDescent="0.3">
      <c r="B20" s="960" t="str">
        <f>'гр (9-12)'!C71</f>
        <v>ВОЛЫНКИН Александр</v>
      </c>
      <c r="C20" s="960" t="str">
        <f>'гр (9-12)'!C65</f>
        <v>ПОЛЯКОВ Василий</v>
      </c>
      <c r="D20" s="961"/>
      <c r="E20" s="966"/>
      <c r="G20" s="960" t="str">
        <f>'гр (9-12)'!C75</f>
        <v>ОСТАШОВ Артем</v>
      </c>
      <c r="H20" s="960" t="str">
        <f>'гр (9-12)'!C67</f>
        <v>СТАРОСТИН Максим</v>
      </c>
      <c r="I20" s="961"/>
      <c r="J20" s="966"/>
      <c r="L20" s="960" t="str">
        <f>'гр (9-12)'!C73</f>
        <v>ШКРЕД Илья</v>
      </c>
      <c r="M20" s="960" t="str">
        <f>'гр (9-12)'!C69</f>
        <v>ТИХОНОВ Евгений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12</v>
      </c>
      <c r="D33" s="962"/>
      <c r="E33" s="963"/>
      <c r="G33" s="957" t="s">
        <v>11956</v>
      </c>
      <c r="H33" s="958">
        <f>C3</f>
        <v>12</v>
      </c>
      <c r="I33" s="962"/>
      <c r="J33" s="963"/>
      <c r="L33" s="957" t="s">
        <v>11956</v>
      </c>
      <c r="M33" s="958">
        <f>C3</f>
        <v>12</v>
      </c>
      <c r="N33" s="961"/>
    </row>
    <row r="34" spans="1:14" x14ac:dyDescent="0.3">
      <c r="B34" s="957" t="s">
        <v>11957</v>
      </c>
      <c r="C34" s="959" t="s">
        <v>11971</v>
      </c>
      <c r="D34" s="961"/>
      <c r="G34" s="957" t="s">
        <v>11957</v>
      </c>
      <c r="H34" s="959" t="s">
        <v>1048</v>
      </c>
      <c r="I34" s="964"/>
      <c r="J34" s="965"/>
      <c r="L34" s="957" t="s">
        <v>11957</v>
      </c>
      <c r="M34" s="959" t="s">
        <v>11964</v>
      </c>
      <c r="N34" s="961"/>
    </row>
    <row r="35" spans="1:14" x14ac:dyDescent="0.3">
      <c r="B35" s="960" t="str">
        <f>'гр (9-12)'!C65</f>
        <v>ПОЛЯКОВ Василий</v>
      </c>
      <c r="C35" s="960" t="str">
        <f>'гр (9-12)'!C69</f>
        <v>ТИХОНОВ Евгений</v>
      </c>
      <c r="D35" s="961"/>
      <c r="E35" s="966"/>
      <c r="G35" s="960" t="str">
        <f>'гр (9-12)'!C67</f>
        <v>СТАРОСТИН Максим</v>
      </c>
      <c r="H35" s="960" t="str">
        <f>'гр (9-12)'!C73</f>
        <v>ШКРЕД Илья</v>
      </c>
      <c r="I35" s="961"/>
      <c r="J35" s="966"/>
      <c r="L35" s="960" t="str">
        <f>'гр (9-12)'!C71</f>
        <v>ВОЛЫНКИН Александр</v>
      </c>
      <c r="M35" s="960" t="str">
        <f>'гр (9-12)'!C75</f>
        <v>ОСТАШОВ Артем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12</v>
      </c>
      <c r="D48" s="962"/>
      <c r="E48" s="963"/>
      <c r="G48" s="957" t="s">
        <v>11956</v>
      </c>
      <c r="H48" s="958">
        <f>C3</f>
        <v>12</v>
      </c>
      <c r="I48" s="962"/>
      <c r="J48" s="963"/>
      <c r="L48" s="957" t="s">
        <v>11956</v>
      </c>
      <c r="M48" s="958">
        <f>C3</f>
        <v>12</v>
      </c>
      <c r="N48" s="961"/>
    </row>
    <row r="49" spans="1:14" x14ac:dyDescent="0.3">
      <c r="B49" s="957" t="s">
        <v>11957</v>
      </c>
      <c r="C49" s="959" t="s">
        <v>11982</v>
      </c>
      <c r="D49" s="961"/>
      <c r="G49" s="957" t="s">
        <v>11957</v>
      </c>
      <c r="H49" s="959" t="s">
        <v>11974</v>
      </c>
      <c r="I49" s="964"/>
      <c r="J49" s="965"/>
      <c r="L49" s="957" t="s">
        <v>11957</v>
      </c>
      <c r="M49" s="959" t="s">
        <v>11978</v>
      </c>
      <c r="N49" s="961"/>
    </row>
    <row r="50" spans="1:14" x14ac:dyDescent="0.3">
      <c r="B50" s="960" t="str">
        <f>'гр (9-12)'!C69</f>
        <v>ТИХОНОВ Евгений</v>
      </c>
      <c r="C50" s="960" t="str">
        <f>'гр (9-12)'!C67</f>
        <v>СТАРОСТИН Максим</v>
      </c>
      <c r="D50" s="961"/>
      <c r="E50" s="966"/>
      <c r="G50" s="960" t="str">
        <f>'гр (9-12)'!C75</f>
        <v>ОСТАШОВ Артем</v>
      </c>
      <c r="H50" s="960" t="str">
        <f>'гр (9-12)'!C65</f>
        <v>ПОЛЯКОВ Василий</v>
      </c>
      <c r="I50" s="961"/>
      <c r="J50" s="966"/>
      <c r="L50" s="960" t="str">
        <f>'гр (9-12)'!C73</f>
        <v>ШКРЕД Илья</v>
      </c>
      <c r="M50" s="960" t="str">
        <f>'гр (9-12)'!C71</f>
        <v>ВОЛЫНКИН Александр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12</v>
      </c>
      <c r="D63" s="962"/>
      <c r="E63" s="963"/>
      <c r="G63" s="957" t="s">
        <v>11956</v>
      </c>
      <c r="H63" s="958">
        <f>C3</f>
        <v>12</v>
      </c>
      <c r="I63" s="962"/>
      <c r="J63" s="963"/>
      <c r="L63" s="957" t="s">
        <v>11956</v>
      </c>
      <c r="M63" s="958">
        <f>C3</f>
        <v>12</v>
      </c>
      <c r="N63" s="961"/>
    </row>
    <row r="64" spans="1:14" x14ac:dyDescent="0.3">
      <c r="B64" s="957" t="s">
        <v>11957</v>
      </c>
      <c r="C64" s="959" t="s">
        <v>1114</v>
      </c>
      <c r="D64" s="961"/>
      <c r="G64" s="957" t="s">
        <v>11957</v>
      </c>
      <c r="H64" s="959" t="s">
        <v>1049</v>
      </c>
      <c r="I64" s="964"/>
      <c r="J64" s="965"/>
      <c r="L64" s="957" t="s">
        <v>11957</v>
      </c>
      <c r="M64" s="959" t="s">
        <v>1033</v>
      </c>
      <c r="N64" s="961"/>
    </row>
    <row r="65" spans="1:14" x14ac:dyDescent="0.3">
      <c r="B65" s="960" t="str">
        <f>'гр (9-12)'!C65</f>
        <v>ПОЛЯКОВ Василий</v>
      </c>
      <c r="C65" s="960" t="str">
        <f>'гр (9-12)'!C67</f>
        <v>СТАРОСТИН Максим</v>
      </c>
      <c r="D65" s="961"/>
      <c r="E65" s="966"/>
      <c r="G65" s="960" t="str">
        <f>'гр (9-12)'!C69</f>
        <v>ТИХОНОВ Евгений</v>
      </c>
      <c r="H65" s="960" t="str">
        <f>'гр (9-12)'!C71</f>
        <v>ВОЛЫНКИН Александр</v>
      </c>
      <c r="I65" s="961"/>
      <c r="J65" s="966"/>
      <c r="L65" s="960" t="str">
        <f>'гр (9-12)'!C73</f>
        <v>ШКРЕД Илья</v>
      </c>
      <c r="M65" s="960" t="str">
        <f>'гр (9-12)'!C75</f>
        <v>ОСТАШОВ Артем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</sheetData>
  <mergeCells count="30"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84"/>
  <sheetViews>
    <sheetView view="pageBreakPreview" topLeftCell="A4" zoomScale="120" zoomScaleNormal="100" zoomScaleSheetLayoutView="120" workbookViewId="0">
      <selection activeCell="AH37" sqref="AH37:AH38"/>
    </sheetView>
  </sheetViews>
  <sheetFormatPr defaultColWidth="9.33203125" defaultRowHeight="12.75" outlineLevelRow="1" outlineLevelCol="1" x14ac:dyDescent="0.2"/>
  <cols>
    <col min="1" max="1" width="5.6640625" style="91" customWidth="1"/>
    <col min="2" max="2" width="5" style="91" hidden="1" customWidth="1" outlineLevel="1"/>
    <col min="3" max="3" width="30" style="91" customWidth="1" collapsed="1"/>
    <col min="4" max="27" width="2.83203125" style="91" customWidth="1"/>
    <col min="28" max="30" width="2.83203125" style="91" hidden="1" customWidth="1" outlineLevel="1"/>
    <col min="31" max="31" width="3.5" style="91" customWidth="1" collapsed="1"/>
    <col min="32" max="32" width="3.5" style="91" customWidth="1"/>
    <col min="33" max="33" width="9.5" style="91" customWidth="1"/>
    <col min="34" max="34" width="7.83203125" style="91" customWidth="1"/>
    <col min="35" max="51" width="3.5" style="91" customWidth="1"/>
    <col min="52" max="16384" width="9.33203125" style="91"/>
  </cols>
  <sheetData>
    <row r="1" spans="1:34" ht="15.75" x14ac:dyDescent="0.25">
      <c r="C1" s="1123" t="str">
        <f>'Списки участников'!A1</f>
        <v>IV Мемориал Заслуженного тренера России В.А.Воробьева</v>
      </c>
      <c r="D1" s="1123"/>
      <c r="E1" s="1123"/>
      <c r="F1" s="1123"/>
      <c r="G1" s="1123"/>
      <c r="H1" s="1123"/>
      <c r="I1" s="1123"/>
      <c r="J1" s="1123"/>
      <c r="K1" s="1123"/>
      <c r="L1" s="1123"/>
      <c r="M1" s="1123"/>
      <c r="N1" s="1123"/>
      <c r="O1" s="1123"/>
      <c r="P1" s="1123"/>
      <c r="Q1" s="1123"/>
      <c r="R1" s="1123"/>
      <c r="S1" s="1123"/>
      <c r="T1" s="1123"/>
      <c r="U1" s="1123"/>
      <c r="V1" s="1123"/>
      <c r="W1" s="1123"/>
      <c r="X1" s="1123"/>
      <c r="Y1" s="1123"/>
      <c r="Z1" s="1123"/>
      <c r="AA1" s="1123"/>
      <c r="AB1" s="1123"/>
      <c r="AC1" s="1123"/>
      <c r="AD1" s="1123"/>
      <c r="AE1" s="1123"/>
      <c r="AF1" s="1123"/>
      <c r="AG1" s="1123"/>
    </row>
    <row r="2" spans="1:34" ht="15.75" x14ac:dyDescent="0.25">
      <c r="C2" s="453" t="str">
        <f>'Списки участников'!C3</f>
        <v>26-29 мая 2016 г.</v>
      </c>
      <c r="D2" s="1123" t="str">
        <f>'Списки участников'!A2</f>
        <v>среди юношей и девушек 2002 г.р. и моложе</v>
      </c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  <c r="X2" s="1123"/>
      <c r="Y2" s="1123"/>
      <c r="Z2" s="1123"/>
      <c r="AA2" s="1123"/>
      <c r="AB2" s="1156" t="str">
        <f>'Списки участников'!I3</f>
        <v>г. Москва</v>
      </c>
      <c r="AC2" s="1156"/>
      <c r="AD2" s="1156"/>
      <c r="AE2" s="1156"/>
      <c r="AF2" s="1156"/>
      <c r="AG2" s="1156"/>
    </row>
    <row r="3" spans="1:34" ht="15.75" x14ac:dyDescent="0.25">
      <c r="A3" s="135"/>
      <c r="B3" s="135"/>
      <c r="C3" s="804" t="str">
        <f>'Списки участников'!D6</f>
        <v>ЮНОШИ</v>
      </c>
      <c r="D3" s="135"/>
      <c r="E3" s="135"/>
      <c r="F3" s="135"/>
      <c r="G3" s="1157" t="s">
        <v>2592</v>
      </c>
      <c r="H3" s="1157"/>
      <c r="I3" s="1157"/>
      <c r="J3" s="1157"/>
      <c r="K3" s="1157"/>
      <c r="L3" s="1157"/>
      <c r="M3" s="1157"/>
      <c r="N3" s="1157"/>
      <c r="O3" s="1157"/>
      <c r="P3" s="1157"/>
      <c r="Q3" s="1157"/>
      <c r="R3" s="1157"/>
      <c r="S3" s="1157"/>
      <c r="T3" s="1157"/>
      <c r="U3" s="1157"/>
      <c r="V3" s="1157"/>
      <c r="W3" s="1157"/>
      <c r="X3" s="1157"/>
      <c r="Y3" s="1157"/>
      <c r="Z3" s="1157"/>
      <c r="AA3" s="1157"/>
      <c r="AB3" s="135"/>
      <c r="AC3" s="135"/>
      <c r="AD3" s="135"/>
      <c r="AE3" s="135"/>
      <c r="AF3" s="135"/>
      <c r="AG3" s="135"/>
      <c r="AH3" s="135"/>
    </row>
    <row r="4" spans="1:34" ht="12" customHeight="1" x14ac:dyDescent="0.2">
      <c r="A4" s="136" t="s">
        <v>3</v>
      </c>
      <c r="B4" s="864"/>
      <c r="C4" s="138" t="s">
        <v>788</v>
      </c>
      <c r="D4" s="1158">
        <v>1</v>
      </c>
      <c r="E4" s="1159"/>
      <c r="F4" s="1160"/>
      <c r="G4" s="1158">
        <v>2</v>
      </c>
      <c r="H4" s="1159"/>
      <c r="I4" s="1160"/>
      <c r="J4" s="1158">
        <v>3</v>
      </c>
      <c r="K4" s="1159"/>
      <c r="L4" s="1160"/>
      <c r="M4" s="1158">
        <v>4</v>
      </c>
      <c r="N4" s="1159"/>
      <c r="O4" s="1160"/>
      <c r="P4" s="1158">
        <v>5</v>
      </c>
      <c r="Q4" s="1159"/>
      <c r="R4" s="1160"/>
      <c r="S4" s="1158">
        <v>6</v>
      </c>
      <c r="T4" s="1159"/>
      <c r="U4" s="1160"/>
      <c r="V4" s="1158">
        <v>7</v>
      </c>
      <c r="W4" s="1159"/>
      <c r="X4" s="1160"/>
      <c r="Y4" s="1158">
        <v>8</v>
      </c>
      <c r="Z4" s="1159"/>
      <c r="AA4" s="1160"/>
      <c r="AB4" s="1158">
        <v>9</v>
      </c>
      <c r="AC4" s="1159"/>
      <c r="AD4" s="1160"/>
      <c r="AE4" s="1161" t="s">
        <v>789</v>
      </c>
      <c r="AF4" s="1162"/>
      <c r="AG4" s="865" t="s">
        <v>790</v>
      </c>
      <c r="AH4" s="455" t="s">
        <v>100</v>
      </c>
    </row>
    <row r="5" spans="1:34" ht="12" customHeight="1" x14ac:dyDescent="0.2">
      <c r="A5" s="1163">
        <v>1</v>
      </c>
      <c r="B5" s="1165">
        <f>жеребьевка!B70</f>
        <v>13</v>
      </c>
      <c r="C5" s="456" t="str">
        <f>IF(B5="","",VLOOKUP(B5,'Списки участников'!A:I,3,FALSE))</f>
        <v>ЛАЗАРЕВ Василий</v>
      </c>
      <c r="D5" s="1167"/>
      <c r="E5" s="1167"/>
      <c r="F5" s="1168"/>
      <c r="G5" s="1171">
        <v>2</v>
      </c>
      <c r="H5" s="1172"/>
      <c r="I5" s="1173"/>
      <c r="J5" s="1171">
        <v>2</v>
      </c>
      <c r="K5" s="1172"/>
      <c r="L5" s="1173"/>
      <c r="M5" s="1171">
        <v>2</v>
      </c>
      <c r="N5" s="1172"/>
      <c r="O5" s="1173"/>
      <c r="P5" s="1171">
        <v>2</v>
      </c>
      <c r="Q5" s="1172"/>
      <c r="R5" s="1173"/>
      <c r="S5" s="1171">
        <v>2</v>
      </c>
      <c r="T5" s="1172"/>
      <c r="U5" s="1173"/>
      <c r="V5" s="1171">
        <v>2</v>
      </c>
      <c r="W5" s="1172"/>
      <c r="X5" s="1173"/>
      <c r="Y5" s="1171"/>
      <c r="Z5" s="1172"/>
      <c r="AA5" s="1173"/>
      <c r="AB5" s="1171"/>
      <c r="AC5" s="1172"/>
      <c r="AD5" s="1173"/>
      <c r="AE5" s="1184">
        <v>10</v>
      </c>
      <c r="AF5" s="1185"/>
      <c r="AG5" s="1175"/>
      <c r="AH5" s="1174">
        <f>IF(B5="","",RANK(AE5,ГР13О))</f>
        <v>1</v>
      </c>
    </row>
    <row r="6" spans="1:34" ht="12" customHeight="1" x14ac:dyDescent="0.2">
      <c r="A6" s="1164"/>
      <c r="B6" s="1166"/>
      <c r="C6" s="457" t="str">
        <f>IF(B5="","",VLOOKUP(B5,'Списки участников'!A:I,6,FALSE))</f>
        <v>Москва</v>
      </c>
      <c r="D6" s="1169"/>
      <c r="E6" s="1169"/>
      <c r="F6" s="1170"/>
      <c r="G6" s="998" t="s">
        <v>12171</v>
      </c>
      <c r="H6" s="459" t="str">
        <f>IF(G5="","",":")</f>
        <v>:</v>
      </c>
      <c r="I6" s="999" t="s">
        <v>12172</v>
      </c>
      <c r="J6" s="458">
        <v>2</v>
      </c>
      <c r="K6" s="459" t="str">
        <f>IF(J5="","",":")</f>
        <v>:</v>
      </c>
      <c r="L6" s="460">
        <v>0</v>
      </c>
      <c r="M6" s="458">
        <v>2</v>
      </c>
      <c r="N6" s="459" t="str">
        <f>IF(M6="","",":")</f>
        <v>:</v>
      </c>
      <c r="O6" s="460">
        <v>0</v>
      </c>
      <c r="P6" s="458">
        <v>2</v>
      </c>
      <c r="Q6" s="459" t="str">
        <f>IF(P6="","",":")</f>
        <v>:</v>
      </c>
      <c r="R6" s="460">
        <v>0</v>
      </c>
      <c r="S6" s="458">
        <v>2</v>
      </c>
      <c r="T6" s="459" t="str">
        <f>IF(S6="","",":")</f>
        <v>:</v>
      </c>
      <c r="U6" s="460">
        <v>0</v>
      </c>
      <c r="V6" s="458">
        <v>2</v>
      </c>
      <c r="W6" s="459" t="str">
        <f>IF(V6="","",":")</f>
        <v>:</v>
      </c>
      <c r="X6" s="460">
        <v>0</v>
      </c>
      <c r="Y6" s="458"/>
      <c r="Z6" s="459" t="str">
        <f>IF(Y6="","",":")</f>
        <v/>
      </c>
      <c r="AA6" s="460"/>
      <c r="AB6" s="458"/>
      <c r="AC6" s="459" t="str">
        <f>IF(AB6="","",":")</f>
        <v/>
      </c>
      <c r="AD6" s="460"/>
      <c r="AE6" s="1186"/>
      <c r="AF6" s="1187"/>
      <c r="AG6" s="1176"/>
      <c r="AH6" s="1174"/>
    </row>
    <row r="7" spans="1:34" ht="12" customHeight="1" x14ac:dyDescent="0.2">
      <c r="A7" s="1163">
        <v>2</v>
      </c>
      <c r="B7" s="1165">
        <f>жеребьевка!B72</f>
        <v>21</v>
      </c>
      <c r="C7" s="456" t="str">
        <f>IF(B7="","",VLOOKUP(B7,'Списки участников'!A:I,3,FALSE))</f>
        <v>ДЕРНИКОВ Ефим</v>
      </c>
      <c r="D7" s="1177">
        <f>IF(G5="","",IF(G6="W",0,IF(G5=2,1,IF(G5=1,2,IF(G5=0,2)))))</f>
        <v>0</v>
      </c>
      <c r="E7" s="1178"/>
      <c r="F7" s="1179"/>
      <c r="G7" s="1180"/>
      <c r="H7" s="1181"/>
      <c r="I7" s="1182"/>
      <c r="J7" s="1171">
        <v>0</v>
      </c>
      <c r="K7" s="1172"/>
      <c r="L7" s="1173"/>
      <c r="M7" s="1171">
        <v>0</v>
      </c>
      <c r="N7" s="1172"/>
      <c r="O7" s="1173"/>
      <c r="P7" s="1171">
        <v>0</v>
      </c>
      <c r="Q7" s="1172"/>
      <c r="R7" s="1173"/>
      <c r="S7" s="1171">
        <v>0</v>
      </c>
      <c r="T7" s="1172"/>
      <c r="U7" s="1173"/>
      <c r="V7" s="1171">
        <v>0</v>
      </c>
      <c r="W7" s="1172"/>
      <c r="X7" s="1173"/>
      <c r="Y7" s="1171"/>
      <c r="Z7" s="1172"/>
      <c r="AA7" s="1173"/>
      <c r="AB7" s="1171"/>
      <c r="AC7" s="1172"/>
      <c r="AD7" s="1173"/>
      <c r="AE7" s="1184">
        <f>IF(B7="","",SUM(D7,J7,M7,P7,S7,V7,Y7,AB7,))</f>
        <v>0</v>
      </c>
      <c r="AF7" s="1185"/>
      <c r="AG7" s="1175"/>
      <c r="AH7" s="1174">
        <f>IF(B7="","",RANK(AE7,ГР13О))</f>
        <v>7</v>
      </c>
    </row>
    <row r="8" spans="1:34" ht="12" customHeight="1" x14ac:dyDescent="0.2">
      <c r="A8" s="1164"/>
      <c r="B8" s="1166"/>
      <c r="C8" s="457" t="str">
        <f>IF(B7="","",VLOOKUP(B7,'Списки участников'!A:I,6,FALSE))</f>
        <v>Москва</v>
      </c>
      <c r="D8" s="461" t="str">
        <f>IF(G6="","",IF(I6="l","W",I6))</f>
        <v>W</v>
      </c>
      <c r="E8" s="462" t="str">
        <f>IF(G5="","",":")</f>
        <v>:</v>
      </c>
      <c r="F8" s="463" t="str">
        <f>IF(I6="","",IF(G6="W","L",G6))</f>
        <v>L</v>
      </c>
      <c r="G8" s="1183"/>
      <c r="H8" s="1169"/>
      <c r="I8" s="1170"/>
      <c r="J8" s="998" t="s">
        <v>12172</v>
      </c>
      <c r="K8" s="459" t="str">
        <f>IF(J7="","",":")</f>
        <v>:</v>
      </c>
      <c r="L8" s="999" t="s">
        <v>12171</v>
      </c>
      <c r="M8" s="998" t="s">
        <v>12172</v>
      </c>
      <c r="N8" s="459" t="str">
        <f>IF(M7="","",":")</f>
        <v>:</v>
      </c>
      <c r="O8" s="999" t="s">
        <v>12171</v>
      </c>
      <c r="P8" s="998" t="s">
        <v>12172</v>
      </c>
      <c r="Q8" s="459" t="str">
        <f>IF(P7="","",":")</f>
        <v>:</v>
      </c>
      <c r="R8" s="999" t="s">
        <v>12171</v>
      </c>
      <c r="S8" s="998" t="s">
        <v>12172</v>
      </c>
      <c r="T8" s="459" t="str">
        <f>IF(S8="","",":")</f>
        <v>:</v>
      </c>
      <c r="U8" s="999" t="s">
        <v>12171</v>
      </c>
      <c r="V8" s="998" t="s">
        <v>12172</v>
      </c>
      <c r="W8" s="459" t="str">
        <f>IF(V8="","",":")</f>
        <v>:</v>
      </c>
      <c r="X8" s="999" t="s">
        <v>12171</v>
      </c>
      <c r="Y8" s="458"/>
      <c r="Z8" s="459" t="str">
        <f>IF(Y8="","",":")</f>
        <v/>
      </c>
      <c r="AA8" s="460"/>
      <c r="AB8" s="458"/>
      <c r="AC8" s="459" t="str">
        <f>IF(AB8="","",":")</f>
        <v/>
      </c>
      <c r="AD8" s="460"/>
      <c r="AE8" s="1186"/>
      <c r="AF8" s="1187"/>
      <c r="AG8" s="1176"/>
      <c r="AH8" s="1174"/>
    </row>
    <row r="9" spans="1:34" ht="12" customHeight="1" x14ac:dyDescent="0.2">
      <c r="A9" s="1163">
        <v>3</v>
      </c>
      <c r="B9" s="1165">
        <f>жеребьевка!B74</f>
        <v>47</v>
      </c>
      <c r="C9" s="456" t="str">
        <f>IF(B9="","",VLOOKUP(B9,'Списки участников'!A:I,3,FALSE))</f>
        <v>ПРОХОРОВ Кирилл</v>
      </c>
      <c r="D9" s="1177">
        <f>IF(J5="","",IF(J6="W",0,IF(J5=2,1,IF(J5=1,2,IF(J5=0,2)))))</f>
        <v>1</v>
      </c>
      <c r="E9" s="1178"/>
      <c r="F9" s="1179"/>
      <c r="G9" s="1171">
        <f>IF(J7="","",IF(J8="W",0,IF(J7=2,1,IF(J7=1,2,IF(J7=0,2)))))</f>
        <v>2</v>
      </c>
      <c r="H9" s="1172"/>
      <c r="I9" s="1173"/>
      <c r="J9" s="1180"/>
      <c r="K9" s="1181"/>
      <c r="L9" s="1182"/>
      <c r="M9" s="1171">
        <v>2</v>
      </c>
      <c r="N9" s="1172"/>
      <c r="O9" s="1173"/>
      <c r="P9" s="1171">
        <v>2</v>
      </c>
      <c r="Q9" s="1172"/>
      <c r="R9" s="1173"/>
      <c r="S9" s="1171">
        <v>2</v>
      </c>
      <c r="T9" s="1172"/>
      <c r="U9" s="1173"/>
      <c r="V9" s="1171">
        <v>2</v>
      </c>
      <c r="W9" s="1172"/>
      <c r="X9" s="1173"/>
      <c r="Y9" s="1171"/>
      <c r="Z9" s="1172"/>
      <c r="AA9" s="1173"/>
      <c r="AB9" s="1171"/>
      <c r="AC9" s="1172"/>
      <c r="AD9" s="1173"/>
      <c r="AE9" s="1184">
        <v>9</v>
      </c>
      <c r="AF9" s="1185"/>
      <c r="AG9" s="1188"/>
      <c r="AH9" s="1174">
        <f>IF(B9="","",RANK(AE9,ГР13О))</f>
        <v>2</v>
      </c>
    </row>
    <row r="10" spans="1:34" ht="12" customHeight="1" x14ac:dyDescent="0.2">
      <c r="A10" s="1164"/>
      <c r="B10" s="1166"/>
      <c r="C10" s="457" t="str">
        <f>IF(B9="","",VLOOKUP(B9,'Списки участников'!A:I,6,FALSE))</f>
        <v>Домодедово  М.о.</v>
      </c>
      <c r="D10" s="464">
        <f>IF(J6="","",IF(L6="l","W",L6))</f>
        <v>0</v>
      </c>
      <c r="E10" s="459" t="str">
        <f>IF(K6="","",":")</f>
        <v>:</v>
      </c>
      <c r="F10" s="465">
        <f>IF(L6="","",IF(J6="W","L",J6))</f>
        <v>2</v>
      </c>
      <c r="G10" s="464" t="str">
        <f>IF(J8="","",IF(L8="l","W",L8))</f>
        <v>W</v>
      </c>
      <c r="H10" s="459" t="str">
        <f>IF(K8="","",":")</f>
        <v>:</v>
      </c>
      <c r="I10" s="465" t="str">
        <f>IF(L8="","",IF(J8="W","L",J8))</f>
        <v>L</v>
      </c>
      <c r="J10" s="1183"/>
      <c r="K10" s="1169"/>
      <c r="L10" s="1170"/>
      <c r="M10" s="458">
        <v>2</v>
      </c>
      <c r="N10" s="459" t="str">
        <f>IF(M9="","",":")</f>
        <v>:</v>
      </c>
      <c r="O10" s="460">
        <v>1</v>
      </c>
      <c r="P10" s="458">
        <v>2</v>
      </c>
      <c r="Q10" s="459" t="str">
        <f>IF(P9="","",":")</f>
        <v>:</v>
      </c>
      <c r="R10" s="460">
        <v>1</v>
      </c>
      <c r="S10" s="458">
        <v>2</v>
      </c>
      <c r="T10" s="459" t="str">
        <f>IF(S9="","",":")</f>
        <v>:</v>
      </c>
      <c r="U10" s="460">
        <v>1</v>
      </c>
      <c r="V10" s="458">
        <v>2</v>
      </c>
      <c r="W10" s="459" t="str">
        <f>IF(V10="","",":")</f>
        <v>:</v>
      </c>
      <c r="X10" s="460">
        <v>1</v>
      </c>
      <c r="Y10" s="458"/>
      <c r="Z10" s="459" t="str">
        <f>IF(Y10="","",":")</f>
        <v/>
      </c>
      <c r="AA10" s="460"/>
      <c r="AB10" s="458"/>
      <c r="AC10" s="459" t="str">
        <f>IF(AB10="","",":")</f>
        <v/>
      </c>
      <c r="AD10" s="460"/>
      <c r="AE10" s="1186"/>
      <c r="AF10" s="1187"/>
      <c r="AG10" s="1189"/>
      <c r="AH10" s="1174"/>
    </row>
    <row r="11" spans="1:34" ht="12" customHeight="1" x14ac:dyDescent="0.2">
      <c r="A11" s="1163">
        <v>4</v>
      </c>
      <c r="B11" s="1165">
        <f>жеребьевка!B76</f>
        <v>53</v>
      </c>
      <c r="C11" s="456" t="str">
        <f>IF(B11="","",VLOOKUP(B11,'Списки участников'!A:I,3,FALSE))</f>
        <v>ПОПОВ Данила</v>
      </c>
      <c r="D11" s="1171">
        <f>IF(M5="","",IF(M6="W",0,IF(M5=2,1,IF(M5=1,2,IF(M5=0,2)))))</f>
        <v>1</v>
      </c>
      <c r="E11" s="1172"/>
      <c r="F11" s="1173"/>
      <c r="G11" s="1171">
        <f>IF(M7="","",IF(M8="W",0,IF(M7=2,1,IF(M7=1,2,IF(M7=0,2)))))</f>
        <v>2</v>
      </c>
      <c r="H11" s="1172"/>
      <c r="I11" s="1173"/>
      <c r="J11" s="1171">
        <f>IF(M9="","",IF(M10="W",0,IF(M9=2,1,IF(M9=1,2,IF(M9=0,2)))))</f>
        <v>1</v>
      </c>
      <c r="K11" s="1172"/>
      <c r="L11" s="1173"/>
      <c r="M11" s="1181"/>
      <c r="N11" s="1181"/>
      <c r="O11" s="1181"/>
      <c r="P11" s="1171">
        <v>2</v>
      </c>
      <c r="Q11" s="1172"/>
      <c r="R11" s="1173"/>
      <c r="S11" s="1171">
        <v>2</v>
      </c>
      <c r="T11" s="1172"/>
      <c r="U11" s="1173"/>
      <c r="V11" s="1171">
        <v>2</v>
      </c>
      <c r="W11" s="1172"/>
      <c r="X11" s="1173"/>
      <c r="Y11" s="1171"/>
      <c r="Z11" s="1172"/>
      <c r="AA11" s="1173"/>
      <c r="AB11" s="1171"/>
      <c r="AC11" s="1172"/>
      <c r="AD11" s="1173"/>
      <c r="AE11" s="1184">
        <v>8</v>
      </c>
      <c r="AF11" s="1185"/>
      <c r="AG11" s="1188"/>
      <c r="AH11" s="1174">
        <f>IF(B11="","",RANK(AE11,ГР13О))</f>
        <v>3</v>
      </c>
    </row>
    <row r="12" spans="1:34" ht="12" customHeight="1" x14ac:dyDescent="0.2">
      <c r="A12" s="1164"/>
      <c r="B12" s="1166"/>
      <c r="C12" s="457" t="str">
        <f>IF(B11="","",VLOOKUP(B11,'Списки участников'!A:I,6,FALSE))</f>
        <v>Москва</v>
      </c>
      <c r="D12" s="464">
        <f>IF(M6="","",IF(O6="l","W",O6))</f>
        <v>0</v>
      </c>
      <c r="E12" s="459" t="str">
        <f>IF(N6="","",":")</f>
        <v>:</v>
      </c>
      <c r="F12" s="465">
        <f>IF(O6="","",IF(M6="W","L",M6))</f>
        <v>2</v>
      </c>
      <c r="G12" s="464" t="str">
        <f>IF(M8="","",IF(O8="l","W",O8))</f>
        <v>W</v>
      </c>
      <c r="H12" s="459" t="str">
        <f>IF(N8="","",":")</f>
        <v>:</v>
      </c>
      <c r="I12" s="465" t="str">
        <f>IF(O8="","",IF(M8="W","L",M8))</f>
        <v>L</v>
      </c>
      <c r="J12" s="464">
        <f>IF(M10="","",IF(O10="l","W",O10))</f>
        <v>1</v>
      </c>
      <c r="K12" s="459" t="str">
        <f>IF(N10="","",":")</f>
        <v>:</v>
      </c>
      <c r="L12" s="465">
        <f>IF(O10="","",IF(M10="W","L",M10))</f>
        <v>2</v>
      </c>
      <c r="M12" s="1190"/>
      <c r="N12" s="1190"/>
      <c r="O12" s="1190"/>
      <c r="P12" s="458">
        <v>2</v>
      </c>
      <c r="Q12" s="459" t="str">
        <f>IF(P11="","",":")</f>
        <v>:</v>
      </c>
      <c r="R12" s="460">
        <v>0</v>
      </c>
      <c r="S12" s="458">
        <v>2</v>
      </c>
      <c r="T12" s="459" t="str">
        <f>IF(S11="","",":")</f>
        <v>:</v>
      </c>
      <c r="U12" s="460">
        <v>0</v>
      </c>
      <c r="V12" s="458">
        <v>2</v>
      </c>
      <c r="W12" s="459" t="str">
        <f>IF(V11="","",":")</f>
        <v>:</v>
      </c>
      <c r="X12" s="460">
        <v>0</v>
      </c>
      <c r="Y12" s="458"/>
      <c r="Z12" s="459" t="str">
        <f>IF(Y12="","",":")</f>
        <v/>
      </c>
      <c r="AA12" s="460"/>
      <c r="AB12" s="458"/>
      <c r="AC12" s="459" t="str">
        <f>IF(AB12="","",":")</f>
        <v/>
      </c>
      <c r="AD12" s="460"/>
      <c r="AE12" s="1186"/>
      <c r="AF12" s="1187"/>
      <c r="AG12" s="1189"/>
      <c r="AH12" s="1174"/>
    </row>
    <row r="13" spans="1:34" ht="12" customHeight="1" x14ac:dyDescent="0.2">
      <c r="A13" s="1163">
        <v>5</v>
      </c>
      <c r="B13" s="1165">
        <f>жеребьевка!B78</f>
        <v>82</v>
      </c>
      <c r="C13" s="456" t="str">
        <f>IF(B13="","",VLOOKUP(B13,'Списки участников'!A:I,3,FALSE))</f>
        <v>СУЧКОВ Артемий</v>
      </c>
      <c r="D13" s="1171">
        <f>IF(P5="","",IF(P6="W",0,IF(P5=2,1,IF(P5=1,2,IF(P5=0,2)))))</f>
        <v>1</v>
      </c>
      <c r="E13" s="1172"/>
      <c r="F13" s="1173"/>
      <c r="G13" s="1171">
        <f>IF(P7="","",IF(P8="W",0,IF(P7=2,1,IF(P7=1,2,IF(P7=0,2)))))</f>
        <v>2</v>
      </c>
      <c r="H13" s="1172"/>
      <c r="I13" s="1173"/>
      <c r="J13" s="1171">
        <f>IF(P9="","",IF(P10="W",0,IF(P9=2,1,IF(P9=1,2,IF(P9=0,2)))))</f>
        <v>1</v>
      </c>
      <c r="K13" s="1172"/>
      <c r="L13" s="1173"/>
      <c r="M13" s="1171">
        <f>IF(P11="","",IF(P12="W",0,IF(P11=2,1,IF(P11=1,2,IF(P11=0,2)))))</f>
        <v>1</v>
      </c>
      <c r="N13" s="1172"/>
      <c r="O13" s="1173"/>
      <c r="P13" s="1180"/>
      <c r="Q13" s="1181"/>
      <c r="R13" s="1182"/>
      <c r="S13" s="1171">
        <v>1</v>
      </c>
      <c r="T13" s="1172"/>
      <c r="U13" s="1173"/>
      <c r="V13" s="1171">
        <v>1</v>
      </c>
      <c r="W13" s="1172"/>
      <c r="X13" s="1173"/>
      <c r="Y13" s="1171"/>
      <c r="Z13" s="1172"/>
      <c r="AA13" s="1173"/>
      <c r="AB13" s="1171"/>
      <c r="AC13" s="1172"/>
      <c r="AD13" s="1173"/>
      <c r="AE13" s="1184">
        <v>5</v>
      </c>
      <c r="AF13" s="1185"/>
      <c r="AG13" s="1188"/>
      <c r="AH13" s="1174">
        <f>IF(B13="","",RANK(AE13,ГР13О))</f>
        <v>6</v>
      </c>
    </row>
    <row r="14" spans="1:34" ht="12" customHeight="1" x14ac:dyDescent="0.2">
      <c r="A14" s="1164"/>
      <c r="B14" s="1166"/>
      <c r="C14" s="457" t="str">
        <f>IF(B13="","",VLOOKUP(B13,'Списки участников'!A:I,6,FALSE))</f>
        <v>Дмитров</v>
      </c>
      <c r="D14" s="464">
        <f>IF(P6="","",IF(R6="l","W",R6))</f>
        <v>0</v>
      </c>
      <c r="E14" s="459" t="str">
        <f>IF(Q6="","",":")</f>
        <v>:</v>
      </c>
      <c r="F14" s="465">
        <f>IF(R6="","",IF(P6="W","L",P6))</f>
        <v>2</v>
      </c>
      <c r="G14" s="464" t="str">
        <f>IF(P8="","",IF(R8="l","W",R8))</f>
        <v>W</v>
      </c>
      <c r="H14" s="459" t="str">
        <f>IF(Q8="","",":")</f>
        <v>:</v>
      </c>
      <c r="I14" s="465" t="str">
        <f>IF(R8="","",IF(P8="W","L",P8))</f>
        <v>L</v>
      </c>
      <c r="J14" s="464">
        <f>IF(P10="","",IF(R10="l","W",R10))</f>
        <v>1</v>
      </c>
      <c r="K14" s="459" t="str">
        <f>IF(Q10="","",":")</f>
        <v>:</v>
      </c>
      <c r="L14" s="465">
        <f>IF(R10="","",IF(P10="W","L",P10))</f>
        <v>2</v>
      </c>
      <c r="M14" s="464">
        <f>IF(P12="","",IF(R12="l","W",R12))</f>
        <v>0</v>
      </c>
      <c r="N14" s="459" t="str">
        <f>IF(Q12="","",":")</f>
        <v>:</v>
      </c>
      <c r="O14" s="465">
        <f>IF(R12="","",IF(P12="W","L",P12))</f>
        <v>2</v>
      </c>
      <c r="P14" s="1183"/>
      <c r="Q14" s="1169"/>
      <c r="R14" s="1170"/>
      <c r="S14" s="458">
        <v>0</v>
      </c>
      <c r="T14" s="459" t="str">
        <f>IF(S13="","",":")</f>
        <v>:</v>
      </c>
      <c r="U14" s="460">
        <v>2</v>
      </c>
      <c r="V14" s="458">
        <v>0</v>
      </c>
      <c r="W14" s="459" t="str">
        <f>IF(V13="","",":")</f>
        <v>:</v>
      </c>
      <c r="X14" s="460">
        <v>2</v>
      </c>
      <c r="Y14" s="458"/>
      <c r="Z14" s="459" t="str">
        <f>IF(Y13="","",":")</f>
        <v/>
      </c>
      <c r="AA14" s="460"/>
      <c r="AB14" s="458"/>
      <c r="AC14" s="459" t="str">
        <f>IF(AB14="","",":")</f>
        <v/>
      </c>
      <c r="AD14" s="460"/>
      <c r="AE14" s="1186"/>
      <c r="AF14" s="1187"/>
      <c r="AG14" s="1189"/>
      <c r="AH14" s="1174"/>
    </row>
    <row r="15" spans="1:34" ht="12" customHeight="1" x14ac:dyDescent="0.2">
      <c r="A15" s="1163">
        <v>6</v>
      </c>
      <c r="B15" s="1165">
        <f>жеребьевка!B80</f>
        <v>88</v>
      </c>
      <c r="C15" s="456" t="str">
        <f>IF(B15="","",VLOOKUP(B15,'Списки участников'!A:I,3,FALSE))</f>
        <v>ОДЕРКОВ Марк</v>
      </c>
      <c r="D15" s="1171">
        <f>IF(S5="","",IF(S6="W",0,IF(S5=2,1,IF(S5=1,2,IF(S5=0,2)))))</f>
        <v>1</v>
      </c>
      <c r="E15" s="1172"/>
      <c r="F15" s="1173"/>
      <c r="G15" s="1171">
        <f>IF(S7="","",IF(S8="W",0,IF(S7=2,1,IF(S7=1,2,IF(S7=0,2)))))</f>
        <v>2</v>
      </c>
      <c r="H15" s="1172"/>
      <c r="I15" s="1173"/>
      <c r="J15" s="1171">
        <f>IF(S9="","",IF(S10="W",0,IF(S9=2,1,IF(S9=1,2,IF(S9=0,2)))))</f>
        <v>1</v>
      </c>
      <c r="K15" s="1172"/>
      <c r="L15" s="1173"/>
      <c r="M15" s="1171">
        <f>IF(S11="","",IF(S12="W",0,IF(S11=2,1,IF(S11=1,2,IF(S11=0,2)))))</f>
        <v>1</v>
      </c>
      <c r="N15" s="1172"/>
      <c r="O15" s="1173"/>
      <c r="P15" s="1171">
        <f>IF(S13="","",IF(S14="W",0,IF(S13=2,1,IF(S13=1,2,IF(S13=0,2)))))</f>
        <v>2</v>
      </c>
      <c r="Q15" s="1172"/>
      <c r="R15" s="1173"/>
      <c r="S15" s="1180"/>
      <c r="T15" s="1181"/>
      <c r="U15" s="1182"/>
      <c r="V15" s="1171">
        <v>2</v>
      </c>
      <c r="W15" s="1172"/>
      <c r="X15" s="1173"/>
      <c r="Y15" s="1171"/>
      <c r="Z15" s="1172"/>
      <c r="AA15" s="1173"/>
      <c r="AB15" s="1171"/>
      <c r="AC15" s="1172"/>
      <c r="AD15" s="1173"/>
      <c r="AE15" s="1184">
        <v>7</v>
      </c>
      <c r="AF15" s="1185"/>
      <c r="AG15" s="1188"/>
      <c r="AH15" s="1174">
        <f>IF(B15="","",RANK(AE15,ГР13О))</f>
        <v>4</v>
      </c>
    </row>
    <row r="16" spans="1:34" ht="12" customHeight="1" x14ac:dyDescent="0.2">
      <c r="A16" s="1164"/>
      <c r="B16" s="1166"/>
      <c r="C16" s="457" t="str">
        <f>IF(B15="","",VLOOKUP(B15,'Списки участников'!A:I,6,FALSE))</f>
        <v>Скопин  Ряз.о.</v>
      </c>
      <c r="D16" s="464">
        <f>IF(S6="","",IF(U6="l","W",U6))</f>
        <v>0</v>
      </c>
      <c r="E16" s="459" t="str">
        <f>IF(T6="","",":")</f>
        <v>:</v>
      </c>
      <c r="F16" s="465">
        <f>IF(U6="","",IF(S6="W","L",S6))</f>
        <v>2</v>
      </c>
      <c r="G16" s="464" t="str">
        <f>IF(S8="","",IF(U8="l","W",U8))</f>
        <v>W</v>
      </c>
      <c r="H16" s="459" t="str">
        <f>IF(T8="","",":")</f>
        <v>:</v>
      </c>
      <c r="I16" s="465" t="str">
        <f>IF(U8="","",IF(S8="W","L",S8))</f>
        <v>L</v>
      </c>
      <c r="J16" s="464">
        <f>IF(S10="","",IF(U10="l","W",U10))</f>
        <v>1</v>
      </c>
      <c r="K16" s="459" t="str">
        <f>IF(T10="","",":")</f>
        <v>:</v>
      </c>
      <c r="L16" s="465">
        <f>IF(U10="","",IF(S10="W","L",S10))</f>
        <v>2</v>
      </c>
      <c r="M16" s="464">
        <f>IF(S12="","",IF(U12="l","W",U12))</f>
        <v>0</v>
      </c>
      <c r="N16" s="459" t="str">
        <f>IF(T12="","",":")</f>
        <v>:</v>
      </c>
      <c r="O16" s="465">
        <f>IF(U12="","",IF(S12="W","L",S12))</f>
        <v>2</v>
      </c>
      <c r="P16" s="464">
        <f>IF(S14="","",IF(U14="l","W",U14))</f>
        <v>2</v>
      </c>
      <c r="Q16" s="459" t="str">
        <f>IF(T14="","",":")</f>
        <v>:</v>
      </c>
      <c r="R16" s="465">
        <f>IF(U14="","",IF(S14="W","L",S14))</f>
        <v>0</v>
      </c>
      <c r="S16" s="1183"/>
      <c r="T16" s="1169"/>
      <c r="U16" s="1170"/>
      <c r="V16" s="458">
        <v>2</v>
      </c>
      <c r="W16" s="459" t="str">
        <f>IF(V15="","",":")</f>
        <v>:</v>
      </c>
      <c r="X16" s="460">
        <v>0</v>
      </c>
      <c r="Y16" s="458"/>
      <c r="Z16" s="459" t="str">
        <f>IF(Y15="","",":")</f>
        <v/>
      </c>
      <c r="AA16" s="460"/>
      <c r="AB16" s="458"/>
      <c r="AC16" s="459" t="str">
        <f>IF(AB15="","",":")</f>
        <v/>
      </c>
      <c r="AD16" s="460"/>
      <c r="AE16" s="1186"/>
      <c r="AF16" s="1187"/>
      <c r="AG16" s="1189"/>
      <c r="AH16" s="1174"/>
    </row>
    <row r="17" spans="1:34" ht="12" customHeight="1" x14ac:dyDescent="0.2">
      <c r="A17" s="1163">
        <v>7</v>
      </c>
      <c r="B17" s="1165">
        <v>109</v>
      </c>
      <c r="C17" s="456" t="str">
        <f>IF(B17="","",VLOOKUP(B17,'Списки участников'!A:I,3,FALSE))</f>
        <v>РЯБОШАПКА Федор</v>
      </c>
      <c r="D17" s="1171">
        <f>IF(V5="","",IF(V6="W",0,IF(V5=2,1,IF(V5=1,2,IF(V5=0,2)))))</f>
        <v>1</v>
      </c>
      <c r="E17" s="1172"/>
      <c r="F17" s="1173"/>
      <c r="G17" s="1171">
        <f>IF(V7="","",IF(V8="W",0,IF(V7=2,1,IF(V7=1,2,IF(V7=0,2)))))</f>
        <v>2</v>
      </c>
      <c r="H17" s="1172"/>
      <c r="I17" s="1173"/>
      <c r="J17" s="1171">
        <f>IF(V9="","",IF(V10="W",0,IF(V9=2,1,IF(V9=1,2,IF(V9=0,2)))))</f>
        <v>1</v>
      </c>
      <c r="K17" s="1172"/>
      <c r="L17" s="1173"/>
      <c r="M17" s="1171">
        <f>IF(V11="","",IF(V12="W",0,IF(V11=2,1,IF(V11=1,2,IF(V11=0,2)))))</f>
        <v>1</v>
      </c>
      <c r="N17" s="1172"/>
      <c r="O17" s="1173"/>
      <c r="P17" s="1171">
        <f>IF(V13="","",IF(V14="W",0,IF(V13=2,1,IF(V13=1,2,IF(V13=0,2)))))</f>
        <v>2</v>
      </c>
      <c r="Q17" s="1172"/>
      <c r="R17" s="1173"/>
      <c r="S17" s="1171">
        <f>IF(V15="","",IF(V16="W",0,IF(V15=2,1,IF(V15=1,2,IF(V15=0,2)))))</f>
        <v>1</v>
      </c>
      <c r="T17" s="1172"/>
      <c r="U17" s="1173"/>
      <c r="V17" s="1191"/>
      <c r="W17" s="1167"/>
      <c r="X17" s="1168"/>
      <c r="Y17" s="1171"/>
      <c r="Z17" s="1172"/>
      <c r="AA17" s="1173"/>
      <c r="AB17" s="1171"/>
      <c r="AC17" s="1172"/>
      <c r="AD17" s="1173"/>
      <c r="AE17" s="1184">
        <v>6</v>
      </c>
      <c r="AF17" s="1185"/>
      <c r="AG17" s="1188"/>
      <c r="AH17" s="1174">
        <f>IF(B17="","",RANK(AE17,ГР13О))</f>
        <v>5</v>
      </c>
    </row>
    <row r="18" spans="1:34" ht="12" customHeight="1" x14ac:dyDescent="0.2">
      <c r="A18" s="1164"/>
      <c r="B18" s="1166"/>
      <c r="C18" s="457" t="str">
        <f>IF(B17="","",VLOOKUP(B17,'Списки участников'!A:I,6,FALSE))</f>
        <v>Домодедово  М.о.</v>
      </c>
      <c r="D18" s="464">
        <f>IF(V6="","",IF(X6="l","W",X6))</f>
        <v>0</v>
      </c>
      <c r="E18" s="459" t="str">
        <f>IF(W6="","",":")</f>
        <v>:</v>
      </c>
      <c r="F18" s="465">
        <f>IF(X6="","",IF(V6="W","L",V6))</f>
        <v>2</v>
      </c>
      <c r="G18" s="464" t="str">
        <f>IF(V8="","",IF(X8="l","W",X8))</f>
        <v>W</v>
      </c>
      <c r="H18" s="459" t="str">
        <f>IF(W8="","",":")</f>
        <v>:</v>
      </c>
      <c r="I18" s="465" t="str">
        <f>IF(X8="","",IF(V8="W","L",V8))</f>
        <v>L</v>
      </c>
      <c r="J18" s="464">
        <f>IF(V10="","",IF(X10="l","W",X10))</f>
        <v>1</v>
      </c>
      <c r="K18" s="459" t="str">
        <f>IF(W10="","",":")</f>
        <v>:</v>
      </c>
      <c r="L18" s="465">
        <f>IF(X10="","",IF(V10="W","L",V10))</f>
        <v>2</v>
      </c>
      <c r="M18" s="464">
        <f>IF(V12="","",IF(X12="l","W",X12))</f>
        <v>0</v>
      </c>
      <c r="N18" s="459" t="str">
        <f>IF(W12="","",":")</f>
        <v>:</v>
      </c>
      <c r="O18" s="465">
        <f>IF(X12="","",IF(V12="W","L",V12))</f>
        <v>2</v>
      </c>
      <c r="P18" s="464">
        <f>IF(V14="","",IF(X14="l","W",X14))</f>
        <v>2</v>
      </c>
      <c r="Q18" s="459" t="str">
        <f>IF(W14="","",":")</f>
        <v>:</v>
      </c>
      <c r="R18" s="465">
        <f>IF(X14="","",IF(V14="W","L",V14))</f>
        <v>0</v>
      </c>
      <c r="S18" s="464">
        <f>IF(V16="","",IF(X16="l","W",X16))</f>
        <v>0</v>
      </c>
      <c r="T18" s="459" t="str">
        <f>IF(W16="","",":")</f>
        <v>:</v>
      </c>
      <c r="U18" s="465">
        <f>IF(X16="","",IF(V16="W","L",V16))</f>
        <v>2</v>
      </c>
      <c r="V18" s="1183"/>
      <c r="W18" s="1169"/>
      <c r="X18" s="1170"/>
      <c r="Y18" s="458"/>
      <c r="Z18" s="459" t="str">
        <f>IF(Y17="","",":")</f>
        <v/>
      </c>
      <c r="AA18" s="460"/>
      <c r="AB18" s="458"/>
      <c r="AC18" s="459" t="str">
        <f>IF(AB17="","",":")</f>
        <v/>
      </c>
      <c r="AD18" s="460"/>
      <c r="AE18" s="1186"/>
      <c r="AF18" s="1187"/>
      <c r="AG18" s="1189"/>
      <c r="AH18" s="1174"/>
    </row>
    <row r="19" spans="1:34" ht="12" customHeight="1" x14ac:dyDescent="0.2">
      <c r="A19" s="1163">
        <v>8</v>
      </c>
      <c r="B19" s="1165"/>
      <c r="C19" s="456" t="str">
        <f>IF(B19="","",VLOOKUP(B19,'Списки участников'!A:I,3,FALSE))</f>
        <v/>
      </c>
      <c r="D19" s="1171" t="str">
        <f>IF(Y5="","",IF(Y6="W",0,IF(Y5=2,1,IF(Y5=1,2,IF(Y5=0,2)))))</f>
        <v/>
      </c>
      <c r="E19" s="1172"/>
      <c r="F19" s="1173"/>
      <c r="G19" s="1171" t="str">
        <f>IF(Y7="","",IF(Y8="W",0,IF(Y7=2,1,IF(Y7=1,2,IF(Y7=0,2)))))</f>
        <v/>
      </c>
      <c r="H19" s="1172"/>
      <c r="I19" s="1173"/>
      <c r="J19" s="1171" t="str">
        <f>IF(Y9="","",IF(Y10="W",0,IF(Y9=2,1,IF(Y9=1,2,IF(Y9=0,2)))))</f>
        <v/>
      </c>
      <c r="K19" s="1172"/>
      <c r="L19" s="1173"/>
      <c r="M19" s="1171" t="str">
        <f>IF(Y11="","",IF(Y12="W",0,IF(Y11=2,1,IF(Y11=1,2,IF(Y11=0,2)))))</f>
        <v/>
      </c>
      <c r="N19" s="1172"/>
      <c r="O19" s="1173"/>
      <c r="P19" s="1171" t="str">
        <f>IF(Y13="","",IF(Y14="W",0,IF(Y13=2,1,IF(Y13=1,2,IF(Y13=0,2)))))</f>
        <v/>
      </c>
      <c r="Q19" s="1172"/>
      <c r="R19" s="1173"/>
      <c r="S19" s="1171" t="str">
        <f>IF(Y15="","",IF(Y16="W",0,IF(Y15=2,1,IF(Y15=1,2,IF(Y15=0,2)))))</f>
        <v/>
      </c>
      <c r="T19" s="1172"/>
      <c r="U19" s="1173"/>
      <c r="V19" s="1171" t="str">
        <f>IF(Y17="","",IF(Y18="W",0,IF(Y17=2,1,IF(Y17=1,2,IF(Y17=0,2)))))</f>
        <v/>
      </c>
      <c r="W19" s="1172"/>
      <c r="X19" s="1173"/>
      <c r="Y19" s="1180"/>
      <c r="Z19" s="1181"/>
      <c r="AA19" s="1182"/>
      <c r="AB19" s="1171"/>
      <c r="AC19" s="1172"/>
      <c r="AD19" s="1173"/>
      <c r="AE19" s="1184" t="str">
        <f>IF(B19="","",SUM(D19,J19,M19,P19,S19,V19,G19,AB19,))</f>
        <v/>
      </c>
      <c r="AF19" s="1185"/>
      <c r="AG19" s="1188"/>
      <c r="AH19" s="1174" t="str">
        <f>IF(B19="","",RANK(AE19,ГР13О))</f>
        <v/>
      </c>
    </row>
    <row r="20" spans="1:34" ht="12" customHeight="1" x14ac:dyDescent="0.2">
      <c r="A20" s="1164"/>
      <c r="B20" s="1166"/>
      <c r="C20" s="457" t="str">
        <f>IF(B19="","",VLOOKUP(B19,'Списки участников'!A:I,6,FALSE))</f>
        <v/>
      </c>
      <c r="D20" s="464" t="str">
        <f>IF(Y6="","",IF(AA6="l","W",AA6))</f>
        <v/>
      </c>
      <c r="E20" s="459" t="str">
        <f>IF(Z6="","",":")</f>
        <v/>
      </c>
      <c r="F20" s="465" t="str">
        <f>IF(AA6="","",IF(Y6="W","L",Y6))</f>
        <v/>
      </c>
      <c r="G20" s="464" t="str">
        <f>IF(Y8="","",IF(AA8="l","W",AA8))</f>
        <v/>
      </c>
      <c r="H20" s="459" t="str">
        <f>IF(Z8="","",":")</f>
        <v/>
      </c>
      <c r="I20" s="465" t="str">
        <f>IF(AA8="","",IF(Y8="W","L",Y8))</f>
        <v/>
      </c>
      <c r="J20" s="464" t="str">
        <f>IF(Y10="","",IF(AA10="l","W",AA10))</f>
        <v/>
      </c>
      <c r="K20" s="459" t="str">
        <f>IF(Z10="","",":")</f>
        <v/>
      </c>
      <c r="L20" s="465" t="str">
        <f>IF(AA10="","",IF(Y10="W","L",Y10))</f>
        <v/>
      </c>
      <c r="M20" s="464" t="str">
        <f>IF(Y12="","",IF(AA12="l","W",AA12))</f>
        <v/>
      </c>
      <c r="N20" s="459" t="str">
        <f>IF(Z12="","",":")</f>
        <v/>
      </c>
      <c r="O20" s="465" t="str">
        <f>IF(AA12="","",IF(Y12="W","L",Y12))</f>
        <v/>
      </c>
      <c r="P20" s="464" t="str">
        <f>IF(Y14="","",IF(AA14="l","W",AA14))</f>
        <v/>
      </c>
      <c r="Q20" s="459" t="str">
        <f>IF(Z14="","",":")</f>
        <v/>
      </c>
      <c r="R20" s="465" t="str">
        <f>IF(AA14="","",IF(Y14="W","L",Y14))</f>
        <v/>
      </c>
      <c r="S20" s="464" t="str">
        <f>IF(Y16="","",IF(AA16="l","W",AA16))</f>
        <v/>
      </c>
      <c r="T20" s="459" t="str">
        <f>IF(Z16="","",":")</f>
        <v/>
      </c>
      <c r="U20" s="465" t="str">
        <f>IF(AA16="","",IF(Y16="W","L",Y16))</f>
        <v/>
      </c>
      <c r="V20" s="464" t="str">
        <f>IF(Y18="","",IF(AA18="l","W",AA18))</f>
        <v/>
      </c>
      <c r="W20" s="459" t="str">
        <f>IF(Z18="","",":")</f>
        <v/>
      </c>
      <c r="X20" s="465" t="str">
        <f>IF(AA18="","",IF(Y18="W","L",Y18))</f>
        <v/>
      </c>
      <c r="Y20" s="1183"/>
      <c r="Z20" s="1169"/>
      <c r="AA20" s="1170"/>
      <c r="AB20" s="458"/>
      <c r="AC20" s="459" t="str">
        <f>IF(AB19="","",":")</f>
        <v/>
      </c>
      <c r="AD20" s="460"/>
      <c r="AE20" s="1186"/>
      <c r="AF20" s="1187"/>
      <c r="AG20" s="1189"/>
      <c r="AH20" s="1174"/>
    </row>
    <row r="21" spans="1:34" ht="12" hidden="1" customHeight="1" outlineLevel="1" x14ac:dyDescent="0.2">
      <c r="A21" s="1163">
        <v>9</v>
      </c>
      <c r="B21" s="1202">
        <f>жеребьевка!B86</f>
        <v>0</v>
      </c>
      <c r="C21" s="456" t="e">
        <f>IF(B21="","",VLOOKUP(B21,'Списки участников'!A:I,3,FALSE))</f>
        <v>#N/A</v>
      </c>
      <c r="D21" s="1171" t="str">
        <f>IF(AB5="","",IF(AB6="W",0,IF(AB5=2,1,IF(AB5=1,2,IF(AB5=0,2)))))</f>
        <v/>
      </c>
      <c r="E21" s="1172"/>
      <c r="F21" s="1173"/>
      <c r="G21" s="1171" t="str">
        <f>IF(AB7="","",IF(AB8="W",0,IF(AB7=2,1,IF(AB7=1,2,IF(AB7=0,2)))))</f>
        <v/>
      </c>
      <c r="H21" s="1172"/>
      <c r="I21" s="1173"/>
      <c r="J21" s="1171" t="str">
        <f>IF(AB9="","",IF(AB10="W",0,IF(AB9=2,1,IF(AB9=1,2,IF(AB9=0,2)))))</f>
        <v/>
      </c>
      <c r="K21" s="1172"/>
      <c r="L21" s="1173"/>
      <c r="M21" s="1171" t="str">
        <f>IF(AB11="","",IF(AB12="W",0,IF(AB11=2,1,IF(AB11=1,2,IF(AB11=0,2)))))</f>
        <v/>
      </c>
      <c r="N21" s="1172"/>
      <c r="O21" s="1173"/>
      <c r="P21" s="1171" t="str">
        <f>IF(AB13="","",IF(AB14="W",0,IF(AB13=2,1,IF(AB13=1,2,IF(AB13=0,2)))))</f>
        <v/>
      </c>
      <c r="Q21" s="1172"/>
      <c r="R21" s="1173"/>
      <c r="S21" s="1171" t="str">
        <f>IF(AB15="","",IF(AB16="W",0,IF(AB15=2,1,IF(AB15=1,2,IF(AB15=0,2)))))</f>
        <v/>
      </c>
      <c r="T21" s="1172"/>
      <c r="U21" s="1173"/>
      <c r="V21" s="1171" t="str">
        <f>IF(AB17="","",IF(AB18="W",0,IF(AB17=2,1,IF(AB17=1,2,IF(AB17=0,2)))))</f>
        <v/>
      </c>
      <c r="W21" s="1172"/>
      <c r="X21" s="1173"/>
      <c r="Y21" s="1171" t="str">
        <f>IF(AB19="","",IF(AB20="W",0,IF(AB19=2,1,IF(AB19=1,2,IF(AB19=0,2)))))</f>
        <v/>
      </c>
      <c r="Z21" s="1172"/>
      <c r="AA21" s="1173"/>
      <c r="AB21" s="1180"/>
      <c r="AC21" s="1181"/>
      <c r="AD21" s="1182"/>
      <c r="AE21" s="1184">
        <f>IF(B21="","",SUM(D21,J21,M21,P21,S21,V21,Y21,G21,))</f>
        <v>0</v>
      </c>
      <c r="AF21" s="1185"/>
      <c r="AG21" s="1188"/>
      <c r="AH21" s="1200">
        <f>IF(B21="","",RANK(AE21,ГР13О))</f>
        <v>7</v>
      </c>
    </row>
    <row r="22" spans="1:34" ht="12" hidden="1" customHeight="1" outlineLevel="1" x14ac:dyDescent="0.2">
      <c r="A22" s="1164"/>
      <c r="B22" s="1203"/>
      <c r="C22" s="457" t="e">
        <f>IF(B21="","",VLOOKUP(B21,'Списки участников'!A:I,6,FALSE))</f>
        <v>#N/A</v>
      </c>
      <c r="D22" s="464" t="str">
        <f>IF(AB6="","",IF(AD6="l","W",AD6))</f>
        <v/>
      </c>
      <c r="E22" s="459" t="str">
        <f>IF(AC6="","",":")</f>
        <v/>
      </c>
      <c r="F22" s="465" t="str">
        <f>IF(AD6="","",IF(AB6="W","L",AB6))</f>
        <v/>
      </c>
      <c r="G22" s="464" t="str">
        <f>IF(AB8="","",IF(AD8="l","W",AD8))</f>
        <v/>
      </c>
      <c r="H22" s="459" t="str">
        <f>IF(AC8="","",":")</f>
        <v/>
      </c>
      <c r="I22" s="465" t="str">
        <f>IF(AD8="","",IF(AB8="W","L",AB8))</f>
        <v/>
      </c>
      <c r="J22" s="464" t="str">
        <f>IF(AB10="","",IF(AD10="l","W",AD10))</f>
        <v/>
      </c>
      <c r="K22" s="459" t="str">
        <f>IF(AC10="","",":")</f>
        <v/>
      </c>
      <c r="L22" s="465" t="str">
        <f>IF(AD10="","",IF(AB10="W","L",AB10))</f>
        <v/>
      </c>
      <c r="M22" s="464" t="str">
        <f>IF(AB12="","",IF(AD12="l","W",AD12))</f>
        <v/>
      </c>
      <c r="N22" s="459" t="str">
        <f>IF(AC12="","",":")</f>
        <v/>
      </c>
      <c r="O22" s="465" t="str">
        <f>IF(AD12="","",IF(AB12="W","L",AB12))</f>
        <v/>
      </c>
      <c r="P22" s="464" t="str">
        <f>IF(AB14="","",IF(AD14="l","W",AD14))</f>
        <v/>
      </c>
      <c r="Q22" s="459" t="str">
        <f>IF(AC14="","",":")</f>
        <v/>
      </c>
      <c r="R22" s="465" t="str">
        <f>IF(AD14="","",IF(AB14="W","L",AB14))</f>
        <v/>
      </c>
      <c r="S22" s="464" t="str">
        <f>IF(AB16="","",IF(AD16="l","W",AD16))</f>
        <v/>
      </c>
      <c r="T22" s="459" t="str">
        <f>IF(AC16="","",":")</f>
        <v/>
      </c>
      <c r="U22" s="465" t="str">
        <f>IF(AD16="","",IF(AB16="W","L",AB16))</f>
        <v/>
      </c>
      <c r="V22" s="464" t="str">
        <f>IF(AB18="","",IF(AD18="l","W",AD18))</f>
        <v/>
      </c>
      <c r="W22" s="459" t="str">
        <f>IF(AC18="","",":")</f>
        <v/>
      </c>
      <c r="X22" s="465" t="str">
        <f>IF(AD18="","",IF(AB18="W","L",AB18))</f>
        <v/>
      </c>
      <c r="Y22" s="464" t="str">
        <f>IF(AB20="","",IF(AD20="l","W",AD20))</f>
        <v/>
      </c>
      <c r="Z22" s="459" t="str">
        <f>IF(AC20="","",":")</f>
        <v/>
      </c>
      <c r="AA22" s="465" t="str">
        <f>IF(AD20="","",IF(AB20="W","L",AB20))</f>
        <v/>
      </c>
      <c r="AB22" s="1183"/>
      <c r="AC22" s="1169"/>
      <c r="AD22" s="1170"/>
      <c r="AE22" s="1186"/>
      <c r="AF22" s="1187"/>
      <c r="AG22" s="1189"/>
      <c r="AH22" s="1201"/>
    </row>
    <row r="23" spans="1:34" ht="12" customHeight="1" collapsed="1" x14ac:dyDescent="0.25">
      <c r="A23" s="135"/>
      <c r="B23" s="135"/>
      <c r="C23" s="954" t="s">
        <v>765</v>
      </c>
      <c r="D23" s="135"/>
      <c r="E23" s="135"/>
      <c r="F23" s="135"/>
      <c r="G23" s="1192" t="s">
        <v>2593</v>
      </c>
      <c r="H23" s="1192"/>
      <c r="I23" s="1192"/>
      <c r="J23" s="1192"/>
      <c r="K23" s="1192"/>
      <c r="L23" s="1192"/>
      <c r="M23" s="1192"/>
      <c r="N23" s="1192"/>
      <c r="O23" s="1192"/>
      <c r="P23" s="1192"/>
      <c r="Q23" s="1192"/>
      <c r="R23" s="1192"/>
      <c r="S23" s="1192"/>
      <c r="T23" s="1192"/>
      <c r="U23" s="1192"/>
      <c r="V23" s="1192"/>
      <c r="W23" s="1192"/>
      <c r="X23" s="1192"/>
      <c r="Y23" s="1192"/>
      <c r="Z23" s="1192"/>
      <c r="AA23" s="1192"/>
      <c r="AB23" s="135"/>
      <c r="AC23" s="135"/>
      <c r="AD23" s="135"/>
      <c r="AE23" s="135"/>
      <c r="AF23" s="135"/>
      <c r="AG23" s="135"/>
      <c r="AH23" s="135"/>
    </row>
    <row r="24" spans="1:34" ht="12" customHeight="1" x14ac:dyDescent="0.2">
      <c r="A24" s="136" t="s">
        <v>3</v>
      </c>
      <c r="B24" s="864"/>
      <c r="C24" s="138" t="s">
        <v>788</v>
      </c>
      <c r="D24" s="1158">
        <v>1</v>
      </c>
      <c r="E24" s="1159"/>
      <c r="F24" s="1160"/>
      <c r="G24" s="1158">
        <v>2</v>
      </c>
      <c r="H24" s="1159"/>
      <c r="I24" s="1160"/>
      <c r="J24" s="1158">
        <v>3</v>
      </c>
      <c r="K24" s="1159"/>
      <c r="L24" s="1160"/>
      <c r="M24" s="1158">
        <v>4</v>
      </c>
      <c r="N24" s="1159"/>
      <c r="O24" s="1160"/>
      <c r="P24" s="1158">
        <v>5</v>
      </c>
      <c r="Q24" s="1159"/>
      <c r="R24" s="1160"/>
      <c r="S24" s="1158">
        <v>6</v>
      </c>
      <c r="T24" s="1159"/>
      <c r="U24" s="1160"/>
      <c r="V24" s="1158">
        <v>7</v>
      </c>
      <c r="W24" s="1159"/>
      <c r="X24" s="1160"/>
      <c r="Y24" s="1158">
        <v>8</v>
      </c>
      <c r="Z24" s="1159"/>
      <c r="AA24" s="1160"/>
      <c r="AB24" s="1158">
        <v>9</v>
      </c>
      <c r="AC24" s="1159"/>
      <c r="AD24" s="1160"/>
      <c r="AE24" s="1161" t="s">
        <v>789</v>
      </c>
      <c r="AF24" s="1162"/>
      <c r="AG24" s="865" t="s">
        <v>790</v>
      </c>
      <c r="AH24" s="455" t="s">
        <v>100</v>
      </c>
    </row>
    <row r="25" spans="1:34" ht="12" customHeight="1" x14ac:dyDescent="0.2">
      <c r="A25" s="1163">
        <v>1</v>
      </c>
      <c r="B25" s="1193">
        <f>жеребьевка!G70</f>
        <v>14</v>
      </c>
      <c r="C25" s="456" t="str">
        <f>IF(B25="","",VLOOKUP(B25,'Списки участников'!A:I,3,FALSE))</f>
        <v>ПЕРФИЛЬЕВ Алексей</v>
      </c>
      <c r="D25" s="1167"/>
      <c r="E25" s="1167"/>
      <c r="F25" s="1168"/>
      <c r="G25" s="1171">
        <v>1</v>
      </c>
      <c r="H25" s="1172"/>
      <c r="I25" s="1173"/>
      <c r="J25" s="1171">
        <v>2</v>
      </c>
      <c r="K25" s="1172"/>
      <c r="L25" s="1173"/>
      <c r="M25" s="1171">
        <v>2</v>
      </c>
      <c r="N25" s="1172"/>
      <c r="O25" s="1173"/>
      <c r="P25" s="1171">
        <v>2</v>
      </c>
      <c r="Q25" s="1172"/>
      <c r="R25" s="1173"/>
      <c r="S25" s="1171">
        <v>2</v>
      </c>
      <c r="T25" s="1172"/>
      <c r="U25" s="1173"/>
      <c r="V25" s="1171"/>
      <c r="W25" s="1172"/>
      <c r="X25" s="1173"/>
      <c r="Y25" s="1171"/>
      <c r="Z25" s="1172"/>
      <c r="AA25" s="1173"/>
      <c r="AB25" s="1171"/>
      <c r="AC25" s="1172"/>
      <c r="AD25" s="1173"/>
      <c r="AE25" s="1184">
        <f>IF(B25="","",SUM(G25,J25,M25,P25,S25,V25,Y25,AB25,))</f>
        <v>9</v>
      </c>
      <c r="AF25" s="1185"/>
      <c r="AG25" s="1175"/>
      <c r="AH25" s="1174">
        <v>2</v>
      </c>
    </row>
    <row r="26" spans="1:34" ht="12" customHeight="1" x14ac:dyDescent="0.2">
      <c r="A26" s="1164"/>
      <c r="B26" s="1194"/>
      <c r="C26" s="457" t="str">
        <f>IF(B25="","",VLOOKUP(B25,'Списки участников'!A:I,6,FALSE))</f>
        <v>Барнаул</v>
      </c>
      <c r="D26" s="1169"/>
      <c r="E26" s="1169"/>
      <c r="F26" s="1170"/>
      <c r="G26" s="458">
        <v>1</v>
      </c>
      <c r="H26" s="459" t="str">
        <f>IF(G25="","",":")</f>
        <v>:</v>
      </c>
      <c r="I26" s="460">
        <v>2</v>
      </c>
      <c r="J26" s="458">
        <v>2</v>
      </c>
      <c r="K26" s="459" t="str">
        <f>IF(J25="","",":")</f>
        <v>:</v>
      </c>
      <c r="L26" s="460">
        <v>0</v>
      </c>
      <c r="M26" s="458">
        <v>2</v>
      </c>
      <c r="N26" s="459" t="str">
        <f>IF(M26="","",":")</f>
        <v>:</v>
      </c>
      <c r="O26" s="460">
        <v>1</v>
      </c>
      <c r="P26" s="458">
        <v>2</v>
      </c>
      <c r="Q26" s="459" t="str">
        <f>IF(P26="","",":")</f>
        <v>:</v>
      </c>
      <c r="R26" s="460">
        <v>0</v>
      </c>
      <c r="S26" s="458">
        <v>2</v>
      </c>
      <c r="T26" s="459" t="str">
        <f>IF(S26="","",":")</f>
        <v>:</v>
      </c>
      <c r="U26" s="460">
        <v>0</v>
      </c>
      <c r="V26" s="458"/>
      <c r="W26" s="459"/>
      <c r="X26" s="460"/>
      <c r="Y26" s="458"/>
      <c r="Z26" s="459" t="str">
        <f>IF(Y26="","",":")</f>
        <v/>
      </c>
      <c r="AA26" s="460"/>
      <c r="AB26" s="458"/>
      <c r="AC26" s="459" t="str">
        <f>IF(AB26="","",":")</f>
        <v/>
      </c>
      <c r="AD26" s="460"/>
      <c r="AE26" s="1186"/>
      <c r="AF26" s="1187"/>
      <c r="AG26" s="1176"/>
      <c r="AH26" s="1174"/>
    </row>
    <row r="27" spans="1:34" ht="12" customHeight="1" x14ac:dyDescent="0.2">
      <c r="A27" s="1163">
        <v>2</v>
      </c>
      <c r="B27" s="1193">
        <f>жеребьевка!G72</f>
        <v>20</v>
      </c>
      <c r="C27" s="456" t="str">
        <f>IF(B27="","",VLOOKUP(B27,'Списки участников'!A:I,3,FALSE))</f>
        <v>АВЕРИН Владимир</v>
      </c>
      <c r="D27" s="1177">
        <f>IF(G25="","",IF(G26="W",0,IF(G25=2,1,IF(G25=1,2,IF(G25=0,2)))))</f>
        <v>2</v>
      </c>
      <c r="E27" s="1178"/>
      <c r="F27" s="1179"/>
      <c r="G27" s="1180"/>
      <c r="H27" s="1181"/>
      <c r="I27" s="1182"/>
      <c r="J27" s="1171">
        <v>1</v>
      </c>
      <c r="K27" s="1172"/>
      <c r="L27" s="1173"/>
      <c r="M27" s="1171">
        <v>2</v>
      </c>
      <c r="N27" s="1172"/>
      <c r="O27" s="1173"/>
      <c r="P27" s="1171">
        <v>2</v>
      </c>
      <c r="Q27" s="1172"/>
      <c r="R27" s="1173"/>
      <c r="S27" s="1171">
        <v>2</v>
      </c>
      <c r="T27" s="1172"/>
      <c r="U27" s="1173"/>
      <c r="V27" s="1171"/>
      <c r="W27" s="1172"/>
      <c r="X27" s="1173"/>
      <c r="Y27" s="1171"/>
      <c r="Z27" s="1172"/>
      <c r="AA27" s="1173"/>
      <c r="AB27" s="1171"/>
      <c r="AC27" s="1172"/>
      <c r="AD27" s="1173"/>
      <c r="AE27" s="1184">
        <f>IF(B27="","",SUM(D27,J27,M27,P27,S27,V27,Y27,AB27,))</f>
        <v>9</v>
      </c>
      <c r="AF27" s="1185"/>
      <c r="AG27" s="1175"/>
      <c r="AH27" s="1174">
        <f>IF(B27="","",RANK(AE27,ГР14О))</f>
        <v>1</v>
      </c>
    </row>
    <row r="28" spans="1:34" ht="12" customHeight="1" x14ac:dyDescent="0.2">
      <c r="A28" s="1164"/>
      <c r="B28" s="1194"/>
      <c r="C28" s="457" t="str">
        <f>IF(B27="","",VLOOKUP(B27,'Списки участников'!A:I,6,FALSE))</f>
        <v>Коломна</v>
      </c>
      <c r="D28" s="461">
        <f>IF(G26="","",IF(I26="l","W",I26))</f>
        <v>2</v>
      </c>
      <c r="E28" s="462" t="str">
        <f>IF(G25="","",":")</f>
        <v>:</v>
      </c>
      <c r="F28" s="463">
        <f>IF(I26="","",IF(G26="W","L",G26))</f>
        <v>1</v>
      </c>
      <c r="G28" s="1183"/>
      <c r="H28" s="1169"/>
      <c r="I28" s="1170"/>
      <c r="J28" s="458">
        <v>0</v>
      </c>
      <c r="K28" s="459" t="str">
        <f>IF(J27="","",":")</f>
        <v>:</v>
      </c>
      <c r="L28" s="460">
        <v>2</v>
      </c>
      <c r="M28" s="458">
        <v>2</v>
      </c>
      <c r="N28" s="459" t="str">
        <f>IF(M27="","",":")</f>
        <v>:</v>
      </c>
      <c r="O28" s="460">
        <v>0</v>
      </c>
      <c r="P28" s="458">
        <v>2</v>
      </c>
      <c r="Q28" s="459" t="str">
        <f>IF(P27="","",":")</f>
        <v>:</v>
      </c>
      <c r="R28" s="460">
        <v>0</v>
      </c>
      <c r="S28" s="458">
        <v>2</v>
      </c>
      <c r="T28" s="459" t="str">
        <f>IF(S28="","",":")</f>
        <v>:</v>
      </c>
      <c r="U28" s="460">
        <v>1</v>
      </c>
      <c r="V28" s="458"/>
      <c r="W28" s="459"/>
      <c r="X28" s="460"/>
      <c r="Y28" s="458"/>
      <c r="Z28" s="459" t="str">
        <f>IF(Y28="","",":")</f>
        <v/>
      </c>
      <c r="AA28" s="460"/>
      <c r="AB28" s="458"/>
      <c r="AC28" s="459" t="str">
        <f>IF(AB28="","",":")</f>
        <v/>
      </c>
      <c r="AD28" s="460"/>
      <c r="AE28" s="1186"/>
      <c r="AF28" s="1187"/>
      <c r="AG28" s="1176"/>
      <c r="AH28" s="1174"/>
    </row>
    <row r="29" spans="1:34" ht="12" customHeight="1" x14ac:dyDescent="0.2">
      <c r="A29" s="1163">
        <v>3</v>
      </c>
      <c r="B29" s="1193">
        <f>жеребьевка!G74</f>
        <v>48</v>
      </c>
      <c r="C29" s="456" t="str">
        <f>IF(B29="","",VLOOKUP(B29,'Списки участников'!A:I,3,FALSE))</f>
        <v>ЛОМАКИН Павел</v>
      </c>
      <c r="D29" s="1177">
        <f>IF(J25="","",IF(J26="W",0,IF(J25=2,1,IF(J25=1,2,IF(J25=0,2)))))</f>
        <v>1</v>
      </c>
      <c r="E29" s="1178"/>
      <c r="F29" s="1179"/>
      <c r="G29" s="1171">
        <f>IF(J27="","",IF(J28="W",0,IF(J27=2,1,IF(J27=1,2,IF(J27=0,2)))))</f>
        <v>2</v>
      </c>
      <c r="H29" s="1172"/>
      <c r="I29" s="1173"/>
      <c r="J29" s="1180"/>
      <c r="K29" s="1181"/>
      <c r="L29" s="1182"/>
      <c r="M29" s="1171">
        <v>1</v>
      </c>
      <c r="N29" s="1172"/>
      <c r="O29" s="1173"/>
      <c r="P29" s="1171">
        <v>1</v>
      </c>
      <c r="Q29" s="1172"/>
      <c r="R29" s="1173"/>
      <c r="S29" s="1171">
        <v>2</v>
      </c>
      <c r="T29" s="1172"/>
      <c r="U29" s="1173"/>
      <c r="V29" s="1171"/>
      <c r="W29" s="1172"/>
      <c r="X29" s="1173"/>
      <c r="Y29" s="1171"/>
      <c r="Z29" s="1172"/>
      <c r="AA29" s="1173"/>
      <c r="AB29" s="1171"/>
      <c r="AC29" s="1172"/>
      <c r="AD29" s="1173"/>
      <c r="AE29" s="1184">
        <f>IF(B29="","",SUM(G29,D29,M29,P29,S29,V29,Y29,AB29,))</f>
        <v>7</v>
      </c>
      <c r="AF29" s="1185"/>
      <c r="AG29" s="1188"/>
      <c r="AH29" s="1174">
        <v>3</v>
      </c>
    </row>
    <row r="30" spans="1:34" ht="12" customHeight="1" x14ac:dyDescent="0.2">
      <c r="A30" s="1164"/>
      <c r="B30" s="1195"/>
      <c r="C30" s="457" t="str">
        <f>IF(B29="","",VLOOKUP(B29,'Списки участников'!A:I,6,FALSE))</f>
        <v>Москва</v>
      </c>
      <c r="D30" s="464">
        <f>IF(J26="","",IF(L26="l","W",L26))</f>
        <v>0</v>
      </c>
      <c r="E30" s="459" t="str">
        <f>IF(K26="","",":")</f>
        <v>:</v>
      </c>
      <c r="F30" s="465">
        <f>IF(L26="","",IF(J26="W","L",J26))</f>
        <v>2</v>
      </c>
      <c r="G30" s="464">
        <f>IF(J28="","",IF(L28="l","W",L28))</f>
        <v>2</v>
      </c>
      <c r="H30" s="459" t="str">
        <f>IF(K28="","",":")</f>
        <v>:</v>
      </c>
      <c r="I30" s="465">
        <f>IF(L28="","",IF(J28="W","L",J28))</f>
        <v>0</v>
      </c>
      <c r="J30" s="1183"/>
      <c r="K30" s="1169"/>
      <c r="L30" s="1170"/>
      <c r="M30" s="458">
        <v>1</v>
      </c>
      <c r="N30" s="459" t="str">
        <f>IF(M29="","",":")</f>
        <v>:</v>
      </c>
      <c r="O30" s="460">
        <v>2</v>
      </c>
      <c r="P30" s="458">
        <v>1</v>
      </c>
      <c r="Q30" s="459" t="str">
        <f>IF(P29="","",":")</f>
        <v>:</v>
      </c>
      <c r="R30" s="460">
        <v>2</v>
      </c>
      <c r="S30" s="458">
        <v>2</v>
      </c>
      <c r="T30" s="459" t="str">
        <f>IF(S29="","",":")</f>
        <v>:</v>
      </c>
      <c r="U30" s="460">
        <v>0</v>
      </c>
      <c r="V30" s="458"/>
      <c r="W30" s="459"/>
      <c r="X30" s="460"/>
      <c r="Y30" s="458"/>
      <c r="Z30" s="459" t="str">
        <f>IF(Y30="","",":")</f>
        <v/>
      </c>
      <c r="AA30" s="460"/>
      <c r="AB30" s="458"/>
      <c r="AC30" s="459" t="str">
        <f>IF(AB30="","",":")</f>
        <v/>
      </c>
      <c r="AD30" s="460"/>
      <c r="AE30" s="1186"/>
      <c r="AF30" s="1187"/>
      <c r="AG30" s="1189"/>
      <c r="AH30" s="1174"/>
    </row>
    <row r="31" spans="1:34" ht="12" customHeight="1" x14ac:dyDescent="0.2">
      <c r="A31" s="1163">
        <v>4</v>
      </c>
      <c r="B31" s="1193">
        <f>жеребьевка!G76</f>
        <v>52</v>
      </c>
      <c r="C31" s="456" t="str">
        <f>IF(B31="","",VLOOKUP(B31,'Списки участников'!A:I,3,FALSE))</f>
        <v>СВИРЩЕВСКИЙ Юрий</v>
      </c>
      <c r="D31" s="1171">
        <f>IF(M25="","",IF(M26="W",0,IF(M25=2,1,IF(M25=1,2,IF(M25=0,2)))))</f>
        <v>1</v>
      </c>
      <c r="E31" s="1172"/>
      <c r="F31" s="1173"/>
      <c r="G31" s="1171">
        <f>IF(M27="","",IF(M28="W",0,IF(M27=2,1,IF(M27=1,2,IF(M27=0,2)))))</f>
        <v>1</v>
      </c>
      <c r="H31" s="1172"/>
      <c r="I31" s="1173"/>
      <c r="J31" s="1171">
        <f>IF(M29="","",IF(M30="W",0,IF(M29=2,1,IF(M29=1,2,IF(M29=0,2)))))</f>
        <v>2</v>
      </c>
      <c r="K31" s="1172"/>
      <c r="L31" s="1173"/>
      <c r="M31" s="1181"/>
      <c r="N31" s="1181"/>
      <c r="O31" s="1181"/>
      <c r="P31" s="1171">
        <v>2</v>
      </c>
      <c r="Q31" s="1172"/>
      <c r="R31" s="1173"/>
      <c r="S31" s="1171">
        <v>2</v>
      </c>
      <c r="T31" s="1172"/>
      <c r="U31" s="1173"/>
      <c r="V31" s="1171"/>
      <c r="W31" s="1172"/>
      <c r="X31" s="1173"/>
      <c r="Y31" s="1171"/>
      <c r="Z31" s="1172"/>
      <c r="AA31" s="1173"/>
      <c r="AB31" s="1171"/>
      <c r="AC31" s="1172"/>
      <c r="AD31" s="1173"/>
      <c r="AE31" s="1184">
        <f>IF(B31="","",SUM(G31,J31,D31,P31,S31,V31,Y31,AB31,))</f>
        <v>8</v>
      </c>
      <c r="AF31" s="1185"/>
      <c r="AG31" s="1188"/>
      <c r="AH31" s="1174">
        <v>4</v>
      </c>
    </row>
    <row r="32" spans="1:34" ht="12" customHeight="1" x14ac:dyDescent="0.2">
      <c r="A32" s="1164"/>
      <c r="B32" s="1195"/>
      <c r="C32" s="457" t="str">
        <f>IF(B31="","",VLOOKUP(B31,'Списки участников'!A:I,6,FALSE))</f>
        <v>Москва</v>
      </c>
      <c r="D32" s="464">
        <f>IF(M26="","",IF(O26="l","W",O26))</f>
        <v>1</v>
      </c>
      <c r="E32" s="459" t="str">
        <f>IF(N26="","",":")</f>
        <v>:</v>
      </c>
      <c r="F32" s="465">
        <f>IF(O26="","",IF(M26="W","L",M26))</f>
        <v>2</v>
      </c>
      <c r="G32" s="464">
        <f>IF(M28="","",IF(O28="l","W",O28))</f>
        <v>0</v>
      </c>
      <c r="H32" s="459" t="str">
        <f>IF(N28="","",":")</f>
        <v>:</v>
      </c>
      <c r="I32" s="465">
        <f>IF(O28="","",IF(M28="W","L",M28))</f>
        <v>2</v>
      </c>
      <c r="J32" s="464">
        <f>IF(M30="","",IF(O30="l","W",O30))</f>
        <v>2</v>
      </c>
      <c r="K32" s="459" t="str">
        <f>IF(N30="","",":")</f>
        <v>:</v>
      </c>
      <c r="L32" s="465">
        <f>IF(O30="","",IF(M30="W","L",M30))</f>
        <v>1</v>
      </c>
      <c r="M32" s="1190"/>
      <c r="N32" s="1190"/>
      <c r="O32" s="1190"/>
      <c r="P32" s="458">
        <v>2</v>
      </c>
      <c r="Q32" s="459" t="str">
        <f>IF(P31="","",":")</f>
        <v>:</v>
      </c>
      <c r="R32" s="460">
        <v>0</v>
      </c>
      <c r="S32" s="458">
        <v>2</v>
      </c>
      <c r="T32" s="459" t="str">
        <f>IF(S31="","",":")</f>
        <v>:</v>
      </c>
      <c r="U32" s="460">
        <v>0</v>
      </c>
      <c r="V32" s="458"/>
      <c r="W32" s="459"/>
      <c r="X32" s="460"/>
      <c r="Y32" s="458"/>
      <c r="Z32" s="459" t="str">
        <f>IF(Y32="","",":")</f>
        <v/>
      </c>
      <c r="AA32" s="460"/>
      <c r="AB32" s="458"/>
      <c r="AC32" s="459" t="str">
        <f>IF(AB32="","",":")</f>
        <v/>
      </c>
      <c r="AD32" s="460"/>
      <c r="AE32" s="1186"/>
      <c r="AF32" s="1187"/>
      <c r="AG32" s="1189"/>
      <c r="AH32" s="1174"/>
    </row>
    <row r="33" spans="1:34" ht="12" customHeight="1" x14ac:dyDescent="0.2">
      <c r="A33" s="1163">
        <v>5</v>
      </c>
      <c r="B33" s="1196">
        <f>жеребьевка!G78</f>
        <v>78</v>
      </c>
      <c r="C33" s="456" t="str">
        <f>IF(B33="","",VLOOKUP(B33,'Списки участников'!A:I,3,FALSE))</f>
        <v>АМУРСКИЙ Василий</v>
      </c>
      <c r="D33" s="1171">
        <f>IF(P25="","",IF(P26="W",0,IF(P25=2,1,IF(P25=1,2,IF(P25=0,2)))))</f>
        <v>1</v>
      </c>
      <c r="E33" s="1172"/>
      <c r="F33" s="1173"/>
      <c r="G33" s="1171">
        <f>IF(P27="","",IF(P28="W",0,IF(P27=2,1,IF(P27=1,2,IF(P27=0,2)))))</f>
        <v>1</v>
      </c>
      <c r="H33" s="1172"/>
      <c r="I33" s="1173"/>
      <c r="J33" s="1171">
        <f>IF(P29="","",IF(P30="W",0,IF(P29=2,1,IF(P29=1,2,IF(P29=0,2)))))</f>
        <v>2</v>
      </c>
      <c r="K33" s="1172"/>
      <c r="L33" s="1173"/>
      <c r="M33" s="1171">
        <f>IF(P31="","",IF(P32="W",0,IF(P31=2,1,IF(P31=1,2,IF(P31=0,2)))))</f>
        <v>1</v>
      </c>
      <c r="N33" s="1172"/>
      <c r="O33" s="1173"/>
      <c r="P33" s="1180"/>
      <c r="Q33" s="1181"/>
      <c r="R33" s="1182"/>
      <c r="S33" s="1171">
        <v>1</v>
      </c>
      <c r="T33" s="1172"/>
      <c r="U33" s="1173"/>
      <c r="V33" s="1171"/>
      <c r="W33" s="1172"/>
      <c r="X33" s="1173"/>
      <c r="Y33" s="1171"/>
      <c r="Z33" s="1172"/>
      <c r="AA33" s="1173"/>
      <c r="AB33" s="1171"/>
      <c r="AC33" s="1172"/>
      <c r="AD33" s="1173"/>
      <c r="AE33" s="1184">
        <f>IF(B33="","",SUM(G33,J33,M33,D33,S33,V33,Y33,AB33,))</f>
        <v>6</v>
      </c>
      <c r="AF33" s="1185"/>
      <c r="AG33" s="1188"/>
      <c r="AH33" s="1174">
        <v>6</v>
      </c>
    </row>
    <row r="34" spans="1:34" ht="12" customHeight="1" x14ac:dyDescent="0.2">
      <c r="A34" s="1164"/>
      <c r="B34" s="1197"/>
      <c r="C34" s="457" t="str">
        <f>IF(B33="","",VLOOKUP(B33,'Списки участников'!A:I,6,FALSE))</f>
        <v>Москва</v>
      </c>
      <c r="D34" s="464">
        <f>IF(P26="","",IF(R26="l","W",R26))</f>
        <v>0</v>
      </c>
      <c r="E34" s="459" t="str">
        <f>IF(Q26="","",":")</f>
        <v>:</v>
      </c>
      <c r="F34" s="465">
        <f>IF(R26="","",IF(P26="W","L",P26))</f>
        <v>2</v>
      </c>
      <c r="G34" s="464">
        <f>IF(P28="","",IF(R28="l","W",R28))</f>
        <v>0</v>
      </c>
      <c r="H34" s="459" t="str">
        <f>IF(Q28="","",":")</f>
        <v>:</v>
      </c>
      <c r="I34" s="465">
        <f>IF(R28="","",IF(P28="W","L",P28))</f>
        <v>2</v>
      </c>
      <c r="J34" s="464">
        <f>IF(P30="","",IF(R30="l","W",R30))</f>
        <v>2</v>
      </c>
      <c r="K34" s="459" t="str">
        <f>IF(Q30="","",":")</f>
        <v>:</v>
      </c>
      <c r="L34" s="465">
        <f>IF(R30="","",IF(P30="W","L",P30))</f>
        <v>1</v>
      </c>
      <c r="M34" s="464">
        <f>IF(P32="","",IF(R32="l","W",R32))</f>
        <v>0</v>
      </c>
      <c r="N34" s="459" t="str">
        <f>IF(Q32="","",":")</f>
        <v>:</v>
      </c>
      <c r="O34" s="465">
        <f>IF(R32="","",IF(P32="W","L",P32))</f>
        <v>2</v>
      </c>
      <c r="P34" s="1183"/>
      <c r="Q34" s="1169"/>
      <c r="R34" s="1170"/>
      <c r="S34" s="458">
        <v>0</v>
      </c>
      <c r="T34" s="459" t="str">
        <f>IF(S33="","",":")</f>
        <v>:</v>
      </c>
      <c r="U34" s="460">
        <v>2</v>
      </c>
      <c r="V34" s="458"/>
      <c r="W34" s="459"/>
      <c r="X34" s="460"/>
      <c r="Y34" s="458"/>
      <c r="Z34" s="459" t="str">
        <f>IF(Y33="","",":")</f>
        <v/>
      </c>
      <c r="AA34" s="460"/>
      <c r="AB34" s="458"/>
      <c r="AC34" s="459" t="str">
        <f>IF(AB34="","",":")</f>
        <v/>
      </c>
      <c r="AD34" s="460"/>
      <c r="AE34" s="1186"/>
      <c r="AF34" s="1187"/>
      <c r="AG34" s="1189"/>
      <c r="AH34" s="1174"/>
    </row>
    <row r="35" spans="1:34" ht="12" customHeight="1" x14ac:dyDescent="0.2">
      <c r="A35" s="1163">
        <v>6</v>
      </c>
      <c r="B35" s="1196">
        <f>жеребьевка!G80</f>
        <v>87</v>
      </c>
      <c r="C35" s="456" t="str">
        <f>IF(B35="","",VLOOKUP(B35,'Списки участников'!A:I,3,FALSE))</f>
        <v>РОСТОШИНСКИЙ Иван</v>
      </c>
      <c r="D35" s="1171">
        <f>IF(S25="","",IF(S26="W",0,IF(S25=2,1,IF(S25=1,2,IF(S25=0,2)))))</f>
        <v>1</v>
      </c>
      <c r="E35" s="1172"/>
      <c r="F35" s="1173"/>
      <c r="G35" s="1171">
        <f>IF(S27="","",IF(S28="W",0,IF(S27=2,1,IF(S27=1,2,IF(S27=0,2)))))</f>
        <v>1</v>
      </c>
      <c r="H35" s="1172"/>
      <c r="I35" s="1173"/>
      <c r="J35" s="1171">
        <f>IF(S29="","",IF(S30="W",0,IF(S29=2,1,IF(S29=1,2,IF(S29=0,2)))))</f>
        <v>1</v>
      </c>
      <c r="K35" s="1172"/>
      <c r="L35" s="1173"/>
      <c r="M35" s="1171">
        <f>IF(S31="","",IF(S32="W",0,IF(S31=2,1,IF(S31=1,2,IF(S31=0,2)))))</f>
        <v>1</v>
      </c>
      <c r="N35" s="1172"/>
      <c r="O35" s="1173"/>
      <c r="P35" s="1171">
        <f>IF(S33="","",IF(S34="W",0,IF(S33=2,1,IF(S33=1,2,IF(S33=0,2)))))</f>
        <v>2</v>
      </c>
      <c r="Q35" s="1172"/>
      <c r="R35" s="1173"/>
      <c r="S35" s="1180"/>
      <c r="T35" s="1181"/>
      <c r="U35" s="1182"/>
      <c r="V35" s="1171"/>
      <c r="W35" s="1172"/>
      <c r="X35" s="1173"/>
      <c r="Y35" s="1171"/>
      <c r="Z35" s="1172"/>
      <c r="AA35" s="1173"/>
      <c r="AB35" s="1171"/>
      <c r="AC35" s="1172"/>
      <c r="AD35" s="1173"/>
      <c r="AE35" s="1184">
        <f>IF(B35="","",SUM(G35,J35,M35,P35,D35,V35,Y35,AB35,))</f>
        <v>6</v>
      </c>
      <c r="AF35" s="1185"/>
      <c r="AG35" s="1188"/>
      <c r="AH35" s="1174">
        <v>5</v>
      </c>
    </row>
    <row r="36" spans="1:34" ht="12" customHeight="1" x14ac:dyDescent="0.2">
      <c r="A36" s="1164"/>
      <c r="B36" s="1197"/>
      <c r="C36" s="457" t="str">
        <f>IF(B35="","",VLOOKUP(B35,'Списки участников'!A:I,6,FALSE))</f>
        <v>Москва</v>
      </c>
      <c r="D36" s="464">
        <f>IF(S26="","",IF(U26="l","W",U26))</f>
        <v>0</v>
      </c>
      <c r="E36" s="459" t="str">
        <f>IF(T26="","",":")</f>
        <v>:</v>
      </c>
      <c r="F36" s="465">
        <f>IF(U26="","",IF(S26="W","L",S26))</f>
        <v>2</v>
      </c>
      <c r="G36" s="464">
        <f>IF(S28="","",IF(U28="l","W",U28))</f>
        <v>1</v>
      </c>
      <c r="H36" s="459" t="str">
        <f>IF(Q28="","",":")</f>
        <v>:</v>
      </c>
      <c r="I36" s="465">
        <f>IF(U28="","",IF(S28="W","L",S28))</f>
        <v>2</v>
      </c>
      <c r="J36" s="464">
        <f>IF(S30="","",IF(U30="l","W",U30))</f>
        <v>0</v>
      </c>
      <c r="K36" s="459" t="str">
        <f>IF(T30="","",":")</f>
        <v>:</v>
      </c>
      <c r="L36" s="465">
        <f>IF(U30="","",IF(S30="W","L",S30))</f>
        <v>2</v>
      </c>
      <c r="M36" s="464">
        <f>IF(S32="","",IF(U32="l","W",U32))</f>
        <v>0</v>
      </c>
      <c r="N36" s="459" t="str">
        <f>IF(T32="","",":")</f>
        <v>:</v>
      </c>
      <c r="O36" s="465">
        <f>IF(U32="","",IF(S32="W","L",S32))</f>
        <v>2</v>
      </c>
      <c r="P36" s="464">
        <f>IF(S34="","",IF(U34="l","W",U34))</f>
        <v>2</v>
      </c>
      <c r="Q36" s="459" t="str">
        <f>IF(T34="","",":")</f>
        <v>:</v>
      </c>
      <c r="R36" s="465">
        <f>IF(U34="","",IF(S34="W","L",S34))</f>
        <v>0</v>
      </c>
      <c r="S36" s="1183"/>
      <c r="T36" s="1169"/>
      <c r="U36" s="1170"/>
      <c r="V36" s="458"/>
      <c r="W36" s="459"/>
      <c r="X36" s="460"/>
      <c r="Y36" s="458"/>
      <c r="Z36" s="459" t="str">
        <f>IF(Y35="","",":")</f>
        <v/>
      </c>
      <c r="AA36" s="460"/>
      <c r="AB36" s="458"/>
      <c r="AC36" s="459" t="str">
        <f>IF(AB35="","",":")</f>
        <v/>
      </c>
      <c r="AD36" s="460"/>
      <c r="AE36" s="1186"/>
      <c r="AF36" s="1187"/>
      <c r="AG36" s="1189"/>
      <c r="AH36" s="1174"/>
    </row>
    <row r="37" spans="1:34" ht="12" customHeight="1" x14ac:dyDescent="0.2">
      <c r="A37" s="1163">
        <v>7</v>
      </c>
      <c r="B37" s="1196"/>
      <c r="C37" s="456" t="str">
        <f>IF(B37="","",VLOOKUP(B37,'Списки участников'!A:I,3,FALSE))</f>
        <v/>
      </c>
      <c r="D37" s="1171" t="str">
        <f>IF(V25="","",IF(V26="W",0,IF(V25=2,1,IF(V25=1,2,IF(V25=0,2)))))</f>
        <v/>
      </c>
      <c r="E37" s="1172"/>
      <c r="F37" s="1173"/>
      <c r="G37" s="1171" t="str">
        <f>IF(V27="","",IF(V28="W",0,IF(V27=2,1,IF(V27=1,2,IF(V27=0,2)))))</f>
        <v/>
      </c>
      <c r="H37" s="1172"/>
      <c r="I37" s="1173"/>
      <c r="J37" s="1171" t="str">
        <f>IF(V29="","",IF(V30="W",0,IF(V29=2,1,IF(V29=1,2,IF(V29=0,2)))))</f>
        <v/>
      </c>
      <c r="K37" s="1172"/>
      <c r="L37" s="1173"/>
      <c r="M37" s="1171" t="str">
        <f>IF(V31="","",IF(V32="W",0,IF(V31=2,1,IF(V31=1,2,IF(V31=0,2)))))</f>
        <v/>
      </c>
      <c r="N37" s="1172"/>
      <c r="O37" s="1173"/>
      <c r="P37" s="1171" t="str">
        <f>IF(V33="","",IF(V34="W",0,IF(V33=2,1,IF(V33=1,2,IF(V33=0,2)))))</f>
        <v/>
      </c>
      <c r="Q37" s="1172"/>
      <c r="R37" s="1173"/>
      <c r="S37" s="1171" t="str">
        <f>IF(V35="","",IF(V36="W",0,IF(V35=2,1,IF(V35=1,2,IF(V35=0,2)))))</f>
        <v/>
      </c>
      <c r="T37" s="1172"/>
      <c r="U37" s="1173"/>
      <c r="V37" s="1191"/>
      <c r="W37" s="1167"/>
      <c r="X37" s="1168"/>
      <c r="Y37" s="1171"/>
      <c r="Z37" s="1172"/>
      <c r="AA37" s="1173"/>
      <c r="AB37" s="1171"/>
      <c r="AC37" s="1172"/>
      <c r="AD37" s="1173"/>
      <c r="AE37" s="1184" t="str">
        <f>IF(B37="","",SUM(G37,J37,M37,P37,S37,D37,Y37,AB37,))</f>
        <v/>
      </c>
      <c r="AF37" s="1185"/>
      <c r="AG37" s="1188"/>
      <c r="AH37" s="1174"/>
    </row>
    <row r="38" spans="1:34" ht="12" customHeight="1" x14ac:dyDescent="0.2">
      <c r="A38" s="1164"/>
      <c r="B38" s="1197"/>
      <c r="C38" s="457" t="str">
        <f>IF(B37="","",VLOOKUP(B37,'Списки участников'!A:I,6,FALSE))</f>
        <v/>
      </c>
      <c r="D38" s="464" t="str">
        <f>IF(V26="","",IF(X26="l","W",X26))</f>
        <v/>
      </c>
      <c r="E38" s="459" t="str">
        <f>IF(W26="","",":")</f>
        <v/>
      </c>
      <c r="F38" s="465" t="str">
        <f>IF(X26="","",IF(V26="W","L",V26))</f>
        <v/>
      </c>
      <c r="G38" s="464" t="str">
        <f>IF(V28="","",IF(X28="l","W",X28))</f>
        <v/>
      </c>
      <c r="H38" s="459" t="str">
        <f>IF(W28="","",":")</f>
        <v/>
      </c>
      <c r="I38" s="465" t="str">
        <f>IF(X28="","",IF(V28="W","L",V28))</f>
        <v/>
      </c>
      <c r="J38" s="464" t="str">
        <f>IF(V30="","",IF(X30="l","W",X30))</f>
        <v/>
      </c>
      <c r="K38" s="459" t="str">
        <f>IF(W30="","",":")</f>
        <v/>
      </c>
      <c r="L38" s="465" t="str">
        <f>IF(X30="","",IF(V30="W","L",V30))</f>
        <v/>
      </c>
      <c r="M38" s="464" t="str">
        <f>IF(V32="","",IF(X32="l","W",X32))</f>
        <v/>
      </c>
      <c r="N38" s="459" t="str">
        <f>IF(W32="","",":")</f>
        <v/>
      </c>
      <c r="O38" s="465" t="str">
        <f>IF(X32="","",IF(V32="W","L",V32))</f>
        <v/>
      </c>
      <c r="P38" s="464" t="str">
        <f>IF(V34="","",IF(X34="l","W",X34))</f>
        <v/>
      </c>
      <c r="Q38" s="459" t="str">
        <f>IF(W34="","",":")</f>
        <v/>
      </c>
      <c r="R38" s="465" t="str">
        <f>IF(X34="","",IF(V34="W","L",V34))</f>
        <v/>
      </c>
      <c r="S38" s="464" t="str">
        <f>IF(V36="","",IF(X36="l","W",X36))</f>
        <v/>
      </c>
      <c r="T38" s="459" t="str">
        <f>IF(W36="","",":")</f>
        <v/>
      </c>
      <c r="U38" s="465" t="str">
        <f>IF(X36="","",IF(V36="W","L",V36))</f>
        <v/>
      </c>
      <c r="V38" s="1183"/>
      <c r="W38" s="1169"/>
      <c r="X38" s="1170"/>
      <c r="Y38" s="458"/>
      <c r="Z38" s="459" t="str">
        <f>IF(Y37="","",":")</f>
        <v/>
      </c>
      <c r="AA38" s="460"/>
      <c r="AB38" s="458"/>
      <c r="AC38" s="459" t="str">
        <f>IF(AB37="","",":")</f>
        <v/>
      </c>
      <c r="AD38" s="460"/>
      <c r="AE38" s="1186"/>
      <c r="AF38" s="1187"/>
      <c r="AG38" s="1189"/>
      <c r="AH38" s="1174"/>
    </row>
    <row r="39" spans="1:34" ht="12" customHeight="1" x14ac:dyDescent="0.2">
      <c r="A39" s="1163">
        <v>8</v>
      </c>
      <c r="B39" s="1196"/>
      <c r="C39" s="456" t="str">
        <f>IF(B39="","",VLOOKUP(B39,'Списки участников'!A:I,3,FALSE))</f>
        <v/>
      </c>
      <c r="D39" s="1171" t="str">
        <f>IF(Y25="","",IF(Y26="W",0,IF(Y25=2,1,IF(Y25=1,2,IF(Y25=0,2)))))</f>
        <v/>
      </c>
      <c r="E39" s="1172"/>
      <c r="F39" s="1173"/>
      <c r="G39" s="1171" t="str">
        <f>IF(Y27="","",IF(Y28="W",0,IF(Y27=2,1,IF(Y27=1,2,IF(Y27=0,2)))))</f>
        <v/>
      </c>
      <c r="H39" s="1172"/>
      <c r="I39" s="1173"/>
      <c r="J39" s="1171" t="str">
        <f>IF(Y29="","",IF(Y30="W",0,IF(Y29=2,1,IF(Y29=1,2,IF(Y29=0,2)))))</f>
        <v/>
      </c>
      <c r="K39" s="1172"/>
      <c r="L39" s="1173"/>
      <c r="M39" s="1171" t="str">
        <f>IF(Y31="","",IF(Y32="W",0,IF(Y31=2,1,IF(Y31=1,2,IF(Y31=0,2)))))</f>
        <v/>
      </c>
      <c r="N39" s="1172"/>
      <c r="O39" s="1173"/>
      <c r="P39" s="1171" t="str">
        <f>IF(Y33="","",IF(Y34="W",0,IF(Y33=2,1,IF(Y33=1,2,IF(Y33=0,2)))))</f>
        <v/>
      </c>
      <c r="Q39" s="1172"/>
      <c r="R39" s="1173"/>
      <c r="S39" s="1171" t="str">
        <f>IF(Y35="","",IF(Y36="W",0,IF(Y35=2,1,IF(Y35=1,2,IF(Y35=0,2)))))</f>
        <v/>
      </c>
      <c r="T39" s="1172"/>
      <c r="U39" s="1173"/>
      <c r="V39" s="1171" t="str">
        <f>IF(Y37="","",IF(Y38="W",0,IF(Y37=2,1,IF(Y37=1,2,IF(Y37=0,2)))))</f>
        <v/>
      </c>
      <c r="W39" s="1172"/>
      <c r="X39" s="1173"/>
      <c r="Y39" s="1180"/>
      <c r="Z39" s="1181"/>
      <c r="AA39" s="1182"/>
      <c r="AB39" s="1171"/>
      <c r="AC39" s="1172"/>
      <c r="AD39" s="1173"/>
      <c r="AE39" s="1184" t="str">
        <f>IF(B39="","",SUM(G39,J39,M39,P39,S39,V39,D39,AB39,))</f>
        <v/>
      </c>
      <c r="AF39" s="1185"/>
      <c r="AG39" s="1188"/>
      <c r="AH39" s="1174" t="str">
        <f>IF(B39="","",RANK(AE39,ГР14О))</f>
        <v/>
      </c>
    </row>
    <row r="40" spans="1:34" ht="12" customHeight="1" x14ac:dyDescent="0.2">
      <c r="A40" s="1164"/>
      <c r="B40" s="1197"/>
      <c r="C40" s="457" t="str">
        <f>IF(B39="","",VLOOKUP(B39,'Списки участников'!A:I,6,FALSE))</f>
        <v/>
      </c>
      <c r="D40" s="464" t="str">
        <f>IF(Y26="","",IF(AA26="l","W",AA26))</f>
        <v/>
      </c>
      <c r="E40" s="459" t="str">
        <f>IF(Z26="","",":")</f>
        <v/>
      </c>
      <c r="F40" s="465" t="str">
        <f>IF(AA26="","",IF(Y26="W","L",Y26))</f>
        <v/>
      </c>
      <c r="G40" s="464" t="str">
        <f>IF(Y28="","",IF(AA28="l","W",AA28))</f>
        <v/>
      </c>
      <c r="H40" s="459" t="str">
        <f>IF(Z28="","",":")</f>
        <v/>
      </c>
      <c r="I40" s="465" t="str">
        <f>IF(AA28="","",IF(Y28="W","L",Y28))</f>
        <v/>
      </c>
      <c r="J40" s="464" t="str">
        <f>IF(Y30="","",IF(AA30="l","W",AA30))</f>
        <v/>
      </c>
      <c r="K40" s="459" t="str">
        <f>IF(Z30="","",":")</f>
        <v/>
      </c>
      <c r="L40" s="465" t="str">
        <f>IF(AA30="","",IF(Y30="W","L",Y30))</f>
        <v/>
      </c>
      <c r="M40" s="464" t="str">
        <f>IF(Y32="","",IF(AA32="l","W",AA32))</f>
        <v/>
      </c>
      <c r="N40" s="459" t="str">
        <f>IF(Z32="","",":")</f>
        <v/>
      </c>
      <c r="O40" s="465" t="str">
        <f>IF(AA32="","",IF(Y32="W","L",Y32))</f>
        <v/>
      </c>
      <c r="P40" s="464" t="str">
        <f>IF(Y34="","",IF(AA34="l","W",AA34))</f>
        <v/>
      </c>
      <c r="Q40" s="459" t="str">
        <f>IF(Z34="","",":")</f>
        <v/>
      </c>
      <c r="R40" s="465" t="str">
        <f>IF(AA34="","",IF(Y34="W","L",Y34))</f>
        <v/>
      </c>
      <c r="S40" s="464" t="str">
        <f>IF(Y36="","",IF(AA36="l","W",AA36))</f>
        <v/>
      </c>
      <c r="T40" s="459" t="str">
        <f>IF(Z36="","",":")</f>
        <v/>
      </c>
      <c r="U40" s="465" t="str">
        <f>IF(AA36="","",IF(Y36="W","L",Y36))</f>
        <v/>
      </c>
      <c r="V40" s="464" t="str">
        <f>IF(Y38="","",IF(AA38="l","W",AA38))</f>
        <v/>
      </c>
      <c r="W40" s="459" t="str">
        <f>IF(Z38="","",":")</f>
        <v/>
      </c>
      <c r="X40" s="465" t="str">
        <f>IF(AA38="","",IF(Y38="W","L",Y38))</f>
        <v/>
      </c>
      <c r="Y40" s="1183"/>
      <c r="Z40" s="1169"/>
      <c r="AA40" s="1170"/>
      <c r="AB40" s="458"/>
      <c r="AC40" s="459" t="str">
        <f>IF(AB39="","",":")</f>
        <v/>
      </c>
      <c r="AD40" s="460"/>
      <c r="AE40" s="1186"/>
      <c r="AF40" s="1187"/>
      <c r="AG40" s="1189"/>
      <c r="AH40" s="1174"/>
    </row>
    <row r="41" spans="1:34" ht="12" hidden="1" customHeight="1" outlineLevel="1" x14ac:dyDescent="0.2">
      <c r="A41" s="1163">
        <v>9</v>
      </c>
      <c r="B41" s="1165">
        <f>жеребьевка!G86</f>
        <v>0</v>
      </c>
      <c r="C41" s="456" t="e">
        <f>IF(B41="","",VLOOKUP(B41,'Списки участников'!A:I,3,FALSE))</f>
        <v>#N/A</v>
      </c>
      <c r="D41" s="1171" t="str">
        <f>IF(AB25="","",IF(AB26="W",0,IF(AB25=2,1,IF(AB25=1,2,IF(AB25=0,2)))))</f>
        <v/>
      </c>
      <c r="E41" s="1172"/>
      <c r="F41" s="1173"/>
      <c r="G41" s="1171" t="str">
        <f>IF(AB27="","",IF(AB28="W",0,IF(AB27=2,1,IF(AB27=1,2,IF(AB27=0,2)))))</f>
        <v/>
      </c>
      <c r="H41" s="1172"/>
      <c r="I41" s="1173"/>
      <c r="J41" s="1171" t="str">
        <f>IF(AB29="","",IF(AB30="W",0,IF(AB29=2,1,IF(AB29=1,2,IF(AB29=0,2)))))</f>
        <v/>
      </c>
      <c r="K41" s="1172"/>
      <c r="L41" s="1173"/>
      <c r="M41" s="1171" t="str">
        <f>IF(AB31="","",IF(AB32="W",0,IF(AB31=2,1,IF(AB31=1,2,IF(AB31=0,2)))))</f>
        <v/>
      </c>
      <c r="N41" s="1172"/>
      <c r="O41" s="1173"/>
      <c r="P41" s="1171" t="str">
        <f>IF(AB33="","",IF(AB34="W",0,IF(AB33=2,1,IF(AB33=1,2,IF(AB33=0,2)))))</f>
        <v/>
      </c>
      <c r="Q41" s="1172"/>
      <c r="R41" s="1173"/>
      <c r="S41" s="1171" t="str">
        <f>IF(AB35="","",IF(AB36="W",0,IF(AB35=2,1,IF(AB35=1,2,IF(AB35=0,2)))))</f>
        <v/>
      </c>
      <c r="T41" s="1172"/>
      <c r="U41" s="1173"/>
      <c r="V41" s="1171" t="str">
        <f>IF(AB37="","",IF(AB38="W",0,IF(AB37=2,1,IF(AB37=1,2,IF(AB37=0,2)))))</f>
        <v/>
      </c>
      <c r="W41" s="1172"/>
      <c r="X41" s="1173"/>
      <c r="Y41" s="1171" t="str">
        <f>IF(AB39="","",IF(AB40="W",0,IF(AB39=2,1,IF(AB39=1,2,IF(AB39=0,2)))))</f>
        <v/>
      </c>
      <c r="Z41" s="1172"/>
      <c r="AA41" s="1173"/>
      <c r="AB41" s="1180"/>
      <c r="AC41" s="1181"/>
      <c r="AD41" s="1182"/>
      <c r="AE41" s="1184">
        <f>IF(B41="","",SUM(G41,J41,M41,P41,S41,V41,Y41,D41,))</f>
        <v>0</v>
      </c>
      <c r="AF41" s="1185"/>
      <c r="AG41" s="1188"/>
      <c r="AH41" s="1174">
        <f>IF(B41="","",RANK(AE41,ГР14О))</f>
        <v>7</v>
      </c>
    </row>
    <row r="42" spans="1:34" ht="12" hidden="1" customHeight="1" outlineLevel="1" x14ac:dyDescent="0.2">
      <c r="A42" s="1164"/>
      <c r="B42" s="1166"/>
      <c r="C42" s="457" t="e">
        <f>IF(B41="","",VLOOKUP(B41,'Списки участников'!A:I,6,FALSE))</f>
        <v>#N/A</v>
      </c>
      <c r="D42" s="464" t="str">
        <f>IF(AB26="","",IF(AD26="l","W",AD26))</f>
        <v/>
      </c>
      <c r="E42" s="459" t="str">
        <f>IF(AC26="","",":")</f>
        <v/>
      </c>
      <c r="F42" s="465" t="str">
        <f>IF(AD26="","",IF(AB26="W","L",AB26))</f>
        <v/>
      </c>
      <c r="G42" s="464" t="str">
        <f>IF(AB28="","",IF(AD28="l","W",AD28))</f>
        <v/>
      </c>
      <c r="H42" s="459" t="str">
        <f>IF(AC28="","",":")</f>
        <v/>
      </c>
      <c r="I42" s="465" t="str">
        <f>IF(AD28="","",IF(AB28="W","L",AB28))</f>
        <v/>
      </c>
      <c r="J42" s="464" t="str">
        <f>IF(AB30="","",IF(AD30="l","W",AD30))</f>
        <v/>
      </c>
      <c r="K42" s="459" t="str">
        <f>IF(AC30="","",":")</f>
        <v/>
      </c>
      <c r="L42" s="465" t="str">
        <f>IF(AD30="","",IF(AB30="W","L",AB30))</f>
        <v/>
      </c>
      <c r="M42" s="464" t="str">
        <f>IF(AB32="","",IF(AD32="l","W",AD32))</f>
        <v/>
      </c>
      <c r="N42" s="459" t="str">
        <f>IF(AC32="","",":")</f>
        <v/>
      </c>
      <c r="O42" s="465" t="str">
        <f>IF(AD32="","",IF(AB32="W","L",AB32))</f>
        <v/>
      </c>
      <c r="P42" s="464" t="str">
        <f>IF(AB34="","",IF(AD34="l","W",AD34))</f>
        <v/>
      </c>
      <c r="Q42" s="459" t="str">
        <f>IF(AC34="","",":")</f>
        <v/>
      </c>
      <c r="R42" s="465" t="str">
        <f>IF(AD34="","",IF(AB34="W","L",AB34))</f>
        <v/>
      </c>
      <c r="S42" s="464" t="str">
        <f>IF(AB36="","",IF(AD36="l","W",AD36))</f>
        <v/>
      </c>
      <c r="T42" s="459" t="str">
        <f>IF(AC36="","",":")</f>
        <v/>
      </c>
      <c r="U42" s="465" t="str">
        <f>IF(AD36="","",IF(AB36="W","L",AB36))</f>
        <v/>
      </c>
      <c r="V42" s="464" t="str">
        <f>IF(AB38="","",IF(AD38="l","W",AD38))</f>
        <v/>
      </c>
      <c r="W42" s="459" t="str">
        <f>IF(AC38="","",":")</f>
        <v/>
      </c>
      <c r="X42" s="465" t="str">
        <f>IF(AD38="","",IF(AB38="W","L",AB38))</f>
        <v/>
      </c>
      <c r="Y42" s="464" t="str">
        <f>IF(AB40="","",IF(AD40="l","W",AD40))</f>
        <v/>
      </c>
      <c r="Z42" s="459" t="str">
        <f>IF(AC40="","",":")</f>
        <v/>
      </c>
      <c r="AA42" s="465" t="str">
        <f>IF(AD40="","",IF(AB40="W","L",AB40))</f>
        <v/>
      </c>
      <c r="AB42" s="1183"/>
      <c r="AC42" s="1169"/>
      <c r="AD42" s="1170"/>
      <c r="AE42" s="1186"/>
      <c r="AF42" s="1187"/>
      <c r="AG42" s="1189"/>
      <c r="AH42" s="1174"/>
    </row>
    <row r="43" spans="1:34" ht="12" customHeight="1" collapsed="1" x14ac:dyDescent="0.25">
      <c r="A43" s="135"/>
      <c r="B43" s="135"/>
      <c r="C43" s="954" t="s">
        <v>765</v>
      </c>
      <c r="D43" s="135"/>
      <c r="E43" s="135"/>
      <c r="F43" s="135"/>
      <c r="G43" s="1192" t="s">
        <v>2594</v>
      </c>
      <c r="H43" s="1192"/>
      <c r="I43" s="1192"/>
      <c r="J43" s="1192"/>
      <c r="K43" s="1192"/>
      <c r="L43" s="1192"/>
      <c r="M43" s="1192"/>
      <c r="N43" s="1192"/>
      <c r="O43" s="1192"/>
      <c r="P43" s="1192"/>
      <c r="Q43" s="1192"/>
      <c r="R43" s="1192"/>
      <c r="S43" s="1192"/>
      <c r="T43" s="1192"/>
      <c r="U43" s="1192"/>
      <c r="V43" s="1192"/>
      <c r="W43" s="1192"/>
      <c r="X43" s="1192"/>
      <c r="Y43" s="1192"/>
      <c r="Z43" s="1192"/>
      <c r="AA43" s="1192"/>
      <c r="AB43" s="135"/>
      <c r="AC43" s="135"/>
      <c r="AD43" s="135"/>
      <c r="AE43" s="135"/>
      <c r="AF43" s="135"/>
      <c r="AG43" s="135"/>
      <c r="AH43" s="135"/>
    </row>
    <row r="44" spans="1:34" ht="12" customHeight="1" x14ac:dyDescent="0.2">
      <c r="A44" s="136" t="s">
        <v>3</v>
      </c>
      <c r="B44" s="864"/>
      <c r="C44" s="138" t="s">
        <v>788</v>
      </c>
      <c r="D44" s="1158">
        <v>1</v>
      </c>
      <c r="E44" s="1159"/>
      <c r="F44" s="1160"/>
      <c r="G44" s="1158">
        <v>2</v>
      </c>
      <c r="H44" s="1159"/>
      <c r="I44" s="1160"/>
      <c r="J44" s="1158">
        <v>3</v>
      </c>
      <c r="K44" s="1159"/>
      <c r="L44" s="1160"/>
      <c r="M44" s="1158">
        <v>4</v>
      </c>
      <c r="N44" s="1159"/>
      <c r="O44" s="1160"/>
      <c r="P44" s="1158">
        <v>5</v>
      </c>
      <c r="Q44" s="1159"/>
      <c r="R44" s="1160"/>
      <c r="S44" s="1158">
        <v>6</v>
      </c>
      <c r="T44" s="1159"/>
      <c r="U44" s="1160"/>
      <c r="V44" s="1158">
        <v>7</v>
      </c>
      <c r="W44" s="1159"/>
      <c r="X44" s="1160"/>
      <c r="Y44" s="1158">
        <v>8</v>
      </c>
      <c r="Z44" s="1159"/>
      <c r="AA44" s="1160"/>
      <c r="AB44" s="1158">
        <v>9</v>
      </c>
      <c r="AC44" s="1159"/>
      <c r="AD44" s="1160"/>
      <c r="AE44" s="1161" t="s">
        <v>789</v>
      </c>
      <c r="AF44" s="1162"/>
      <c r="AG44" s="865" t="s">
        <v>790</v>
      </c>
      <c r="AH44" s="455" t="s">
        <v>100</v>
      </c>
    </row>
    <row r="45" spans="1:34" ht="12" customHeight="1" x14ac:dyDescent="0.2">
      <c r="A45" s="1163">
        <v>1</v>
      </c>
      <c r="B45" s="1193">
        <f>жеребьевка!L70</f>
        <v>15</v>
      </c>
      <c r="C45" s="456" t="str">
        <f>IF(B45="","",VLOOKUP(B45,'Списки участников'!A:I,3,FALSE))</f>
        <v>ШИЛОВ Владимир</v>
      </c>
      <c r="D45" s="1167"/>
      <c r="E45" s="1167"/>
      <c r="F45" s="1168"/>
      <c r="G45" s="1171">
        <v>1</v>
      </c>
      <c r="H45" s="1172"/>
      <c r="I45" s="1173"/>
      <c r="J45" s="1171">
        <v>2</v>
      </c>
      <c r="K45" s="1172"/>
      <c r="L45" s="1173"/>
      <c r="M45" s="1171">
        <v>1</v>
      </c>
      <c r="N45" s="1172"/>
      <c r="O45" s="1173"/>
      <c r="P45" s="1171">
        <v>2</v>
      </c>
      <c r="Q45" s="1172"/>
      <c r="R45" s="1173"/>
      <c r="S45" s="1171">
        <v>2</v>
      </c>
      <c r="T45" s="1172"/>
      <c r="U45" s="1173"/>
      <c r="V45" s="1171">
        <v>1</v>
      </c>
      <c r="W45" s="1172"/>
      <c r="X45" s="1173"/>
      <c r="Y45" s="1171"/>
      <c r="Z45" s="1172"/>
      <c r="AA45" s="1173"/>
      <c r="AB45" s="1171"/>
      <c r="AC45" s="1172"/>
      <c r="AD45" s="1173"/>
      <c r="AE45" s="1184">
        <f>IF(B45="","",SUM(G45,J45,M45,P45,S45,V45,Y45,AB45,))</f>
        <v>9</v>
      </c>
      <c r="AF45" s="1185"/>
      <c r="AG45" s="1175"/>
      <c r="AH45" s="1174">
        <f>IF(B45="","",RANK(AE45,ГР15О))</f>
        <v>4</v>
      </c>
    </row>
    <row r="46" spans="1:34" ht="12" customHeight="1" x14ac:dyDescent="0.2">
      <c r="A46" s="1164"/>
      <c r="B46" s="1194"/>
      <c r="C46" s="457" t="str">
        <f>IF(B45="","",VLOOKUP(B45,'Списки участников'!A:I,6,FALSE))</f>
        <v>Орехово-Зуево</v>
      </c>
      <c r="D46" s="1169"/>
      <c r="E46" s="1169"/>
      <c r="F46" s="1170"/>
      <c r="G46" s="458">
        <v>0</v>
      </c>
      <c r="H46" s="459" t="str">
        <f>IF(G45="","",":")</f>
        <v>:</v>
      </c>
      <c r="I46" s="460">
        <v>2</v>
      </c>
      <c r="J46" s="458">
        <v>2</v>
      </c>
      <c r="K46" s="459" t="str">
        <f>IF(J45="","",":")</f>
        <v>:</v>
      </c>
      <c r="L46" s="460">
        <v>1</v>
      </c>
      <c r="M46" s="458">
        <v>0</v>
      </c>
      <c r="N46" s="459" t="str">
        <f>IF(M46="","",":")</f>
        <v>:</v>
      </c>
      <c r="O46" s="460">
        <v>2</v>
      </c>
      <c r="P46" s="458">
        <v>2</v>
      </c>
      <c r="Q46" s="459" t="str">
        <f>IF(P46="","",":")</f>
        <v>:</v>
      </c>
      <c r="R46" s="460">
        <v>0</v>
      </c>
      <c r="S46" s="458">
        <v>2</v>
      </c>
      <c r="T46" s="459" t="str">
        <f>IF(S46="","",":")</f>
        <v>:</v>
      </c>
      <c r="U46" s="460">
        <v>0</v>
      </c>
      <c r="V46" s="458">
        <v>1</v>
      </c>
      <c r="W46" s="459" t="str">
        <f>IF(V46="","",":")</f>
        <v>:</v>
      </c>
      <c r="X46" s="460">
        <v>2</v>
      </c>
      <c r="Y46" s="458"/>
      <c r="Z46" s="459" t="str">
        <f>IF(Y46="","",":")</f>
        <v/>
      </c>
      <c r="AA46" s="460"/>
      <c r="AB46" s="458"/>
      <c r="AC46" s="459" t="str">
        <f>IF(AB46="","",":")</f>
        <v/>
      </c>
      <c r="AD46" s="460"/>
      <c r="AE46" s="1186"/>
      <c r="AF46" s="1187"/>
      <c r="AG46" s="1176"/>
      <c r="AH46" s="1174"/>
    </row>
    <row r="47" spans="1:34" ht="12" customHeight="1" x14ac:dyDescent="0.2">
      <c r="A47" s="1163">
        <v>2</v>
      </c>
      <c r="B47" s="1193">
        <f>жеребьевка!L72</f>
        <v>19</v>
      </c>
      <c r="C47" s="456" t="str">
        <f>IF(B47="","",VLOOKUP(B47,'Списки участников'!A:I,3,FALSE))</f>
        <v>ПОРТНОВ Фадей</v>
      </c>
      <c r="D47" s="1177">
        <f>IF(G45="","",IF(G46="W",0,IF(G45=2,1,IF(G45=1,2,IF(G45=0,2)))))</f>
        <v>2</v>
      </c>
      <c r="E47" s="1178"/>
      <c r="F47" s="1179"/>
      <c r="G47" s="1180"/>
      <c r="H47" s="1181"/>
      <c r="I47" s="1182"/>
      <c r="J47" s="1171">
        <v>2</v>
      </c>
      <c r="K47" s="1172"/>
      <c r="L47" s="1173"/>
      <c r="M47" s="1171">
        <v>2</v>
      </c>
      <c r="N47" s="1172"/>
      <c r="O47" s="1173"/>
      <c r="P47" s="1171">
        <v>2</v>
      </c>
      <c r="Q47" s="1172"/>
      <c r="R47" s="1173"/>
      <c r="S47" s="1171">
        <v>2</v>
      </c>
      <c r="T47" s="1172"/>
      <c r="U47" s="1173"/>
      <c r="V47" s="1171">
        <v>2</v>
      </c>
      <c r="W47" s="1172"/>
      <c r="X47" s="1173"/>
      <c r="Y47" s="1171"/>
      <c r="Z47" s="1172"/>
      <c r="AA47" s="1173"/>
      <c r="AB47" s="1171"/>
      <c r="AC47" s="1172"/>
      <c r="AD47" s="1173"/>
      <c r="AE47" s="1184">
        <f>IF(B47="","",SUM(D47,J47,M47,P47,S47,V47,Y47,AB47,))</f>
        <v>12</v>
      </c>
      <c r="AF47" s="1185"/>
      <c r="AG47" s="1175"/>
      <c r="AH47" s="1174">
        <f>IF(B47="","",RANK(AE47,ГР15О))</f>
        <v>1</v>
      </c>
    </row>
    <row r="48" spans="1:34" ht="12" customHeight="1" x14ac:dyDescent="0.2">
      <c r="A48" s="1164"/>
      <c r="B48" s="1194"/>
      <c r="C48" s="457" t="str">
        <f>IF(B47="","",VLOOKUP(B47,'Списки участников'!A:I,6,FALSE))</f>
        <v>Москва</v>
      </c>
      <c r="D48" s="461">
        <f>IF(G46="","",IF(I46="l","W",I46))</f>
        <v>2</v>
      </c>
      <c r="E48" s="462" t="str">
        <f>IF(G45="","",":")</f>
        <v>:</v>
      </c>
      <c r="F48" s="463">
        <f>IF(I46="","",IF(G46="W","L",G46))</f>
        <v>0</v>
      </c>
      <c r="G48" s="1183"/>
      <c r="H48" s="1169"/>
      <c r="I48" s="1170"/>
      <c r="J48" s="458">
        <v>2</v>
      </c>
      <c r="K48" s="459" t="str">
        <f>IF(J47="","",":")</f>
        <v>:</v>
      </c>
      <c r="L48" s="460">
        <v>0</v>
      </c>
      <c r="M48" s="458">
        <v>2</v>
      </c>
      <c r="N48" s="459" t="str">
        <f>IF(M47="","",":")</f>
        <v>:</v>
      </c>
      <c r="O48" s="460">
        <v>0</v>
      </c>
      <c r="P48" s="458">
        <v>2</v>
      </c>
      <c r="Q48" s="459" t="str">
        <f>IF(P47="","",":")</f>
        <v>:</v>
      </c>
      <c r="R48" s="460">
        <v>0</v>
      </c>
      <c r="S48" s="458">
        <v>2</v>
      </c>
      <c r="T48" s="459" t="str">
        <f>IF(S48="","",":")</f>
        <v>:</v>
      </c>
      <c r="U48" s="460">
        <v>0</v>
      </c>
      <c r="V48" s="458">
        <v>2</v>
      </c>
      <c r="W48" s="459" t="str">
        <f>IF(V48="","",":")</f>
        <v>:</v>
      </c>
      <c r="X48" s="460">
        <v>1</v>
      </c>
      <c r="Y48" s="458"/>
      <c r="Z48" s="459" t="str">
        <f>IF(Y48="","",":")</f>
        <v/>
      </c>
      <c r="AA48" s="460"/>
      <c r="AB48" s="458"/>
      <c r="AC48" s="459" t="str">
        <f>IF(AB48="","",":")</f>
        <v/>
      </c>
      <c r="AD48" s="460"/>
      <c r="AE48" s="1186"/>
      <c r="AF48" s="1187"/>
      <c r="AG48" s="1176"/>
      <c r="AH48" s="1174"/>
    </row>
    <row r="49" spans="1:34" ht="12" customHeight="1" x14ac:dyDescent="0.2">
      <c r="A49" s="1163">
        <v>3</v>
      </c>
      <c r="B49" s="1193">
        <f>жеребьевка!L74</f>
        <v>49</v>
      </c>
      <c r="C49" s="456" t="str">
        <f>IF(B49="","",VLOOKUP(B49,'Списки участников'!A:I,3,FALSE))</f>
        <v>НОВИКОВ Кирилл</v>
      </c>
      <c r="D49" s="1177">
        <f>IF(J45="","",IF(J46="W",0,IF(J45=2,1,IF(J45=1,2,IF(J45=0,2)))))</f>
        <v>1</v>
      </c>
      <c r="E49" s="1178"/>
      <c r="F49" s="1179"/>
      <c r="G49" s="1171">
        <f>IF(J47="","",IF(J48="W",0,IF(J47=2,1,IF(J47=1,2,IF(J47=0,2)))))</f>
        <v>1</v>
      </c>
      <c r="H49" s="1172"/>
      <c r="I49" s="1173"/>
      <c r="J49" s="1180"/>
      <c r="K49" s="1181"/>
      <c r="L49" s="1182"/>
      <c r="M49" s="1171">
        <v>1</v>
      </c>
      <c r="N49" s="1172"/>
      <c r="O49" s="1173"/>
      <c r="P49" s="1171">
        <v>2</v>
      </c>
      <c r="Q49" s="1172"/>
      <c r="R49" s="1173"/>
      <c r="S49" s="1171">
        <v>2</v>
      </c>
      <c r="T49" s="1172"/>
      <c r="U49" s="1173"/>
      <c r="V49" s="1171">
        <v>1</v>
      </c>
      <c r="W49" s="1172"/>
      <c r="X49" s="1173"/>
      <c r="Y49" s="1171"/>
      <c r="Z49" s="1172"/>
      <c r="AA49" s="1173"/>
      <c r="AB49" s="1171"/>
      <c r="AC49" s="1172"/>
      <c r="AD49" s="1173"/>
      <c r="AE49" s="1184">
        <f>IF(B49="","",SUM(G49,D49,M49,P49,S49,V49,Y49,AB49,))</f>
        <v>8</v>
      </c>
      <c r="AF49" s="1185"/>
      <c r="AG49" s="1188"/>
      <c r="AH49" s="1174">
        <f>IF(B49="","",RANK(AE49,ГР15О))</f>
        <v>5</v>
      </c>
    </row>
    <row r="50" spans="1:34" ht="12" customHeight="1" x14ac:dyDescent="0.2">
      <c r="A50" s="1164"/>
      <c r="B50" s="1194"/>
      <c r="C50" s="457" t="str">
        <f>IF(B49="","",VLOOKUP(B49,'Списки участников'!A:I,6,FALSE))</f>
        <v>Москва</v>
      </c>
      <c r="D50" s="464">
        <f>IF(J46="","",IF(L46="l","W",L46))</f>
        <v>1</v>
      </c>
      <c r="E50" s="459" t="str">
        <f>IF(K46="","",":")</f>
        <v>:</v>
      </c>
      <c r="F50" s="465">
        <f>IF(L46="","",IF(J46="W","L",J46))</f>
        <v>2</v>
      </c>
      <c r="G50" s="464">
        <f>IF(J48="","",IF(L48="l","W",L48))</f>
        <v>0</v>
      </c>
      <c r="H50" s="459" t="str">
        <f>IF(K48="","",":")</f>
        <v>:</v>
      </c>
      <c r="I50" s="465">
        <f>IF(L48="","",IF(J48="W","L",J48))</f>
        <v>2</v>
      </c>
      <c r="J50" s="1183"/>
      <c r="K50" s="1169"/>
      <c r="L50" s="1170"/>
      <c r="M50" s="458">
        <v>1</v>
      </c>
      <c r="N50" s="459" t="str">
        <f>IF(M49="","",":")</f>
        <v>:</v>
      </c>
      <c r="O50" s="460">
        <v>2</v>
      </c>
      <c r="P50" s="458">
        <v>2</v>
      </c>
      <c r="Q50" s="459" t="str">
        <f>IF(P49="","",":")</f>
        <v>:</v>
      </c>
      <c r="R50" s="460">
        <v>0</v>
      </c>
      <c r="S50" s="458">
        <v>2</v>
      </c>
      <c r="T50" s="459" t="str">
        <f>IF(S49="","",":")</f>
        <v>:</v>
      </c>
      <c r="U50" s="460">
        <v>0</v>
      </c>
      <c r="V50" s="458">
        <v>0</v>
      </c>
      <c r="W50" s="459" t="str">
        <f>IF(V50="","",":")</f>
        <v>:</v>
      </c>
      <c r="X50" s="460">
        <v>2</v>
      </c>
      <c r="Y50" s="458"/>
      <c r="Z50" s="459" t="str">
        <f>IF(Y50="","",":")</f>
        <v/>
      </c>
      <c r="AA50" s="460"/>
      <c r="AB50" s="458"/>
      <c r="AC50" s="459" t="str">
        <f>IF(AB50="","",":")</f>
        <v/>
      </c>
      <c r="AD50" s="460"/>
      <c r="AE50" s="1186"/>
      <c r="AF50" s="1187"/>
      <c r="AG50" s="1189"/>
      <c r="AH50" s="1174"/>
    </row>
    <row r="51" spans="1:34" ht="12" customHeight="1" x14ac:dyDescent="0.2">
      <c r="A51" s="1163">
        <v>4</v>
      </c>
      <c r="B51" s="1193">
        <f>жеребьевка!L76</f>
        <v>54</v>
      </c>
      <c r="C51" s="456" t="str">
        <f>IF(B51="","",VLOOKUP(B51,'Списки участников'!A:I,3,FALSE))</f>
        <v>ПЕТУХОВ Антон</v>
      </c>
      <c r="D51" s="1171">
        <f>IF(M45="","",IF(M46="W",0,IF(M45=2,1,IF(M45=1,2,IF(M45=0,2)))))</f>
        <v>2</v>
      </c>
      <c r="E51" s="1172"/>
      <c r="F51" s="1173"/>
      <c r="G51" s="1171">
        <f>IF(M47="","",IF(M48="W",0,IF(M47=2,1,IF(M47=1,2,IF(M47=0,2)))))</f>
        <v>1</v>
      </c>
      <c r="H51" s="1172"/>
      <c r="I51" s="1173"/>
      <c r="J51" s="1171">
        <f>IF(M49="","",IF(M50="W",0,IF(M49=2,1,IF(M49=1,2,IF(M49=0,2)))))</f>
        <v>2</v>
      </c>
      <c r="K51" s="1172"/>
      <c r="L51" s="1173"/>
      <c r="M51" s="1181"/>
      <c r="N51" s="1181"/>
      <c r="O51" s="1181"/>
      <c r="P51" s="1171">
        <v>2</v>
      </c>
      <c r="Q51" s="1172"/>
      <c r="R51" s="1173"/>
      <c r="S51" s="1171">
        <v>2</v>
      </c>
      <c r="T51" s="1172"/>
      <c r="U51" s="1173"/>
      <c r="V51" s="1171">
        <v>1</v>
      </c>
      <c r="W51" s="1172"/>
      <c r="X51" s="1173"/>
      <c r="Y51" s="1171"/>
      <c r="Z51" s="1172"/>
      <c r="AA51" s="1173"/>
      <c r="AB51" s="1171"/>
      <c r="AC51" s="1172"/>
      <c r="AD51" s="1173"/>
      <c r="AE51" s="1184">
        <f>IF(B51="","",SUM(G51,J51,D51,P51,S51,V51,Y51,AB51,))</f>
        <v>10</v>
      </c>
      <c r="AF51" s="1185"/>
      <c r="AG51" s="1188"/>
      <c r="AH51" s="1174">
        <f>IF(B51="","",RANK(AE51,ГР15О))</f>
        <v>3</v>
      </c>
    </row>
    <row r="52" spans="1:34" ht="12" customHeight="1" x14ac:dyDescent="0.2">
      <c r="A52" s="1164"/>
      <c r="B52" s="1195"/>
      <c r="C52" s="457" t="str">
        <f>IF(B51="","",VLOOKUP(B51,'Списки участников'!A:I,6,FALSE))</f>
        <v>Домодедово  М.о.</v>
      </c>
      <c r="D52" s="464">
        <f>IF(M46="","",IF(O46="l","W",O46))</f>
        <v>2</v>
      </c>
      <c r="E52" s="459" t="str">
        <f>IF(N46="","",":")</f>
        <v>:</v>
      </c>
      <c r="F52" s="465">
        <f>IF(O46="","",IF(M46="W","L",M46))</f>
        <v>0</v>
      </c>
      <c r="G52" s="464">
        <f>IF(M48="","",IF(O48="l","W",O48))</f>
        <v>0</v>
      </c>
      <c r="H52" s="459" t="str">
        <f>IF(N48="","",":")</f>
        <v>:</v>
      </c>
      <c r="I52" s="465">
        <f>IF(O48="","",IF(M48="W","L",M48))</f>
        <v>2</v>
      </c>
      <c r="J52" s="464">
        <f>IF(M50="","",IF(O50="l","W",O50))</f>
        <v>2</v>
      </c>
      <c r="K52" s="459" t="str">
        <f>IF(N50="","",":")</f>
        <v>:</v>
      </c>
      <c r="L52" s="465">
        <f>IF(O50="","",IF(M50="W","L",M50))</f>
        <v>1</v>
      </c>
      <c r="M52" s="1190"/>
      <c r="N52" s="1190"/>
      <c r="O52" s="1190"/>
      <c r="P52" s="458">
        <v>2</v>
      </c>
      <c r="Q52" s="459" t="str">
        <f>IF(P51="","",":")</f>
        <v>:</v>
      </c>
      <c r="R52" s="460">
        <v>0</v>
      </c>
      <c r="S52" s="458">
        <v>2</v>
      </c>
      <c r="T52" s="459" t="str">
        <f>IF(S51="","",":")</f>
        <v>:</v>
      </c>
      <c r="U52" s="460">
        <v>0</v>
      </c>
      <c r="V52" s="458">
        <v>0</v>
      </c>
      <c r="W52" s="459" t="str">
        <f>IF(V51="","",":")</f>
        <v>:</v>
      </c>
      <c r="X52" s="460">
        <v>2</v>
      </c>
      <c r="Y52" s="458"/>
      <c r="Z52" s="459" t="str">
        <f>IF(Y52="","",":")</f>
        <v/>
      </c>
      <c r="AA52" s="460"/>
      <c r="AB52" s="458"/>
      <c r="AC52" s="459" t="str">
        <f>IF(AB52="","",":")</f>
        <v/>
      </c>
      <c r="AD52" s="460"/>
      <c r="AE52" s="1186"/>
      <c r="AF52" s="1187"/>
      <c r="AG52" s="1189"/>
      <c r="AH52" s="1174"/>
    </row>
    <row r="53" spans="1:34" ht="12" customHeight="1" x14ac:dyDescent="0.2">
      <c r="A53" s="1163">
        <v>5</v>
      </c>
      <c r="B53" s="1193">
        <f>жеребьевка!L78</f>
        <v>80</v>
      </c>
      <c r="C53" s="456" t="str">
        <f>IF(B53="","",VLOOKUP(B53,'Списки участников'!A:I,3,FALSE))</f>
        <v>ЛЕОНИДОВ Александр</v>
      </c>
      <c r="D53" s="1171">
        <f>IF(P45="","",IF(P46="W",0,IF(P45=2,1,IF(P45=1,2,IF(P45=0,2)))))</f>
        <v>1</v>
      </c>
      <c r="E53" s="1172"/>
      <c r="F53" s="1173"/>
      <c r="G53" s="1171">
        <f>IF(P47="","",IF(P48="W",0,IF(P47=2,1,IF(P47=1,2,IF(P47=0,2)))))</f>
        <v>1</v>
      </c>
      <c r="H53" s="1172"/>
      <c r="I53" s="1173"/>
      <c r="J53" s="1171">
        <f>IF(P49="","",IF(P50="W",0,IF(P49=2,1,IF(P49=1,2,IF(P49=0,2)))))</f>
        <v>1</v>
      </c>
      <c r="K53" s="1172"/>
      <c r="L53" s="1173"/>
      <c r="M53" s="1171">
        <f>IF(P51="","",IF(P52="W",0,IF(P51=2,1,IF(P51=1,2,IF(P51=0,2)))))</f>
        <v>1</v>
      </c>
      <c r="N53" s="1172"/>
      <c r="O53" s="1173"/>
      <c r="P53" s="1180"/>
      <c r="Q53" s="1181"/>
      <c r="R53" s="1182"/>
      <c r="S53" s="1171">
        <v>0</v>
      </c>
      <c r="T53" s="1172"/>
      <c r="U53" s="1173"/>
      <c r="V53" s="1171">
        <v>1</v>
      </c>
      <c r="W53" s="1172"/>
      <c r="X53" s="1173"/>
      <c r="Y53" s="1171"/>
      <c r="Z53" s="1172"/>
      <c r="AA53" s="1173"/>
      <c r="AB53" s="1171"/>
      <c r="AC53" s="1172"/>
      <c r="AD53" s="1173"/>
      <c r="AE53" s="1184">
        <f>IF(B53="","",SUM(G53,J53,M53,D53,S53,V53,Y53,AB53,))</f>
        <v>5</v>
      </c>
      <c r="AF53" s="1185"/>
      <c r="AG53" s="1188"/>
      <c r="AH53" s="1174">
        <f>IF(B53="","",RANK(AE53,ГР15О))</f>
        <v>7</v>
      </c>
    </row>
    <row r="54" spans="1:34" ht="12" customHeight="1" x14ac:dyDescent="0.2">
      <c r="A54" s="1164"/>
      <c r="B54" s="1195"/>
      <c r="C54" s="457" t="str">
        <f>IF(B53="","",VLOOKUP(B53,'Списки участников'!A:I,6,FALSE))</f>
        <v>Москва</v>
      </c>
      <c r="D54" s="464">
        <f>IF(P46="","",IF(R46="l","W",R46))</f>
        <v>0</v>
      </c>
      <c r="E54" s="459" t="str">
        <f>IF(Q46="","",":")</f>
        <v>:</v>
      </c>
      <c r="F54" s="465">
        <f>IF(R46="","",IF(P46="W","L",P46))</f>
        <v>2</v>
      </c>
      <c r="G54" s="464">
        <f>IF(P48="","",IF(R48="l","W",R48))</f>
        <v>0</v>
      </c>
      <c r="H54" s="459" t="str">
        <f>IF(Q48="","",":")</f>
        <v>:</v>
      </c>
      <c r="I54" s="465">
        <f>IF(R48="","",IF(P48="W","L",P48))</f>
        <v>2</v>
      </c>
      <c r="J54" s="464">
        <f>IF(P50="","",IF(R50="l","W",R50))</f>
        <v>0</v>
      </c>
      <c r="K54" s="459" t="str">
        <f>IF(Q50="","",":")</f>
        <v>:</v>
      </c>
      <c r="L54" s="465">
        <f>IF(R50="","",IF(P50="W","L",P50))</f>
        <v>2</v>
      </c>
      <c r="M54" s="464">
        <f>IF(P52="","",IF(R52="l","W",R52))</f>
        <v>0</v>
      </c>
      <c r="N54" s="459" t="str">
        <f>IF(Q52="","",":")</f>
        <v>:</v>
      </c>
      <c r="O54" s="465">
        <f>IF(R52="","",IF(P52="W","L",P52))</f>
        <v>2</v>
      </c>
      <c r="P54" s="1183"/>
      <c r="Q54" s="1169"/>
      <c r="R54" s="1170"/>
      <c r="S54" s="998" t="s">
        <v>12171</v>
      </c>
      <c r="T54" s="459" t="str">
        <f>IF(S53="","",":")</f>
        <v>:</v>
      </c>
      <c r="U54" s="999" t="s">
        <v>12172</v>
      </c>
      <c r="V54" s="458">
        <v>0</v>
      </c>
      <c r="W54" s="459" t="str">
        <f>IF(V53="","",":")</f>
        <v>:</v>
      </c>
      <c r="X54" s="460">
        <v>2</v>
      </c>
      <c r="Y54" s="458"/>
      <c r="Z54" s="459" t="str">
        <f>IF(Y53="","",":")</f>
        <v/>
      </c>
      <c r="AA54" s="460"/>
      <c r="AB54" s="458"/>
      <c r="AC54" s="459" t="str">
        <f>IF(AB54="","",":")</f>
        <v/>
      </c>
      <c r="AD54" s="460"/>
      <c r="AE54" s="1186"/>
      <c r="AF54" s="1187"/>
      <c r="AG54" s="1189"/>
      <c r="AH54" s="1174"/>
    </row>
    <row r="55" spans="1:34" ht="12" customHeight="1" x14ac:dyDescent="0.2">
      <c r="A55" s="1163">
        <v>6</v>
      </c>
      <c r="B55" s="1196">
        <f>жеребьевка!L80</f>
        <v>86</v>
      </c>
      <c r="C55" s="456" t="str">
        <f>IF(B55="","",VLOOKUP(B55,'Списки участников'!A:I,3,FALSE))</f>
        <v xml:space="preserve">КОРОЛЬКОВ Егор </v>
      </c>
      <c r="D55" s="1171">
        <f>IF(S45="","",IF(S46="W",0,IF(S45=2,1,IF(S45=1,2,IF(S45=0,2)))))</f>
        <v>1</v>
      </c>
      <c r="E55" s="1172"/>
      <c r="F55" s="1173"/>
      <c r="G55" s="1171">
        <f>IF(S47="","",IF(S48="W",0,IF(S47=2,1,IF(S47=1,2,IF(S47=0,2)))))</f>
        <v>1</v>
      </c>
      <c r="H55" s="1172"/>
      <c r="I55" s="1173"/>
      <c r="J55" s="1171">
        <f>IF(S49="","",IF(S50="W",0,IF(S49=2,1,IF(S49=1,2,IF(S49=0,2)))))</f>
        <v>1</v>
      </c>
      <c r="K55" s="1172"/>
      <c r="L55" s="1173"/>
      <c r="M55" s="1171">
        <f>IF(S51="","",IF(S52="W",0,IF(S51=2,1,IF(S51=1,2,IF(S51=0,2)))))</f>
        <v>1</v>
      </c>
      <c r="N55" s="1172"/>
      <c r="O55" s="1173"/>
      <c r="P55" s="1171">
        <v>2</v>
      </c>
      <c r="Q55" s="1172"/>
      <c r="R55" s="1173"/>
      <c r="S55" s="1180"/>
      <c r="T55" s="1181"/>
      <c r="U55" s="1182"/>
      <c r="V55" s="1171">
        <v>1</v>
      </c>
      <c r="W55" s="1172"/>
      <c r="X55" s="1173"/>
      <c r="Y55" s="1171"/>
      <c r="Z55" s="1172"/>
      <c r="AA55" s="1173"/>
      <c r="AB55" s="1171"/>
      <c r="AC55" s="1172"/>
      <c r="AD55" s="1173"/>
      <c r="AE55" s="1184">
        <f>IF(B55="","",SUM(G55,J55,M55,P55,D55,V55,Y55,AB55,))</f>
        <v>7</v>
      </c>
      <c r="AF55" s="1185"/>
      <c r="AG55" s="1188"/>
      <c r="AH55" s="1174">
        <f>IF(B55="","",RANK(AE55,ГР15О))</f>
        <v>6</v>
      </c>
    </row>
    <row r="56" spans="1:34" ht="12" customHeight="1" x14ac:dyDescent="0.2">
      <c r="A56" s="1164"/>
      <c r="B56" s="1197"/>
      <c r="C56" s="457" t="str">
        <f>IF(B55="","",VLOOKUP(B55,'Списки участников'!A:I,6,FALSE))</f>
        <v>Москва</v>
      </c>
      <c r="D56" s="464">
        <f>IF(S46="","",IF(U46="l","W",U46))</f>
        <v>0</v>
      </c>
      <c r="E56" s="459" t="str">
        <f>IF(T46="","",":")</f>
        <v>:</v>
      </c>
      <c r="F56" s="465">
        <f>IF(U46="","",IF(S46="W","L",S46))</f>
        <v>2</v>
      </c>
      <c r="G56" s="464">
        <f>IF(S48="","",IF(U48="l","W",U48))</f>
        <v>0</v>
      </c>
      <c r="H56" s="459" t="str">
        <f>IF(T48="","",":")</f>
        <v>:</v>
      </c>
      <c r="I56" s="465">
        <f>IF(U48="","",IF(S48="W","L",S48))</f>
        <v>2</v>
      </c>
      <c r="J56" s="464">
        <f>IF(S50="","",IF(U50="l","W",U50))</f>
        <v>0</v>
      </c>
      <c r="K56" s="459" t="str">
        <f>IF(T50="","",":")</f>
        <v>:</v>
      </c>
      <c r="L56" s="465">
        <f>IF(U50="","",IF(S50="W","L",S50))</f>
        <v>2</v>
      </c>
      <c r="M56" s="464">
        <f>IF(S52="","",IF(U52="l","W",U52))</f>
        <v>0</v>
      </c>
      <c r="N56" s="459" t="str">
        <f>IF(T52="","",":")</f>
        <v>:</v>
      </c>
      <c r="O56" s="465">
        <f>IF(U52="","",IF(S52="W","L",S52))</f>
        <v>2</v>
      </c>
      <c r="P56" s="464" t="str">
        <f>IF(S54="","",IF(U54="l","W",U54))</f>
        <v>W</v>
      </c>
      <c r="Q56" s="459" t="str">
        <f>IF(T54="","",":")</f>
        <v>:</v>
      </c>
      <c r="R56" s="465" t="str">
        <f>IF(U54="","",IF(S54="W","L",S54))</f>
        <v>L</v>
      </c>
      <c r="S56" s="1183"/>
      <c r="T56" s="1169"/>
      <c r="U56" s="1170"/>
      <c r="V56" s="458">
        <v>0</v>
      </c>
      <c r="W56" s="459" t="str">
        <f>IF(V55="","",":")</f>
        <v>:</v>
      </c>
      <c r="X56" s="460">
        <v>2</v>
      </c>
      <c r="Y56" s="458"/>
      <c r="Z56" s="459" t="str">
        <f>IF(Y55="","",":")</f>
        <v/>
      </c>
      <c r="AA56" s="460"/>
      <c r="AB56" s="458"/>
      <c r="AC56" s="459" t="str">
        <f>IF(AB55="","",":")</f>
        <v/>
      </c>
      <c r="AD56" s="460"/>
      <c r="AE56" s="1186"/>
      <c r="AF56" s="1187"/>
      <c r="AG56" s="1189"/>
      <c r="AH56" s="1174"/>
    </row>
    <row r="57" spans="1:34" ht="12" customHeight="1" x14ac:dyDescent="0.2">
      <c r="A57" s="1163">
        <v>7</v>
      </c>
      <c r="B57" s="1196">
        <v>111</v>
      </c>
      <c r="C57" s="456" t="s">
        <v>12151</v>
      </c>
      <c r="D57" s="1171">
        <f>IF(V45="","",IF(V46="W",0,IF(V45=2,1,IF(V45=1,2,IF(V45=0,2)))))</f>
        <v>2</v>
      </c>
      <c r="E57" s="1172"/>
      <c r="F57" s="1173"/>
      <c r="G57" s="1171">
        <f>IF(V47="","",IF(V48="W",0,IF(V47=2,1,IF(V47=1,2,IF(V47=0,2)))))</f>
        <v>1</v>
      </c>
      <c r="H57" s="1172"/>
      <c r="I57" s="1173"/>
      <c r="J57" s="1171">
        <f>IF(V49="","",IF(V50="W",0,IF(V49=2,1,IF(V49=1,2,IF(V49=0,2)))))</f>
        <v>2</v>
      </c>
      <c r="K57" s="1172"/>
      <c r="L57" s="1173"/>
      <c r="M57" s="1171">
        <f>IF(V51="","",IF(V52="W",0,IF(V51=2,1,IF(V51=1,2,IF(V51=0,2)))))</f>
        <v>2</v>
      </c>
      <c r="N57" s="1172"/>
      <c r="O57" s="1173"/>
      <c r="P57" s="1171">
        <f>IF(V53="","",IF(V54="W",0,IF(V53=2,1,IF(V53=1,2,IF(V53=0,2)))))</f>
        <v>2</v>
      </c>
      <c r="Q57" s="1172"/>
      <c r="R57" s="1173"/>
      <c r="S57" s="1171">
        <f>IF(V55="","",IF(V56="W",0,IF(V55=2,1,IF(V55=1,2,IF(V55=0,2)))))</f>
        <v>2</v>
      </c>
      <c r="T57" s="1172"/>
      <c r="U57" s="1173"/>
      <c r="V57" s="1191"/>
      <c r="W57" s="1167"/>
      <c r="X57" s="1168"/>
      <c r="Y57" s="1171"/>
      <c r="Z57" s="1172"/>
      <c r="AA57" s="1173"/>
      <c r="AB57" s="1171"/>
      <c r="AC57" s="1172"/>
      <c r="AD57" s="1173"/>
      <c r="AE57" s="1184">
        <f>IF(B57="","",SUM(G57,J57,M57,P57,S57,D57,Y57,AB57,))</f>
        <v>11</v>
      </c>
      <c r="AF57" s="1185"/>
      <c r="AG57" s="1188"/>
      <c r="AH57" s="1174">
        <f>IF(B57="","",RANK(AE57,ГР15О))</f>
        <v>2</v>
      </c>
    </row>
    <row r="58" spans="1:34" ht="12" customHeight="1" x14ac:dyDescent="0.2">
      <c r="A58" s="1164"/>
      <c r="B58" s="1197"/>
      <c r="C58" s="457" t="s">
        <v>105</v>
      </c>
      <c r="D58" s="464">
        <f>IF(V46="","",IF(X46="l","W",X46))</f>
        <v>2</v>
      </c>
      <c r="E58" s="459" t="str">
        <f>IF(W46="","",":")</f>
        <v>:</v>
      </c>
      <c r="F58" s="465">
        <f>IF(X46="","",IF(V46="W","L",V46))</f>
        <v>1</v>
      </c>
      <c r="G58" s="464">
        <f>IF(V48="","",IF(X48="l","W",X48))</f>
        <v>1</v>
      </c>
      <c r="H58" s="459" t="str">
        <f>IF(W48="","",":")</f>
        <v>:</v>
      </c>
      <c r="I58" s="465">
        <f>IF(X48="","",IF(V48="W","L",V48))</f>
        <v>2</v>
      </c>
      <c r="J58" s="464">
        <f>IF(V50="","",IF(X50="l","W",X50))</f>
        <v>2</v>
      </c>
      <c r="K58" s="459" t="str">
        <f>IF(W50="","",":")</f>
        <v>:</v>
      </c>
      <c r="L58" s="465">
        <f>IF(X50="","",IF(V50="W","L",V50))</f>
        <v>0</v>
      </c>
      <c r="M58" s="464">
        <f>IF(V52="","",IF(X52="l","W",X52))</f>
        <v>2</v>
      </c>
      <c r="N58" s="459" t="str">
        <f>IF(W52="","",":")</f>
        <v>:</v>
      </c>
      <c r="O58" s="465">
        <f>IF(X52="","",IF(V52="W","L",V52))</f>
        <v>0</v>
      </c>
      <c r="P58" s="464">
        <f>IF(V54="","",IF(X54="l","W",X54))</f>
        <v>2</v>
      </c>
      <c r="Q58" s="459" t="str">
        <f>IF(W54="","",":")</f>
        <v>:</v>
      </c>
      <c r="R58" s="465">
        <f>IF(X54="","",IF(V54="W","L",V54))</f>
        <v>0</v>
      </c>
      <c r="S58" s="464">
        <f>IF(V56="","",IF(X56="l","W",X56))</f>
        <v>2</v>
      </c>
      <c r="T58" s="459" t="str">
        <f>IF(W56="","",":")</f>
        <v>:</v>
      </c>
      <c r="U58" s="465">
        <f>IF(X56="","",IF(V56="W","L",V56))</f>
        <v>0</v>
      </c>
      <c r="V58" s="1183"/>
      <c r="W58" s="1169"/>
      <c r="X58" s="1170"/>
      <c r="Y58" s="458"/>
      <c r="Z58" s="459" t="str">
        <f>IF(Y57="","",":")</f>
        <v/>
      </c>
      <c r="AA58" s="460"/>
      <c r="AB58" s="458"/>
      <c r="AC58" s="459" t="str">
        <f>IF(AB57="","",":")</f>
        <v/>
      </c>
      <c r="AD58" s="460"/>
      <c r="AE58" s="1186"/>
      <c r="AF58" s="1187"/>
      <c r="AG58" s="1189"/>
      <c r="AH58" s="1174"/>
    </row>
    <row r="59" spans="1:34" ht="12" customHeight="1" x14ac:dyDescent="0.2">
      <c r="A59" s="1163">
        <v>8</v>
      </c>
      <c r="B59" s="1196"/>
      <c r="C59" s="456" t="str">
        <f>IF(B59="","",VLOOKUP(B59,'Списки участников'!A:I,3,FALSE))</f>
        <v/>
      </c>
      <c r="D59" s="1171" t="str">
        <f>IF(Y45="","",IF(Y46="W",0,IF(Y45=2,1,IF(Y45=1,2,IF(Y45=0,2)))))</f>
        <v/>
      </c>
      <c r="E59" s="1172"/>
      <c r="F59" s="1173"/>
      <c r="G59" s="1171" t="str">
        <f>IF(Y47="","",IF(Y48="W",0,IF(Y47=2,1,IF(Y47=1,2,IF(Y47=0,2)))))</f>
        <v/>
      </c>
      <c r="H59" s="1172"/>
      <c r="I59" s="1173"/>
      <c r="J59" s="1171" t="str">
        <f>IF(Y49="","",IF(Y50="W",0,IF(Y49=2,1,IF(Y49=1,2,IF(Y49=0,2)))))</f>
        <v/>
      </c>
      <c r="K59" s="1172"/>
      <c r="L59" s="1173"/>
      <c r="M59" s="1171" t="str">
        <f>IF(Y51="","",IF(Y52="W",0,IF(Y51=2,1,IF(Y51=1,2,IF(Y51=0,2)))))</f>
        <v/>
      </c>
      <c r="N59" s="1172"/>
      <c r="O59" s="1173"/>
      <c r="P59" s="1171" t="str">
        <f>IF(Y53="","",IF(Y54="W",0,IF(Y53=2,1,IF(Y53=1,2,IF(Y53=0,2)))))</f>
        <v/>
      </c>
      <c r="Q59" s="1172"/>
      <c r="R59" s="1173"/>
      <c r="S59" s="1171" t="str">
        <f>IF(Y55="","",IF(Y56="W",0,IF(Y55=2,1,IF(Y55=1,2,IF(Y55=0,2)))))</f>
        <v/>
      </c>
      <c r="T59" s="1172"/>
      <c r="U59" s="1173"/>
      <c r="V59" s="1171" t="str">
        <f>IF(Y57="","",IF(Y58="W",0,IF(Y57=2,1,IF(Y57=1,2,IF(Y57=0,2)))))</f>
        <v/>
      </c>
      <c r="W59" s="1172"/>
      <c r="X59" s="1173"/>
      <c r="Y59" s="1180"/>
      <c r="Z59" s="1181"/>
      <c r="AA59" s="1182"/>
      <c r="AB59" s="1171"/>
      <c r="AC59" s="1172"/>
      <c r="AD59" s="1173"/>
      <c r="AE59" s="1184" t="str">
        <f>IF(B59="","",SUM(G59,J59,M59,P59,S59,V59,D59,AB59,))</f>
        <v/>
      </c>
      <c r="AF59" s="1185"/>
      <c r="AG59" s="1188"/>
      <c r="AH59" s="1174" t="str">
        <f>IF(B59="","",RANK(AE59,ГР15О))</f>
        <v/>
      </c>
    </row>
    <row r="60" spans="1:34" ht="12" customHeight="1" x14ac:dyDescent="0.2">
      <c r="A60" s="1164"/>
      <c r="B60" s="1197"/>
      <c r="C60" s="457" t="str">
        <f>IF(B59="","",VLOOKUP(B59,'Списки участников'!A:I,6,FALSE))</f>
        <v/>
      </c>
      <c r="D60" s="464" t="str">
        <f>IF(Y46="","",IF(AA46="l","W",AA46))</f>
        <v/>
      </c>
      <c r="E60" s="459" t="str">
        <f>IF(Z46="","",":")</f>
        <v/>
      </c>
      <c r="F60" s="465" t="str">
        <f>IF(AA46="","",IF(Y46="W","L",Y46))</f>
        <v/>
      </c>
      <c r="G60" s="464" t="str">
        <f>IF(Y48="","",IF(AA48="l","W",AA48))</f>
        <v/>
      </c>
      <c r="H60" s="459" t="str">
        <f>IF(Z48="","",":")</f>
        <v/>
      </c>
      <c r="I60" s="465" t="str">
        <f>IF(AA48="","",IF(Y48="W","L",Y48))</f>
        <v/>
      </c>
      <c r="J60" s="464" t="str">
        <f>IF(Y50="","",IF(AA50="l","W",AA50))</f>
        <v/>
      </c>
      <c r="K60" s="459" t="str">
        <f>IF(Z50="","",":")</f>
        <v/>
      </c>
      <c r="L60" s="465" t="str">
        <f>IF(AA50="","",IF(Y50="W","L",Y50))</f>
        <v/>
      </c>
      <c r="M60" s="464" t="str">
        <f>IF(Y52="","",IF(AA52="l","W",AA52))</f>
        <v/>
      </c>
      <c r="N60" s="459" t="str">
        <f>IF(Z52="","",":")</f>
        <v/>
      </c>
      <c r="O60" s="465" t="str">
        <f>IF(AA52="","",IF(Y52="W","L",Y52))</f>
        <v/>
      </c>
      <c r="P60" s="464" t="str">
        <f>IF(Y54="","",IF(AA54="l","W",AA54))</f>
        <v/>
      </c>
      <c r="Q60" s="459" t="str">
        <f>IF(Z54="","",":")</f>
        <v/>
      </c>
      <c r="R60" s="465" t="str">
        <f>IF(AA54="","",IF(Y54="W","L",Y54))</f>
        <v/>
      </c>
      <c r="S60" s="464" t="str">
        <f>IF(Y56="","",IF(AA56="l","W",AA56))</f>
        <v/>
      </c>
      <c r="T60" s="459" t="str">
        <f>IF(Z56="","",":")</f>
        <v/>
      </c>
      <c r="U60" s="465" t="str">
        <f>IF(AA56="","",IF(Y56="W","L",Y56))</f>
        <v/>
      </c>
      <c r="V60" s="464" t="str">
        <f>IF(Y58="","",IF(AA58="l","W",AA58))</f>
        <v/>
      </c>
      <c r="W60" s="459" t="str">
        <f>IF(Z58="","",":")</f>
        <v/>
      </c>
      <c r="X60" s="465" t="str">
        <f>IF(AA58="","",IF(Y58="W","L",Y58))</f>
        <v/>
      </c>
      <c r="Y60" s="1183"/>
      <c r="Z60" s="1169"/>
      <c r="AA60" s="1170"/>
      <c r="AB60" s="458"/>
      <c r="AC60" s="459" t="str">
        <f>IF(AB59="","",":")</f>
        <v/>
      </c>
      <c r="AD60" s="460"/>
      <c r="AE60" s="1186"/>
      <c r="AF60" s="1187"/>
      <c r="AG60" s="1189"/>
      <c r="AH60" s="1174"/>
    </row>
    <row r="61" spans="1:34" ht="12" hidden="1" customHeight="1" outlineLevel="1" x14ac:dyDescent="0.2">
      <c r="A61" s="1163">
        <v>9</v>
      </c>
      <c r="B61" s="1165">
        <f>жеребьевка!L86</f>
        <v>0</v>
      </c>
      <c r="C61" s="456" t="e">
        <f>IF(B61="","",VLOOKUP(B61,'Списки участников'!A:I,3,FALSE))</f>
        <v>#N/A</v>
      </c>
      <c r="D61" s="1171" t="str">
        <f>IF(AB45="","",IF(AB46="W",0,IF(AB45=2,1,IF(AB45=1,2,IF(AB45=0,2)))))</f>
        <v/>
      </c>
      <c r="E61" s="1172"/>
      <c r="F61" s="1173"/>
      <c r="G61" s="1171" t="str">
        <f>IF(AB47="","",IF(AB48="W",0,IF(AB47=2,1,IF(AB47=1,2,IF(AB47=0,2)))))</f>
        <v/>
      </c>
      <c r="H61" s="1172"/>
      <c r="I61" s="1173"/>
      <c r="J61" s="1171" t="str">
        <f>IF(AB49="","",IF(AB50="W",0,IF(AB49=2,1,IF(AB49=1,2,IF(AB49=0,2)))))</f>
        <v/>
      </c>
      <c r="K61" s="1172"/>
      <c r="L61" s="1173"/>
      <c r="M61" s="1171" t="str">
        <f>IF(AB51="","",IF(AB52="W",0,IF(AB51=2,1,IF(AB51=1,2,IF(AB51=0,2)))))</f>
        <v/>
      </c>
      <c r="N61" s="1172"/>
      <c r="O61" s="1173"/>
      <c r="P61" s="1171" t="str">
        <f>IF(AB53="","",IF(AB54="W",0,IF(AB53=2,1,IF(AB53=1,2,IF(AB53=0,2)))))</f>
        <v/>
      </c>
      <c r="Q61" s="1172"/>
      <c r="R61" s="1173"/>
      <c r="S61" s="1171" t="str">
        <f>IF(AB55="","",IF(AB56="W",0,IF(AB55=2,1,IF(AB55=1,2,IF(AB55=0,2)))))</f>
        <v/>
      </c>
      <c r="T61" s="1172"/>
      <c r="U61" s="1173"/>
      <c r="V61" s="1171" t="str">
        <f>IF(AB57="","",IF(AB58="W",0,IF(AB57=2,1,IF(AB57=1,2,IF(AB57=0,2)))))</f>
        <v/>
      </c>
      <c r="W61" s="1172"/>
      <c r="X61" s="1173"/>
      <c r="Y61" s="1171" t="str">
        <f>IF(AB59="","",IF(AB60="W",0,IF(AB59=2,1,IF(AB59=1,2,IF(AB59=0,2)))))</f>
        <v/>
      </c>
      <c r="Z61" s="1172"/>
      <c r="AA61" s="1173"/>
      <c r="AB61" s="1180"/>
      <c r="AC61" s="1181"/>
      <c r="AD61" s="1182"/>
      <c r="AE61" s="1184">
        <f>IF(B61="","",SUM(G61,J61,M61,P61,S61,V61,Y61,D61,))</f>
        <v>0</v>
      </c>
      <c r="AF61" s="1185"/>
      <c r="AG61" s="1188"/>
      <c r="AH61" s="1174">
        <f>IF(B61="","",RANK(AE61,ГР15О))</f>
        <v>8</v>
      </c>
    </row>
    <row r="62" spans="1:34" ht="12" hidden="1" customHeight="1" outlineLevel="1" x14ac:dyDescent="0.2">
      <c r="A62" s="1164"/>
      <c r="B62" s="1166"/>
      <c r="C62" s="457" t="e">
        <f>IF(B61="","",VLOOKUP(B61,'Списки участников'!A:I,6,FALSE))</f>
        <v>#N/A</v>
      </c>
      <c r="D62" s="464" t="str">
        <f>IF(AB46="","",IF(AD46="l","W",AD46))</f>
        <v/>
      </c>
      <c r="E62" s="459" t="str">
        <f>IF(AC46="","",":")</f>
        <v/>
      </c>
      <c r="F62" s="465" t="str">
        <f>IF(AD46="","",IF(AB46="W","L",AB46))</f>
        <v/>
      </c>
      <c r="G62" s="464" t="str">
        <f>IF(AB48="","",IF(AD48="l","W",AD48))</f>
        <v/>
      </c>
      <c r="H62" s="459" t="str">
        <f>IF(AC48="","",":")</f>
        <v/>
      </c>
      <c r="I62" s="465" t="str">
        <f>IF(AD48="","",IF(AB48="W","L",AB48))</f>
        <v/>
      </c>
      <c r="J62" s="464" t="str">
        <f>IF(AB50="","",IF(AD50="l","W",AD50))</f>
        <v/>
      </c>
      <c r="K62" s="459" t="str">
        <f>IF(AC50="","",":")</f>
        <v/>
      </c>
      <c r="L62" s="465" t="str">
        <f>IF(AD50="","",IF(AB50="W","L",AB50))</f>
        <v/>
      </c>
      <c r="M62" s="464" t="str">
        <f>IF(AB52="","",IF(AD52="l","W",AD52))</f>
        <v/>
      </c>
      <c r="N62" s="459" t="str">
        <f>IF(AC52="","",":")</f>
        <v/>
      </c>
      <c r="O62" s="465" t="str">
        <f>IF(AD52="","",IF(AB52="W","L",AB52))</f>
        <v/>
      </c>
      <c r="P62" s="464" t="str">
        <f>IF(AB54="","",IF(AD54="l","W",AD54))</f>
        <v/>
      </c>
      <c r="Q62" s="459" t="str">
        <f>IF(AC54="","",":")</f>
        <v/>
      </c>
      <c r="R62" s="465" t="str">
        <f>IF(AD54="","",IF(AB54="W","L",AB54))</f>
        <v/>
      </c>
      <c r="S62" s="464" t="str">
        <f>IF(AB56="","",IF(AD56="l","W",AD56))</f>
        <v/>
      </c>
      <c r="T62" s="459" t="str">
        <f>IF(AC56="","",":")</f>
        <v/>
      </c>
      <c r="U62" s="465" t="str">
        <f>IF(AD56="","",IF(AB56="W","L",AB56))</f>
        <v/>
      </c>
      <c r="V62" s="464" t="str">
        <f>IF(AB58="","",IF(AD58="l","W",AD58))</f>
        <v/>
      </c>
      <c r="W62" s="459" t="str">
        <f>IF(AC58="","",":")</f>
        <v/>
      </c>
      <c r="X62" s="465" t="str">
        <f>IF(AD58="","",IF(AB58="W","L",AB58))</f>
        <v/>
      </c>
      <c r="Y62" s="464" t="str">
        <f>IF(AB60="","",IF(AD60="l","W",AD60))</f>
        <v/>
      </c>
      <c r="Z62" s="459" t="str">
        <f>IF(AC60="","",":")</f>
        <v/>
      </c>
      <c r="AA62" s="465" t="str">
        <f>IF(AD60="","",IF(AB60="W","L",AB60))</f>
        <v/>
      </c>
      <c r="AB62" s="1183"/>
      <c r="AC62" s="1169"/>
      <c r="AD62" s="1170"/>
      <c r="AE62" s="1186"/>
      <c r="AF62" s="1187"/>
      <c r="AG62" s="1189"/>
      <c r="AH62" s="1174"/>
    </row>
    <row r="63" spans="1:34" ht="12" customHeight="1" collapsed="1" x14ac:dyDescent="0.25">
      <c r="A63" s="135"/>
      <c r="B63" s="135"/>
      <c r="C63" s="954" t="s">
        <v>765</v>
      </c>
      <c r="D63" s="135"/>
      <c r="E63" s="135"/>
      <c r="F63" s="135"/>
      <c r="G63" s="1192" t="s">
        <v>2595</v>
      </c>
      <c r="H63" s="1192"/>
      <c r="I63" s="1192"/>
      <c r="J63" s="1192"/>
      <c r="K63" s="1192"/>
      <c r="L63" s="1192"/>
      <c r="M63" s="1192"/>
      <c r="N63" s="1192"/>
      <c r="O63" s="1192"/>
      <c r="P63" s="1192"/>
      <c r="Q63" s="1192"/>
      <c r="R63" s="1192"/>
      <c r="S63" s="1192"/>
      <c r="T63" s="1192"/>
      <c r="U63" s="1192"/>
      <c r="V63" s="1192"/>
      <c r="W63" s="1192"/>
      <c r="X63" s="1192"/>
      <c r="Y63" s="1192"/>
      <c r="Z63" s="1192"/>
      <c r="AA63" s="1192"/>
      <c r="AB63" s="135"/>
      <c r="AC63" s="135"/>
      <c r="AD63" s="135"/>
      <c r="AE63" s="135"/>
      <c r="AF63" s="135"/>
      <c r="AG63" s="135"/>
      <c r="AH63" s="135"/>
    </row>
    <row r="64" spans="1:34" ht="12" customHeight="1" x14ac:dyDescent="0.2">
      <c r="A64" s="136" t="s">
        <v>3</v>
      </c>
      <c r="B64" s="864"/>
      <c r="C64" s="138" t="s">
        <v>788</v>
      </c>
      <c r="D64" s="1158">
        <v>1</v>
      </c>
      <c r="E64" s="1159"/>
      <c r="F64" s="1160"/>
      <c r="G64" s="1158">
        <v>2</v>
      </c>
      <c r="H64" s="1159"/>
      <c r="I64" s="1160"/>
      <c r="J64" s="1158">
        <v>3</v>
      </c>
      <c r="K64" s="1159"/>
      <c r="L64" s="1160"/>
      <c r="M64" s="1158">
        <v>4</v>
      </c>
      <c r="N64" s="1159"/>
      <c r="O64" s="1160"/>
      <c r="P64" s="1158">
        <v>5</v>
      </c>
      <c r="Q64" s="1159"/>
      <c r="R64" s="1160"/>
      <c r="S64" s="1158">
        <v>6</v>
      </c>
      <c r="T64" s="1159"/>
      <c r="U64" s="1160"/>
      <c r="V64" s="1158">
        <v>7</v>
      </c>
      <c r="W64" s="1159"/>
      <c r="X64" s="1160"/>
      <c r="Y64" s="1158">
        <v>8</v>
      </c>
      <c r="Z64" s="1159"/>
      <c r="AA64" s="1160"/>
      <c r="AB64" s="1158">
        <v>9</v>
      </c>
      <c r="AC64" s="1159"/>
      <c r="AD64" s="1160"/>
      <c r="AE64" s="1161" t="s">
        <v>789</v>
      </c>
      <c r="AF64" s="1162"/>
      <c r="AG64" s="865" t="s">
        <v>790</v>
      </c>
      <c r="AH64" s="455" t="s">
        <v>100</v>
      </c>
    </row>
    <row r="65" spans="1:34" ht="12" customHeight="1" x14ac:dyDescent="0.2">
      <c r="A65" s="1163">
        <v>1</v>
      </c>
      <c r="B65" s="1165">
        <f>жеребьевка!Q70</f>
        <v>17</v>
      </c>
      <c r="C65" s="456" t="str">
        <f>IF(B65="","",VLOOKUP(B65,'Списки участников'!A:I,3,FALSE))</f>
        <v>МАЛОВ Илья</v>
      </c>
      <c r="D65" s="1167"/>
      <c r="E65" s="1167"/>
      <c r="F65" s="1168"/>
      <c r="G65" s="1171">
        <v>2</v>
      </c>
      <c r="H65" s="1172"/>
      <c r="I65" s="1173"/>
      <c r="J65" s="1171">
        <v>2</v>
      </c>
      <c r="K65" s="1172"/>
      <c r="L65" s="1173"/>
      <c r="M65" s="1171">
        <v>2</v>
      </c>
      <c r="N65" s="1172"/>
      <c r="O65" s="1173"/>
      <c r="P65" s="1171">
        <v>1</v>
      </c>
      <c r="Q65" s="1172"/>
      <c r="R65" s="1173"/>
      <c r="S65" s="1171">
        <v>2</v>
      </c>
      <c r="T65" s="1172"/>
      <c r="U65" s="1173"/>
      <c r="V65" s="1171"/>
      <c r="W65" s="1172"/>
      <c r="X65" s="1173"/>
      <c r="Y65" s="1171"/>
      <c r="Z65" s="1172"/>
      <c r="AA65" s="1173"/>
      <c r="AB65" s="1171"/>
      <c r="AC65" s="1172"/>
      <c r="AD65" s="1173"/>
      <c r="AE65" s="1184">
        <f>IF(B65="","",SUM(G65,J65,M65,P65,S65,V65,Y65,AB65,))</f>
        <v>9</v>
      </c>
      <c r="AF65" s="1185"/>
      <c r="AG65" s="1175">
        <v>1.5</v>
      </c>
      <c r="AH65" s="1174">
        <f>IF(B65="","",RANK(AE65,ГР16О))</f>
        <v>1</v>
      </c>
    </row>
    <row r="66" spans="1:34" ht="12" customHeight="1" x14ac:dyDescent="0.2">
      <c r="A66" s="1164"/>
      <c r="B66" s="1166"/>
      <c r="C66" s="457" t="str">
        <f>IF(B65="","",VLOOKUP(B65,'Списки участников'!A:I,6,FALSE))</f>
        <v>Москва</v>
      </c>
      <c r="D66" s="1169"/>
      <c r="E66" s="1169"/>
      <c r="F66" s="1170"/>
      <c r="G66" s="458">
        <v>2</v>
      </c>
      <c r="H66" s="459" t="str">
        <f>IF(G65="","",":")</f>
        <v>:</v>
      </c>
      <c r="I66" s="460">
        <v>0</v>
      </c>
      <c r="J66" s="458">
        <v>2</v>
      </c>
      <c r="K66" s="459" t="str">
        <f>IF(J65="","",":")</f>
        <v>:</v>
      </c>
      <c r="L66" s="460">
        <v>0</v>
      </c>
      <c r="M66" s="458">
        <v>2</v>
      </c>
      <c r="N66" s="459" t="str">
        <f>IF(M66="","",":")</f>
        <v>:</v>
      </c>
      <c r="O66" s="460">
        <v>0</v>
      </c>
      <c r="P66" s="458">
        <v>1</v>
      </c>
      <c r="Q66" s="459" t="str">
        <f>IF(P66="","",":")</f>
        <v>:</v>
      </c>
      <c r="R66" s="460">
        <v>2</v>
      </c>
      <c r="S66" s="458">
        <v>2</v>
      </c>
      <c r="T66" s="459" t="str">
        <f>IF(S66="","",":")</f>
        <v>:</v>
      </c>
      <c r="U66" s="460">
        <v>0</v>
      </c>
      <c r="V66" s="458"/>
      <c r="W66" s="459" t="str">
        <f>IF(V66="","",":")</f>
        <v/>
      </c>
      <c r="X66" s="460"/>
      <c r="Y66" s="458"/>
      <c r="Z66" s="459" t="str">
        <f>IF(Y66="","",":")</f>
        <v/>
      </c>
      <c r="AA66" s="460"/>
      <c r="AB66" s="458"/>
      <c r="AC66" s="459" t="str">
        <f>IF(AB66="","",":")</f>
        <v/>
      </c>
      <c r="AD66" s="460"/>
      <c r="AE66" s="1186"/>
      <c r="AF66" s="1187"/>
      <c r="AG66" s="1176"/>
      <c r="AH66" s="1174"/>
    </row>
    <row r="67" spans="1:34" ht="12" customHeight="1" x14ac:dyDescent="0.2">
      <c r="A67" s="1163">
        <v>2</v>
      </c>
      <c r="B67" s="1165">
        <f>жеребьевка!Q72</f>
        <v>18</v>
      </c>
      <c r="C67" s="456" t="str">
        <f>IF(B67="","",VLOOKUP(B67,'Списки участников'!A:I,3,FALSE))</f>
        <v>КОРОЛЬ Владислав</v>
      </c>
      <c r="D67" s="1177">
        <f>IF(G65="","",IF(G66="W",0,IF(G65=2,1,IF(G65=1,2,IF(G65=0,2)))))</f>
        <v>1</v>
      </c>
      <c r="E67" s="1178"/>
      <c r="F67" s="1179"/>
      <c r="G67" s="1180"/>
      <c r="H67" s="1181"/>
      <c r="I67" s="1182"/>
      <c r="J67" s="1171">
        <v>2</v>
      </c>
      <c r="K67" s="1172"/>
      <c r="L67" s="1173"/>
      <c r="M67" s="1171">
        <v>2</v>
      </c>
      <c r="N67" s="1172"/>
      <c r="O67" s="1173"/>
      <c r="P67" s="1171">
        <v>2</v>
      </c>
      <c r="Q67" s="1172"/>
      <c r="R67" s="1173"/>
      <c r="S67" s="1171">
        <v>2</v>
      </c>
      <c r="T67" s="1172"/>
      <c r="U67" s="1173"/>
      <c r="V67" s="1171"/>
      <c r="W67" s="1172"/>
      <c r="X67" s="1173"/>
      <c r="Y67" s="1171"/>
      <c r="Z67" s="1172"/>
      <c r="AA67" s="1173"/>
      <c r="AB67" s="1171"/>
      <c r="AC67" s="1172"/>
      <c r="AD67" s="1173"/>
      <c r="AE67" s="1184">
        <f>IF(B67="","",SUM(D67,J67,M67,P67,S67,V67,Y67,AB67,))</f>
        <v>9</v>
      </c>
      <c r="AF67" s="1185"/>
      <c r="AG67" s="1175">
        <v>1</v>
      </c>
      <c r="AH67" s="1174">
        <v>2</v>
      </c>
    </row>
    <row r="68" spans="1:34" ht="12" customHeight="1" x14ac:dyDescent="0.2">
      <c r="A68" s="1164"/>
      <c r="B68" s="1166"/>
      <c r="C68" s="457" t="str">
        <f>IF(B67="","",VLOOKUP(B67,'Списки участников'!A:I,6,FALSE))</f>
        <v>Москва</v>
      </c>
      <c r="D68" s="461">
        <f>IF(G66="","",IF(I66="l","W",I66))</f>
        <v>0</v>
      </c>
      <c r="E68" s="462" t="str">
        <f>IF(G65="","",":")</f>
        <v>:</v>
      </c>
      <c r="F68" s="463">
        <f>IF(I66="","",IF(G66="W","L",G66))</f>
        <v>2</v>
      </c>
      <c r="G68" s="1183"/>
      <c r="H68" s="1169"/>
      <c r="I68" s="1170"/>
      <c r="J68" s="458">
        <v>2</v>
      </c>
      <c r="K68" s="459" t="str">
        <f>IF(J67="","",":")</f>
        <v>:</v>
      </c>
      <c r="L68" s="460">
        <v>1</v>
      </c>
      <c r="M68" s="458">
        <v>2</v>
      </c>
      <c r="N68" s="459" t="str">
        <f>IF(M67="","",":")</f>
        <v>:</v>
      </c>
      <c r="O68" s="460">
        <v>0</v>
      </c>
      <c r="P68" s="458">
        <v>2</v>
      </c>
      <c r="Q68" s="459" t="str">
        <f>IF(P67="","",":")</f>
        <v>:</v>
      </c>
      <c r="R68" s="460">
        <v>0</v>
      </c>
      <c r="S68" s="458">
        <v>2</v>
      </c>
      <c r="T68" s="459" t="str">
        <f>IF(S68="","",":")</f>
        <v>:</v>
      </c>
      <c r="U68" s="460">
        <v>0</v>
      </c>
      <c r="V68" s="458"/>
      <c r="W68" s="459" t="str">
        <f>IF(V68="","",":")</f>
        <v/>
      </c>
      <c r="X68" s="460"/>
      <c r="Y68" s="458"/>
      <c r="Z68" s="459" t="str">
        <f>IF(Y68="","",":")</f>
        <v/>
      </c>
      <c r="AA68" s="460"/>
      <c r="AB68" s="458"/>
      <c r="AC68" s="459" t="str">
        <f>IF(AB68="","",":")</f>
        <v/>
      </c>
      <c r="AD68" s="460"/>
      <c r="AE68" s="1186"/>
      <c r="AF68" s="1187"/>
      <c r="AG68" s="1176"/>
      <c r="AH68" s="1174"/>
    </row>
    <row r="69" spans="1:34" ht="12" customHeight="1" x14ac:dyDescent="0.2">
      <c r="A69" s="1163">
        <v>3</v>
      </c>
      <c r="B69" s="1165">
        <f>жеребьевка!Q74</f>
        <v>50</v>
      </c>
      <c r="C69" s="456" t="str">
        <f>IF(B69="","",VLOOKUP(B69,'Списки участников'!A:I,3,FALSE))</f>
        <v>ПИВОВАРОВ Иван</v>
      </c>
      <c r="D69" s="1177">
        <f>IF(J65="","",IF(J66="W",0,IF(J65=2,1,IF(J65=1,2,IF(J65=0,2)))))</f>
        <v>1</v>
      </c>
      <c r="E69" s="1178"/>
      <c r="F69" s="1179"/>
      <c r="G69" s="1171">
        <f>IF(J67="","",IF(J68="W",0,IF(J67=2,1,IF(J67=1,2,IF(J67=0,2)))))</f>
        <v>1</v>
      </c>
      <c r="H69" s="1172"/>
      <c r="I69" s="1173"/>
      <c r="J69" s="1180"/>
      <c r="K69" s="1181"/>
      <c r="L69" s="1182"/>
      <c r="M69" s="1171">
        <v>2</v>
      </c>
      <c r="N69" s="1172"/>
      <c r="O69" s="1173"/>
      <c r="P69" s="1171">
        <v>1</v>
      </c>
      <c r="Q69" s="1172"/>
      <c r="R69" s="1173"/>
      <c r="S69" s="1171">
        <v>1</v>
      </c>
      <c r="T69" s="1172"/>
      <c r="U69" s="1173"/>
      <c r="V69" s="1171"/>
      <c r="W69" s="1172"/>
      <c r="X69" s="1173"/>
      <c r="Y69" s="1171"/>
      <c r="Z69" s="1172"/>
      <c r="AA69" s="1173"/>
      <c r="AB69" s="1171"/>
      <c r="AC69" s="1172"/>
      <c r="AD69" s="1173"/>
      <c r="AE69" s="1184">
        <f>IF(B69="","",SUM(G69,D69,M69,P69,S69,V69,Y69,AB69,))</f>
        <v>6</v>
      </c>
      <c r="AF69" s="1185"/>
      <c r="AG69" s="1188"/>
      <c r="AH69" s="1174">
        <v>5</v>
      </c>
    </row>
    <row r="70" spans="1:34" ht="12" customHeight="1" x14ac:dyDescent="0.2">
      <c r="A70" s="1164"/>
      <c r="B70" s="1166"/>
      <c r="C70" s="457" t="str">
        <f>IF(B69="","",VLOOKUP(B69,'Списки участников'!A:I,6,FALSE))</f>
        <v>Москва</v>
      </c>
      <c r="D70" s="464">
        <f>IF(J66="","",IF(L66="l","W",L66))</f>
        <v>0</v>
      </c>
      <c r="E70" s="459" t="str">
        <f>IF(K66="","",":")</f>
        <v>:</v>
      </c>
      <c r="F70" s="465">
        <f>IF(L66="","",IF(J66="W","L",J66))</f>
        <v>2</v>
      </c>
      <c r="G70" s="464">
        <f>IF(J68="","",IF(L68="l","W",L68))</f>
        <v>1</v>
      </c>
      <c r="H70" s="459" t="str">
        <f>IF(K68="","",":")</f>
        <v>:</v>
      </c>
      <c r="I70" s="465">
        <f>IF(L68="","",IF(J68="W","L",J68))</f>
        <v>2</v>
      </c>
      <c r="J70" s="1183"/>
      <c r="K70" s="1169"/>
      <c r="L70" s="1170"/>
      <c r="M70" s="458">
        <v>2</v>
      </c>
      <c r="N70" s="459" t="str">
        <f>IF(M69="","",":")</f>
        <v>:</v>
      </c>
      <c r="O70" s="460">
        <v>0</v>
      </c>
      <c r="P70" s="458">
        <v>0</v>
      </c>
      <c r="Q70" s="459" t="str">
        <f>IF(P69="","",":")</f>
        <v>:</v>
      </c>
      <c r="R70" s="460">
        <v>2</v>
      </c>
      <c r="S70" s="458">
        <v>1</v>
      </c>
      <c r="T70" s="459" t="str">
        <f>IF(S69="","",":")</f>
        <v>:</v>
      </c>
      <c r="U70" s="460">
        <v>2</v>
      </c>
      <c r="V70" s="458"/>
      <c r="W70" s="459" t="str">
        <f>IF(V70="","",":")</f>
        <v/>
      </c>
      <c r="X70" s="460"/>
      <c r="Y70" s="458"/>
      <c r="Z70" s="459" t="str">
        <f>IF(Y70="","",":")</f>
        <v/>
      </c>
      <c r="AA70" s="460"/>
      <c r="AB70" s="458"/>
      <c r="AC70" s="459" t="str">
        <f>IF(AB70="","",":")</f>
        <v/>
      </c>
      <c r="AD70" s="460"/>
      <c r="AE70" s="1186"/>
      <c r="AF70" s="1187"/>
      <c r="AG70" s="1189"/>
      <c r="AH70" s="1174"/>
    </row>
    <row r="71" spans="1:34" ht="12" customHeight="1" x14ac:dyDescent="0.2">
      <c r="A71" s="1163">
        <v>4</v>
      </c>
      <c r="B71" s="1165">
        <f>жеребьевка!Q76</f>
        <v>51</v>
      </c>
      <c r="C71" s="456" t="str">
        <f>IF(B71="","",VLOOKUP(B71,'Списки участников'!A:I,3,FALSE))</f>
        <v>АРИСТОВ Александр</v>
      </c>
      <c r="D71" s="1171">
        <f>IF(M65="","",IF(M66="W",0,IF(M65=2,1,IF(M65=1,2,IF(M65=0,2)))))</f>
        <v>1</v>
      </c>
      <c r="E71" s="1172"/>
      <c r="F71" s="1173"/>
      <c r="G71" s="1171">
        <f>IF(M67="","",IF(M68="W",0,IF(M67=2,1,IF(M67=1,2,IF(M67=0,2)))))</f>
        <v>1</v>
      </c>
      <c r="H71" s="1172"/>
      <c r="I71" s="1173"/>
      <c r="J71" s="1171">
        <f>IF(M69="","",IF(M70="W",0,IF(M69=2,1,IF(M69=1,2,IF(M69=0,2)))))</f>
        <v>1</v>
      </c>
      <c r="K71" s="1172"/>
      <c r="L71" s="1173"/>
      <c r="M71" s="1181"/>
      <c r="N71" s="1181"/>
      <c r="O71" s="1181"/>
      <c r="P71" s="1171">
        <v>1</v>
      </c>
      <c r="Q71" s="1172"/>
      <c r="R71" s="1173"/>
      <c r="S71" s="1171">
        <v>1</v>
      </c>
      <c r="T71" s="1172"/>
      <c r="U71" s="1173"/>
      <c r="V71" s="1171"/>
      <c r="W71" s="1172"/>
      <c r="X71" s="1173"/>
      <c r="Y71" s="1171"/>
      <c r="Z71" s="1172"/>
      <c r="AA71" s="1173"/>
      <c r="AB71" s="1171"/>
      <c r="AC71" s="1172"/>
      <c r="AD71" s="1173"/>
      <c r="AE71" s="1184">
        <f>IF(B71="","",SUM(G71,J71,D71,P71,S71,V71,Y71,AB71,))</f>
        <v>5</v>
      </c>
      <c r="AF71" s="1185"/>
      <c r="AG71" s="1188"/>
      <c r="AH71" s="1174">
        <f>IF(B71="","",RANK(AE71,ГР16О))</f>
        <v>6</v>
      </c>
    </row>
    <row r="72" spans="1:34" ht="12" customHeight="1" x14ac:dyDescent="0.2">
      <c r="A72" s="1164"/>
      <c r="B72" s="1166"/>
      <c r="C72" s="457" t="str">
        <f>IF(B71="","",VLOOKUP(B71,'Списки участников'!A:I,6,FALSE))</f>
        <v>Москва</v>
      </c>
      <c r="D72" s="464">
        <f>IF(M66="","",IF(O66="l","W",O66))</f>
        <v>0</v>
      </c>
      <c r="E72" s="459" t="str">
        <f>IF(N66="","",":")</f>
        <v>:</v>
      </c>
      <c r="F72" s="465">
        <f>IF(O66="","",IF(M66="W","L",M66))</f>
        <v>2</v>
      </c>
      <c r="G72" s="464">
        <f>IF(M68="","",IF(O68="l","W",O68))</f>
        <v>0</v>
      </c>
      <c r="H72" s="459" t="str">
        <f>IF(N68="","",":")</f>
        <v>:</v>
      </c>
      <c r="I72" s="465">
        <f>IF(O68="","",IF(M68="W","L",M68))</f>
        <v>2</v>
      </c>
      <c r="J72" s="464">
        <f>IF(M70="","",IF(O70="l","W",O70))</f>
        <v>0</v>
      </c>
      <c r="K72" s="459" t="str">
        <f>IF(N70="","",":")</f>
        <v>:</v>
      </c>
      <c r="L72" s="465">
        <f>IF(O70="","",IF(M70="W","L",M70))</f>
        <v>2</v>
      </c>
      <c r="M72" s="1190"/>
      <c r="N72" s="1190"/>
      <c r="O72" s="1190"/>
      <c r="P72" s="458">
        <v>0</v>
      </c>
      <c r="Q72" s="459" t="str">
        <f>IF(P71="","",":")</f>
        <v>:</v>
      </c>
      <c r="R72" s="460">
        <v>2</v>
      </c>
      <c r="S72" s="458">
        <v>0</v>
      </c>
      <c r="T72" s="459" t="str">
        <f>IF(S71="","",":")</f>
        <v>:</v>
      </c>
      <c r="U72" s="460">
        <v>2</v>
      </c>
      <c r="V72" s="458"/>
      <c r="W72" s="459" t="str">
        <f>IF(V71="","",":")</f>
        <v/>
      </c>
      <c r="X72" s="460"/>
      <c r="Y72" s="458"/>
      <c r="Z72" s="459" t="str">
        <f>IF(Y72="","",":")</f>
        <v/>
      </c>
      <c r="AA72" s="460"/>
      <c r="AB72" s="458"/>
      <c r="AC72" s="459" t="str">
        <f>IF(AB72="","",":")</f>
        <v/>
      </c>
      <c r="AD72" s="460"/>
      <c r="AE72" s="1186"/>
      <c r="AF72" s="1187"/>
      <c r="AG72" s="1189"/>
      <c r="AH72" s="1174"/>
    </row>
    <row r="73" spans="1:34" ht="12" customHeight="1" x14ac:dyDescent="0.2">
      <c r="A73" s="1163">
        <v>5</v>
      </c>
      <c r="B73" s="1165">
        <f>жеребьевка!Q78</f>
        <v>84</v>
      </c>
      <c r="C73" s="456" t="str">
        <f>IF(B73="","",VLOOKUP(B73,'Списки участников'!A:I,3,FALSE))</f>
        <v>ЗОЛОТКОВ Максим</v>
      </c>
      <c r="D73" s="1171">
        <f>IF(P65="","",IF(P66="W",0,IF(P65=2,1,IF(P65=1,2,IF(P65=0,2)))))</f>
        <v>2</v>
      </c>
      <c r="E73" s="1172"/>
      <c r="F73" s="1173"/>
      <c r="G73" s="1171">
        <f>IF(P67="","",IF(P68="W",0,IF(P67=2,1,IF(P67=1,2,IF(P67=0,2)))))</f>
        <v>1</v>
      </c>
      <c r="H73" s="1172"/>
      <c r="I73" s="1173"/>
      <c r="J73" s="1171">
        <f>IF(P69="","",IF(P70="W",0,IF(P69=2,1,IF(P69=1,2,IF(P69=0,2)))))</f>
        <v>2</v>
      </c>
      <c r="K73" s="1172"/>
      <c r="L73" s="1173"/>
      <c r="M73" s="1171">
        <f>IF(P71="","",IF(P72="W",0,IF(P71=2,1,IF(P71=1,2,IF(P71=0,2)))))</f>
        <v>2</v>
      </c>
      <c r="N73" s="1172"/>
      <c r="O73" s="1173"/>
      <c r="P73" s="1180"/>
      <c r="Q73" s="1181"/>
      <c r="R73" s="1182"/>
      <c r="S73" s="1171">
        <v>2</v>
      </c>
      <c r="T73" s="1172"/>
      <c r="U73" s="1173"/>
      <c r="V73" s="1171"/>
      <c r="W73" s="1172"/>
      <c r="X73" s="1173"/>
      <c r="Y73" s="1171"/>
      <c r="Z73" s="1172"/>
      <c r="AA73" s="1173"/>
      <c r="AB73" s="1171"/>
      <c r="AC73" s="1172"/>
      <c r="AD73" s="1173"/>
      <c r="AE73" s="1184">
        <f>IF(B73="","",SUM(G73,J73,M73,D73,S73,V73,Y73,AB73,))</f>
        <v>9</v>
      </c>
      <c r="AF73" s="1185"/>
      <c r="AG73" s="1188">
        <v>0.66669999999999996</v>
      </c>
      <c r="AH73" s="1174">
        <v>3</v>
      </c>
    </row>
    <row r="74" spans="1:34" ht="12" customHeight="1" x14ac:dyDescent="0.2">
      <c r="A74" s="1164"/>
      <c r="B74" s="1166"/>
      <c r="C74" s="457" t="str">
        <f>IF(B73="","",VLOOKUP(B73,'Списки участников'!A:I,6,FALSE))</f>
        <v>Пушкин  М.о.</v>
      </c>
      <c r="D74" s="464">
        <f>IF(P66="","",IF(R66="l","W",R66))</f>
        <v>2</v>
      </c>
      <c r="E74" s="459" t="str">
        <f>IF(Q66="","",":")</f>
        <v>:</v>
      </c>
      <c r="F74" s="465">
        <f>IF(R66="","",IF(P66="W","L",P66))</f>
        <v>1</v>
      </c>
      <c r="G74" s="464">
        <f>IF(P68="","",IF(R68="l","W",R68))</f>
        <v>0</v>
      </c>
      <c r="H74" s="459" t="str">
        <f>IF(Q68="","",":")</f>
        <v>:</v>
      </c>
      <c r="I74" s="465">
        <f>IF(R68="","",IF(P68="W","L",P68))</f>
        <v>2</v>
      </c>
      <c r="J74" s="464">
        <f>IF(P70="","",IF(R70="l","W",R70))</f>
        <v>2</v>
      </c>
      <c r="K74" s="459" t="str">
        <f>IF(Q70="","",":")</f>
        <v>:</v>
      </c>
      <c r="L74" s="465">
        <f>IF(R70="","",IF(P70="W","L",P70))</f>
        <v>0</v>
      </c>
      <c r="M74" s="464">
        <f>IF(P72="","",IF(R72="l","W",R72))</f>
        <v>2</v>
      </c>
      <c r="N74" s="459" t="str">
        <f>IF(Q72="","",":")</f>
        <v>:</v>
      </c>
      <c r="O74" s="465">
        <f>IF(R72="","",IF(P72="W","L",P72))</f>
        <v>0</v>
      </c>
      <c r="P74" s="1183"/>
      <c r="Q74" s="1169"/>
      <c r="R74" s="1170"/>
      <c r="S74" s="458">
        <v>2</v>
      </c>
      <c r="T74" s="459" t="str">
        <f>IF(S73="","",":")</f>
        <v>:</v>
      </c>
      <c r="U74" s="460">
        <v>0</v>
      </c>
      <c r="V74" s="458"/>
      <c r="W74" s="459" t="str">
        <f>IF(V73="","",":")</f>
        <v/>
      </c>
      <c r="X74" s="460"/>
      <c r="Y74" s="458"/>
      <c r="Z74" s="459" t="str">
        <f>IF(Y73="","",":")</f>
        <v/>
      </c>
      <c r="AA74" s="460"/>
      <c r="AB74" s="458"/>
      <c r="AC74" s="459" t="str">
        <f>IF(AB74="","",":")</f>
        <v/>
      </c>
      <c r="AD74" s="460"/>
      <c r="AE74" s="1186"/>
      <c r="AF74" s="1187"/>
      <c r="AG74" s="1189"/>
      <c r="AH74" s="1174"/>
    </row>
    <row r="75" spans="1:34" ht="12" customHeight="1" x14ac:dyDescent="0.2">
      <c r="A75" s="1163">
        <v>6</v>
      </c>
      <c r="B75" s="1165">
        <f>жеребьевка!Q80</f>
        <v>85</v>
      </c>
      <c r="C75" s="456" t="str">
        <f>IF(B75="","",VLOOKUP(B75,'Списки участников'!A:I,3,FALSE))</f>
        <v>УШКАРЕВ Максим</v>
      </c>
      <c r="D75" s="1171">
        <f>IF(S65="","",IF(S66="W",0,IF(S65=2,1,IF(S65=1,2,IF(S65=0,2)))))</f>
        <v>1</v>
      </c>
      <c r="E75" s="1172"/>
      <c r="F75" s="1173"/>
      <c r="G75" s="1171">
        <f>IF(S67="","",IF(S68="W",0,IF(S67=2,1,IF(S67=1,2,IF(S67=0,2)))))</f>
        <v>1</v>
      </c>
      <c r="H75" s="1172"/>
      <c r="I75" s="1173"/>
      <c r="J75" s="1171">
        <f>IF(S69="","",IF(S70="W",0,IF(S69=2,1,IF(S69=1,2,IF(S69=0,2)))))</f>
        <v>2</v>
      </c>
      <c r="K75" s="1172"/>
      <c r="L75" s="1173"/>
      <c r="M75" s="1171">
        <f>IF(S71="","",IF(S72="W",0,IF(S71=2,1,IF(S71=1,2,IF(S71=0,2)))))</f>
        <v>2</v>
      </c>
      <c r="N75" s="1172"/>
      <c r="O75" s="1173"/>
      <c r="P75" s="1171">
        <f>IF(S73="","",IF(S74="W",0,IF(S73=2,1,IF(S73=1,2,IF(S73=0,2)))))</f>
        <v>1</v>
      </c>
      <c r="Q75" s="1172"/>
      <c r="R75" s="1173"/>
      <c r="S75" s="1180"/>
      <c r="T75" s="1181"/>
      <c r="U75" s="1182"/>
      <c r="V75" s="1171"/>
      <c r="W75" s="1172"/>
      <c r="X75" s="1173"/>
      <c r="Y75" s="1171"/>
      <c r="Z75" s="1172"/>
      <c r="AA75" s="1173"/>
      <c r="AB75" s="1171"/>
      <c r="AC75" s="1172"/>
      <c r="AD75" s="1173"/>
      <c r="AE75" s="1184">
        <f>IF(B75="","",SUM(G75,J75,M75,P75,D75,V75,Y75,AB75,))</f>
        <v>7</v>
      </c>
      <c r="AF75" s="1185"/>
      <c r="AG75" s="1188"/>
      <c r="AH75" s="1174">
        <f>IF(B75="","",RANK(AE75,ГР16О))</f>
        <v>4</v>
      </c>
    </row>
    <row r="76" spans="1:34" ht="12" customHeight="1" x14ac:dyDescent="0.2">
      <c r="A76" s="1164"/>
      <c r="B76" s="1166"/>
      <c r="C76" s="457" t="str">
        <f>IF(B75="","",VLOOKUP(B75,'Списки участников'!A:I,6,FALSE))</f>
        <v>Жуковский</v>
      </c>
      <c r="D76" s="464">
        <f>IF(S66="","",IF(U66="l","W",U66))</f>
        <v>0</v>
      </c>
      <c r="E76" s="459" t="str">
        <f>IF(T66="","",":")</f>
        <v>:</v>
      </c>
      <c r="F76" s="465">
        <f>IF(U66="","",IF(S66="W","L",S66))</f>
        <v>2</v>
      </c>
      <c r="G76" s="464">
        <f>IF(S68="","",IF(U68="l","W",U68))</f>
        <v>0</v>
      </c>
      <c r="H76" s="459" t="str">
        <f>IF(Q68="","",":")</f>
        <v>:</v>
      </c>
      <c r="I76" s="465">
        <f>IF(U68="","",IF(S68="W","L",S68))</f>
        <v>2</v>
      </c>
      <c r="J76" s="464">
        <f>IF(S70="","",IF(U70="l","W",U70))</f>
        <v>2</v>
      </c>
      <c r="K76" s="459" t="str">
        <f>IF(T70="","",":")</f>
        <v>:</v>
      </c>
      <c r="L76" s="465">
        <f>IF(U70="","",IF(S70="W","L",S70))</f>
        <v>1</v>
      </c>
      <c r="M76" s="464">
        <f>IF(S72="","",IF(U72="l","W",U72))</f>
        <v>2</v>
      </c>
      <c r="N76" s="459" t="str">
        <f>IF(T72="","",":")</f>
        <v>:</v>
      </c>
      <c r="O76" s="465">
        <f>IF(U72="","",IF(S72="W","L",S72))</f>
        <v>0</v>
      </c>
      <c r="P76" s="464">
        <f>IF(S74="","",IF(U74="l","W",U74))</f>
        <v>0</v>
      </c>
      <c r="Q76" s="459" t="str">
        <f>IF(T74="","",":")</f>
        <v>:</v>
      </c>
      <c r="R76" s="465">
        <f>IF(U74="","",IF(S74="W","L",S74))</f>
        <v>2</v>
      </c>
      <c r="S76" s="1183"/>
      <c r="T76" s="1169"/>
      <c r="U76" s="1170"/>
      <c r="V76" s="458"/>
      <c r="W76" s="459" t="str">
        <f>IF(V75="","",":")</f>
        <v/>
      </c>
      <c r="X76" s="460"/>
      <c r="Y76" s="458"/>
      <c r="Z76" s="459" t="str">
        <f>IF(Y75="","",":")</f>
        <v/>
      </c>
      <c r="AA76" s="460"/>
      <c r="AB76" s="458"/>
      <c r="AC76" s="459" t="str">
        <f>IF(AB75="","",":")</f>
        <v/>
      </c>
      <c r="AD76" s="460"/>
      <c r="AE76" s="1186"/>
      <c r="AF76" s="1187"/>
      <c r="AG76" s="1189"/>
      <c r="AH76" s="1174"/>
    </row>
    <row r="77" spans="1:34" ht="12" customHeight="1" x14ac:dyDescent="0.2">
      <c r="A77" s="1163">
        <v>7</v>
      </c>
      <c r="B77" s="1165"/>
      <c r="C77" s="456" t="str">
        <f>IF(B77="","",VLOOKUP(B77,'Списки участников'!A:I,3,FALSE))</f>
        <v/>
      </c>
      <c r="D77" s="1171" t="str">
        <f>IF(V65="","",IF(V66="W",0,IF(V65=2,1,IF(V65=1,2,IF(V65=0,2)))))</f>
        <v/>
      </c>
      <c r="E77" s="1172"/>
      <c r="F77" s="1173"/>
      <c r="G77" s="1171" t="str">
        <f>IF(V67="","",IF(V68="W",0,IF(V67=2,1,IF(V67=1,2,IF(V67=0,2)))))</f>
        <v/>
      </c>
      <c r="H77" s="1172"/>
      <c r="I77" s="1173"/>
      <c r="J77" s="1171" t="str">
        <f>IF(V69="","",IF(V70="W",0,IF(V69=2,1,IF(V69=1,2,IF(V69=0,2)))))</f>
        <v/>
      </c>
      <c r="K77" s="1172"/>
      <c r="L77" s="1173"/>
      <c r="M77" s="1171" t="str">
        <f>IF(V71="","",IF(V72="W",0,IF(V71=2,1,IF(V71=1,2,IF(V71=0,2)))))</f>
        <v/>
      </c>
      <c r="N77" s="1172"/>
      <c r="O77" s="1173"/>
      <c r="P77" s="1171" t="str">
        <f>IF(V73="","",IF(V74="W",0,IF(V73=2,1,IF(V73=1,2,IF(V73=0,2)))))</f>
        <v/>
      </c>
      <c r="Q77" s="1172"/>
      <c r="R77" s="1173"/>
      <c r="S77" s="1171" t="str">
        <f>IF(V75="","",IF(V76="W",0,IF(V75=2,1,IF(V75=1,2,IF(V75=0,2)))))</f>
        <v/>
      </c>
      <c r="T77" s="1172"/>
      <c r="U77" s="1173"/>
      <c r="V77" s="1191"/>
      <c r="W77" s="1167"/>
      <c r="X77" s="1168"/>
      <c r="Y77" s="1171"/>
      <c r="Z77" s="1172"/>
      <c r="AA77" s="1173"/>
      <c r="AB77" s="1171"/>
      <c r="AC77" s="1172"/>
      <c r="AD77" s="1173"/>
      <c r="AE77" s="1184" t="str">
        <f>IF(B77="","",SUM(G77,J77,M77,P77,S77,D77,Y77,AB77,))</f>
        <v/>
      </c>
      <c r="AF77" s="1185"/>
      <c r="AG77" s="1188"/>
      <c r="AH77" s="1174" t="str">
        <f>IF(B77="","",RANK(AE77,ГР16О))</f>
        <v/>
      </c>
    </row>
    <row r="78" spans="1:34" ht="12" customHeight="1" x14ac:dyDescent="0.2">
      <c r="A78" s="1164"/>
      <c r="B78" s="1166"/>
      <c r="C78" s="457" t="str">
        <f>IF(B77="","",VLOOKUP(B77,'Списки участников'!A:I,6,FALSE))</f>
        <v/>
      </c>
      <c r="D78" s="464" t="str">
        <f>IF(V66="","",IF(X66="l","W",X66))</f>
        <v/>
      </c>
      <c r="E78" s="459" t="str">
        <f>IF(W66="","",":")</f>
        <v/>
      </c>
      <c r="F78" s="465" t="str">
        <f>IF(X66="","",IF(V66="W","L",V66))</f>
        <v/>
      </c>
      <c r="G78" s="464" t="str">
        <f>IF(V68="","",IF(X68="l","W",X68))</f>
        <v/>
      </c>
      <c r="H78" s="459" t="str">
        <f>IF(W68="","",":")</f>
        <v/>
      </c>
      <c r="I78" s="465" t="str">
        <f>IF(X68="","",IF(V68="W","L",V68))</f>
        <v/>
      </c>
      <c r="J78" s="464" t="str">
        <f>IF(V70="","",IF(X70="l","W",X70))</f>
        <v/>
      </c>
      <c r="K78" s="459" t="str">
        <f>IF(W70="","",":")</f>
        <v/>
      </c>
      <c r="L78" s="465" t="str">
        <f>IF(X70="","",IF(V70="W","L",V70))</f>
        <v/>
      </c>
      <c r="M78" s="464" t="str">
        <f>IF(V72="","",IF(X72="l","W",X72))</f>
        <v/>
      </c>
      <c r="N78" s="459" t="str">
        <f>IF(W72="","",":")</f>
        <v/>
      </c>
      <c r="O78" s="465" t="str">
        <f>IF(X72="","",IF(V72="W","L",V72))</f>
        <v/>
      </c>
      <c r="P78" s="464" t="str">
        <f>IF(V74="","",IF(X74="l","W",X74))</f>
        <v/>
      </c>
      <c r="Q78" s="459" t="str">
        <f>IF(W74="","",":")</f>
        <v/>
      </c>
      <c r="R78" s="465" t="str">
        <f>IF(X74="","",IF(V74="W","L",V74))</f>
        <v/>
      </c>
      <c r="S78" s="464" t="str">
        <f>IF(V76="","",IF(X76="l","W",X76))</f>
        <v/>
      </c>
      <c r="T78" s="459" t="str">
        <f>IF(W76="","",":")</f>
        <v/>
      </c>
      <c r="U78" s="465" t="str">
        <f>IF(X76="","",IF(V76="W","L",V76))</f>
        <v/>
      </c>
      <c r="V78" s="1183"/>
      <c r="W78" s="1169"/>
      <c r="X78" s="1170"/>
      <c r="Y78" s="458"/>
      <c r="Z78" s="459" t="str">
        <f>IF(Y77="","",":")</f>
        <v/>
      </c>
      <c r="AA78" s="460"/>
      <c r="AB78" s="458"/>
      <c r="AC78" s="459" t="str">
        <f>IF(AB77="","",":")</f>
        <v/>
      </c>
      <c r="AD78" s="460"/>
      <c r="AE78" s="1186"/>
      <c r="AF78" s="1187"/>
      <c r="AG78" s="1189"/>
      <c r="AH78" s="1174"/>
    </row>
    <row r="79" spans="1:34" ht="12" customHeight="1" x14ac:dyDescent="0.2">
      <c r="A79" s="1163">
        <v>8</v>
      </c>
      <c r="B79" s="1165"/>
      <c r="C79" s="456" t="str">
        <f>IF(B79="","",VLOOKUP(B79,'Списки участников'!A:I,3,FALSE))</f>
        <v/>
      </c>
      <c r="D79" s="1171" t="str">
        <f>IF(Y65="","",IF(Y66="W",0,IF(Y65=2,1,IF(Y65=1,2,IF(Y65=0,2)))))</f>
        <v/>
      </c>
      <c r="E79" s="1172"/>
      <c r="F79" s="1173"/>
      <c r="G79" s="1171" t="str">
        <f>IF(Y67="","",IF(Y68="W",0,IF(Y67=2,1,IF(Y67=1,2,IF(Y67=0,2)))))</f>
        <v/>
      </c>
      <c r="H79" s="1172"/>
      <c r="I79" s="1173"/>
      <c r="J79" s="1171" t="str">
        <f>IF(Y69="","",IF(Y70="W",0,IF(Y69=2,1,IF(Y69=1,2,IF(Y69=0,2)))))</f>
        <v/>
      </c>
      <c r="K79" s="1172"/>
      <c r="L79" s="1173"/>
      <c r="M79" s="1171" t="str">
        <f>IF(Y71="","",IF(Y72="W",0,IF(Y71=2,1,IF(Y71=1,2,IF(Y71=0,2)))))</f>
        <v/>
      </c>
      <c r="N79" s="1172"/>
      <c r="O79" s="1173"/>
      <c r="P79" s="1171" t="str">
        <f>IF(Y73="","",IF(Y74="W",0,IF(Y73=2,1,IF(Y73=1,2,IF(Y73=0,2)))))</f>
        <v/>
      </c>
      <c r="Q79" s="1172"/>
      <c r="R79" s="1173"/>
      <c r="S79" s="1171" t="str">
        <f>IF(Y75="","",IF(Y76="W",0,IF(Y75=2,1,IF(Y75=1,2,IF(Y75=0,2)))))</f>
        <v/>
      </c>
      <c r="T79" s="1172"/>
      <c r="U79" s="1173"/>
      <c r="V79" s="1171" t="str">
        <f>IF(Y77="","",IF(Y78="W",0,IF(Y77=2,1,IF(Y77=1,2,IF(Y77=0,2)))))</f>
        <v/>
      </c>
      <c r="W79" s="1172"/>
      <c r="X79" s="1173"/>
      <c r="Y79" s="1180"/>
      <c r="Z79" s="1181"/>
      <c r="AA79" s="1182"/>
      <c r="AB79" s="1171"/>
      <c r="AC79" s="1172"/>
      <c r="AD79" s="1173"/>
      <c r="AE79" s="1184" t="str">
        <f>IF(B79="","",SUM(G79,J79,M79,P79,S79,V79,D79,AB79,))</f>
        <v/>
      </c>
      <c r="AF79" s="1185"/>
      <c r="AG79" s="1188"/>
      <c r="AH79" s="1174" t="str">
        <f>IF(B79="","",RANK(AE79,ГР16О))</f>
        <v/>
      </c>
    </row>
    <row r="80" spans="1:34" ht="12" customHeight="1" x14ac:dyDescent="0.2">
      <c r="A80" s="1164"/>
      <c r="B80" s="1166"/>
      <c r="C80" s="457" t="str">
        <f>IF(B79="","",VLOOKUP(B79,'Списки участников'!A:I,6,FALSE))</f>
        <v/>
      </c>
      <c r="D80" s="464" t="str">
        <f>IF(Y66="","",IF(AA66="l","W",AA66))</f>
        <v/>
      </c>
      <c r="E80" s="459" t="str">
        <f>IF(Z66="","",":")</f>
        <v/>
      </c>
      <c r="F80" s="465" t="str">
        <f>IF(AA66="","",IF(Y66="W","L",Y66))</f>
        <v/>
      </c>
      <c r="G80" s="464" t="str">
        <f>IF(Y68="","",IF(AA68="l","W",AA68))</f>
        <v/>
      </c>
      <c r="H80" s="459" t="str">
        <f>IF(Z68="","",":")</f>
        <v/>
      </c>
      <c r="I80" s="465" t="str">
        <f>IF(AA68="","",IF(Y68="W","L",Y68))</f>
        <v/>
      </c>
      <c r="J80" s="464" t="str">
        <f>IF(Y70="","",IF(AA70="l","W",AA70))</f>
        <v/>
      </c>
      <c r="K80" s="459" t="str">
        <f>IF(Z70="","",":")</f>
        <v/>
      </c>
      <c r="L80" s="465" t="str">
        <f>IF(AA70="","",IF(Y70="W","L",Y70))</f>
        <v/>
      </c>
      <c r="M80" s="464" t="str">
        <f>IF(Y72="","",IF(AA72="l","W",AA72))</f>
        <v/>
      </c>
      <c r="N80" s="459" t="str">
        <f>IF(Z72="","",":")</f>
        <v/>
      </c>
      <c r="O80" s="465" t="str">
        <f>IF(AA72="","",IF(Y72="W","L",Y72))</f>
        <v/>
      </c>
      <c r="P80" s="464" t="str">
        <f>IF(Y74="","",IF(AA74="l","W",AA74))</f>
        <v/>
      </c>
      <c r="Q80" s="459" t="str">
        <f>IF(Z74="","",":")</f>
        <v/>
      </c>
      <c r="R80" s="465" t="str">
        <f>IF(AA74="","",IF(Y74="W","L",Y74))</f>
        <v/>
      </c>
      <c r="S80" s="464" t="str">
        <f>IF(Y76="","",IF(AA76="l","W",AA76))</f>
        <v/>
      </c>
      <c r="T80" s="459" t="str">
        <f>IF(Z76="","",":")</f>
        <v/>
      </c>
      <c r="U80" s="465" t="str">
        <f>IF(AA76="","",IF(Y76="W","L",Y76))</f>
        <v/>
      </c>
      <c r="V80" s="464" t="str">
        <f>IF(Y78="","",IF(AA78="l","W",AA78))</f>
        <v/>
      </c>
      <c r="W80" s="459" t="str">
        <f>IF(Z78="","",":")</f>
        <v/>
      </c>
      <c r="X80" s="465" t="str">
        <f>IF(AA78="","",IF(Y78="W","L",Y78))</f>
        <v/>
      </c>
      <c r="Y80" s="1183"/>
      <c r="Z80" s="1169"/>
      <c r="AA80" s="1170"/>
      <c r="AB80" s="458"/>
      <c r="AC80" s="459" t="str">
        <f>IF(AB79="","",":")</f>
        <v/>
      </c>
      <c r="AD80" s="460"/>
      <c r="AE80" s="1186"/>
      <c r="AF80" s="1187"/>
      <c r="AG80" s="1189"/>
      <c r="AH80" s="1174"/>
    </row>
    <row r="81" spans="1:34" ht="12" hidden="1" customHeight="1" outlineLevel="1" x14ac:dyDescent="0.2">
      <c r="A81" s="1163">
        <v>9</v>
      </c>
      <c r="B81" s="1165">
        <f>жеребьевка!Q86</f>
        <v>0</v>
      </c>
      <c r="C81" s="456" t="e">
        <f>IF(B81="","",VLOOKUP(B81,'Списки участников'!A:I,3,FALSE))</f>
        <v>#N/A</v>
      </c>
      <c r="D81" s="1171" t="str">
        <f>IF(AB65="","",IF(AB66="W",0,IF(AB65=2,1,IF(AB65=1,2,IF(AB65=0,2)))))</f>
        <v/>
      </c>
      <c r="E81" s="1172"/>
      <c r="F81" s="1173"/>
      <c r="G81" s="1171" t="str">
        <f>IF(AB67="","",IF(AB68="W",0,IF(AB67=2,1,IF(AB67=1,2,IF(AB67=0,2)))))</f>
        <v/>
      </c>
      <c r="H81" s="1172"/>
      <c r="I81" s="1173"/>
      <c r="J81" s="1171" t="str">
        <f>IF(AB69="","",IF(AB70="W",0,IF(AB69=2,1,IF(AB69=1,2,IF(AB69=0,2)))))</f>
        <v/>
      </c>
      <c r="K81" s="1172"/>
      <c r="L81" s="1173"/>
      <c r="M81" s="1171" t="str">
        <f>IF(AB71="","",IF(AB72="W",0,IF(AB71=2,1,IF(AB71=1,2,IF(AB71=0,2)))))</f>
        <v/>
      </c>
      <c r="N81" s="1172"/>
      <c r="O81" s="1173"/>
      <c r="P81" s="1171" t="str">
        <f>IF(AB73="","",IF(AB74="W",0,IF(AB73=2,1,IF(AB73=1,2,IF(AB73=0,2)))))</f>
        <v/>
      </c>
      <c r="Q81" s="1172"/>
      <c r="R81" s="1173"/>
      <c r="S81" s="1171" t="str">
        <f>IF(AB75="","",IF(AB76="W",0,IF(AB75=2,1,IF(AB75=1,2,IF(AB75=0,2)))))</f>
        <v/>
      </c>
      <c r="T81" s="1172"/>
      <c r="U81" s="1173"/>
      <c r="V81" s="1171" t="str">
        <f>IF(AB77="","",IF(AB78="W",0,IF(AB77=2,1,IF(AB77=1,2,IF(AB77=0,2)))))</f>
        <v/>
      </c>
      <c r="W81" s="1172"/>
      <c r="X81" s="1173"/>
      <c r="Y81" s="1171" t="str">
        <f>IF(AB79="","",IF(AB80="W",0,IF(AB79=2,1,IF(AB79=1,2,IF(AB79=0,2)))))</f>
        <v/>
      </c>
      <c r="Z81" s="1172"/>
      <c r="AA81" s="1173"/>
      <c r="AB81" s="1180"/>
      <c r="AC81" s="1181"/>
      <c r="AD81" s="1182"/>
      <c r="AE81" s="1184">
        <f>IF(B81="","",SUM(G81,J81,M81,P81,S81,V81,Y81,D81,))</f>
        <v>0</v>
      </c>
      <c r="AF81" s="1185"/>
      <c r="AG81" s="1188"/>
      <c r="AH81" s="1174">
        <f>IF(B81="","",RANK(AE81,ГР16О))</f>
        <v>7</v>
      </c>
    </row>
    <row r="82" spans="1:34" ht="12" hidden="1" customHeight="1" outlineLevel="1" x14ac:dyDescent="0.2">
      <c r="A82" s="1164"/>
      <c r="B82" s="1166"/>
      <c r="C82" s="457" t="e">
        <f>IF(B81="","",VLOOKUP(B81,'Списки участников'!A:I,6,FALSE))</f>
        <v>#N/A</v>
      </c>
      <c r="D82" s="464" t="str">
        <f>IF(AB66="","",IF(AD66="l","W",AD66))</f>
        <v/>
      </c>
      <c r="E82" s="459" t="str">
        <f>IF(AC66="","",":")</f>
        <v/>
      </c>
      <c r="F82" s="465" t="str">
        <f>IF(AD66="","",IF(AB66="W","L",AB66))</f>
        <v/>
      </c>
      <c r="G82" s="464" t="str">
        <f>IF(AB68="","",IF(AD68="l","W",AD68))</f>
        <v/>
      </c>
      <c r="H82" s="459" t="str">
        <f>IF(AC68="","",":")</f>
        <v/>
      </c>
      <c r="I82" s="465" t="str">
        <f>IF(AD68="","",IF(AB68="W","L",AB68))</f>
        <v/>
      </c>
      <c r="J82" s="464" t="str">
        <f>IF(AB70="","",IF(AD70="l","W",AD70))</f>
        <v/>
      </c>
      <c r="K82" s="459" t="str">
        <f>IF(AC70="","",":")</f>
        <v/>
      </c>
      <c r="L82" s="465" t="str">
        <f>IF(AD70="","",IF(AB70="W","L",AB70))</f>
        <v/>
      </c>
      <c r="M82" s="464" t="str">
        <f>IF(AB72="","",IF(AD72="l","W",AD72))</f>
        <v/>
      </c>
      <c r="N82" s="459" t="str">
        <f>IF(AC72="","",":")</f>
        <v/>
      </c>
      <c r="O82" s="465" t="str">
        <f>IF(AD72="","",IF(AB72="W","L",AB72))</f>
        <v/>
      </c>
      <c r="P82" s="464" t="str">
        <f>IF(AB74="","",IF(AD74="l","W",AD74))</f>
        <v/>
      </c>
      <c r="Q82" s="459" t="str">
        <f>IF(AC74="","",":")</f>
        <v/>
      </c>
      <c r="R82" s="465" t="str">
        <f>IF(AD74="","",IF(AB74="W","L",AB74))</f>
        <v/>
      </c>
      <c r="S82" s="464" t="str">
        <f>IF(AB76="","",IF(AD76="l","W",AD76))</f>
        <v/>
      </c>
      <c r="T82" s="459" t="str">
        <f>IF(AC76="","",":")</f>
        <v/>
      </c>
      <c r="U82" s="465" t="str">
        <f>IF(AD76="","",IF(AB76="W","L",AB76))</f>
        <v/>
      </c>
      <c r="V82" s="464" t="str">
        <f>IF(AB78="","",IF(AD78="l","W",AD78))</f>
        <v/>
      </c>
      <c r="W82" s="459" t="str">
        <f>IF(AC78="","",":")</f>
        <v/>
      </c>
      <c r="X82" s="465" t="str">
        <f>IF(AD78="","",IF(AB78="W","L",AB78))</f>
        <v/>
      </c>
      <c r="Y82" s="464" t="str">
        <f>IF(AB80="","",IF(AD80="l","W",AD80))</f>
        <v/>
      </c>
      <c r="Z82" s="459" t="str">
        <f>IF(AC80="","",":")</f>
        <v/>
      </c>
      <c r="AA82" s="465" t="str">
        <f>IF(AD80="","",IF(AB80="W","L",AB80))</f>
        <v/>
      </c>
      <c r="AB82" s="1183"/>
      <c r="AC82" s="1169"/>
      <c r="AD82" s="1170"/>
      <c r="AE82" s="1186"/>
      <c r="AF82" s="1187"/>
      <c r="AG82" s="1189"/>
      <c r="AH82" s="1174"/>
    </row>
    <row r="83" spans="1:34" collapsed="1" x14ac:dyDescent="0.2"/>
    <row r="84" spans="1:34" ht="15.75" x14ac:dyDescent="0.25">
      <c r="C84" s="468" t="s">
        <v>791</v>
      </c>
      <c r="D84" s="1198" t="str">
        <f>'Списки участников'!I121</f>
        <v>В.А. Коваль</v>
      </c>
      <c r="E84" s="1198"/>
      <c r="F84" s="1198"/>
      <c r="G84" s="1198"/>
      <c r="H84" s="1198"/>
      <c r="I84" s="1198"/>
      <c r="J84" s="1198"/>
      <c r="K84" s="1198"/>
      <c r="L84" s="468"/>
      <c r="M84" s="468"/>
      <c r="N84" s="468"/>
      <c r="O84" s="468"/>
      <c r="P84" s="468"/>
      <c r="Q84" s="1198" t="s">
        <v>792</v>
      </c>
      <c r="R84" s="1198"/>
      <c r="S84" s="1198"/>
      <c r="T84" s="1198"/>
      <c r="U84" s="1198"/>
      <c r="V84" s="1198"/>
      <c r="W84" s="1198"/>
      <c r="X84" s="1198"/>
      <c r="Y84" s="468"/>
      <c r="Z84" s="468"/>
      <c r="AA84" s="468"/>
      <c r="AB84" s="468"/>
      <c r="AC84" s="1198" t="str">
        <f>'Списки участников'!I122</f>
        <v>А.С. Рожкова</v>
      </c>
      <c r="AD84" s="1198"/>
      <c r="AE84" s="1198"/>
      <c r="AF84" s="1198"/>
      <c r="AG84" s="1198"/>
    </row>
  </sheetData>
  <mergeCells count="554">
    <mergeCell ref="D9:F9"/>
    <mergeCell ref="G9:I9"/>
    <mergeCell ref="J9:L10"/>
    <mergeCell ref="M9:O9"/>
    <mergeCell ref="Y7:AA7"/>
    <mergeCell ref="AB7:AD7"/>
    <mergeCell ref="AE7:AF8"/>
    <mergeCell ref="AG7:AG8"/>
    <mergeCell ref="C1:AG1"/>
    <mergeCell ref="D2:AA2"/>
    <mergeCell ref="AB2:AG2"/>
    <mergeCell ref="G3:AA3"/>
    <mergeCell ref="D4:F4"/>
    <mergeCell ref="G4:I4"/>
    <mergeCell ref="J4:L4"/>
    <mergeCell ref="M4:O4"/>
    <mergeCell ref="P4:R4"/>
    <mergeCell ref="S4:U4"/>
    <mergeCell ref="V4:X4"/>
    <mergeCell ref="Y4:AA4"/>
    <mergeCell ref="AB4:AD4"/>
    <mergeCell ref="AE4:AF4"/>
    <mergeCell ref="A5:A6"/>
    <mergeCell ref="B5:B6"/>
    <mergeCell ref="D5:F6"/>
    <mergeCell ref="G5:I5"/>
    <mergeCell ref="J5:L5"/>
    <mergeCell ref="M5:O5"/>
    <mergeCell ref="AH7:AH8"/>
    <mergeCell ref="AG5:AG6"/>
    <mergeCell ref="AH5:AH6"/>
    <mergeCell ref="A7:A8"/>
    <mergeCell ref="B7:B8"/>
    <mergeCell ref="D7:F7"/>
    <mergeCell ref="G7:I8"/>
    <mergeCell ref="J7:L7"/>
    <mergeCell ref="M7:O7"/>
    <mergeCell ref="P7:R7"/>
    <mergeCell ref="S7:U7"/>
    <mergeCell ref="P5:R5"/>
    <mergeCell ref="S5:U5"/>
    <mergeCell ref="V5:X5"/>
    <mergeCell ref="Y5:AA5"/>
    <mergeCell ref="AB5:AD5"/>
    <mergeCell ref="AE5:AF6"/>
    <mergeCell ref="V7:X7"/>
    <mergeCell ref="V11:X11"/>
    <mergeCell ref="Y11:AA11"/>
    <mergeCell ref="AB11:AD11"/>
    <mergeCell ref="AE11:AF12"/>
    <mergeCell ref="AG11:AG12"/>
    <mergeCell ref="AH11:AH12"/>
    <mergeCell ref="AG9:AG10"/>
    <mergeCell ref="AH9:AH10"/>
    <mergeCell ref="A11:A12"/>
    <mergeCell ref="B11:B12"/>
    <mergeCell ref="D11:F11"/>
    <mergeCell ref="G11:I11"/>
    <mergeCell ref="J11:L11"/>
    <mergeCell ref="M11:O12"/>
    <mergeCell ref="P11:R11"/>
    <mergeCell ref="S11:U11"/>
    <mergeCell ref="P9:R9"/>
    <mergeCell ref="S9:U9"/>
    <mergeCell ref="V9:X9"/>
    <mergeCell ref="Y9:AA9"/>
    <mergeCell ref="AB9:AD9"/>
    <mergeCell ref="AE9:AF10"/>
    <mergeCell ref="A9:A10"/>
    <mergeCell ref="B9:B10"/>
    <mergeCell ref="A15:A16"/>
    <mergeCell ref="B15:B16"/>
    <mergeCell ref="D15:F15"/>
    <mergeCell ref="G15:I15"/>
    <mergeCell ref="J15:L15"/>
    <mergeCell ref="M15:O15"/>
    <mergeCell ref="P15:R15"/>
    <mergeCell ref="S15:U16"/>
    <mergeCell ref="P13:R14"/>
    <mergeCell ref="S13:U13"/>
    <mergeCell ref="A13:A14"/>
    <mergeCell ref="B13:B14"/>
    <mergeCell ref="D13:F13"/>
    <mergeCell ref="G13:I13"/>
    <mergeCell ref="J13:L13"/>
    <mergeCell ref="M13:O13"/>
    <mergeCell ref="V15:X15"/>
    <mergeCell ref="Y15:AA15"/>
    <mergeCell ref="AB15:AD15"/>
    <mergeCell ref="AE15:AF16"/>
    <mergeCell ref="AG15:AG16"/>
    <mergeCell ref="AH15:AH16"/>
    <mergeCell ref="AG13:AG14"/>
    <mergeCell ref="AH13:AH14"/>
    <mergeCell ref="V13:X13"/>
    <mergeCell ref="Y13:AA13"/>
    <mergeCell ref="AB13:AD13"/>
    <mergeCell ref="AE13:AF14"/>
    <mergeCell ref="AH19:AH20"/>
    <mergeCell ref="AG17:AG18"/>
    <mergeCell ref="AH17:AH18"/>
    <mergeCell ref="A19:A20"/>
    <mergeCell ref="B19:B20"/>
    <mergeCell ref="D19:F19"/>
    <mergeCell ref="G19:I19"/>
    <mergeCell ref="J19:L19"/>
    <mergeCell ref="M19:O19"/>
    <mergeCell ref="P19:R19"/>
    <mergeCell ref="S19:U19"/>
    <mergeCell ref="P17:R17"/>
    <mergeCell ref="S17:U17"/>
    <mergeCell ref="V17:X18"/>
    <mergeCell ref="Y17:AA17"/>
    <mergeCell ref="AB17:AD17"/>
    <mergeCell ref="AE17:AF18"/>
    <mergeCell ref="A17:A18"/>
    <mergeCell ref="B17:B18"/>
    <mergeCell ref="D17:F17"/>
    <mergeCell ref="G17:I17"/>
    <mergeCell ref="J17:L17"/>
    <mergeCell ref="M17:O17"/>
    <mergeCell ref="AB19:AD19"/>
    <mergeCell ref="A21:A22"/>
    <mergeCell ref="B21:B22"/>
    <mergeCell ref="D21:F21"/>
    <mergeCell ref="G21:I21"/>
    <mergeCell ref="J21:L21"/>
    <mergeCell ref="M21:O21"/>
    <mergeCell ref="V19:X19"/>
    <mergeCell ref="Y19:AA20"/>
    <mergeCell ref="AG21:AG22"/>
    <mergeCell ref="AE19:AF20"/>
    <mergeCell ref="AG19:AG20"/>
    <mergeCell ref="AH21:AH22"/>
    <mergeCell ref="G23:AA23"/>
    <mergeCell ref="D24:F24"/>
    <mergeCell ref="G24:I24"/>
    <mergeCell ref="J24:L24"/>
    <mergeCell ref="M24:O24"/>
    <mergeCell ref="P24:R24"/>
    <mergeCell ref="S24:U24"/>
    <mergeCell ref="V24:X24"/>
    <mergeCell ref="P21:R21"/>
    <mergeCell ref="S21:U21"/>
    <mergeCell ref="V21:X21"/>
    <mergeCell ref="Y21:AA21"/>
    <mergeCell ref="AB21:AD22"/>
    <mergeCell ref="AE21:AF22"/>
    <mergeCell ref="Y24:AA24"/>
    <mergeCell ref="AB24:AD24"/>
    <mergeCell ref="AE24:AF24"/>
    <mergeCell ref="A25:A26"/>
    <mergeCell ref="B25:B26"/>
    <mergeCell ref="D25:F26"/>
    <mergeCell ref="G25:I25"/>
    <mergeCell ref="J25:L25"/>
    <mergeCell ref="M25:O25"/>
    <mergeCell ref="P25:R25"/>
    <mergeCell ref="AH25:AH26"/>
    <mergeCell ref="A27:A28"/>
    <mergeCell ref="B27:B28"/>
    <mergeCell ref="D27:F27"/>
    <mergeCell ref="G27:I28"/>
    <mergeCell ref="J27:L27"/>
    <mergeCell ref="M27:O27"/>
    <mergeCell ref="P27:R27"/>
    <mergeCell ref="S27:U27"/>
    <mergeCell ref="V27:X27"/>
    <mergeCell ref="S25:U25"/>
    <mergeCell ref="V25:X25"/>
    <mergeCell ref="Y25:AA25"/>
    <mergeCell ref="AB25:AD25"/>
    <mergeCell ref="AE25:AF26"/>
    <mergeCell ref="AG25:AG26"/>
    <mergeCell ref="Y27:AA27"/>
    <mergeCell ref="AH27:AH28"/>
    <mergeCell ref="A29:A30"/>
    <mergeCell ref="B29:B30"/>
    <mergeCell ref="D29:F29"/>
    <mergeCell ref="G29:I29"/>
    <mergeCell ref="J29:L30"/>
    <mergeCell ref="AE29:AF30"/>
    <mergeCell ref="AG29:AG30"/>
    <mergeCell ref="AH29:AH30"/>
    <mergeCell ref="S29:U29"/>
    <mergeCell ref="V29:X29"/>
    <mergeCell ref="Y29:AA29"/>
    <mergeCell ref="AB29:AD29"/>
    <mergeCell ref="G31:I31"/>
    <mergeCell ref="J31:L31"/>
    <mergeCell ref="M31:O32"/>
    <mergeCell ref="P31:R31"/>
    <mergeCell ref="M29:O29"/>
    <mergeCell ref="P29:R29"/>
    <mergeCell ref="AB27:AD27"/>
    <mergeCell ref="AE27:AF28"/>
    <mergeCell ref="AG27:AG28"/>
    <mergeCell ref="AH31:AH32"/>
    <mergeCell ref="A33:A34"/>
    <mergeCell ref="B33:B34"/>
    <mergeCell ref="D33:F33"/>
    <mergeCell ref="G33:I33"/>
    <mergeCell ref="J33:L33"/>
    <mergeCell ref="M33:O33"/>
    <mergeCell ref="P33:R34"/>
    <mergeCell ref="S33:U33"/>
    <mergeCell ref="V33:X33"/>
    <mergeCell ref="S31:U31"/>
    <mergeCell ref="V31:X31"/>
    <mergeCell ref="Y31:AA31"/>
    <mergeCell ref="AB31:AD31"/>
    <mergeCell ref="AE31:AF32"/>
    <mergeCell ref="AG31:AG32"/>
    <mergeCell ref="Y33:AA33"/>
    <mergeCell ref="AB33:AD33"/>
    <mergeCell ref="AE33:AF34"/>
    <mergeCell ref="AG33:AG34"/>
    <mergeCell ref="AH33:AH34"/>
    <mergeCell ref="A31:A32"/>
    <mergeCell ref="B31:B32"/>
    <mergeCell ref="D31:F31"/>
    <mergeCell ref="A35:A36"/>
    <mergeCell ref="B35:B36"/>
    <mergeCell ref="D35:F35"/>
    <mergeCell ref="G35:I35"/>
    <mergeCell ref="J35:L35"/>
    <mergeCell ref="AE35:AF36"/>
    <mergeCell ref="AG35:AG36"/>
    <mergeCell ref="AH35:AH36"/>
    <mergeCell ref="A37:A38"/>
    <mergeCell ref="B37:B38"/>
    <mergeCell ref="D37:F37"/>
    <mergeCell ref="G37:I37"/>
    <mergeCell ref="J37:L37"/>
    <mergeCell ref="M37:O37"/>
    <mergeCell ref="P37:R37"/>
    <mergeCell ref="M35:O35"/>
    <mergeCell ref="P35:R35"/>
    <mergeCell ref="S35:U36"/>
    <mergeCell ref="V35:X35"/>
    <mergeCell ref="Y35:AA35"/>
    <mergeCell ref="AB35:AD35"/>
    <mergeCell ref="AH37:AH38"/>
    <mergeCell ref="S37:U37"/>
    <mergeCell ref="V37:X38"/>
    <mergeCell ref="A39:A40"/>
    <mergeCell ref="B39:B40"/>
    <mergeCell ref="D39:F39"/>
    <mergeCell ref="G39:I39"/>
    <mergeCell ref="J39:L39"/>
    <mergeCell ref="M39:O39"/>
    <mergeCell ref="P39:R39"/>
    <mergeCell ref="S39:U39"/>
    <mergeCell ref="V39:X39"/>
    <mergeCell ref="Y37:AA37"/>
    <mergeCell ref="AB37:AD37"/>
    <mergeCell ref="AE37:AF38"/>
    <mergeCell ref="AG37:AG38"/>
    <mergeCell ref="Y39:AA40"/>
    <mergeCell ref="AB39:AD39"/>
    <mergeCell ref="AE39:AF40"/>
    <mergeCell ref="AG39:AG40"/>
    <mergeCell ref="AH39:AH40"/>
    <mergeCell ref="AE41:AF42"/>
    <mergeCell ref="V44:X44"/>
    <mergeCell ref="Y44:AA44"/>
    <mergeCell ref="AB44:AD44"/>
    <mergeCell ref="AE44:AF44"/>
    <mergeCell ref="P44:R44"/>
    <mergeCell ref="S44:U44"/>
    <mergeCell ref="AG41:AG42"/>
    <mergeCell ref="AH41:AH42"/>
    <mergeCell ref="G43:AA43"/>
    <mergeCell ref="V41:X41"/>
    <mergeCell ref="Y41:AA41"/>
    <mergeCell ref="AB41:AD42"/>
    <mergeCell ref="M41:O41"/>
    <mergeCell ref="P41:R41"/>
    <mergeCell ref="S41:U41"/>
    <mergeCell ref="D44:F44"/>
    <mergeCell ref="G44:I44"/>
    <mergeCell ref="J44:L44"/>
    <mergeCell ref="M44:O44"/>
    <mergeCell ref="A41:A42"/>
    <mergeCell ref="B41:B42"/>
    <mergeCell ref="D41:F41"/>
    <mergeCell ref="G41:I41"/>
    <mergeCell ref="J41:L41"/>
    <mergeCell ref="AH47:AH48"/>
    <mergeCell ref="AG45:AG46"/>
    <mergeCell ref="AH45:AH46"/>
    <mergeCell ref="A47:A48"/>
    <mergeCell ref="B47:B48"/>
    <mergeCell ref="D47:F47"/>
    <mergeCell ref="G47:I48"/>
    <mergeCell ref="J47:L47"/>
    <mergeCell ref="M47:O47"/>
    <mergeCell ref="P47:R47"/>
    <mergeCell ref="S47:U47"/>
    <mergeCell ref="P45:R45"/>
    <mergeCell ref="S45:U45"/>
    <mergeCell ref="V45:X45"/>
    <mergeCell ref="Y45:AA45"/>
    <mergeCell ref="AB45:AD45"/>
    <mergeCell ref="AE45:AF46"/>
    <mergeCell ref="A45:A46"/>
    <mergeCell ref="B45:B46"/>
    <mergeCell ref="D45:F46"/>
    <mergeCell ref="G45:I45"/>
    <mergeCell ref="J45:L45"/>
    <mergeCell ref="M45:O45"/>
    <mergeCell ref="D49:F49"/>
    <mergeCell ref="G49:I49"/>
    <mergeCell ref="J49:L50"/>
    <mergeCell ref="M49:O49"/>
    <mergeCell ref="V47:X47"/>
    <mergeCell ref="Y47:AA47"/>
    <mergeCell ref="AB47:AD47"/>
    <mergeCell ref="AE47:AF48"/>
    <mergeCell ref="AG47:AG48"/>
    <mergeCell ref="V51:X51"/>
    <mergeCell ref="Y51:AA51"/>
    <mergeCell ref="AB51:AD51"/>
    <mergeCell ref="AE51:AF52"/>
    <mergeCell ref="AG51:AG52"/>
    <mergeCell ref="AH51:AH52"/>
    <mergeCell ref="AG49:AG50"/>
    <mergeCell ref="AH49:AH50"/>
    <mergeCell ref="A51:A52"/>
    <mergeCell ref="B51:B52"/>
    <mergeCell ref="D51:F51"/>
    <mergeCell ref="G51:I51"/>
    <mergeCell ref="J51:L51"/>
    <mergeCell ref="M51:O52"/>
    <mergeCell ref="P51:R51"/>
    <mergeCell ref="S51:U51"/>
    <mergeCell ref="P49:R49"/>
    <mergeCell ref="S49:U49"/>
    <mergeCell ref="V49:X49"/>
    <mergeCell ref="Y49:AA49"/>
    <mergeCell ref="AB49:AD49"/>
    <mergeCell ref="AE49:AF50"/>
    <mergeCell ref="A49:A50"/>
    <mergeCell ref="B49:B50"/>
    <mergeCell ref="A55:A56"/>
    <mergeCell ref="B55:B56"/>
    <mergeCell ref="D55:F55"/>
    <mergeCell ref="G55:I55"/>
    <mergeCell ref="J55:L55"/>
    <mergeCell ref="M55:O55"/>
    <mergeCell ref="P55:R55"/>
    <mergeCell ref="S55:U56"/>
    <mergeCell ref="P53:R54"/>
    <mergeCell ref="S53:U53"/>
    <mergeCell ref="A53:A54"/>
    <mergeCell ref="B53:B54"/>
    <mergeCell ref="D53:F53"/>
    <mergeCell ref="G53:I53"/>
    <mergeCell ref="J53:L53"/>
    <mergeCell ref="M53:O53"/>
    <mergeCell ref="V55:X55"/>
    <mergeCell ref="Y55:AA55"/>
    <mergeCell ref="AB55:AD55"/>
    <mergeCell ref="AE55:AF56"/>
    <mergeCell ref="AG55:AG56"/>
    <mergeCell ref="AH55:AH56"/>
    <mergeCell ref="AG53:AG54"/>
    <mergeCell ref="AH53:AH54"/>
    <mergeCell ref="V53:X53"/>
    <mergeCell ref="Y53:AA53"/>
    <mergeCell ref="AB53:AD53"/>
    <mergeCell ref="AE53:AF54"/>
    <mergeCell ref="AH59:AH60"/>
    <mergeCell ref="AG57:AG58"/>
    <mergeCell ref="AH57:AH58"/>
    <mergeCell ref="A59:A60"/>
    <mergeCell ref="B59:B60"/>
    <mergeCell ref="D59:F59"/>
    <mergeCell ref="G59:I59"/>
    <mergeCell ref="J59:L59"/>
    <mergeCell ref="M59:O59"/>
    <mergeCell ref="P59:R59"/>
    <mergeCell ref="S59:U59"/>
    <mergeCell ref="P57:R57"/>
    <mergeCell ref="S57:U57"/>
    <mergeCell ref="V57:X58"/>
    <mergeCell ref="Y57:AA57"/>
    <mergeCell ref="AB57:AD57"/>
    <mergeCell ref="AE57:AF58"/>
    <mergeCell ref="A57:A58"/>
    <mergeCell ref="B57:B58"/>
    <mergeCell ref="D57:F57"/>
    <mergeCell ref="G57:I57"/>
    <mergeCell ref="J57:L57"/>
    <mergeCell ref="M57:O57"/>
    <mergeCell ref="AB59:AD59"/>
    <mergeCell ref="A61:A62"/>
    <mergeCell ref="B61:B62"/>
    <mergeCell ref="D61:F61"/>
    <mergeCell ref="G61:I61"/>
    <mergeCell ref="J61:L61"/>
    <mergeCell ref="M61:O61"/>
    <mergeCell ref="V59:X59"/>
    <mergeCell ref="Y59:AA60"/>
    <mergeCell ref="AG61:AG62"/>
    <mergeCell ref="AE59:AF60"/>
    <mergeCell ref="AG59:AG60"/>
    <mergeCell ref="AH61:AH62"/>
    <mergeCell ref="G63:AA63"/>
    <mergeCell ref="D64:F64"/>
    <mergeCell ref="G64:I64"/>
    <mergeCell ref="J64:L64"/>
    <mergeCell ref="M64:O64"/>
    <mergeCell ref="P64:R64"/>
    <mergeCell ref="S64:U64"/>
    <mergeCell ref="V64:X64"/>
    <mergeCell ref="P61:R61"/>
    <mergeCell ref="S61:U61"/>
    <mergeCell ref="V61:X61"/>
    <mergeCell ref="Y61:AA61"/>
    <mergeCell ref="AB61:AD62"/>
    <mergeCell ref="AE61:AF62"/>
    <mergeCell ref="Y64:AA64"/>
    <mergeCell ref="AB64:AD64"/>
    <mergeCell ref="AE64:AF64"/>
    <mergeCell ref="A65:A66"/>
    <mergeCell ref="B65:B66"/>
    <mergeCell ref="D65:F66"/>
    <mergeCell ref="G65:I65"/>
    <mergeCell ref="J65:L65"/>
    <mergeCell ref="M65:O65"/>
    <mergeCell ref="P65:R65"/>
    <mergeCell ref="AH65:AH66"/>
    <mergeCell ref="A67:A68"/>
    <mergeCell ref="B67:B68"/>
    <mergeCell ref="D67:F67"/>
    <mergeCell ref="G67:I68"/>
    <mergeCell ref="J67:L67"/>
    <mergeCell ref="M67:O67"/>
    <mergeCell ref="P67:R67"/>
    <mergeCell ref="S67:U67"/>
    <mergeCell ref="V67:X67"/>
    <mergeCell ref="S65:U65"/>
    <mergeCell ref="V65:X65"/>
    <mergeCell ref="Y65:AA65"/>
    <mergeCell ref="AB65:AD65"/>
    <mergeCell ref="AE65:AF66"/>
    <mergeCell ref="AG65:AG66"/>
    <mergeCell ref="Y67:AA67"/>
    <mergeCell ref="AH67:AH68"/>
    <mergeCell ref="A69:A70"/>
    <mergeCell ref="B69:B70"/>
    <mergeCell ref="D69:F69"/>
    <mergeCell ref="G69:I69"/>
    <mergeCell ref="J69:L70"/>
    <mergeCell ref="AE69:AF70"/>
    <mergeCell ref="AG69:AG70"/>
    <mergeCell ref="AH69:AH70"/>
    <mergeCell ref="S69:U69"/>
    <mergeCell ref="V69:X69"/>
    <mergeCell ref="Y69:AA69"/>
    <mergeCell ref="AB69:AD69"/>
    <mergeCell ref="G71:I71"/>
    <mergeCell ref="J71:L71"/>
    <mergeCell ref="M71:O72"/>
    <mergeCell ref="P71:R71"/>
    <mergeCell ref="M69:O69"/>
    <mergeCell ref="P69:R69"/>
    <mergeCell ref="AB67:AD67"/>
    <mergeCell ref="AE67:AF68"/>
    <mergeCell ref="AG67:AG68"/>
    <mergeCell ref="AH71:AH72"/>
    <mergeCell ref="A73:A74"/>
    <mergeCell ref="B73:B74"/>
    <mergeCell ref="D73:F73"/>
    <mergeCell ref="G73:I73"/>
    <mergeCell ref="J73:L73"/>
    <mergeCell ref="M73:O73"/>
    <mergeCell ref="P73:R74"/>
    <mergeCell ref="S73:U73"/>
    <mergeCell ref="V73:X73"/>
    <mergeCell ref="S71:U71"/>
    <mergeCell ref="V71:X71"/>
    <mergeCell ref="Y71:AA71"/>
    <mergeCell ref="AB71:AD71"/>
    <mergeCell ref="AE71:AF72"/>
    <mergeCell ref="AG71:AG72"/>
    <mergeCell ref="Y73:AA73"/>
    <mergeCell ref="AB73:AD73"/>
    <mergeCell ref="AE73:AF74"/>
    <mergeCell ref="AG73:AG74"/>
    <mergeCell ref="AH73:AH74"/>
    <mergeCell ref="A71:A72"/>
    <mergeCell ref="B71:B72"/>
    <mergeCell ref="D71:F71"/>
    <mergeCell ref="A75:A76"/>
    <mergeCell ref="B75:B76"/>
    <mergeCell ref="D75:F75"/>
    <mergeCell ref="G75:I75"/>
    <mergeCell ref="J75:L75"/>
    <mergeCell ref="AE75:AF76"/>
    <mergeCell ref="AG75:AG76"/>
    <mergeCell ref="AH75:AH76"/>
    <mergeCell ref="A77:A78"/>
    <mergeCell ref="B77:B78"/>
    <mergeCell ref="D77:F77"/>
    <mergeCell ref="G77:I77"/>
    <mergeCell ref="J77:L77"/>
    <mergeCell ref="M77:O77"/>
    <mergeCell ref="P77:R77"/>
    <mergeCell ref="M75:O75"/>
    <mergeCell ref="P75:R75"/>
    <mergeCell ref="S75:U76"/>
    <mergeCell ref="V75:X75"/>
    <mergeCell ref="Y75:AA75"/>
    <mergeCell ref="AB75:AD75"/>
    <mergeCell ref="AH77:AH78"/>
    <mergeCell ref="S77:U77"/>
    <mergeCell ref="V77:X78"/>
    <mergeCell ref="A79:A80"/>
    <mergeCell ref="B79:B80"/>
    <mergeCell ref="D79:F79"/>
    <mergeCell ref="G79:I79"/>
    <mergeCell ref="J79:L79"/>
    <mergeCell ref="M79:O79"/>
    <mergeCell ref="P79:R79"/>
    <mergeCell ref="S79:U79"/>
    <mergeCell ref="V79:X79"/>
    <mergeCell ref="Y77:AA77"/>
    <mergeCell ref="AB77:AD77"/>
    <mergeCell ref="AE77:AF78"/>
    <mergeCell ref="AG77:AG78"/>
    <mergeCell ref="Y79:AA80"/>
    <mergeCell ref="AB79:AD79"/>
    <mergeCell ref="AE79:AF80"/>
    <mergeCell ref="AG79:AG80"/>
    <mergeCell ref="AH79:AH80"/>
    <mergeCell ref="A81:A82"/>
    <mergeCell ref="B81:B82"/>
    <mergeCell ref="D81:F81"/>
    <mergeCell ref="G81:I81"/>
    <mergeCell ref="J81:L81"/>
    <mergeCell ref="AE81:AF82"/>
    <mergeCell ref="AG81:AG82"/>
    <mergeCell ref="AH81:AH82"/>
    <mergeCell ref="D84:K84"/>
    <mergeCell ref="Q84:X84"/>
    <mergeCell ref="AC84:AG84"/>
    <mergeCell ref="M81:O81"/>
    <mergeCell ref="P81:R81"/>
    <mergeCell ref="S81:U81"/>
    <mergeCell ref="V81:X81"/>
    <mergeCell ref="Y81:AA81"/>
    <mergeCell ref="AB81:AD82"/>
  </mergeCells>
  <pageMargins left="0.31496062992125984" right="0.31496062992125984" top="0.35433070866141736" bottom="0.35433070866141736" header="0.31496062992125984" footer="0.31496062992125984"/>
  <pageSetup paperSize="9" scale="76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A94" zoomScale="60" zoomScaleNormal="100" workbookViewId="0">
      <selection activeCell="H142" sqref="H142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13</v>
      </c>
      <c r="D3" s="962"/>
      <c r="E3" s="963"/>
      <c r="G3" s="957" t="s">
        <v>11956</v>
      </c>
      <c r="H3" s="958">
        <f>C3</f>
        <v>13</v>
      </c>
      <c r="I3" s="962"/>
      <c r="J3" s="963"/>
      <c r="L3" s="957" t="s">
        <v>11956</v>
      </c>
      <c r="M3" s="958">
        <f>C3</f>
        <v>13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'гр (13-16)'!C7</f>
        <v>ДЕРНИКОВ Ефим</v>
      </c>
      <c r="C5" s="960" t="str">
        <f>'гр (13-16)'!C15</f>
        <v>ОДЕРКОВ Марк</v>
      </c>
      <c r="D5" s="961"/>
      <c r="E5" s="966"/>
      <c r="G5" s="960" t="str">
        <f>'гр (13-16)'!C9</f>
        <v>ПРОХОРОВ Кирилл</v>
      </c>
      <c r="H5" s="960" t="str">
        <f>'гр (13-16)'!C13</f>
        <v>СУЧКОВ Артемий</v>
      </c>
      <c r="I5" s="961"/>
      <c r="J5" s="966"/>
      <c r="L5" s="960" t="str">
        <f>'гр (13-16)'!C5</f>
        <v>ЛАЗАРЕВ Василий</v>
      </c>
      <c r="M5" s="960" t="str">
        <f>'гр (13-16)'!C17</f>
        <v>РЯБОШАПКА Федор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13</v>
      </c>
      <c r="D18" s="962"/>
      <c r="E18" s="963"/>
      <c r="G18" s="957" t="s">
        <v>11956</v>
      </c>
      <c r="H18" s="958">
        <f>C3</f>
        <v>13</v>
      </c>
      <c r="I18" s="962"/>
      <c r="J18" s="963"/>
      <c r="L18" s="957" t="s">
        <v>11956</v>
      </c>
      <c r="M18" s="958">
        <f>C3</f>
        <v>13</v>
      </c>
      <c r="N18" s="961"/>
    </row>
    <row r="19" spans="1:14" x14ac:dyDescent="0.3">
      <c r="B19" s="957" t="s">
        <v>11957</v>
      </c>
      <c r="C19" s="959" t="s">
        <v>11958</v>
      </c>
      <c r="D19" s="961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960" t="str">
        <f>'гр (13-16)'!C11</f>
        <v>ПОПОВ Данила</v>
      </c>
      <c r="C20" s="960" t="str">
        <f>'гр (13-16)'!C19</f>
        <v/>
      </c>
      <c r="D20" s="961"/>
      <c r="E20" s="966"/>
      <c r="G20" s="960" t="str">
        <f>'гр (13-16)'!C13</f>
        <v>СУЧКОВ Артемий</v>
      </c>
      <c r="H20" s="960" t="str">
        <f>'гр (13-16)'!C7</f>
        <v>ДЕРНИКОВ Ефим</v>
      </c>
      <c r="I20" s="961"/>
      <c r="J20" s="966"/>
      <c r="L20" s="960" t="str">
        <f>'гр (13-16)'!C15</f>
        <v>ОДЕРКОВ Марк</v>
      </c>
      <c r="M20" s="960" t="str">
        <f>'гр (13-16)'!C5</f>
        <v>ЛАЗАРЕВ Василий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13</v>
      </c>
      <c r="D33" s="962"/>
      <c r="E33" s="963"/>
      <c r="G33" s="957" t="s">
        <v>11956</v>
      </c>
      <c r="H33" s="958">
        <f>C3</f>
        <v>13</v>
      </c>
      <c r="I33" s="962"/>
      <c r="J33" s="963"/>
      <c r="L33" s="957" t="s">
        <v>11956</v>
      </c>
      <c r="M33" s="958">
        <f>C3</f>
        <v>13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'гр (13-16)'!C19</f>
        <v/>
      </c>
      <c r="C35" s="960" t="str">
        <f>'гр (13-16)'!C9</f>
        <v>ПРОХОРОВ Кирилл</v>
      </c>
      <c r="D35" s="961"/>
      <c r="E35" s="966"/>
      <c r="G35" s="960" t="str">
        <f>'гр (13-16)'!C17</f>
        <v>РЯБОШАПКА Федор</v>
      </c>
      <c r="H35" s="960" t="str">
        <f>'гр (13-16)'!C11</f>
        <v>ПОПОВ Данила</v>
      </c>
      <c r="I35" s="961"/>
      <c r="J35" s="966"/>
      <c r="L35" s="960" t="str">
        <f>'гр (13-16)'!C5</f>
        <v>ЛАЗАРЕВ Василий</v>
      </c>
      <c r="M35" s="960" t="str">
        <f>'гр (13-16)'!C13</f>
        <v>СУЧКОВ Артемий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13</v>
      </c>
      <c r="D48" s="962"/>
      <c r="E48" s="963"/>
      <c r="G48" s="957" t="s">
        <v>11956</v>
      </c>
      <c r="H48" s="958">
        <f>C3</f>
        <v>13</v>
      </c>
      <c r="I48" s="962"/>
      <c r="J48" s="963"/>
      <c r="L48" s="957" t="s">
        <v>11956</v>
      </c>
      <c r="M48" s="958">
        <f>C3</f>
        <v>13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'гр (13-16)'!C7</f>
        <v>ДЕРНИКОВ Ефим</v>
      </c>
      <c r="C50" s="960" t="str">
        <f>'гр (13-16)'!C19</f>
        <v/>
      </c>
      <c r="D50" s="961"/>
      <c r="E50" s="966"/>
      <c r="G50" s="960" t="str">
        <f>'гр (13-16)'!C11</f>
        <v>ПОПОВ Данила</v>
      </c>
      <c r="H50" s="960" t="str">
        <f>'гр (13-16)'!C15</f>
        <v>ОДЕРКОВ Марк</v>
      </c>
      <c r="I50" s="961"/>
      <c r="J50" s="966"/>
      <c r="L50" s="960" t="str">
        <f>'гр (13-16)'!C9</f>
        <v>ПРОХОРОВ Кирилл</v>
      </c>
      <c r="M50" s="960" t="str">
        <f>'гр (13-16)'!C17</f>
        <v>РЯБОШАПКА Федор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13</v>
      </c>
      <c r="D63" s="962"/>
      <c r="E63" s="963"/>
      <c r="G63" s="957" t="s">
        <v>11956</v>
      </c>
      <c r="H63" s="958">
        <f>C3</f>
        <v>13</v>
      </c>
      <c r="I63" s="962"/>
      <c r="J63" s="963"/>
      <c r="L63" s="957" t="s">
        <v>11956</v>
      </c>
      <c r="M63" s="958">
        <f>C3</f>
        <v>13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'гр (13-16)'!C19</f>
        <v/>
      </c>
      <c r="C65" s="960" t="str">
        <f>'гр (13-16)'!C5</f>
        <v>ЛАЗАРЕВ Василий</v>
      </c>
      <c r="D65" s="961"/>
      <c r="E65" s="966"/>
      <c r="G65" s="960" t="str">
        <f>'гр (13-16)'!C13</f>
        <v>СУЧКОВ Артемий</v>
      </c>
      <c r="H65" s="960" t="str">
        <f>'гр (13-16)'!C11</f>
        <v>ПОПОВ Данила</v>
      </c>
      <c r="I65" s="961"/>
      <c r="J65" s="966"/>
      <c r="L65" s="960" t="str">
        <f>'гр (13-16)'!C17</f>
        <v>РЯБОШАПКА Федор</v>
      </c>
      <c r="M65" s="960" t="str">
        <f>'гр (13-16)'!C7</f>
        <v>ДЕРНИКОВ Ефим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Групповой этап</v>
      </c>
      <c r="C77" s="1199"/>
      <c r="D77" s="955"/>
      <c r="E77" s="956"/>
      <c r="G77" s="1199" t="str">
        <f>B2</f>
        <v>Групповой этап</v>
      </c>
      <c r="H77" s="1199"/>
      <c r="I77" s="955"/>
      <c r="J77" s="956"/>
      <c r="L77" s="1199" t="str">
        <f>B2</f>
        <v>Групповой этап</v>
      </c>
      <c r="M77" s="1199"/>
      <c r="N77" s="961"/>
    </row>
    <row r="78" spans="1:14" x14ac:dyDescent="0.3">
      <c r="B78" s="957" t="s">
        <v>11956</v>
      </c>
      <c r="C78" s="958">
        <f>C3</f>
        <v>13</v>
      </c>
      <c r="D78" s="962"/>
      <c r="E78" s="963"/>
      <c r="G78" s="957" t="s">
        <v>11956</v>
      </c>
      <c r="H78" s="958">
        <f>C3</f>
        <v>13</v>
      </c>
      <c r="I78" s="962"/>
      <c r="J78" s="963"/>
      <c r="L78" s="957" t="s">
        <v>11956</v>
      </c>
      <c r="M78" s="958">
        <f>C3</f>
        <v>13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'гр (13-16)'!C15</f>
        <v>ОДЕРКОВ Марк</v>
      </c>
      <c r="C80" s="960" t="str">
        <f>'гр (13-16)'!C9</f>
        <v>ПРОХОРОВ Кирилл</v>
      </c>
      <c r="D80" s="961"/>
      <c r="E80" s="966"/>
      <c r="G80" s="960" t="str">
        <f>'гр (13-16)'!C5</f>
        <v>ЛАЗАРЕВ Василий</v>
      </c>
      <c r="H80" s="960" t="str">
        <f>'гр (13-16)'!C9</f>
        <v>ПРОХОРОВ Кирилл</v>
      </c>
      <c r="I80" s="961"/>
      <c r="J80" s="966"/>
      <c r="L80" s="960" t="str">
        <f>'гр (13-16)'!C7</f>
        <v>ДЕРНИКОВ Ефим</v>
      </c>
      <c r="M80" s="960" t="str">
        <f>'гр (13-16)'!C11</f>
        <v>ПОПОВ Данила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Групповой этап</v>
      </c>
      <c r="C92" s="1199"/>
      <c r="D92" s="955"/>
      <c r="E92" s="956"/>
      <c r="G92" s="1199" t="str">
        <f>B2</f>
        <v>Групповой этап</v>
      </c>
      <c r="H92" s="1199"/>
      <c r="I92" s="955"/>
      <c r="J92" s="956"/>
      <c r="L92" s="1199" t="str">
        <f>B2</f>
        <v>Групповой этап</v>
      </c>
      <c r="M92" s="1199"/>
      <c r="N92" s="961"/>
    </row>
    <row r="93" spans="1:14" x14ac:dyDescent="0.3">
      <c r="B93" s="957" t="s">
        <v>11956</v>
      </c>
      <c r="C93" s="958">
        <f>C3</f>
        <v>13</v>
      </c>
      <c r="D93" s="962"/>
      <c r="E93" s="963"/>
      <c r="G93" s="957" t="s">
        <v>11956</v>
      </c>
      <c r="H93" s="958">
        <f>C3</f>
        <v>13</v>
      </c>
      <c r="I93" s="962"/>
      <c r="J93" s="963"/>
      <c r="L93" s="957" t="s">
        <v>11956</v>
      </c>
      <c r="M93" s="958">
        <f>C3</f>
        <v>13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'гр (13-16)'!C13</f>
        <v>СУЧКОВ Артемий</v>
      </c>
      <c r="C95" s="960" t="str">
        <f>'гр (13-16)'!C17</f>
        <v>РЯБОШАПКА Федор</v>
      </c>
      <c r="D95" s="961"/>
      <c r="E95" s="966"/>
      <c r="G95" s="960" t="str">
        <f>'гр (13-16)'!C15</f>
        <v>ОДЕРКОВ Марк</v>
      </c>
      <c r="H95" s="960" t="str">
        <f>'гр (13-16)'!C19</f>
        <v/>
      </c>
      <c r="I95" s="961"/>
      <c r="J95" s="966"/>
      <c r="L95" s="960" t="str">
        <f>'гр (13-16)'!C11</f>
        <v>ПОПОВ Данила</v>
      </c>
      <c r="M95" s="960" t="str">
        <f>'гр (13-16)'!C5</f>
        <v>ЛАЗАРЕВ Василий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Групповой этап</v>
      </c>
      <c r="C107" s="1199"/>
      <c r="D107" s="955"/>
      <c r="E107" s="956"/>
      <c r="G107" s="1199" t="str">
        <f>B2</f>
        <v>Групповой этап</v>
      </c>
      <c r="H107" s="1199"/>
      <c r="I107" s="955"/>
      <c r="J107" s="956"/>
      <c r="L107" s="1199" t="str">
        <f>B2</f>
        <v>Групповой этап</v>
      </c>
      <c r="M107" s="1199"/>
      <c r="N107" s="961"/>
    </row>
    <row r="108" spans="1:14" x14ac:dyDescent="0.3">
      <c r="B108" s="957" t="s">
        <v>11956</v>
      </c>
      <c r="C108" s="958">
        <f>C3</f>
        <v>13</v>
      </c>
      <c r="D108" s="962"/>
      <c r="E108" s="963"/>
      <c r="G108" s="957" t="s">
        <v>11956</v>
      </c>
      <c r="H108" s="958">
        <f>C3</f>
        <v>13</v>
      </c>
      <c r="I108" s="962"/>
      <c r="J108" s="963"/>
      <c r="L108" s="957" t="s">
        <v>11956</v>
      </c>
      <c r="M108" s="958">
        <f>C3</f>
        <v>13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'гр (13-16)'!C9</f>
        <v>ПРОХОРОВ Кирилл</v>
      </c>
      <c r="C110" s="960" t="str">
        <f>'гр (13-16)'!C7</f>
        <v>ДЕРНИКОВ Ефим</v>
      </c>
      <c r="D110" s="961"/>
      <c r="E110" s="966"/>
      <c r="G110" s="960" t="str">
        <f>'гр (13-16)'!C17</f>
        <v>РЯБОШАПКА Федор</v>
      </c>
      <c r="H110" s="960" t="str">
        <f>'гр (13-16)'!C15</f>
        <v>ОДЕРКОВ Марк</v>
      </c>
      <c r="I110" s="961"/>
      <c r="J110" s="966"/>
      <c r="L110" s="960" t="str">
        <f>'гр (13-16)'!C19</f>
        <v/>
      </c>
      <c r="M110" s="960" t="str">
        <f>'гр (13-16)'!C13</f>
        <v>СУЧКОВ Артемий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Групповой этап</v>
      </c>
      <c r="C122" s="1199"/>
      <c r="D122" s="955"/>
      <c r="E122" s="956"/>
      <c r="G122" s="1199" t="str">
        <f>B2</f>
        <v>Групповой этап</v>
      </c>
      <c r="H122" s="1199"/>
      <c r="I122" s="955"/>
      <c r="J122" s="956"/>
      <c r="L122" s="1199" t="str">
        <f>B2</f>
        <v>Групповой этап</v>
      </c>
      <c r="M122" s="1199"/>
      <c r="N122" s="961"/>
    </row>
    <row r="123" spans="1:14" x14ac:dyDescent="0.3">
      <c r="B123" s="957" t="s">
        <v>11956</v>
      </c>
      <c r="C123" s="958">
        <f>C3</f>
        <v>13</v>
      </c>
      <c r="D123" s="962"/>
      <c r="E123" s="963"/>
      <c r="G123" s="957" t="s">
        <v>11956</v>
      </c>
      <c r="H123" s="958">
        <f>C3</f>
        <v>13</v>
      </c>
      <c r="I123" s="962"/>
      <c r="J123" s="963"/>
      <c r="L123" s="957" t="s">
        <v>11956</v>
      </c>
      <c r="M123" s="958">
        <f>C3</f>
        <v>13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'гр (13-16)'!C5</f>
        <v>ЛАЗАРЕВ Василий</v>
      </c>
      <c r="C125" s="960" t="str">
        <f>'гр (13-16)'!C7</f>
        <v>ДЕРНИКОВ Ефим</v>
      </c>
      <c r="D125" s="961"/>
      <c r="E125" s="966"/>
      <c r="G125" s="960" t="str">
        <f>'гр (13-16)'!C9</f>
        <v>ПРОХОРОВ Кирилл</v>
      </c>
      <c r="H125" s="960" t="str">
        <f>'гр (13-16)'!C11</f>
        <v>ПОПОВ Данила</v>
      </c>
      <c r="I125" s="961"/>
      <c r="J125" s="966"/>
      <c r="L125" s="960" t="str">
        <f>'гр (13-16)'!C13</f>
        <v>СУЧКОВ Артемий</v>
      </c>
      <c r="M125" s="960" t="str">
        <f>'гр (13-16)'!C15</f>
        <v>ОДЕРКОВ Марк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Групповой этап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 t="s">
        <v>11956</v>
      </c>
      <c r="C138" s="975">
        <f>C3</f>
        <v>13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'гр (13-16)'!C17</f>
        <v>РЯБОШАПКА Федор</v>
      </c>
      <c r="C140" s="960" t="str">
        <f>'гр (13-16)'!C19</f>
        <v/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4" manualBreakCount="4">
    <brk id="30" max="16383" man="1"/>
    <brk id="60" max="16383" man="1"/>
    <brk id="90" max="16383" man="1"/>
    <brk id="120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75"/>
  <sheetViews>
    <sheetView topLeftCell="B57" workbookViewId="0">
      <selection activeCell="M66" sqref="M66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13</v>
      </c>
      <c r="D3" s="962"/>
      <c r="E3" s="963"/>
      <c r="G3" s="957" t="s">
        <v>11956</v>
      </c>
      <c r="H3" s="958">
        <f>C3</f>
        <v>13</v>
      </c>
      <c r="I3" s="962"/>
      <c r="J3" s="963"/>
      <c r="L3" s="957" t="s">
        <v>11956</v>
      </c>
      <c r="M3" s="958">
        <f>C3</f>
        <v>13</v>
      </c>
      <c r="N3" s="961"/>
    </row>
    <row r="4" spans="1:14" x14ac:dyDescent="0.3">
      <c r="B4" s="957" t="s">
        <v>11957</v>
      </c>
      <c r="C4" s="959" t="s">
        <v>11970</v>
      </c>
      <c r="D4" s="961"/>
      <c r="G4" s="957" t="s">
        <v>11957</v>
      </c>
      <c r="H4" s="959" t="s">
        <v>11967</v>
      </c>
      <c r="I4" s="964"/>
      <c r="J4" s="965"/>
      <c r="L4" s="957" t="s">
        <v>11957</v>
      </c>
      <c r="M4" s="959" t="s">
        <v>1040</v>
      </c>
      <c r="N4" s="961"/>
    </row>
    <row r="5" spans="1:14" x14ac:dyDescent="0.3">
      <c r="B5" s="960" t="str">
        <f>'гр (13-16)'!C7</f>
        <v>ДЕРНИКОВ Ефим</v>
      </c>
      <c r="C5" s="960" t="str">
        <f>'гр (13-16)'!C11</f>
        <v>ПОПОВ Данила</v>
      </c>
      <c r="D5" s="961"/>
      <c r="E5" s="966"/>
      <c r="G5" s="960" t="str">
        <f>'гр (13-16)'!C5</f>
        <v>ЛАЗАРЕВ Василий</v>
      </c>
      <c r="H5" s="960" t="str">
        <f>'гр (13-16)'!C13</f>
        <v>СУЧКОВ Артемий</v>
      </c>
      <c r="I5" s="961"/>
      <c r="J5" s="966"/>
      <c r="L5" s="960" t="str">
        <f>'гр (13-16)'!C9</f>
        <v>ПРОХОРОВ Кирилл</v>
      </c>
      <c r="M5" s="960" t="str">
        <f>'гр (13-16)'!C15</f>
        <v>ОДЕРКОВ Марк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13</v>
      </c>
      <c r="D18" s="962"/>
      <c r="E18" s="963"/>
      <c r="G18" s="957" t="s">
        <v>11956</v>
      </c>
      <c r="H18" s="958">
        <f>C3</f>
        <v>13</v>
      </c>
      <c r="I18" s="962"/>
      <c r="J18" s="963"/>
      <c r="L18" s="957" t="s">
        <v>11956</v>
      </c>
      <c r="M18" s="958">
        <f>C3</f>
        <v>13</v>
      </c>
      <c r="N18" s="961"/>
    </row>
    <row r="19" spans="1:14" x14ac:dyDescent="0.3">
      <c r="B19" s="957" t="s">
        <v>11957</v>
      </c>
      <c r="C19" s="959" t="s">
        <v>11981</v>
      </c>
      <c r="D19" s="961"/>
      <c r="G19" s="957" t="s">
        <v>11957</v>
      </c>
      <c r="H19" s="959" t="s">
        <v>1100</v>
      </c>
      <c r="I19" s="964"/>
      <c r="J19" s="965"/>
      <c r="L19" s="957" t="s">
        <v>11957</v>
      </c>
      <c r="M19" s="959" t="s">
        <v>1099</v>
      </c>
      <c r="N19" s="961"/>
    </row>
    <row r="20" spans="1:14" x14ac:dyDescent="0.3">
      <c r="B20" s="960" t="str">
        <f>'гр (13-16)'!C11</f>
        <v>ПОПОВ Данила</v>
      </c>
      <c r="C20" s="960" t="str">
        <f>'гр (13-16)'!C5</f>
        <v>ЛАЗАРЕВ Василий</v>
      </c>
      <c r="D20" s="961"/>
      <c r="E20" s="966"/>
      <c r="G20" s="960" t="str">
        <f>'гр (13-16)'!C15</f>
        <v>ОДЕРКОВ Марк</v>
      </c>
      <c r="H20" s="960" t="str">
        <f>'гр (13-16)'!C7</f>
        <v>ДЕРНИКОВ Ефим</v>
      </c>
      <c r="I20" s="961"/>
      <c r="J20" s="966"/>
      <c r="L20" s="960" t="str">
        <f>'гр (13-16)'!C13</f>
        <v>СУЧКОВ Артемий</v>
      </c>
      <c r="M20" s="960" t="str">
        <f>'гр (13-16)'!C9</f>
        <v>ПРОХОРОВ Кирилл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13</v>
      </c>
      <c r="D33" s="962"/>
      <c r="E33" s="963"/>
      <c r="G33" s="957" t="s">
        <v>11956</v>
      </c>
      <c r="H33" s="958">
        <f>C3</f>
        <v>13</v>
      </c>
      <c r="I33" s="962"/>
      <c r="J33" s="963"/>
      <c r="L33" s="957" t="s">
        <v>11956</v>
      </c>
      <c r="M33" s="958">
        <f>C3</f>
        <v>13</v>
      </c>
      <c r="N33" s="961"/>
    </row>
    <row r="34" spans="1:14" x14ac:dyDescent="0.3">
      <c r="B34" s="957" t="s">
        <v>11957</v>
      </c>
      <c r="C34" s="959" t="s">
        <v>11971</v>
      </c>
      <c r="D34" s="961"/>
      <c r="G34" s="957" t="s">
        <v>11957</v>
      </c>
      <c r="H34" s="959" t="s">
        <v>1048</v>
      </c>
      <c r="I34" s="964"/>
      <c r="J34" s="965"/>
      <c r="L34" s="957" t="s">
        <v>11957</v>
      </c>
      <c r="M34" s="959" t="s">
        <v>11964</v>
      </c>
      <c r="N34" s="961"/>
    </row>
    <row r="35" spans="1:14" x14ac:dyDescent="0.3">
      <c r="B35" s="960" t="str">
        <f>'гр (13-16)'!C5</f>
        <v>ЛАЗАРЕВ Василий</v>
      </c>
      <c r="C35" s="960" t="str">
        <f>'гр (13-16)'!C9</f>
        <v>ПРОХОРОВ Кирилл</v>
      </c>
      <c r="D35" s="961"/>
      <c r="E35" s="966"/>
      <c r="G35" s="960" t="str">
        <f>'гр (13-16)'!C7</f>
        <v>ДЕРНИКОВ Ефим</v>
      </c>
      <c r="H35" s="960" t="str">
        <f>'гр (13-16)'!C13</f>
        <v>СУЧКОВ Артемий</v>
      </c>
      <c r="I35" s="961"/>
      <c r="J35" s="966"/>
      <c r="L35" s="960" t="str">
        <f>'гр (13-16)'!C11</f>
        <v>ПОПОВ Данила</v>
      </c>
      <c r="M35" s="960" t="str">
        <f>'гр (13-16)'!C15</f>
        <v>ОДЕРКОВ Марк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13</v>
      </c>
      <c r="D48" s="962"/>
      <c r="E48" s="963"/>
      <c r="G48" s="957" t="s">
        <v>11956</v>
      </c>
      <c r="H48" s="958">
        <f>C3</f>
        <v>13</v>
      </c>
      <c r="I48" s="962"/>
      <c r="J48" s="963"/>
      <c r="L48" s="957" t="s">
        <v>11956</v>
      </c>
      <c r="M48" s="958">
        <f>C3</f>
        <v>13</v>
      </c>
      <c r="N48" s="961"/>
    </row>
    <row r="49" spans="1:14" x14ac:dyDescent="0.3">
      <c r="B49" s="957" t="s">
        <v>11957</v>
      </c>
      <c r="C49" s="959" t="s">
        <v>11982</v>
      </c>
      <c r="D49" s="961"/>
      <c r="G49" s="957" t="s">
        <v>11957</v>
      </c>
      <c r="H49" s="959" t="s">
        <v>11974</v>
      </c>
      <c r="I49" s="964"/>
      <c r="J49" s="965"/>
      <c r="L49" s="957" t="s">
        <v>11957</v>
      </c>
      <c r="M49" s="959" t="s">
        <v>11978</v>
      </c>
      <c r="N49" s="961"/>
    </row>
    <row r="50" spans="1:14" x14ac:dyDescent="0.3">
      <c r="B50" s="960" t="str">
        <f>'гр (13-16)'!C9</f>
        <v>ПРОХОРОВ Кирилл</v>
      </c>
      <c r="C50" s="960" t="str">
        <f>'гр (13-16)'!C17</f>
        <v>РЯБОШАПКА Федор</v>
      </c>
      <c r="D50" s="961"/>
      <c r="E50" s="966"/>
      <c r="G50" s="960" t="str">
        <f>'гр (13-16)'!C15</f>
        <v>ОДЕРКОВ Марк</v>
      </c>
      <c r="H50" s="960" t="str">
        <f>'гр (13-16)'!C5</f>
        <v>ЛАЗАРЕВ Василий</v>
      </c>
      <c r="I50" s="961"/>
      <c r="J50" s="966"/>
      <c r="L50" s="960" t="str">
        <f>'гр (13-16)'!C13</f>
        <v>СУЧКОВ Артемий</v>
      </c>
      <c r="M50" s="960" t="str">
        <f>'гр (13-16)'!C11</f>
        <v>ПОПОВ Данила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13</v>
      </c>
      <c r="D63" s="962"/>
      <c r="E63" s="963"/>
      <c r="G63" s="957" t="s">
        <v>11956</v>
      </c>
      <c r="H63" s="958">
        <f>C3</f>
        <v>13</v>
      </c>
      <c r="I63" s="962"/>
      <c r="J63" s="963"/>
      <c r="L63" s="957" t="s">
        <v>11956</v>
      </c>
      <c r="M63" s="958">
        <f>C3</f>
        <v>13</v>
      </c>
      <c r="N63" s="961"/>
    </row>
    <row r="64" spans="1:14" x14ac:dyDescent="0.3">
      <c r="B64" s="957" t="s">
        <v>11957</v>
      </c>
      <c r="C64" s="959" t="s">
        <v>1114</v>
      </c>
      <c r="D64" s="961"/>
      <c r="G64" s="957" t="s">
        <v>11957</v>
      </c>
      <c r="H64" s="959" t="s">
        <v>1049</v>
      </c>
      <c r="I64" s="964"/>
      <c r="J64" s="965"/>
      <c r="L64" s="957" t="s">
        <v>11957</v>
      </c>
      <c r="M64" s="959" t="s">
        <v>1033</v>
      </c>
      <c r="N64" s="961"/>
    </row>
    <row r="65" spans="1:14" x14ac:dyDescent="0.3">
      <c r="B65" s="960" t="str">
        <f>'гр (13-16)'!C5</f>
        <v>ЛАЗАРЕВ Василий</v>
      </c>
      <c r="C65" s="960" t="str">
        <f>'гр (13-16)'!C7</f>
        <v>ДЕРНИКОВ Ефим</v>
      </c>
      <c r="D65" s="961"/>
      <c r="E65" s="966"/>
      <c r="G65" s="960" t="str">
        <f>'гр (13-16)'!C9</f>
        <v>ПРОХОРОВ Кирилл</v>
      </c>
      <c r="H65" s="960" t="str">
        <f>'гр (13-16)'!C11</f>
        <v>ПОПОВ Данила</v>
      </c>
      <c r="I65" s="961"/>
      <c r="J65" s="966"/>
      <c r="L65" s="960" t="str">
        <f>'гр (13-16)'!C13</f>
        <v>СУЧКОВ Артемий</v>
      </c>
      <c r="M65" s="960" t="str">
        <f>'гр (13-16)'!C15</f>
        <v>ОДЕРКОВ Марк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</sheetData>
  <mergeCells count="30"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A127" zoomScale="60" zoomScaleNormal="100" workbookViewId="0">
      <selection activeCell="B149" sqref="B149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14</v>
      </c>
      <c r="D3" s="962"/>
      <c r="E3" s="963"/>
      <c r="G3" s="957" t="s">
        <v>11956</v>
      </c>
      <c r="H3" s="958">
        <f>C3</f>
        <v>14</v>
      </c>
      <c r="I3" s="962"/>
      <c r="J3" s="963"/>
      <c r="L3" s="957" t="s">
        <v>11956</v>
      </c>
      <c r="M3" s="958">
        <f>C3</f>
        <v>14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'гр (13-16)'!C27</f>
        <v>АВЕРИН Владимир</v>
      </c>
      <c r="C5" s="960" t="str">
        <f>'гр (13-16)'!C35</f>
        <v>РОСТОШИНСКИЙ Иван</v>
      </c>
      <c r="D5" s="961"/>
      <c r="E5" s="966"/>
      <c r="G5" s="960" t="str">
        <f>'гр (13-16)'!C29</f>
        <v>ЛОМАКИН Павел</v>
      </c>
      <c r="H5" s="960" t="str">
        <f>'гр (13-16)'!C33</f>
        <v>АМУРСКИЙ Василий</v>
      </c>
      <c r="I5" s="961"/>
      <c r="J5" s="966"/>
      <c r="L5" s="960" t="str">
        <f>'гр (13-16)'!C25</f>
        <v>ПЕРФИЛЬЕВ Алексей</v>
      </c>
      <c r="M5" s="960" t="str">
        <f>'гр (13-16)'!C37</f>
        <v/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14</v>
      </c>
      <c r="D18" s="962"/>
      <c r="E18" s="963"/>
      <c r="G18" s="957" t="s">
        <v>11956</v>
      </c>
      <c r="H18" s="958">
        <f>C3</f>
        <v>14</v>
      </c>
      <c r="I18" s="962"/>
      <c r="J18" s="963"/>
      <c r="L18" s="957" t="s">
        <v>11956</v>
      </c>
      <c r="M18" s="958">
        <f>C3</f>
        <v>14</v>
      </c>
      <c r="N18" s="961"/>
    </row>
    <row r="19" spans="1:14" x14ac:dyDescent="0.3">
      <c r="B19" s="957" t="s">
        <v>11957</v>
      </c>
      <c r="C19" s="959" t="s">
        <v>11958</v>
      </c>
      <c r="D19" s="961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960" t="str">
        <f>'гр (13-16)'!C31</f>
        <v>СВИРЩЕВСКИЙ Юрий</v>
      </c>
      <c r="C20" s="960" t="str">
        <f>'гр (13-16)'!C39</f>
        <v/>
      </c>
      <c r="D20" s="961"/>
      <c r="E20" s="966"/>
      <c r="G20" s="960" t="str">
        <f>'гр (13-16)'!C33</f>
        <v>АМУРСКИЙ Василий</v>
      </c>
      <c r="H20" s="960" t="str">
        <f>'гр (13-16)'!C27</f>
        <v>АВЕРИН Владимир</v>
      </c>
      <c r="I20" s="961"/>
      <c r="J20" s="966"/>
      <c r="L20" s="960" t="str">
        <f>'гр (13-16)'!C35</f>
        <v>РОСТОШИНСКИЙ Иван</v>
      </c>
      <c r="M20" s="960" t="str">
        <f>'гр (13-16)'!C25</f>
        <v>ПЕРФИЛЬЕВ Алексей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14</v>
      </c>
      <c r="D33" s="962"/>
      <c r="E33" s="963"/>
      <c r="G33" s="957" t="s">
        <v>11956</v>
      </c>
      <c r="H33" s="958">
        <f>C3</f>
        <v>14</v>
      </c>
      <c r="I33" s="962"/>
      <c r="J33" s="963"/>
      <c r="L33" s="957" t="s">
        <v>11956</v>
      </c>
      <c r="M33" s="958">
        <f>C3</f>
        <v>14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'гр (13-16)'!C39</f>
        <v/>
      </c>
      <c r="C35" s="960" t="str">
        <f>'гр (13-16)'!C29</f>
        <v>ЛОМАКИН Павел</v>
      </c>
      <c r="D35" s="961"/>
      <c r="E35" s="966"/>
      <c r="G35" s="960" t="str">
        <f>'гр (13-16)'!C37</f>
        <v/>
      </c>
      <c r="H35" s="960" t="str">
        <f>'гр (13-16)'!C31</f>
        <v>СВИРЩЕВСКИЙ Юрий</v>
      </c>
      <c r="I35" s="961"/>
      <c r="J35" s="966"/>
      <c r="L35" s="960" t="str">
        <f>'гр (13-16)'!C25</f>
        <v>ПЕРФИЛЬЕВ Алексей</v>
      </c>
      <c r="M35" s="960" t="str">
        <f>'гр (13-16)'!C33</f>
        <v>АМУРСКИЙ Василий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14</v>
      </c>
      <c r="D48" s="962"/>
      <c r="E48" s="963"/>
      <c r="G48" s="957" t="s">
        <v>11956</v>
      </c>
      <c r="H48" s="958">
        <f>C3</f>
        <v>14</v>
      </c>
      <c r="I48" s="962"/>
      <c r="J48" s="963"/>
      <c r="L48" s="957" t="s">
        <v>11956</v>
      </c>
      <c r="M48" s="958">
        <f>C3</f>
        <v>14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'гр (13-16)'!C27</f>
        <v>АВЕРИН Владимир</v>
      </c>
      <c r="C50" s="960" t="str">
        <f>'гр (13-16)'!C39</f>
        <v/>
      </c>
      <c r="D50" s="961"/>
      <c r="E50" s="966"/>
      <c r="G50" s="960" t="str">
        <f>'гр (13-16)'!C31</f>
        <v>СВИРЩЕВСКИЙ Юрий</v>
      </c>
      <c r="H50" s="960" t="str">
        <f>'гр (13-16)'!C35</f>
        <v>РОСТОШИНСКИЙ Иван</v>
      </c>
      <c r="I50" s="961"/>
      <c r="J50" s="966"/>
      <c r="L50" s="960" t="str">
        <f>'гр (13-16)'!C29</f>
        <v>ЛОМАКИН Павел</v>
      </c>
      <c r="M50" s="960" t="str">
        <f>'гр (13-16)'!C37</f>
        <v/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14</v>
      </c>
      <c r="D63" s="962"/>
      <c r="E63" s="963"/>
      <c r="G63" s="957" t="s">
        <v>11956</v>
      </c>
      <c r="H63" s="958">
        <f>C3</f>
        <v>14</v>
      </c>
      <c r="I63" s="962"/>
      <c r="J63" s="963"/>
      <c r="L63" s="957" t="s">
        <v>11956</v>
      </c>
      <c r="M63" s="958">
        <f>C3</f>
        <v>14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'гр (13-16)'!C39</f>
        <v/>
      </c>
      <c r="C65" s="960" t="str">
        <f>'гр (13-16)'!C25</f>
        <v>ПЕРФИЛЬЕВ Алексей</v>
      </c>
      <c r="D65" s="961"/>
      <c r="E65" s="966"/>
      <c r="G65" s="960" t="str">
        <f>'гр (13-16)'!C33</f>
        <v>АМУРСКИЙ Василий</v>
      </c>
      <c r="H65" s="960" t="str">
        <f>'гр (13-16)'!C31</f>
        <v>СВИРЩЕВСКИЙ Юрий</v>
      </c>
      <c r="I65" s="961"/>
      <c r="J65" s="966"/>
      <c r="L65" s="960" t="str">
        <f>'гр (13-16)'!C37</f>
        <v/>
      </c>
      <c r="M65" s="960" t="str">
        <f>'гр (13-16)'!C27</f>
        <v>АВЕРИН Владимир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Групповой этап</v>
      </c>
      <c r="C77" s="1199"/>
      <c r="D77" s="955"/>
      <c r="E77" s="956"/>
      <c r="G77" s="1199" t="str">
        <f>B2</f>
        <v>Групповой этап</v>
      </c>
      <c r="H77" s="1199"/>
      <c r="I77" s="955"/>
      <c r="J77" s="956"/>
      <c r="L77" s="1199" t="str">
        <f>B2</f>
        <v>Групповой этап</v>
      </c>
      <c r="M77" s="1199"/>
      <c r="N77" s="961"/>
    </row>
    <row r="78" spans="1:14" x14ac:dyDescent="0.3">
      <c r="B78" s="957" t="s">
        <v>11956</v>
      </c>
      <c r="C78" s="958">
        <f>C3</f>
        <v>14</v>
      </c>
      <c r="D78" s="962"/>
      <c r="E78" s="963"/>
      <c r="G78" s="957" t="s">
        <v>11956</v>
      </c>
      <c r="H78" s="958">
        <f>C3</f>
        <v>14</v>
      </c>
      <c r="I78" s="962"/>
      <c r="J78" s="963"/>
      <c r="L78" s="957" t="s">
        <v>11956</v>
      </c>
      <c r="M78" s="958">
        <f>C3</f>
        <v>14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'гр (13-16)'!C35</f>
        <v>РОСТОШИНСКИЙ Иван</v>
      </c>
      <c r="C80" s="960" t="str">
        <f>'гр (13-16)'!C29</f>
        <v>ЛОМАКИН Павел</v>
      </c>
      <c r="D80" s="961"/>
      <c r="E80" s="966"/>
      <c r="G80" s="960" t="str">
        <f>'гр (13-16)'!C25</f>
        <v>ПЕРФИЛЬЕВ Алексей</v>
      </c>
      <c r="H80" s="960" t="str">
        <f>'гр (13-16)'!C29</f>
        <v>ЛОМАКИН Павел</v>
      </c>
      <c r="I80" s="961"/>
      <c r="J80" s="966"/>
      <c r="L80" s="960" t="str">
        <f>'гр (13-16)'!C27</f>
        <v>АВЕРИН Владимир</v>
      </c>
      <c r="M80" s="960" t="str">
        <f>'гр (13-16)'!C31</f>
        <v>СВИРЩЕВСКИЙ Юрий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Групповой этап</v>
      </c>
      <c r="C92" s="1199"/>
      <c r="D92" s="955"/>
      <c r="E92" s="956"/>
      <c r="G92" s="1199" t="str">
        <f>B2</f>
        <v>Групповой этап</v>
      </c>
      <c r="H92" s="1199"/>
      <c r="I92" s="955"/>
      <c r="J92" s="956"/>
      <c r="L92" s="1199" t="str">
        <f>B2</f>
        <v>Групповой этап</v>
      </c>
      <c r="M92" s="1199"/>
      <c r="N92" s="961"/>
    </row>
    <row r="93" spans="1:14" x14ac:dyDescent="0.3">
      <c r="B93" s="957" t="s">
        <v>11956</v>
      </c>
      <c r="C93" s="958">
        <f>C3</f>
        <v>14</v>
      </c>
      <c r="D93" s="962"/>
      <c r="E93" s="963"/>
      <c r="G93" s="957" t="s">
        <v>11956</v>
      </c>
      <c r="H93" s="958">
        <f>C3</f>
        <v>14</v>
      </c>
      <c r="I93" s="962"/>
      <c r="J93" s="963"/>
      <c r="L93" s="957" t="s">
        <v>11956</v>
      </c>
      <c r="M93" s="958">
        <f>C3</f>
        <v>14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'гр (13-16)'!C33</f>
        <v>АМУРСКИЙ Василий</v>
      </c>
      <c r="C95" s="960" t="str">
        <f>'гр (13-16)'!C37</f>
        <v/>
      </c>
      <c r="D95" s="961"/>
      <c r="E95" s="966"/>
      <c r="G95" s="960" t="str">
        <f>'гр (13-16)'!C35</f>
        <v>РОСТОШИНСКИЙ Иван</v>
      </c>
      <c r="H95" s="960" t="str">
        <f>'гр (13-16)'!C39</f>
        <v/>
      </c>
      <c r="I95" s="961"/>
      <c r="J95" s="966"/>
      <c r="L95" s="960" t="str">
        <f>'гр (13-16)'!C31</f>
        <v>СВИРЩЕВСКИЙ Юрий</v>
      </c>
      <c r="M95" s="960" t="str">
        <f>'гр (13-16)'!C25</f>
        <v>ПЕРФИЛЬЕВ Алексей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Групповой этап</v>
      </c>
      <c r="C107" s="1199"/>
      <c r="D107" s="955"/>
      <c r="E107" s="956"/>
      <c r="G107" s="1199" t="str">
        <f>B2</f>
        <v>Групповой этап</v>
      </c>
      <c r="H107" s="1199"/>
      <c r="I107" s="955"/>
      <c r="J107" s="956"/>
      <c r="L107" s="1199" t="str">
        <f>B2</f>
        <v>Групповой этап</v>
      </c>
      <c r="M107" s="1199"/>
      <c r="N107" s="961"/>
    </row>
    <row r="108" spans="1:14" x14ac:dyDescent="0.3">
      <c r="B108" s="957" t="s">
        <v>11956</v>
      </c>
      <c r="C108" s="958">
        <f>C3</f>
        <v>14</v>
      </c>
      <c r="D108" s="962"/>
      <c r="E108" s="963"/>
      <c r="G108" s="957" t="s">
        <v>11956</v>
      </c>
      <c r="H108" s="958">
        <f>C3</f>
        <v>14</v>
      </c>
      <c r="I108" s="962"/>
      <c r="J108" s="963"/>
      <c r="L108" s="957" t="s">
        <v>11956</v>
      </c>
      <c r="M108" s="958">
        <f>C3</f>
        <v>14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'гр (13-16)'!C29</f>
        <v>ЛОМАКИН Павел</v>
      </c>
      <c r="C110" s="960" t="str">
        <f>'гр (13-16)'!C27</f>
        <v>АВЕРИН Владимир</v>
      </c>
      <c r="D110" s="961"/>
      <c r="E110" s="966"/>
      <c r="G110" s="960" t="str">
        <f>'гр (13-16)'!C37</f>
        <v/>
      </c>
      <c r="H110" s="960" t="str">
        <f>'гр (13-16)'!C35</f>
        <v>РОСТОШИНСКИЙ Иван</v>
      </c>
      <c r="I110" s="961"/>
      <c r="J110" s="966"/>
      <c r="L110" s="960" t="str">
        <f>'гр (13-16)'!C39</f>
        <v/>
      </c>
      <c r="M110" s="960" t="str">
        <f>'гр (13-16)'!C33</f>
        <v>АМУРСКИЙ Василий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Групповой этап</v>
      </c>
      <c r="C122" s="1199"/>
      <c r="D122" s="955"/>
      <c r="E122" s="956"/>
      <c r="G122" s="1199" t="str">
        <f>B2</f>
        <v>Групповой этап</v>
      </c>
      <c r="H122" s="1199"/>
      <c r="I122" s="955"/>
      <c r="J122" s="956"/>
      <c r="L122" s="1199" t="str">
        <f>B2</f>
        <v>Групповой этап</v>
      </c>
      <c r="M122" s="1199"/>
      <c r="N122" s="961"/>
    </row>
    <row r="123" spans="1:14" x14ac:dyDescent="0.3">
      <c r="B123" s="957" t="s">
        <v>11956</v>
      </c>
      <c r="C123" s="958">
        <f>C3</f>
        <v>14</v>
      </c>
      <c r="D123" s="962"/>
      <c r="E123" s="963"/>
      <c r="G123" s="957" t="s">
        <v>11956</v>
      </c>
      <c r="H123" s="958">
        <f>C3</f>
        <v>14</v>
      </c>
      <c r="I123" s="962"/>
      <c r="J123" s="963"/>
      <c r="L123" s="957" t="s">
        <v>11956</v>
      </c>
      <c r="M123" s="958">
        <f>C3</f>
        <v>14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'гр (13-16)'!C25</f>
        <v>ПЕРФИЛЬЕВ Алексей</v>
      </c>
      <c r="C125" s="960" t="str">
        <f>'гр (13-16)'!C27</f>
        <v>АВЕРИН Владимир</v>
      </c>
      <c r="D125" s="961"/>
      <c r="E125" s="966"/>
      <c r="G125" s="960" t="str">
        <f>'гр (13-16)'!C29</f>
        <v>ЛОМАКИН Павел</v>
      </c>
      <c r="H125" s="960" t="str">
        <f>'гр (13-16)'!C31</f>
        <v>СВИРЩЕВСКИЙ Юрий</v>
      </c>
      <c r="I125" s="961"/>
      <c r="J125" s="966"/>
      <c r="L125" s="960" t="str">
        <f>'гр (13-16)'!C33</f>
        <v>АМУРСКИЙ Василий</v>
      </c>
      <c r="M125" s="960" t="str">
        <f>'гр (13-16)'!C35</f>
        <v>РОСТОШИНСКИЙ Иван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Групповой этап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 t="s">
        <v>11956</v>
      </c>
      <c r="C138" s="975">
        <f>C3</f>
        <v>14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'гр (13-16)'!C37</f>
        <v/>
      </c>
      <c r="C140" s="960" t="str">
        <f>'гр (13-16)'!C39</f>
        <v/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4" manualBreakCount="4">
    <brk id="30" max="16383" man="1"/>
    <brk id="60" max="16383" man="1"/>
    <brk id="90" max="16383" man="1"/>
    <brk id="120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75"/>
  <sheetViews>
    <sheetView view="pageBreakPreview" topLeftCell="B55" zoomScale="60" zoomScaleNormal="100" workbookViewId="0">
      <selection activeCell="M66" sqref="M66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14</v>
      </c>
      <c r="D3" s="962"/>
      <c r="E3" s="963"/>
      <c r="G3" s="957" t="s">
        <v>11956</v>
      </c>
      <c r="H3" s="958">
        <f>C3</f>
        <v>14</v>
      </c>
      <c r="I3" s="962"/>
      <c r="J3" s="963"/>
      <c r="L3" s="957" t="s">
        <v>11956</v>
      </c>
      <c r="M3" s="958">
        <f>C3</f>
        <v>14</v>
      </c>
      <c r="N3" s="961"/>
    </row>
    <row r="4" spans="1:14" x14ac:dyDescent="0.3">
      <c r="B4" s="957" t="s">
        <v>11957</v>
      </c>
      <c r="C4" s="959" t="s">
        <v>11970</v>
      </c>
      <c r="D4" s="961"/>
      <c r="G4" s="957" t="s">
        <v>11957</v>
      </c>
      <c r="H4" s="959" t="s">
        <v>11967</v>
      </c>
      <c r="I4" s="964"/>
      <c r="J4" s="965"/>
      <c r="L4" s="957" t="s">
        <v>11957</v>
      </c>
      <c r="M4" s="959" t="s">
        <v>1040</v>
      </c>
      <c r="N4" s="961"/>
    </row>
    <row r="5" spans="1:14" x14ac:dyDescent="0.3">
      <c r="B5" s="960" t="str">
        <f>'гр (13-16)'!C27</f>
        <v>АВЕРИН Владимир</v>
      </c>
      <c r="C5" s="960" t="str">
        <f>'гр (13-16)'!C31</f>
        <v>СВИРЩЕВСКИЙ Юрий</v>
      </c>
      <c r="D5" s="961"/>
      <c r="E5" s="966"/>
      <c r="G5" s="960" t="str">
        <f>'гр (13-16)'!C25</f>
        <v>ПЕРФИЛЬЕВ Алексей</v>
      </c>
      <c r="H5" s="960" t="str">
        <f>'гр (13-16)'!C33</f>
        <v>АМУРСКИЙ Василий</v>
      </c>
      <c r="I5" s="961"/>
      <c r="J5" s="966"/>
      <c r="L5" s="960" t="str">
        <f>'гр (13-16)'!C29</f>
        <v>ЛОМАКИН Павел</v>
      </c>
      <c r="M5" s="960" t="str">
        <f>'гр (13-16)'!C35</f>
        <v>РОСТОШИНСКИЙ Иван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14</v>
      </c>
      <c r="D18" s="962"/>
      <c r="E18" s="963"/>
      <c r="G18" s="957" t="s">
        <v>11956</v>
      </c>
      <c r="H18" s="958">
        <f>C3</f>
        <v>14</v>
      </c>
      <c r="I18" s="962"/>
      <c r="J18" s="963"/>
      <c r="L18" s="957" t="s">
        <v>11956</v>
      </c>
      <c r="M18" s="958">
        <f>C3</f>
        <v>14</v>
      </c>
      <c r="N18" s="961"/>
    </row>
    <row r="19" spans="1:14" x14ac:dyDescent="0.3">
      <c r="B19" s="957" t="s">
        <v>11957</v>
      </c>
      <c r="C19" s="959" t="s">
        <v>11981</v>
      </c>
      <c r="D19" s="961"/>
      <c r="G19" s="957" t="s">
        <v>11957</v>
      </c>
      <c r="H19" s="959" t="s">
        <v>1100</v>
      </c>
      <c r="I19" s="964"/>
      <c r="J19" s="965"/>
      <c r="L19" s="957" t="s">
        <v>11957</v>
      </c>
      <c r="M19" s="959" t="s">
        <v>1099</v>
      </c>
      <c r="N19" s="961"/>
    </row>
    <row r="20" spans="1:14" x14ac:dyDescent="0.3">
      <c r="B20" s="960" t="str">
        <f>'гр (13-16)'!C31</f>
        <v>СВИРЩЕВСКИЙ Юрий</v>
      </c>
      <c r="C20" s="960" t="str">
        <f>'гр (13-16)'!C25</f>
        <v>ПЕРФИЛЬЕВ Алексей</v>
      </c>
      <c r="D20" s="961"/>
      <c r="E20" s="966"/>
      <c r="G20" s="960" t="str">
        <f>'гр (13-16)'!C35</f>
        <v>РОСТОШИНСКИЙ Иван</v>
      </c>
      <c r="H20" s="960" t="str">
        <f>'гр (13-16)'!C27</f>
        <v>АВЕРИН Владимир</v>
      </c>
      <c r="I20" s="961"/>
      <c r="J20" s="966"/>
      <c r="L20" s="960" t="str">
        <f>'гр (13-16)'!C33</f>
        <v>АМУРСКИЙ Василий</v>
      </c>
      <c r="M20" s="960" t="str">
        <f>'гр (13-16)'!C29</f>
        <v>ЛОМАКИН Павел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14</v>
      </c>
      <c r="D33" s="962"/>
      <c r="E33" s="963"/>
      <c r="G33" s="957" t="s">
        <v>11956</v>
      </c>
      <c r="H33" s="958">
        <f>C3</f>
        <v>14</v>
      </c>
      <c r="I33" s="962"/>
      <c r="J33" s="963"/>
      <c r="L33" s="957" t="s">
        <v>11956</v>
      </c>
      <c r="M33" s="958">
        <f>C3</f>
        <v>14</v>
      </c>
      <c r="N33" s="961"/>
    </row>
    <row r="34" spans="1:14" x14ac:dyDescent="0.3">
      <c r="B34" s="957" t="s">
        <v>11957</v>
      </c>
      <c r="C34" s="959" t="s">
        <v>11971</v>
      </c>
      <c r="D34" s="961"/>
      <c r="G34" s="957" t="s">
        <v>11957</v>
      </c>
      <c r="H34" s="959" t="s">
        <v>1048</v>
      </c>
      <c r="I34" s="964"/>
      <c r="J34" s="965"/>
      <c r="L34" s="957" t="s">
        <v>11957</v>
      </c>
      <c r="M34" s="959" t="s">
        <v>11964</v>
      </c>
      <c r="N34" s="961"/>
    </row>
    <row r="35" spans="1:14" x14ac:dyDescent="0.3">
      <c r="B35" s="960" t="str">
        <f>'гр (13-16)'!C25</f>
        <v>ПЕРФИЛЬЕВ Алексей</v>
      </c>
      <c r="C35" s="960" t="str">
        <f>'гр (13-16)'!C29</f>
        <v>ЛОМАКИН Павел</v>
      </c>
      <c r="D35" s="961"/>
      <c r="E35" s="966"/>
      <c r="G35" s="960" t="str">
        <f>'гр (13-16)'!C27</f>
        <v>АВЕРИН Владимир</v>
      </c>
      <c r="H35" s="960" t="str">
        <f>'гр (13-16)'!C33</f>
        <v>АМУРСКИЙ Василий</v>
      </c>
      <c r="I35" s="961"/>
      <c r="J35" s="966"/>
      <c r="L35" s="960" t="str">
        <f>'гр (13-16)'!C31</f>
        <v>СВИРЩЕВСКИЙ Юрий</v>
      </c>
      <c r="M35" s="960" t="str">
        <f>'гр (13-16)'!C35</f>
        <v>РОСТОШИНСКИЙ Иван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14</v>
      </c>
      <c r="D48" s="962"/>
      <c r="E48" s="963"/>
      <c r="G48" s="957" t="s">
        <v>11956</v>
      </c>
      <c r="H48" s="958">
        <f>C3</f>
        <v>14</v>
      </c>
      <c r="I48" s="962"/>
      <c r="J48" s="963"/>
      <c r="L48" s="957" t="s">
        <v>11956</v>
      </c>
      <c r="M48" s="958">
        <f>C3</f>
        <v>14</v>
      </c>
      <c r="N48" s="961"/>
    </row>
    <row r="49" spans="1:14" x14ac:dyDescent="0.3">
      <c r="B49" s="957" t="s">
        <v>11957</v>
      </c>
      <c r="C49" s="959" t="s">
        <v>11982</v>
      </c>
      <c r="D49" s="961"/>
      <c r="G49" s="957" t="s">
        <v>11957</v>
      </c>
      <c r="H49" s="959" t="s">
        <v>11974</v>
      </c>
      <c r="I49" s="964"/>
      <c r="J49" s="965"/>
      <c r="L49" s="957" t="s">
        <v>11957</v>
      </c>
      <c r="M49" s="959" t="s">
        <v>11978</v>
      </c>
      <c r="N49" s="961"/>
    </row>
    <row r="50" spans="1:14" x14ac:dyDescent="0.3">
      <c r="B50" s="960" t="str">
        <f>'гр (13-16)'!C29</f>
        <v>ЛОМАКИН Павел</v>
      </c>
      <c r="C50" s="960" t="str">
        <f>'гр (13-16)'!C27</f>
        <v>АВЕРИН Владимир</v>
      </c>
      <c r="D50" s="961"/>
      <c r="E50" s="966"/>
      <c r="G50" s="960" t="str">
        <f>'гр (13-16)'!C35</f>
        <v>РОСТОШИНСКИЙ Иван</v>
      </c>
      <c r="H50" s="960" t="str">
        <f>'гр (13-16)'!C25</f>
        <v>ПЕРФИЛЬЕВ Алексей</v>
      </c>
      <c r="I50" s="961"/>
      <c r="J50" s="966"/>
      <c r="L50" s="960" t="str">
        <f>'гр (13-16)'!C33</f>
        <v>АМУРСКИЙ Василий</v>
      </c>
      <c r="M50" s="960" t="str">
        <f>'гр (13-16)'!C31</f>
        <v>СВИРЩЕВСКИЙ Юрий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14</v>
      </c>
      <c r="D63" s="962"/>
      <c r="E63" s="963"/>
      <c r="G63" s="957" t="s">
        <v>11956</v>
      </c>
      <c r="H63" s="958">
        <f>C3</f>
        <v>14</v>
      </c>
      <c r="I63" s="962"/>
      <c r="J63" s="963"/>
      <c r="L63" s="957" t="s">
        <v>11956</v>
      </c>
      <c r="M63" s="958">
        <f>C3</f>
        <v>14</v>
      </c>
      <c r="N63" s="961"/>
    </row>
    <row r="64" spans="1:14" x14ac:dyDescent="0.3">
      <c r="B64" s="957" t="s">
        <v>11957</v>
      </c>
      <c r="C64" s="959" t="s">
        <v>1114</v>
      </c>
      <c r="D64" s="961"/>
      <c r="G64" s="957" t="s">
        <v>11957</v>
      </c>
      <c r="H64" s="959" t="s">
        <v>1049</v>
      </c>
      <c r="I64" s="964"/>
      <c r="J64" s="965"/>
      <c r="L64" s="957" t="s">
        <v>11957</v>
      </c>
      <c r="M64" s="959" t="s">
        <v>1033</v>
      </c>
      <c r="N64" s="961"/>
    </row>
    <row r="65" spans="1:14" x14ac:dyDescent="0.3">
      <c r="B65" s="960" t="str">
        <f>'гр (13-16)'!C25</f>
        <v>ПЕРФИЛЬЕВ Алексей</v>
      </c>
      <c r="C65" s="960" t="str">
        <f>'гр (13-16)'!C27</f>
        <v>АВЕРИН Владимир</v>
      </c>
      <c r="D65" s="961"/>
      <c r="E65" s="966"/>
      <c r="G65" s="960" t="str">
        <f>'гр (13-16)'!C29</f>
        <v>ЛОМАКИН Павел</v>
      </c>
      <c r="H65" s="960" t="str">
        <f>'гр (13-16)'!C31</f>
        <v>СВИРЩЕВСКИЙ Юрий</v>
      </c>
      <c r="I65" s="961"/>
      <c r="J65" s="966"/>
      <c r="L65" s="960" t="str">
        <f>'гр (13-16)'!C33</f>
        <v>АМУРСКИЙ Василий</v>
      </c>
      <c r="M65" s="960" t="str">
        <f>'гр (13-16)'!C35</f>
        <v>РОСТОШИНСКИЙ Иван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</sheetData>
  <mergeCells count="30"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2" manualBreakCount="2">
    <brk id="30" max="16383" man="1"/>
    <brk id="60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A70" zoomScale="60" zoomScaleNormal="100" workbookViewId="0">
      <selection activeCell="H8" sqref="H8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15</v>
      </c>
      <c r="D3" s="962"/>
      <c r="E3" s="963"/>
      <c r="G3" s="957" t="s">
        <v>11956</v>
      </c>
      <c r="H3" s="958">
        <f>C3</f>
        <v>15</v>
      </c>
      <c r="I3" s="962"/>
      <c r="J3" s="963"/>
      <c r="L3" s="957" t="s">
        <v>11956</v>
      </c>
      <c r="M3" s="958">
        <f>C3</f>
        <v>15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'гр (13-16)'!C47</f>
        <v>ПОРТНОВ Фадей</v>
      </c>
      <c r="C5" s="960" t="str">
        <f>'гр (13-16)'!C55</f>
        <v xml:space="preserve">КОРОЛЬКОВ Егор </v>
      </c>
      <c r="D5" s="961"/>
      <c r="E5" s="966"/>
      <c r="G5" s="960" t="str">
        <f>'гр (13-16)'!C49</f>
        <v>НОВИКОВ Кирилл</v>
      </c>
      <c r="H5" s="960" t="str">
        <f>'гр (13-16)'!C53</f>
        <v>ЛЕОНИДОВ Александр</v>
      </c>
      <c r="I5" s="961"/>
      <c r="J5" s="966"/>
      <c r="L5" s="960" t="str">
        <f>'гр (13-16)'!C45</f>
        <v>ШИЛОВ Владимир</v>
      </c>
      <c r="M5" s="960" t="str">
        <f>'гр (13-16)'!C57</f>
        <v>РОДИОНОВ Всеволод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15</v>
      </c>
      <c r="D18" s="962"/>
      <c r="E18" s="963"/>
      <c r="G18" s="957" t="s">
        <v>11956</v>
      </c>
      <c r="H18" s="958">
        <f>C3</f>
        <v>15</v>
      </c>
      <c r="I18" s="962"/>
      <c r="J18" s="963"/>
      <c r="L18" s="957" t="s">
        <v>11956</v>
      </c>
      <c r="M18" s="958">
        <f>C3</f>
        <v>15</v>
      </c>
      <c r="N18" s="961"/>
    </row>
    <row r="19" spans="1:14" x14ac:dyDescent="0.3">
      <c r="B19" s="957" t="s">
        <v>11957</v>
      </c>
      <c r="C19" s="959" t="s">
        <v>11958</v>
      </c>
      <c r="D19" s="961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960" t="str">
        <f>'гр (13-16)'!C51</f>
        <v>ПЕТУХОВ Антон</v>
      </c>
      <c r="C20" s="960" t="str">
        <f>'гр (13-16)'!C59</f>
        <v/>
      </c>
      <c r="D20" s="961"/>
      <c r="E20" s="966"/>
      <c r="G20" s="960" t="str">
        <f>'гр (13-16)'!C53</f>
        <v>ЛЕОНИДОВ Александр</v>
      </c>
      <c r="H20" s="960" t="str">
        <f>'гр (13-16)'!C47</f>
        <v>ПОРТНОВ Фадей</v>
      </c>
      <c r="I20" s="961"/>
      <c r="J20" s="966"/>
      <c r="L20" s="960" t="str">
        <f>'гр (13-16)'!C55</f>
        <v xml:space="preserve">КОРОЛЬКОВ Егор </v>
      </c>
      <c r="M20" s="960" t="str">
        <f>'гр (13-16)'!C45</f>
        <v>ШИЛОВ Владимир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15</v>
      </c>
      <c r="D33" s="962"/>
      <c r="E33" s="963"/>
      <c r="G33" s="957" t="s">
        <v>11956</v>
      </c>
      <c r="H33" s="958">
        <f>C3</f>
        <v>15</v>
      </c>
      <c r="I33" s="962"/>
      <c r="J33" s="963"/>
      <c r="L33" s="957" t="s">
        <v>11956</v>
      </c>
      <c r="M33" s="958">
        <f>C3</f>
        <v>15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'гр (13-16)'!C59</f>
        <v/>
      </c>
      <c r="C35" s="960" t="str">
        <f>'гр (13-16)'!C49</f>
        <v>НОВИКОВ Кирилл</v>
      </c>
      <c r="D35" s="961"/>
      <c r="E35" s="966"/>
      <c r="G35" s="960" t="str">
        <f>'гр (13-16)'!C57</f>
        <v>РОДИОНОВ Всеволод</v>
      </c>
      <c r="H35" s="960" t="str">
        <f>'гр (13-16)'!C51</f>
        <v>ПЕТУХОВ Антон</v>
      </c>
      <c r="I35" s="961"/>
      <c r="J35" s="966"/>
      <c r="L35" s="960" t="str">
        <f>'гр (13-16)'!C45</f>
        <v>ШИЛОВ Владимир</v>
      </c>
      <c r="M35" s="960" t="str">
        <f>'гр (13-16)'!C53</f>
        <v>ЛЕОНИДОВ Александр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15</v>
      </c>
      <c r="D48" s="962"/>
      <c r="E48" s="963"/>
      <c r="G48" s="957" t="s">
        <v>11956</v>
      </c>
      <c r="H48" s="958">
        <f>C3</f>
        <v>15</v>
      </c>
      <c r="I48" s="962"/>
      <c r="J48" s="963"/>
      <c r="L48" s="957" t="s">
        <v>11956</v>
      </c>
      <c r="M48" s="958">
        <f>C3</f>
        <v>15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'гр (13-16)'!C47</f>
        <v>ПОРТНОВ Фадей</v>
      </c>
      <c r="C50" s="960" t="str">
        <f>'гр (13-16)'!C59</f>
        <v/>
      </c>
      <c r="D50" s="961"/>
      <c r="E50" s="966"/>
      <c r="G50" s="960" t="str">
        <f>'гр (13-16)'!C51</f>
        <v>ПЕТУХОВ Антон</v>
      </c>
      <c r="H50" s="960" t="str">
        <f>'гр (13-16)'!C55</f>
        <v xml:space="preserve">КОРОЛЬКОВ Егор </v>
      </c>
      <c r="I50" s="961"/>
      <c r="J50" s="966"/>
      <c r="L50" s="960" t="str">
        <f>'гр (13-16)'!C49</f>
        <v>НОВИКОВ Кирилл</v>
      </c>
      <c r="M50" s="960" t="str">
        <f>'гр (13-16)'!C57</f>
        <v>РОДИОНОВ Всеволод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15</v>
      </c>
      <c r="D63" s="962"/>
      <c r="E63" s="963"/>
      <c r="G63" s="957" t="s">
        <v>11956</v>
      </c>
      <c r="H63" s="958">
        <f>C3</f>
        <v>15</v>
      </c>
      <c r="I63" s="962"/>
      <c r="J63" s="963"/>
      <c r="L63" s="957" t="s">
        <v>11956</v>
      </c>
      <c r="M63" s="958">
        <f>C3</f>
        <v>15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'гр (13-16)'!C59</f>
        <v/>
      </c>
      <c r="C65" s="960" t="str">
        <f>'гр (13-16)'!C45</f>
        <v>ШИЛОВ Владимир</v>
      </c>
      <c r="D65" s="961"/>
      <c r="E65" s="966"/>
      <c r="G65" s="960" t="str">
        <f>'гр (13-16)'!C53</f>
        <v>ЛЕОНИДОВ Александр</v>
      </c>
      <c r="H65" s="960" t="str">
        <f>'гр (13-16)'!C51</f>
        <v>ПЕТУХОВ Антон</v>
      </c>
      <c r="I65" s="961"/>
      <c r="J65" s="966"/>
      <c r="L65" s="960" t="str">
        <f>'гр (13-16)'!C57</f>
        <v>РОДИОНОВ Всеволод</v>
      </c>
      <c r="M65" s="960" t="str">
        <f>'гр (13-16)'!C47</f>
        <v>ПОРТНОВ Фадей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Групповой этап</v>
      </c>
      <c r="C77" s="1199"/>
      <c r="D77" s="955"/>
      <c r="E77" s="956"/>
      <c r="G77" s="1199" t="str">
        <f>B2</f>
        <v>Групповой этап</v>
      </c>
      <c r="H77" s="1199"/>
      <c r="I77" s="955"/>
      <c r="J77" s="956"/>
      <c r="L77" s="1199" t="str">
        <f>B2</f>
        <v>Групповой этап</v>
      </c>
      <c r="M77" s="1199"/>
      <c r="N77" s="961"/>
    </row>
    <row r="78" spans="1:14" x14ac:dyDescent="0.3">
      <c r="B78" s="957" t="s">
        <v>11956</v>
      </c>
      <c r="C78" s="958">
        <f>C3</f>
        <v>15</v>
      </c>
      <c r="D78" s="962"/>
      <c r="E78" s="963"/>
      <c r="G78" s="957" t="s">
        <v>11956</v>
      </c>
      <c r="H78" s="958">
        <f>C3</f>
        <v>15</v>
      </c>
      <c r="I78" s="962"/>
      <c r="J78" s="963"/>
      <c r="L78" s="957" t="s">
        <v>11956</v>
      </c>
      <c r="M78" s="958">
        <f>C3</f>
        <v>15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'гр (13-16)'!C55</f>
        <v xml:space="preserve">КОРОЛЬКОВ Егор </v>
      </c>
      <c r="C80" s="960" t="str">
        <f>'гр (13-16)'!C49</f>
        <v>НОВИКОВ Кирилл</v>
      </c>
      <c r="D80" s="961"/>
      <c r="E80" s="966"/>
      <c r="G80" s="960" t="str">
        <f>'гр (13-16)'!C45</f>
        <v>ШИЛОВ Владимир</v>
      </c>
      <c r="H80" s="960" t="str">
        <f>'гр (13-16)'!C49</f>
        <v>НОВИКОВ Кирилл</v>
      </c>
      <c r="I80" s="961"/>
      <c r="J80" s="966"/>
      <c r="L80" s="960" t="str">
        <f>'гр (13-16)'!C47</f>
        <v>ПОРТНОВ Фадей</v>
      </c>
      <c r="M80" s="960" t="str">
        <f>'гр (13-16)'!C51</f>
        <v>ПЕТУХОВ Антон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Групповой этап</v>
      </c>
      <c r="C92" s="1199"/>
      <c r="D92" s="955"/>
      <c r="E92" s="956"/>
      <c r="G92" s="1199" t="str">
        <f>B2</f>
        <v>Групповой этап</v>
      </c>
      <c r="H92" s="1199"/>
      <c r="I92" s="955"/>
      <c r="J92" s="956"/>
      <c r="L92" s="1199" t="str">
        <f>B2</f>
        <v>Групповой этап</v>
      </c>
      <c r="M92" s="1199"/>
      <c r="N92" s="961"/>
    </row>
    <row r="93" spans="1:14" x14ac:dyDescent="0.3">
      <c r="B93" s="957" t="s">
        <v>11956</v>
      </c>
      <c r="C93" s="958">
        <f>C3</f>
        <v>15</v>
      </c>
      <c r="D93" s="962"/>
      <c r="E93" s="963"/>
      <c r="G93" s="957" t="s">
        <v>11956</v>
      </c>
      <c r="H93" s="958">
        <f>C3</f>
        <v>15</v>
      </c>
      <c r="I93" s="962"/>
      <c r="J93" s="963"/>
      <c r="L93" s="957" t="s">
        <v>11956</v>
      </c>
      <c r="M93" s="958">
        <f>C3</f>
        <v>15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'гр (13-16)'!C53</f>
        <v>ЛЕОНИДОВ Александр</v>
      </c>
      <c r="C95" s="960" t="str">
        <f>'гр (13-16)'!C57</f>
        <v>РОДИОНОВ Всеволод</v>
      </c>
      <c r="D95" s="961"/>
      <c r="E95" s="966"/>
      <c r="G95" s="960" t="str">
        <f>'гр (13-16)'!C55</f>
        <v xml:space="preserve">КОРОЛЬКОВ Егор </v>
      </c>
      <c r="H95" s="960" t="str">
        <f>'гр (13-16)'!C59</f>
        <v/>
      </c>
      <c r="I95" s="961"/>
      <c r="J95" s="966"/>
      <c r="L95" s="960" t="str">
        <f>'гр (13-16)'!C51</f>
        <v>ПЕТУХОВ Антон</v>
      </c>
      <c r="M95" s="960" t="str">
        <f>'гр (13-16)'!C45</f>
        <v>ШИЛОВ Владимир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Групповой этап</v>
      </c>
      <c r="C107" s="1199"/>
      <c r="D107" s="955"/>
      <c r="E107" s="956"/>
      <c r="G107" s="1199" t="str">
        <f>B2</f>
        <v>Групповой этап</v>
      </c>
      <c r="H107" s="1199"/>
      <c r="I107" s="955"/>
      <c r="J107" s="956"/>
      <c r="L107" s="1199" t="str">
        <f>B2</f>
        <v>Групповой этап</v>
      </c>
      <c r="M107" s="1199"/>
      <c r="N107" s="961"/>
    </row>
    <row r="108" spans="1:14" x14ac:dyDescent="0.3">
      <c r="B108" s="957" t="s">
        <v>11956</v>
      </c>
      <c r="C108" s="958">
        <f>C3</f>
        <v>15</v>
      </c>
      <c r="D108" s="962"/>
      <c r="E108" s="963"/>
      <c r="G108" s="957" t="s">
        <v>11956</v>
      </c>
      <c r="H108" s="958">
        <f>C3</f>
        <v>15</v>
      </c>
      <c r="I108" s="962"/>
      <c r="J108" s="963"/>
      <c r="L108" s="957" t="s">
        <v>11956</v>
      </c>
      <c r="M108" s="958">
        <f>C3</f>
        <v>15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'гр (13-16)'!C49</f>
        <v>НОВИКОВ Кирилл</v>
      </c>
      <c r="C110" s="960" t="str">
        <f>'гр (13-16)'!C47</f>
        <v>ПОРТНОВ Фадей</v>
      </c>
      <c r="D110" s="961"/>
      <c r="E110" s="966"/>
      <c r="G110" s="960" t="str">
        <f>'гр (13-16)'!C57</f>
        <v>РОДИОНОВ Всеволод</v>
      </c>
      <c r="H110" s="960" t="str">
        <f>'гр (13-16)'!C55</f>
        <v xml:space="preserve">КОРОЛЬКОВ Егор </v>
      </c>
      <c r="I110" s="961"/>
      <c r="J110" s="966"/>
      <c r="L110" s="960" t="str">
        <f>'гр (13-16)'!C59</f>
        <v/>
      </c>
      <c r="M110" s="960" t="str">
        <f>'гр (13-16)'!C53</f>
        <v>ЛЕОНИДОВ Александр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Групповой этап</v>
      </c>
      <c r="C122" s="1199"/>
      <c r="D122" s="955"/>
      <c r="E122" s="956"/>
      <c r="G122" s="1199" t="str">
        <f>B2</f>
        <v>Групповой этап</v>
      </c>
      <c r="H122" s="1199"/>
      <c r="I122" s="955"/>
      <c r="J122" s="956"/>
      <c r="L122" s="1199" t="str">
        <f>B2</f>
        <v>Групповой этап</v>
      </c>
      <c r="M122" s="1199"/>
      <c r="N122" s="961"/>
    </row>
    <row r="123" spans="1:14" x14ac:dyDescent="0.3">
      <c r="B123" s="957" t="s">
        <v>11956</v>
      </c>
      <c r="C123" s="958">
        <f>C3</f>
        <v>15</v>
      </c>
      <c r="D123" s="962"/>
      <c r="E123" s="963"/>
      <c r="G123" s="957" t="s">
        <v>11956</v>
      </c>
      <c r="H123" s="958">
        <f>C3</f>
        <v>15</v>
      </c>
      <c r="I123" s="962"/>
      <c r="J123" s="963"/>
      <c r="L123" s="957" t="s">
        <v>11956</v>
      </c>
      <c r="M123" s="958">
        <f>C3</f>
        <v>15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'гр (13-16)'!C45</f>
        <v>ШИЛОВ Владимир</v>
      </c>
      <c r="C125" s="960" t="str">
        <f>'гр (13-16)'!C47</f>
        <v>ПОРТНОВ Фадей</v>
      </c>
      <c r="D125" s="961"/>
      <c r="E125" s="966"/>
      <c r="G125" s="960" t="str">
        <f>'гр (13-16)'!C49</f>
        <v>НОВИКОВ Кирилл</v>
      </c>
      <c r="H125" s="960" t="str">
        <f>'гр (13-16)'!C51</f>
        <v>ПЕТУХОВ Антон</v>
      </c>
      <c r="I125" s="961"/>
      <c r="J125" s="966"/>
      <c r="L125" s="960" t="str">
        <f>'гр (13-16)'!C53</f>
        <v>ЛЕОНИДОВ Александр</v>
      </c>
      <c r="M125" s="960" t="str">
        <f>'гр (13-16)'!C55</f>
        <v xml:space="preserve">КОРОЛЬКОВ Егор 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Групповой этап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 t="s">
        <v>11956</v>
      </c>
      <c r="C138" s="975">
        <f>C3</f>
        <v>15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'гр (13-16)'!C57</f>
        <v>РОДИОНОВ Всеволод</v>
      </c>
      <c r="C140" s="960" t="str">
        <f>'гр (13-16)'!C59</f>
        <v/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4" manualBreakCount="4">
    <brk id="30" max="16383" man="1"/>
    <brk id="60" max="16383" man="1"/>
    <brk id="90" max="16383" man="1"/>
    <brk id="120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75"/>
  <sheetViews>
    <sheetView view="pageBreakPreview" topLeftCell="B43" zoomScale="60" zoomScaleNormal="100" workbookViewId="0">
      <selection activeCell="M66" sqref="M66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15</v>
      </c>
      <c r="D3" s="962"/>
      <c r="E3" s="963"/>
      <c r="G3" s="957" t="s">
        <v>11956</v>
      </c>
      <c r="H3" s="958">
        <f>C3</f>
        <v>15</v>
      </c>
      <c r="I3" s="962"/>
      <c r="J3" s="963"/>
      <c r="L3" s="957" t="s">
        <v>11956</v>
      </c>
      <c r="M3" s="958">
        <f>C3</f>
        <v>15</v>
      </c>
      <c r="N3" s="961"/>
    </row>
    <row r="4" spans="1:14" x14ac:dyDescent="0.3">
      <c r="B4" s="957" t="s">
        <v>11957</v>
      </c>
      <c r="C4" s="959" t="s">
        <v>11970</v>
      </c>
      <c r="D4" s="961"/>
      <c r="G4" s="957" t="s">
        <v>11957</v>
      </c>
      <c r="H4" s="959" t="s">
        <v>11967</v>
      </c>
      <c r="I4" s="964"/>
      <c r="J4" s="965"/>
      <c r="L4" s="957" t="s">
        <v>11957</v>
      </c>
      <c r="M4" s="959" t="s">
        <v>1040</v>
      </c>
      <c r="N4" s="961"/>
    </row>
    <row r="5" spans="1:14" x14ac:dyDescent="0.3">
      <c r="B5" s="960" t="str">
        <f>'гр (13-16)'!C47</f>
        <v>ПОРТНОВ Фадей</v>
      </c>
      <c r="C5" s="960" t="str">
        <f>'гр (13-16)'!C51</f>
        <v>ПЕТУХОВ Антон</v>
      </c>
      <c r="D5" s="961"/>
      <c r="E5" s="966"/>
      <c r="G5" s="960" t="str">
        <f>'гр (13-16)'!C45</f>
        <v>ШИЛОВ Владимир</v>
      </c>
      <c r="H5" s="960" t="str">
        <f>'гр (13-16)'!C53</f>
        <v>ЛЕОНИДОВ Александр</v>
      </c>
      <c r="I5" s="961"/>
      <c r="J5" s="966"/>
      <c r="L5" s="960" t="str">
        <f>'гр (13-16)'!C49</f>
        <v>НОВИКОВ Кирилл</v>
      </c>
      <c r="M5" s="960" t="str">
        <f>'гр (13-16)'!C55</f>
        <v xml:space="preserve">КОРОЛЬКОВ Егор 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15</v>
      </c>
      <c r="D18" s="962"/>
      <c r="E18" s="963"/>
      <c r="G18" s="957" t="s">
        <v>11956</v>
      </c>
      <c r="H18" s="958">
        <f>C3</f>
        <v>15</v>
      </c>
      <c r="I18" s="962"/>
      <c r="J18" s="963"/>
      <c r="L18" s="957" t="s">
        <v>11956</v>
      </c>
      <c r="M18" s="958">
        <f>C3</f>
        <v>15</v>
      </c>
      <c r="N18" s="961"/>
    </row>
    <row r="19" spans="1:14" x14ac:dyDescent="0.3">
      <c r="B19" s="957" t="s">
        <v>11957</v>
      </c>
      <c r="C19" s="959" t="s">
        <v>11981</v>
      </c>
      <c r="D19" s="961"/>
      <c r="G19" s="957" t="s">
        <v>11957</v>
      </c>
      <c r="H19" s="959" t="s">
        <v>1100</v>
      </c>
      <c r="I19" s="964"/>
      <c r="J19" s="965"/>
      <c r="L19" s="957" t="s">
        <v>11957</v>
      </c>
      <c r="M19" s="959" t="s">
        <v>1099</v>
      </c>
      <c r="N19" s="961"/>
    </row>
    <row r="20" spans="1:14" x14ac:dyDescent="0.3">
      <c r="B20" s="960" t="str">
        <f>'гр (13-16)'!C51</f>
        <v>ПЕТУХОВ Антон</v>
      </c>
      <c r="C20" s="960" t="str">
        <f>'гр (13-16)'!C45</f>
        <v>ШИЛОВ Владимир</v>
      </c>
      <c r="D20" s="961"/>
      <c r="E20" s="966"/>
      <c r="G20" s="960" t="str">
        <f>'гр (13-16)'!C55</f>
        <v xml:space="preserve">КОРОЛЬКОВ Егор </v>
      </c>
      <c r="H20" s="960" t="str">
        <f>'гр (13-16)'!C47</f>
        <v>ПОРТНОВ Фадей</v>
      </c>
      <c r="I20" s="961"/>
      <c r="J20" s="966"/>
      <c r="L20" s="960" t="str">
        <f>'гр (13-16)'!C53</f>
        <v>ЛЕОНИДОВ Александр</v>
      </c>
      <c r="M20" s="960" t="str">
        <f>'гр (13-16)'!C49</f>
        <v>НОВИКОВ Кирилл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15</v>
      </c>
      <c r="D33" s="962"/>
      <c r="E33" s="963"/>
      <c r="G33" s="957" t="s">
        <v>11956</v>
      </c>
      <c r="H33" s="958">
        <f>C3</f>
        <v>15</v>
      </c>
      <c r="I33" s="962"/>
      <c r="J33" s="963"/>
      <c r="L33" s="957" t="s">
        <v>11956</v>
      </c>
      <c r="M33" s="958">
        <f>C3</f>
        <v>15</v>
      </c>
      <c r="N33" s="961"/>
    </row>
    <row r="34" spans="1:14" x14ac:dyDescent="0.3">
      <c r="B34" s="957" t="s">
        <v>11957</v>
      </c>
      <c r="C34" s="959" t="s">
        <v>11971</v>
      </c>
      <c r="D34" s="961"/>
      <c r="G34" s="957" t="s">
        <v>11957</v>
      </c>
      <c r="H34" s="959" t="s">
        <v>1048</v>
      </c>
      <c r="I34" s="964"/>
      <c r="J34" s="965"/>
      <c r="L34" s="957" t="s">
        <v>11957</v>
      </c>
      <c r="M34" s="959" t="s">
        <v>11964</v>
      </c>
      <c r="N34" s="961"/>
    </row>
    <row r="35" spans="1:14" x14ac:dyDescent="0.3">
      <c r="B35" s="960" t="str">
        <f>'гр (13-16)'!C45</f>
        <v>ШИЛОВ Владимир</v>
      </c>
      <c r="C35" s="960" t="str">
        <f>'гр (13-16)'!C49</f>
        <v>НОВИКОВ Кирилл</v>
      </c>
      <c r="D35" s="961"/>
      <c r="E35" s="966"/>
      <c r="G35" s="960" t="str">
        <f>'гр (13-16)'!C47</f>
        <v>ПОРТНОВ Фадей</v>
      </c>
      <c r="H35" s="960" t="str">
        <f>'гр (13-16)'!C53</f>
        <v>ЛЕОНИДОВ Александр</v>
      </c>
      <c r="I35" s="961"/>
      <c r="J35" s="966"/>
      <c r="L35" s="960" t="e">
        <f>'гр (13-16)'!C41</f>
        <v>#N/A</v>
      </c>
      <c r="M35" s="960" t="str">
        <f>'гр (13-16)'!C55</f>
        <v xml:space="preserve">КОРОЛЬКОВ Егор 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15</v>
      </c>
      <c r="D48" s="962"/>
      <c r="E48" s="963"/>
      <c r="G48" s="957" t="s">
        <v>11956</v>
      </c>
      <c r="H48" s="958">
        <f>C3</f>
        <v>15</v>
      </c>
      <c r="I48" s="962"/>
      <c r="J48" s="963"/>
      <c r="L48" s="957" t="s">
        <v>11956</v>
      </c>
      <c r="M48" s="958">
        <f>C3</f>
        <v>15</v>
      </c>
      <c r="N48" s="961"/>
    </row>
    <row r="49" spans="1:14" x14ac:dyDescent="0.3">
      <c r="B49" s="957" t="s">
        <v>11957</v>
      </c>
      <c r="C49" s="959" t="s">
        <v>11982</v>
      </c>
      <c r="D49" s="961"/>
      <c r="G49" s="957" t="s">
        <v>11957</v>
      </c>
      <c r="H49" s="959" t="s">
        <v>11974</v>
      </c>
      <c r="I49" s="964"/>
      <c r="J49" s="965"/>
      <c r="L49" s="957" t="s">
        <v>11957</v>
      </c>
      <c r="M49" s="959" t="s">
        <v>11978</v>
      </c>
      <c r="N49" s="961"/>
    </row>
    <row r="50" spans="1:14" x14ac:dyDescent="0.3">
      <c r="B50" s="960" t="str">
        <f>'гр (13-16)'!C49</f>
        <v>НОВИКОВ Кирилл</v>
      </c>
      <c r="C50" s="960" t="str">
        <f>'гр (13-16)'!C47</f>
        <v>ПОРТНОВ Фадей</v>
      </c>
      <c r="D50" s="961"/>
      <c r="E50" s="966"/>
      <c r="G50" s="960" t="str">
        <f>'гр (13-16)'!C55</f>
        <v xml:space="preserve">КОРОЛЬКОВ Егор </v>
      </c>
      <c r="H50" s="960" t="str">
        <f>'гр (13-16)'!C45</f>
        <v>ШИЛОВ Владимир</v>
      </c>
      <c r="I50" s="961"/>
      <c r="J50" s="966"/>
      <c r="L50" s="960" t="str">
        <f>'гр (13-16)'!C53</f>
        <v>ЛЕОНИДОВ Александр</v>
      </c>
      <c r="M50" s="960" t="str">
        <f>'гр (13-16)'!C51</f>
        <v>ПЕТУХОВ Антон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15</v>
      </c>
      <c r="D63" s="962"/>
      <c r="E63" s="963"/>
      <c r="G63" s="957" t="s">
        <v>11956</v>
      </c>
      <c r="H63" s="958">
        <f>C3</f>
        <v>15</v>
      </c>
      <c r="I63" s="962"/>
      <c r="J63" s="963"/>
      <c r="L63" s="957" t="s">
        <v>11956</v>
      </c>
      <c r="M63" s="958">
        <f>C3</f>
        <v>15</v>
      </c>
      <c r="N63" s="961"/>
    </row>
    <row r="64" spans="1:14" x14ac:dyDescent="0.3">
      <c r="B64" s="957" t="s">
        <v>11957</v>
      </c>
      <c r="C64" s="959" t="s">
        <v>1114</v>
      </c>
      <c r="D64" s="961"/>
      <c r="G64" s="957" t="s">
        <v>11957</v>
      </c>
      <c r="H64" s="959" t="s">
        <v>1049</v>
      </c>
      <c r="I64" s="964"/>
      <c r="J64" s="965"/>
      <c r="L64" s="957" t="s">
        <v>11957</v>
      </c>
      <c r="M64" s="959" t="s">
        <v>1033</v>
      </c>
      <c r="N64" s="961"/>
    </row>
    <row r="65" spans="1:14" x14ac:dyDescent="0.3">
      <c r="B65" s="960" t="str">
        <f>'гр (13-16)'!C45</f>
        <v>ШИЛОВ Владимир</v>
      </c>
      <c r="C65" s="960" t="str">
        <f>'гр (13-16)'!C47</f>
        <v>ПОРТНОВ Фадей</v>
      </c>
      <c r="D65" s="961"/>
      <c r="E65" s="966"/>
      <c r="G65" s="960" t="str">
        <f>'гр (13-16)'!C49</f>
        <v>НОВИКОВ Кирилл</v>
      </c>
      <c r="H65" s="960" t="str">
        <f>'гр (13-16)'!C51</f>
        <v>ПЕТУХОВ Антон</v>
      </c>
      <c r="I65" s="961"/>
      <c r="J65" s="966"/>
      <c r="L65" s="960" t="str">
        <f>'гр (13-16)'!C53</f>
        <v>ЛЕОНИДОВ Александр</v>
      </c>
      <c r="M65" s="960" t="str">
        <f>'гр (13-16)'!C55</f>
        <v xml:space="preserve">КОРОЛЬКОВ Егор 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</sheetData>
  <mergeCells count="30"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2" manualBreakCount="2">
    <brk id="30" max="16383" man="1"/>
    <brk id="60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A120" zoomScale="60" zoomScaleNormal="100" workbookViewId="0">
      <selection activeCell="G12" sqref="G12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16</v>
      </c>
      <c r="D3" s="962"/>
      <c r="E3" s="963"/>
      <c r="G3" s="957" t="s">
        <v>11956</v>
      </c>
      <c r="H3" s="958">
        <f>C3</f>
        <v>16</v>
      </c>
      <c r="I3" s="962"/>
      <c r="J3" s="963"/>
      <c r="L3" s="957" t="s">
        <v>11956</v>
      </c>
      <c r="M3" s="958">
        <f>C3</f>
        <v>16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'гр (13-16)'!C67</f>
        <v>КОРОЛЬ Владислав</v>
      </c>
      <c r="C5" s="960" t="str">
        <f>'гр (13-16)'!C75</f>
        <v>УШКАРЕВ Максим</v>
      </c>
      <c r="D5" s="961"/>
      <c r="E5" s="966"/>
      <c r="G5" s="960" t="str">
        <f>'гр (13-16)'!C69</f>
        <v>ПИВОВАРОВ Иван</v>
      </c>
      <c r="H5" s="960" t="str">
        <f>'гр (13-16)'!C73</f>
        <v>ЗОЛОТКОВ Максим</v>
      </c>
      <c r="I5" s="961"/>
      <c r="J5" s="966"/>
      <c r="L5" s="960" t="str">
        <f>'гр (13-16)'!C65</f>
        <v>МАЛОВ Илья</v>
      </c>
      <c r="M5" s="960" t="str">
        <f>'гр (13-16)'!C77</f>
        <v/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16</v>
      </c>
      <c r="D18" s="962"/>
      <c r="E18" s="963"/>
      <c r="G18" s="957" t="s">
        <v>11956</v>
      </c>
      <c r="H18" s="958">
        <f>C3</f>
        <v>16</v>
      </c>
      <c r="I18" s="962"/>
      <c r="J18" s="963"/>
      <c r="L18" s="957" t="s">
        <v>11956</v>
      </c>
      <c r="M18" s="958">
        <f>C3</f>
        <v>16</v>
      </c>
      <c r="N18" s="961"/>
    </row>
    <row r="19" spans="1:14" x14ac:dyDescent="0.3">
      <c r="B19" s="957" t="s">
        <v>11957</v>
      </c>
      <c r="C19" s="959" t="s">
        <v>11958</v>
      </c>
      <c r="D19" s="961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960" t="str">
        <f>'гр (13-16)'!C71</f>
        <v>АРИСТОВ Александр</v>
      </c>
      <c r="C20" s="960" t="str">
        <f>'гр (13-16)'!C79</f>
        <v/>
      </c>
      <c r="D20" s="961"/>
      <c r="E20" s="966"/>
      <c r="G20" s="960" t="str">
        <f>'гр (13-16)'!C73</f>
        <v>ЗОЛОТКОВ Максим</v>
      </c>
      <c r="H20" s="960" t="str">
        <f>'гр (13-16)'!C67</f>
        <v>КОРОЛЬ Владислав</v>
      </c>
      <c r="I20" s="961"/>
      <c r="J20" s="966"/>
      <c r="L20" s="960" t="str">
        <f>'гр (13-16)'!C75</f>
        <v>УШКАРЕВ Максим</v>
      </c>
      <c r="M20" s="960" t="str">
        <f>'гр (13-16)'!C65</f>
        <v>МАЛОВ Илья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16</v>
      </c>
      <c r="D33" s="962"/>
      <c r="E33" s="963"/>
      <c r="G33" s="957" t="s">
        <v>11956</v>
      </c>
      <c r="H33" s="958">
        <f>C3</f>
        <v>16</v>
      </c>
      <c r="I33" s="962"/>
      <c r="J33" s="963"/>
      <c r="L33" s="957" t="s">
        <v>11956</v>
      </c>
      <c r="M33" s="958">
        <f>C3</f>
        <v>16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'гр (13-16)'!C79</f>
        <v/>
      </c>
      <c r="C35" s="960" t="str">
        <f>'гр (13-16)'!C69</f>
        <v>ПИВОВАРОВ Иван</v>
      </c>
      <c r="D35" s="961"/>
      <c r="E35" s="966"/>
      <c r="G35" s="960" t="str">
        <f>'гр (13-16)'!C77</f>
        <v/>
      </c>
      <c r="H35" s="960" t="str">
        <f>'гр (13-16)'!C71</f>
        <v>АРИСТОВ Александр</v>
      </c>
      <c r="I35" s="961"/>
      <c r="J35" s="966"/>
      <c r="L35" s="960" t="str">
        <f>'гр (13-16)'!C65</f>
        <v>МАЛОВ Илья</v>
      </c>
      <c r="M35" s="960" t="str">
        <f>'гр (13-16)'!C73</f>
        <v>ЗОЛОТКОВ Максим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16</v>
      </c>
      <c r="D48" s="962"/>
      <c r="E48" s="963"/>
      <c r="G48" s="957" t="s">
        <v>11956</v>
      </c>
      <c r="H48" s="958">
        <f>C3</f>
        <v>16</v>
      </c>
      <c r="I48" s="962"/>
      <c r="J48" s="963"/>
      <c r="L48" s="957" t="s">
        <v>11956</v>
      </c>
      <c r="M48" s="958">
        <f>C3</f>
        <v>16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'гр (13-16)'!C67</f>
        <v>КОРОЛЬ Владислав</v>
      </c>
      <c r="C50" s="960" t="str">
        <f>'гр (13-16)'!C79</f>
        <v/>
      </c>
      <c r="D50" s="961"/>
      <c r="E50" s="966"/>
      <c r="G50" s="960" t="str">
        <f>'гр (13-16)'!C71</f>
        <v>АРИСТОВ Александр</v>
      </c>
      <c r="H50" s="960" t="str">
        <f>'гр (13-16)'!C75</f>
        <v>УШКАРЕВ Максим</v>
      </c>
      <c r="I50" s="961"/>
      <c r="J50" s="966"/>
      <c r="L50" s="960" t="str">
        <f>'гр (13-16)'!C69</f>
        <v>ПИВОВАРОВ Иван</v>
      </c>
      <c r="M50" s="960" t="str">
        <f>'гр (13-16)'!C77</f>
        <v/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16</v>
      </c>
      <c r="D63" s="962"/>
      <c r="E63" s="963"/>
      <c r="G63" s="957" t="s">
        <v>11956</v>
      </c>
      <c r="H63" s="958">
        <f>C3</f>
        <v>16</v>
      </c>
      <c r="I63" s="962"/>
      <c r="J63" s="963"/>
      <c r="L63" s="957" t="s">
        <v>11956</v>
      </c>
      <c r="M63" s="958">
        <f>C3</f>
        <v>16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'гр (13-16)'!C79</f>
        <v/>
      </c>
      <c r="C65" s="960" t="str">
        <f>'гр (13-16)'!C65</f>
        <v>МАЛОВ Илья</v>
      </c>
      <c r="D65" s="961"/>
      <c r="E65" s="966"/>
      <c r="G65" s="960" t="str">
        <f>'гр (13-16)'!C73</f>
        <v>ЗОЛОТКОВ Максим</v>
      </c>
      <c r="H65" s="960" t="str">
        <f>'гр (13-16)'!C71</f>
        <v>АРИСТОВ Александр</v>
      </c>
      <c r="I65" s="961"/>
      <c r="J65" s="966"/>
      <c r="L65" s="960" t="str">
        <f>'гр (13-16)'!C77</f>
        <v/>
      </c>
      <c r="M65" s="960" t="str">
        <f>'гр (13-16)'!C67</f>
        <v>КОРОЛЬ Владислав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Групповой этап</v>
      </c>
      <c r="C77" s="1199"/>
      <c r="D77" s="955"/>
      <c r="E77" s="956"/>
      <c r="G77" s="1199" t="str">
        <f>B2</f>
        <v>Групповой этап</v>
      </c>
      <c r="H77" s="1199"/>
      <c r="I77" s="955"/>
      <c r="J77" s="956"/>
      <c r="L77" s="1199" t="str">
        <f>B2</f>
        <v>Групповой этап</v>
      </c>
      <c r="M77" s="1199"/>
      <c r="N77" s="961"/>
    </row>
    <row r="78" spans="1:14" x14ac:dyDescent="0.3">
      <c r="B78" s="957" t="s">
        <v>11956</v>
      </c>
      <c r="C78" s="958">
        <f>C3</f>
        <v>16</v>
      </c>
      <c r="D78" s="962"/>
      <c r="E78" s="963"/>
      <c r="G78" s="957" t="s">
        <v>11956</v>
      </c>
      <c r="H78" s="958">
        <f>C3</f>
        <v>16</v>
      </c>
      <c r="I78" s="962"/>
      <c r="J78" s="963"/>
      <c r="L78" s="957" t="s">
        <v>11956</v>
      </c>
      <c r="M78" s="958">
        <f>C3</f>
        <v>16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'гр (13-16)'!C75</f>
        <v>УШКАРЕВ Максим</v>
      </c>
      <c r="C80" s="960" t="str">
        <f>'гр (13-16)'!C69</f>
        <v>ПИВОВАРОВ Иван</v>
      </c>
      <c r="D80" s="961"/>
      <c r="E80" s="966"/>
      <c r="G80" s="960" t="str">
        <f>'гр (13-16)'!C65</f>
        <v>МАЛОВ Илья</v>
      </c>
      <c r="H80" s="960" t="str">
        <f>'гр (13-16)'!C69</f>
        <v>ПИВОВАРОВ Иван</v>
      </c>
      <c r="I80" s="961"/>
      <c r="J80" s="966"/>
      <c r="L80" s="960" t="str">
        <f>'гр (13-16)'!C67</f>
        <v>КОРОЛЬ Владислав</v>
      </c>
      <c r="M80" s="960" t="str">
        <f>'гр (13-16)'!C71</f>
        <v>АРИСТОВ Александр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Групповой этап</v>
      </c>
      <c r="C92" s="1199"/>
      <c r="D92" s="955"/>
      <c r="E92" s="956"/>
      <c r="G92" s="1199" t="str">
        <f>B2</f>
        <v>Групповой этап</v>
      </c>
      <c r="H92" s="1199"/>
      <c r="I92" s="955"/>
      <c r="J92" s="956"/>
      <c r="L92" s="1199" t="str">
        <f>B2</f>
        <v>Групповой этап</v>
      </c>
      <c r="M92" s="1199"/>
      <c r="N92" s="961"/>
    </row>
    <row r="93" spans="1:14" x14ac:dyDescent="0.3">
      <c r="B93" s="957" t="s">
        <v>11956</v>
      </c>
      <c r="C93" s="958">
        <f>C3</f>
        <v>16</v>
      </c>
      <c r="D93" s="962"/>
      <c r="E93" s="963"/>
      <c r="G93" s="957" t="s">
        <v>11956</v>
      </c>
      <c r="H93" s="958">
        <f>C3</f>
        <v>16</v>
      </c>
      <c r="I93" s="962"/>
      <c r="J93" s="963"/>
      <c r="L93" s="957" t="s">
        <v>11956</v>
      </c>
      <c r="M93" s="958">
        <f>C3</f>
        <v>16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'гр (13-16)'!C73</f>
        <v>ЗОЛОТКОВ Максим</v>
      </c>
      <c r="C95" s="960" t="str">
        <f>'гр (13-16)'!C77</f>
        <v/>
      </c>
      <c r="D95" s="961"/>
      <c r="E95" s="966"/>
      <c r="G95" s="960" t="str">
        <f>'гр (13-16)'!C75</f>
        <v>УШКАРЕВ Максим</v>
      </c>
      <c r="H95" s="960" t="str">
        <f>'гр (13-16)'!C79</f>
        <v/>
      </c>
      <c r="I95" s="961"/>
      <c r="J95" s="966"/>
      <c r="L95" s="960" t="str">
        <f>'гр (13-16)'!C71</f>
        <v>АРИСТОВ Александр</v>
      </c>
      <c r="M95" s="960" t="str">
        <f>'гр (13-16)'!C65</f>
        <v>МАЛОВ Илья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Групповой этап</v>
      </c>
      <c r="C107" s="1199"/>
      <c r="D107" s="955"/>
      <c r="E107" s="956"/>
      <c r="G107" s="1199" t="str">
        <f>B2</f>
        <v>Групповой этап</v>
      </c>
      <c r="H107" s="1199"/>
      <c r="I107" s="955"/>
      <c r="J107" s="956"/>
      <c r="L107" s="1199" t="str">
        <f>B2</f>
        <v>Групповой этап</v>
      </c>
      <c r="M107" s="1199"/>
      <c r="N107" s="961"/>
    </row>
    <row r="108" spans="1:14" x14ac:dyDescent="0.3">
      <c r="B108" s="957" t="s">
        <v>11956</v>
      </c>
      <c r="C108" s="958">
        <f>C3</f>
        <v>16</v>
      </c>
      <c r="D108" s="962"/>
      <c r="E108" s="963"/>
      <c r="G108" s="957" t="s">
        <v>11956</v>
      </c>
      <c r="H108" s="958">
        <f>C3</f>
        <v>16</v>
      </c>
      <c r="I108" s="962"/>
      <c r="J108" s="963"/>
      <c r="L108" s="957" t="s">
        <v>11956</v>
      </c>
      <c r="M108" s="958">
        <f>C3</f>
        <v>16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'гр (13-16)'!C69</f>
        <v>ПИВОВАРОВ Иван</v>
      </c>
      <c r="C110" s="960" t="str">
        <f>'гр (13-16)'!C67</f>
        <v>КОРОЛЬ Владислав</v>
      </c>
      <c r="D110" s="961"/>
      <c r="E110" s="966"/>
      <c r="G110" s="960" t="str">
        <f>'гр (13-16)'!C77</f>
        <v/>
      </c>
      <c r="H110" s="960" t="str">
        <f>'гр (13-16)'!C75</f>
        <v>УШКАРЕВ Максим</v>
      </c>
      <c r="I110" s="961"/>
      <c r="J110" s="966"/>
      <c r="L110" s="960" t="str">
        <f>'гр (13-16)'!C79</f>
        <v/>
      </c>
      <c r="M110" s="960" t="str">
        <f>'гр (13-16)'!C73</f>
        <v>ЗОЛОТКОВ Максим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Групповой этап</v>
      </c>
      <c r="C122" s="1199"/>
      <c r="D122" s="955"/>
      <c r="E122" s="956"/>
      <c r="G122" s="1199" t="str">
        <f>B2</f>
        <v>Групповой этап</v>
      </c>
      <c r="H122" s="1199"/>
      <c r="I122" s="955"/>
      <c r="J122" s="956"/>
      <c r="L122" s="1199" t="str">
        <f>B2</f>
        <v>Групповой этап</v>
      </c>
      <c r="M122" s="1199"/>
      <c r="N122" s="961"/>
    </row>
    <row r="123" spans="1:14" x14ac:dyDescent="0.3">
      <c r="B123" s="957" t="s">
        <v>11956</v>
      </c>
      <c r="C123" s="958">
        <f>C3</f>
        <v>16</v>
      </c>
      <c r="D123" s="962"/>
      <c r="E123" s="963"/>
      <c r="G123" s="957" t="s">
        <v>11956</v>
      </c>
      <c r="H123" s="958">
        <f>C3</f>
        <v>16</v>
      </c>
      <c r="I123" s="962"/>
      <c r="J123" s="963"/>
      <c r="L123" s="957" t="s">
        <v>11956</v>
      </c>
      <c r="M123" s="958">
        <f>C3</f>
        <v>16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'гр (13-16)'!C65</f>
        <v>МАЛОВ Илья</v>
      </c>
      <c r="C125" s="960" t="str">
        <f>'гр (13-16)'!C67</f>
        <v>КОРОЛЬ Владислав</v>
      </c>
      <c r="D125" s="961"/>
      <c r="E125" s="966"/>
      <c r="G125" s="960" t="str">
        <f>'гр (13-16)'!C69</f>
        <v>ПИВОВАРОВ Иван</v>
      </c>
      <c r="H125" s="960" t="str">
        <f>'гр (13-16)'!C71</f>
        <v>АРИСТОВ Александр</v>
      </c>
      <c r="I125" s="961"/>
      <c r="J125" s="966"/>
      <c r="L125" s="960" t="str">
        <f>'гр (13-16)'!C73</f>
        <v>ЗОЛОТКОВ Максим</v>
      </c>
      <c r="M125" s="960" t="str">
        <f>'гр (13-16)'!C75</f>
        <v>УШКАРЕВ Максим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Групповой этап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 t="s">
        <v>11956</v>
      </c>
      <c r="C138" s="975">
        <f>C3</f>
        <v>16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'гр (13-16)'!C77</f>
        <v/>
      </c>
      <c r="C140" s="960" t="str">
        <f>'гр (13-16)'!C79</f>
        <v/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4" manualBreakCount="4">
    <brk id="30" max="16383" man="1"/>
    <brk id="60" max="16383" man="1"/>
    <brk id="90" max="16383" man="1"/>
    <brk id="120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75"/>
  <sheetViews>
    <sheetView view="pageBreakPreview" topLeftCell="B41" zoomScale="60" zoomScaleNormal="100" workbookViewId="0">
      <selection activeCell="G68" sqref="G68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16</v>
      </c>
      <c r="D3" s="962"/>
      <c r="E3" s="963"/>
      <c r="G3" s="957" t="s">
        <v>11956</v>
      </c>
      <c r="H3" s="958">
        <f>C3</f>
        <v>16</v>
      </c>
      <c r="I3" s="962"/>
      <c r="J3" s="963"/>
      <c r="L3" s="957" t="s">
        <v>11956</v>
      </c>
      <c r="M3" s="958">
        <f>C3</f>
        <v>16</v>
      </c>
      <c r="N3" s="961"/>
    </row>
    <row r="4" spans="1:14" x14ac:dyDescent="0.3">
      <c r="B4" s="957" t="s">
        <v>11957</v>
      </c>
      <c r="C4" s="959" t="s">
        <v>11970</v>
      </c>
      <c r="D4" s="961"/>
      <c r="G4" s="957" t="s">
        <v>11957</v>
      </c>
      <c r="H4" s="959" t="s">
        <v>11967</v>
      </c>
      <c r="I4" s="964"/>
      <c r="J4" s="965"/>
      <c r="L4" s="957" t="s">
        <v>11957</v>
      </c>
      <c r="M4" s="959" t="s">
        <v>1040</v>
      </c>
      <c r="N4" s="961"/>
    </row>
    <row r="5" spans="1:14" x14ac:dyDescent="0.3">
      <c r="B5" s="960" t="str">
        <f>'гр (13-16)'!C67</f>
        <v>КОРОЛЬ Владислав</v>
      </c>
      <c r="C5" s="960" t="str">
        <f>'гр (13-16)'!C71</f>
        <v>АРИСТОВ Александр</v>
      </c>
      <c r="D5" s="961"/>
      <c r="E5" s="966"/>
      <c r="G5" s="960" t="str">
        <f>'гр (13-16)'!C65</f>
        <v>МАЛОВ Илья</v>
      </c>
      <c r="H5" s="960" t="str">
        <f>'гр (13-16)'!C73</f>
        <v>ЗОЛОТКОВ Максим</v>
      </c>
      <c r="I5" s="961"/>
      <c r="J5" s="966"/>
      <c r="L5" s="960" t="str">
        <f>'гр (13-16)'!C69</f>
        <v>ПИВОВАРОВ Иван</v>
      </c>
      <c r="M5" s="960" t="str">
        <f>'гр (13-16)'!C75</f>
        <v>УШКАРЕВ Максим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16</v>
      </c>
      <c r="D18" s="962"/>
      <c r="E18" s="963"/>
      <c r="G18" s="957" t="s">
        <v>11956</v>
      </c>
      <c r="H18" s="958">
        <f>C3</f>
        <v>16</v>
      </c>
      <c r="I18" s="962"/>
      <c r="J18" s="963"/>
      <c r="L18" s="957" t="s">
        <v>11956</v>
      </c>
      <c r="M18" s="958">
        <f>C3</f>
        <v>16</v>
      </c>
      <c r="N18" s="961"/>
    </row>
    <row r="19" spans="1:14" x14ac:dyDescent="0.3">
      <c r="B19" s="957" t="s">
        <v>11957</v>
      </c>
      <c r="C19" s="959" t="s">
        <v>11981</v>
      </c>
      <c r="D19" s="961"/>
      <c r="G19" s="957" t="s">
        <v>11957</v>
      </c>
      <c r="H19" s="959" t="s">
        <v>1100</v>
      </c>
      <c r="I19" s="964"/>
      <c r="J19" s="965"/>
      <c r="L19" s="957" t="s">
        <v>11957</v>
      </c>
      <c r="M19" s="959" t="s">
        <v>1099</v>
      </c>
      <c r="N19" s="961"/>
    </row>
    <row r="20" spans="1:14" x14ac:dyDescent="0.3">
      <c r="B20" s="960" t="str">
        <f>'гр (13-16)'!C71</f>
        <v>АРИСТОВ Александр</v>
      </c>
      <c r="C20" s="960" t="str">
        <f>'гр (13-16)'!C65</f>
        <v>МАЛОВ Илья</v>
      </c>
      <c r="D20" s="961"/>
      <c r="E20" s="966"/>
      <c r="G20" s="960" t="str">
        <f>'гр (13-16)'!C75</f>
        <v>УШКАРЕВ Максим</v>
      </c>
      <c r="H20" s="960" t="str">
        <f>'гр (13-16)'!C67</f>
        <v>КОРОЛЬ Владислав</v>
      </c>
      <c r="I20" s="961"/>
      <c r="J20" s="966"/>
      <c r="L20" s="960" t="str">
        <f>'гр (13-16)'!C73</f>
        <v>ЗОЛОТКОВ Максим</v>
      </c>
      <c r="M20" s="960" t="str">
        <f>'гр (13-16)'!C69</f>
        <v>ПИВОВАРОВ Иван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16</v>
      </c>
      <c r="D33" s="962"/>
      <c r="E33" s="963"/>
      <c r="G33" s="957" t="s">
        <v>11956</v>
      </c>
      <c r="H33" s="958">
        <f>C3</f>
        <v>16</v>
      </c>
      <c r="I33" s="962"/>
      <c r="J33" s="963"/>
      <c r="L33" s="957" t="s">
        <v>11956</v>
      </c>
      <c r="M33" s="958">
        <f>C3</f>
        <v>16</v>
      </c>
      <c r="N33" s="961"/>
    </row>
    <row r="34" spans="1:14" x14ac:dyDescent="0.3">
      <c r="B34" s="957" t="s">
        <v>11957</v>
      </c>
      <c r="C34" s="959" t="s">
        <v>11971</v>
      </c>
      <c r="D34" s="961"/>
      <c r="G34" s="957" t="s">
        <v>11957</v>
      </c>
      <c r="H34" s="959" t="s">
        <v>1048</v>
      </c>
      <c r="I34" s="964"/>
      <c r="J34" s="965"/>
      <c r="L34" s="957" t="s">
        <v>11957</v>
      </c>
      <c r="M34" s="959" t="s">
        <v>11964</v>
      </c>
      <c r="N34" s="961"/>
    </row>
    <row r="35" spans="1:14" x14ac:dyDescent="0.3">
      <c r="B35" s="960" t="str">
        <f>'гр (13-16)'!C65</f>
        <v>МАЛОВ Илья</v>
      </c>
      <c r="C35" s="960" t="str">
        <f>'гр (13-16)'!C69</f>
        <v>ПИВОВАРОВ Иван</v>
      </c>
      <c r="D35" s="961"/>
      <c r="E35" s="966"/>
      <c r="G35" s="960" t="str">
        <f>'гр (13-16)'!C67</f>
        <v>КОРОЛЬ Владислав</v>
      </c>
      <c r="H35" s="960" t="str">
        <f>'гр (13-16)'!C73</f>
        <v>ЗОЛОТКОВ Максим</v>
      </c>
      <c r="I35" s="961"/>
      <c r="J35" s="966"/>
      <c r="L35" s="960" t="str">
        <f>'гр (13-16)'!C71</f>
        <v>АРИСТОВ Александр</v>
      </c>
      <c r="M35" s="960" t="str">
        <f>'гр (13-16)'!C75</f>
        <v>УШКАРЕВ Максим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16</v>
      </c>
      <c r="D48" s="962"/>
      <c r="E48" s="963"/>
      <c r="G48" s="957" t="s">
        <v>11956</v>
      </c>
      <c r="H48" s="958">
        <f>C3</f>
        <v>16</v>
      </c>
      <c r="I48" s="962"/>
      <c r="J48" s="963"/>
      <c r="L48" s="957" t="s">
        <v>11956</v>
      </c>
      <c r="M48" s="958">
        <f>C3</f>
        <v>16</v>
      </c>
      <c r="N48" s="961"/>
    </row>
    <row r="49" spans="1:14" x14ac:dyDescent="0.3">
      <c r="B49" s="957" t="s">
        <v>11957</v>
      </c>
      <c r="C49" s="959" t="s">
        <v>11982</v>
      </c>
      <c r="D49" s="961"/>
      <c r="G49" s="957" t="s">
        <v>11957</v>
      </c>
      <c r="H49" s="959" t="s">
        <v>11974</v>
      </c>
      <c r="I49" s="964"/>
      <c r="J49" s="965"/>
      <c r="L49" s="957" t="s">
        <v>11957</v>
      </c>
      <c r="M49" s="959" t="s">
        <v>11978</v>
      </c>
      <c r="N49" s="961"/>
    </row>
    <row r="50" spans="1:14" x14ac:dyDescent="0.3">
      <c r="B50" s="960" t="str">
        <f>'гр (13-16)'!C69</f>
        <v>ПИВОВАРОВ Иван</v>
      </c>
      <c r="C50" s="960" t="str">
        <f>'гр (13-16)'!C67</f>
        <v>КОРОЛЬ Владислав</v>
      </c>
      <c r="D50" s="961"/>
      <c r="E50" s="966"/>
      <c r="G50" s="960" t="str">
        <f>'гр (13-16)'!C75</f>
        <v>УШКАРЕВ Максим</v>
      </c>
      <c r="H50" s="960" t="str">
        <f>'гр (13-16)'!C65</f>
        <v>МАЛОВ Илья</v>
      </c>
      <c r="I50" s="961"/>
      <c r="J50" s="966"/>
      <c r="L50" s="960" t="str">
        <f>'гр (13-16)'!C73</f>
        <v>ЗОЛОТКОВ Максим</v>
      </c>
      <c r="M50" s="960" t="str">
        <f>'гр (13-16)'!C71</f>
        <v>АРИСТОВ Александр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16</v>
      </c>
      <c r="D63" s="962"/>
      <c r="E63" s="963"/>
      <c r="G63" s="957" t="s">
        <v>11956</v>
      </c>
      <c r="H63" s="958">
        <f>C3</f>
        <v>16</v>
      </c>
      <c r="I63" s="962"/>
      <c r="J63" s="963"/>
      <c r="L63" s="957" t="s">
        <v>11956</v>
      </c>
      <c r="M63" s="958">
        <f>C3</f>
        <v>16</v>
      </c>
      <c r="N63" s="961"/>
    </row>
    <row r="64" spans="1:14" x14ac:dyDescent="0.3">
      <c r="B64" s="957" t="s">
        <v>11957</v>
      </c>
      <c r="C64" s="959" t="s">
        <v>1114</v>
      </c>
      <c r="D64" s="961"/>
      <c r="G64" s="957" t="s">
        <v>11957</v>
      </c>
      <c r="H64" s="959" t="s">
        <v>1049</v>
      </c>
      <c r="I64" s="964"/>
      <c r="J64" s="965"/>
      <c r="L64" s="957" t="s">
        <v>11957</v>
      </c>
      <c r="M64" s="959" t="s">
        <v>1033</v>
      </c>
      <c r="N64" s="961"/>
    </row>
    <row r="65" spans="1:14" x14ac:dyDescent="0.3">
      <c r="B65" s="960" t="str">
        <f>'гр (13-16)'!C65</f>
        <v>МАЛОВ Илья</v>
      </c>
      <c r="C65" s="960" t="str">
        <f>'гр (13-16)'!C67</f>
        <v>КОРОЛЬ Владислав</v>
      </c>
      <c r="D65" s="961"/>
      <c r="E65" s="966"/>
      <c r="G65" s="960" t="str">
        <f>'гр (13-16)'!C69</f>
        <v>ПИВОВАРОВ Иван</v>
      </c>
      <c r="H65" s="960" t="str">
        <f>'гр (13-16)'!C71</f>
        <v>АРИСТОВ Александр</v>
      </c>
      <c r="I65" s="961"/>
      <c r="J65" s="966"/>
      <c r="L65" s="960" t="str">
        <f>'гр (13-16)'!C73</f>
        <v>ЗОЛОТКОВ Максим</v>
      </c>
      <c r="M65" s="960" t="str">
        <f>'гр (13-16)'!C75</f>
        <v>УШКАРЕВ Максим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</sheetData>
  <mergeCells count="30"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r:id="rId1"/>
  <rowBreaks count="2" manualBreakCount="2">
    <brk id="30" max="16383" man="1"/>
    <brk id="6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92D050"/>
  </sheetPr>
  <dimension ref="A1:AH84"/>
  <sheetViews>
    <sheetView view="pageBreakPreview" topLeftCell="A46" zoomScale="120" zoomScaleNormal="100" zoomScaleSheetLayoutView="120" workbookViewId="0">
      <selection activeCell="S53" sqref="S53:U53"/>
    </sheetView>
  </sheetViews>
  <sheetFormatPr defaultColWidth="9.33203125" defaultRowHeight="12.75" outlineLevelRow="1" outlineLevelCol="1" x14ac:dyDescent="0.2"/>
  <cols>
    <col min="1" max="1" width="5.6640625" style="91" customWidth="1"/>
    <col min="2" max="2" width="5" style="91" hidden="1" customWidth="1" outlineLevel="1"/>
    <col min="3" max="3" width="30" style="91" customWidth="1" collapsed="1"/>
    <col min="4" max="27" width="2.83203125" style="91" customWidth="1"/>
    <col min="28" max="30" width="2.83203125" style="91" hidden="1" customWidth="1" outlineLevel="1"/>
    <col min="31" max="31" width="3.5" style="91" customWidth="1" collapsed="1"/>
    <col min="32" max="32" width="3.5" style="91" customWidth="1"/>
    <col min="33" max="33" width="9.5" style="91" customWidth="1"/>
    <col min="34" max="34" width="7.83203125" style="91" customWidth="1"/>
    <col min="35" max="51" width="3.5" style="91" customWidth="1"/>
    <col min="52" max="16384" width="9.33203125" style="91"/>
  </cols>
  <sheetData>
    <row r="1" spans="1:34" ht="15.75" x14ac:dyDescent="0.25">
      <c r="C1" s="1123" t="str">
        <f>'Списки участников'!A1</f>
        <v>IV Мемориал Заслуженного тренера России В.А.Воробьева</v>
      </c>
      <c r="D1" s="1123"/>
      <c r="E1" s="1123"/>
      <c r="F1" s="1123"/>
      <c r="G1" s="1123"/>
      <c r="H1" s="1123"/>
      <c r="I1" s="1123"/>
      <c r="J1" s="1123"/>
      <c r="K1" s="1123"/>
      <c r="L1" s="1123"/>
      <c r="M1" s="1123"/>
      <c r="N1" s="1123"/>
      <c r="O1" s="1123"/>
      <c r="P1" s="1123"/>
      <c r="Q1" s="1123"/>
      <c r="R1" s="1123"/>
      <c r="S1" s="1123"/>
      <c r="T1" s="1123"/>
      <c r="U1" s="1123"/>
      <c r="V1" s="1123"/>
      <c r="W1" s="1123"/>
      <c r="X1" s="1123"/>
      <c r="Y1" s="1123"/>
      <c r="Z1" s="1123"/>
      <c r="AA1" s="1123"/>
      <c r="AB1" s="1123"/>
      <c r="AC1" s="1123"/>
      <c r="AD1" s="1123"/>
      <c r="AE1" s="1123"/>
      <c r="AF1" s="1123"/>
      <c r="AG1" s="1123"/>
    </row>
    <row r="2" spans="1:34" ht="15.75" x14ac:dyDescent="0.25">
      <c r="C2" s="453" t="str">
        <f>'Списки участников'!C3</f>
        <v>26-29 мая 2016 г.</v>
      </c>
      <c r="D2" s="1123" t="str">
        <f>'Списки участников'!A2</f>
        <v>среди юношей и девушек 2002 г.р. и моложе</v>
      </c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  <c r="X2" s="1123"/>
      <c r="Y2" s="1123"/>
      <c r="Z2" s="1123"/>
      <c r="AA2" s="1123"/>
      <c r="AB2" s="1156" t="str">
        <f>'Списки участников'!I3</f>
        <v>г. Москва</v>
      </c>
      <c r="AC2" s="1156"/>
      <c r="AD2" s="1156"/>
      <c r="AE2" s="1156"/>
      <c r="AF2" s="1156"/>
      <c r="AG2" s="1156"/>
    </row>
    <row r="3" spans="1:34" ht="15.75" x14ac:dyDescent="0.25">
      <c r="A3" s="135"/>
      <c r="B3" s="135"/>
      <c r="C3" s="804" t="str">
        <f>'Списки участников'!D6</f>
        <v>ЮНОШИ</v>
      </c>
      <c r="D3" s="135"/>
      <c r="E3" s="135"/>
      <c r="F3" s="135"/>
      <c r="G3" s="1157" t="s">
        <v>990</v>
      </c>
      <c r="H3" s="1157"/>
      <c r="I3" s="1157"/>
      <c r="J3" s="1157"/>
      <c r="K3" s="1157"/>
      <c r="L3" s="1157"/>
      <c r="M3" s="1157"/>
      <c r="N3" s="1157"/>
      <c r="O3" s="1157"/>
      <c r="P3" s="1157"/>
      <c r="Q3" s="1157"/>
      <c r="R3" s="1157"/>
      <c r="S3" s="1157"/>
      <c r="T3" s="1157"/>
      <c r="U3" s="1157"/>
      <c r="V3" s="1157"/>
      <c r="W3" s="1157"/>
      <c r="X3" s="1157"/>
      <c r="Y3" s="1157"/>
      <c r="Z3" s="1157"/>
      <c r="AA3" s="1157"/>
      <c r="AB3" s="135"/>
      <c r="AC3" s="135"/>
      <c r="AD3" s="135"/>
      <c r="AE3" s="135"/>
      <c r="AF3" s="135"/>
      <c r="AG3" s="135"/>
      <c r="AH3" s="135"/>
    </row>
    <row r="4" spans="1:34" ht="12" customHeight="1" x14ac:dyDescent="0.2">
      <c r="A4" s="136" t="s">
        <v>3</v>
      </c>
      <c r="B4" s="137"/>
      <c r="C4" s="138" t="s">
        <v>788</v>
      </c>
      <c r="D4" s="1158">
        <v>1</v>
      </c>
      <c r="E4" s="1159"/>
      <c r="F4" s="1160"/>
      <c r="G4" s="1158">
        <v>2</v>
      </c>
      <c r="H4" s="1159"/>
      <c r="I4" s="1160"/>
      <c r="J4" s="1158">
        <v>3</v>
      </c>
      <c r="K4" s="1159"/>
      <c r="L4" s="1160"/>
      <c r="M4" s="1158">
        <v>4</v>
      </c>
      <c r="N4" s="1159"/>
      <c r="O4" s="1160"/>
      <c r="P4" s="1158">
        <v>5</v>
      </c>
      <c r="Q4" s="1159"/>
      <c r="R4" s="1160"/>
      <c r="S4" s="1158">
        <v>6</v>
      </c>
      <c r="T4" s="1159"/>
      <c r="U4" s="1160"/>
      <c r="V4" s="1158">
        <v>7</v>
      </c>
      <c r="W4" s="1159"/>
      <c r="X4" s="1160"/>
      <c r="Y4" s="1158">
        <v>8</v>
      </c>
      <c r="Z4" s="1159"/>
      <c r="AA4" s="1160"/>
      <c r="AB4" s="1158">
        <v>9</v>
      </c>
      <c r="AC4" s="1159"/>
      <c r="AD4" s="1160"/>
      <c r="AE4" s="1161" t="s">
        <v>789</v>
      </c>
      <c r="AF4" s="1162"/>
      <c r="AG4" s="454" t="s">
        <v>790</v>
      </c>
      <c r="AH4" s="455" t="s">
        <v>100</v>
      </c>
    </row>
    <row r="5" spans="1:34" ht="12" customHeight="1" x14ac:dyDescent="0.2">
      <c r="A5" s="1163">
        <v>1</v>
      </c>
      <c r="B5" s="1165">
        <f>жеребьевка!B4</f>
        <v>1</v>
      </c>
      <c r="C5" s="456" t="str">
        <f>IF(B5="","",VLOOKUP(B5,'Списки участников'!A:I,3,FALSE))</f>
        <v>БОКОВ Максим Андреевич</v>
      </c>
      <c r="D5" s="1167"/>
      <c r="E5" s="1167"/>
      <c r="F5" s="1168"/>
      <c r="G5" s="1171">
        <v>2</v>
      </c>
      <c r="H5" s="1172"/>
      <c r="I5" s="1173"/>
      <c r="J5" s="1171">
        <v>2</v>
      </c>
      <c r="K5" s="1172"/>
      <c r="L5" s="1173"/>
      <c r="M5" s="1171">
        <v>2</v>
      </c>
      <c r="N5" s="1172"/>
      <c r="O5" s="1173"/>
      <c r="P5" s="1171">
        <v>2</v>
      </c>
      <c r="Q5" s="1172"/>
      <c r="R5" s="1173"/>
      <c r="S5" s="1171">
        <v>2</v>
      </c>
      <c r="T5" s="1172"/>
      <c r="U5" s="1173"/>
      <c r="V5" s="1171">
        <v>2</v>
      </c>
      <c r="W5" s="1172"/>
      <c r="X5" s="1173"/>
      <c r="Y5" s="1171">
        <v>2</v>
      </c>
      <c r="Z5" s="1172"/>
      <c r="AA5" s="1173"/>
      <c r="AB5" s="1171"/>
      <c r="AC5" s="1172"/>
      <c r="AD5" s="1173"/>
      <c r="AE5" s="1184">
        <f>IF(B5="","",SUM(G5,J5,M5,P5,S5,V5,Y5,AB5,))</f>
        <v>14</v>
      </c>
      <c r="AF5" s="1185"/>
      <c r="AG5" s="1175"/>
      <c r="AH5" s="1174">
        <f>IF(B5="","",RANK(AE5,ГР1О))</f>
        <v>1</v>
      </c>
    </row>
    <row r="6" spans="1:34" ht="12" customHeight="1" x14ac:dyDescent="0.2">
      <c r="A6" s="1164"/>
      <c r="B6" s="1166"/>
      <c r="C6" s="457" t="str">
        <f>IF(B5="","",VLOOKUP(B5,'Списки участников'!A:I,6,FALSE))</f>
        <v>Москва</v>
      </c>
      <c r="D6" s="1169"/>
      <c r="E6" s="1169"/>
      <c r="F6" s="1170"/>
      <c r="G6" s="458">
        <v>2</v>
      </c>
      <c r="H6" s="459" t="str">
        <f>IF(G5="","",":")</f>
        <v>:</v>
      </c>
      <c r="I6" s="460">
        <v>1</v>
      </c>
      <c r="J6" s="458">
        <v>2</v>
      </c>
      <c r="K6" s="459" t="str">
        <f>IF(J5="","",":")</f>
        <v>:</v>
      </c>
      <c r="L6" s="460">
        <v>0</v>
      </c>
      <c r="M6" s="458">
        <v>2</v>
      </c>
      <c r="N6" s="459" t="str">
        <f>IF(M6="","",":")</f>
        <v>:</v>
      </c>
      <c r="O6" s="460">
        <v>0</v>
      </c>
      <c r="P6" s="458">
        <v>2</v>
      </c>
      <c r="Q6" s="459" t="str">
        <f>IF(P6="","",":")</f>
        <v>:</v>
      </c>
      <c r="R6" s="460">
        <v>0</v>
      </c>
      <c r="S6" s="458">
        <v>2</v>
      </c>
      <c r="T6" s="459" t="str">
        <f>IF(S6="","",":")</f>
        <v>:</v>
      </c>
      <c r="U6" s="460">
        <v>0</v>
      </c>
      <c r="V6" s="458">
        <v>2</v>
      </c>
      <c r="W6" s="459" t="str">
        <f>IF(V6="","",":")</f>
        <v>:</v>
      </c>
      <c r="X6" s="460">
        <v>0</v>
      </c>
      <c r="Y6" s="458">
        <v>2</v>
      </c>
      <c r="Z6" s="459" t="str">
        <f>IF(Y6="","",":")</f>
        <v>:</v>
      </c>
      <c r="AA6" s="460">
        <v>0</v>
      </c>
      <c r="AB6" s="458"/>
      <c r="AC6" s="459" t="str">
        <f>IF(AB6="","",":")</f>
        <v/>
      </c>
      <c r="AD6" s="460"/>
      <c r="AE6" s="1186"/>
      <c r="AF6" s="1187"/>
      <c r="AG6" s="1176"/>
      <c r="AH6" s="1174"/>
    </row>
    <row r="7" spans="1:34" ht="12" customHeight="1" x14ac:dyDescent="0.2">
      <c r="A7" s="1163">
        <v>2</v>
      </c>
      <c r="B7" s="1165">
        <v>33</v>
      </c>
      <c r="C7" s="456" t="str">
        <f>IF(B7="","",VLOOKUP(B7,'Списки участников'!A:I,3,FALSE))</f>
        <v>КУРОЧКИН Егор</v>
      </c>
      <c r="D7" s="1177">
        <f>IF(G5="","",IF(G6="W",0,IF(G5=2,1,IF(G5=1,2,IF(G5=0,2)))))</f>
        <v>1</v>
      </c>
      <c r="E7" s="1178"/>
      <c r="F7" s="1179"/>
      <c r="G7" s="1180"/>
      <c r="H7" s="1181"/>
      <c r="I7" s="1182"/>
      <c r="J7" s="1171">
        <v>2</v>
      </c>
      <c r="K7" s="1172"/>
      <c r="L7" s="1173"/>
      <c r="M7" s="1171">
        <v>2</v>
      </c>
      <c r="N7" s="1172"/>
      <c r="O7" s="1173"/>
      <c r="P7" s="1171">
        <v>2</v>
      </c>
      <c r="Q7" s="1172"/>
      <c r="R7" s="1173"/>
      <c r="S7" s="1171">
        <v>2</v>
      </c>
      <c r="T7" s="1172"/>
      <c r="U7" s="1173"/>
      <c r="V7" s="1171">
        <v>2</v>
      </c>
      <c r="W7" s="1172"/>
      <c r="X7" s="1173"/>
      <c r="Y7" s="1171">
        <v>2</v>
      </c>
      <c r="Z7" s="1172"/>
      <c r="AA7" s="1173"/>
      <c r="AB7" s="1171"/>
      <c r="AC7" s="1172"/>
      <c r="AD7" s="1173"/>
      <c r="AE7" s="1184">
        <f>IF(B7="","",SUM(D7,J7,M7,P7,S7,V7,Y7,AB7,))</f>
        <v>13</v>
      </c>
      <c r="AF7" s="1185"/>
      <c r="AG7" s="1175"/>
      <c r="AH7" s="1174">
        <f>IF(B7="","",RANK(AE7,ГР1О))</f>
        <v>2</v>
      </c>
    </row>
    <row r="8" spans="1:34" ht="12" customHeight="1" x14ac:dyDescent="0.2">
      <c r="A8" s="1164"/>
      <c r="B8" s="1166"/>
      <c r="C8" s="457" t="str">
        <f>IF(B7="","",VLOOKUP(B7,'Списки участников'!A:I,6,FALSE))</f>
        <v>Москва</v>
      </c>
      <c r="D8" s="461">
        <f>IF(G6="","",IF(I6="l","W",I6))</f>
        <v>1</v>
      </c>
      <c r="E8" s="462" t="str">
        <f>IF(G5="","",":")</f>
        <v>:</v>
      </c>
      <c r="F8" s="463">
        <f>IF(I6="","",IF(G6="W","L",G6))</f>
        <v>2</v>
      </c>
      <c r="G8" s="1183"/>
      <c r="H8" s="1169"/>
      <c r="I8" s="1170"/>
      <c r="J8" s="458">
        <v>2</v>
      </c>
      <c r="K8" s="459" t="str">
        <f>IF(J7="","",":")</f>
        <v>:</v>
      </c>
      <c r="L8" s="460">
        <v>1</v>
      </c>
      <c r="M8" s="458">
        <v>2</v>
      </c>
      <c r="N8" s="459" t="str">
        <f>IF(M7="","",":")</f>
        <v>:</v>
      </c>
      <c r="O8" s="460">
        <v>0</v>
      </c>
      <c r="P8" s="458">
        <v>2</v>
      </c>
      <c r="Q8" s="459" t="str">
        <f>IF(P7="","",":")</f>
        <v>:</v>
      </c>
      <c r="R8" s="460">
        <v>0</v>
      </c>
      <c r="S8" s="458">
        <v>2</v>
      </c>
      <c r="T8" s="459" t="str">
        <f>IF(S8="","",":")</f>
        <v>:</v>
      </c>
      <c r="U8" s="460">
        <v>0</v>
      </c>
      <c r="V8" s="458">
        <v>2</v>
      </c>
      <c r="W8" s="459" t="str">
        <f>IF(V8="","",":")</f>
        <v>:</v>
      </c>
      <c r="X8" s="460">
        <v>0</v>
      </c>
      <c r="Y8" s="458">
        <v>2</v>
      </c>
      <c r="Z8" s="459" t="str">
        <f>IF(Y8="","",":")</f>
        <v>:</v>
      </c>
      <c r="AA8" s="460">
        <v>0</v>
      </c>
      <c r="AB8" s="458"/>
      <c r="AC8" s="459" t="str">
        <f>IF(AB8="","",":")</f>
        <v/>
      </c>
      <c r="AD8" s="460"/>
      <c r="AE8" s="1186"/>
      <c r="AF8" s="1187"/>
      <c r="AG8" s="1176"/>
      <c r="AH8" s="1174"/>
    </row>
    <row r="9" spans="1:34" ht="12" customHeight="1" x14ac:dyDescent="0.2">
      <c r="A9" s="1163">
        <v>3</v>
      </c>
      <c r="B9" s="1165">
        <v>35</v>
      </c>
      <c r="C9" s="456" t="str">
        <f>IF(B9="","",VLOOKUP(B9,'Списки участников'!A:I,3,FALSE))</f>
        <v>ДЯГЕЛЕВ Артем</v>
      </c>
      <c r="D9" s="1177">
        <f>IF(J5="","",IF(J6="W",0,IF(J5=2,1,IF(J5=1,2,IF(J5=0,2)))))</f>
        <v>1</v>
      </c>
      <c r="E9" s="1178"/>
      <c r="F9" s="1179"/>
      <c r="G9" s="1171">
        <f>IF(J7="","",IF(J8="W",0,IF(J7=2,1,IF(J7=1,2,IF(J7=0,2)))))</f>
        <v>1</v>
      </c>
      <c r="H9" s="1172"/>
      <c r="I9" s="1173"/>
      <c r="J9" s="1180"/>
      <c r="K9" s="1181"/>
      <c r="L9" s="1182"/>
      <c r="M9" s="1171">
        <v>2</v>
      </c>
      <c r="N9" s="1172"/>
      <c r="O9" s="1173"/>
      <c r="P9" s="1171">
        <v>2</v>
      </c>
      <c r="Q9" s="1172"/>
      <c r="R9" s="1173"/>
      <c r="S9" s="1171">
        <v>2</v>
      </c>
      <c r="T9" s="1172"/>
      <c r="U9" s="1173"/>
      <c r="V9" s="1171">
        <v>2</v>
      </c>
      <c r="W9" s="1172"/>
      <c r="X9" s="1173"/>
      <c r="Y9" s="1171">
        <v>2</v>
      </c>
      <c r="Z9" s="1172"/>
      <c r="AA9" s="1173"/>
      <c r="AB9" s="1171"/>
      <c r="AC9" s="1172"/>
      <c r="AD9" s="1173"/>
      <c r="AE9" s="1184">
        <f>IF(B9="","",SUM(D9,G9,M9,P9,S9,V9,Y9,AB9,))</f>
        <v>12</v>
      </c>
      <c r="AF9" s="1185"/>
      <c r="AG9" s="1188"/>
      <c r="AH9" s="1174">
        <f>IF(B9="","",RANK(AE9,ГР1О))</f>
        <v>3</v>
      </c>
    </row>
    <row r="10" spans="1:34" ht="12" customHeight="1" x14ac:dyDescent="0.2">
      <c r="A10" s="1164"/>
      <c r="B10" s="1166"/>
      <c r="C10" s="457" t="str">
        <f>IF(B9="","",VLOOKUP(B9,'Списки участников'!A:I,6,FALSE))</f>
        <v>Москва</v>
      </c>
      <c r="D10" s="464">
        <f>IF(J6="","",IF(L6="l","W",L6))</f>
        <v>0</v>
      </c>
      <c r="E10" s="459" t="str">
        <f>IF(K6="","",":")</f>
        <v>:</v>
      </c>
      <c r="F10" s="465">
        <f>IF(L6="","",IF(J6="W","L",J6))</f>
        <v>2</v>
      </c>
      <c r="G10" s="464">
        <f>IF(J8="","",IF(L8="l","W",L8))</f>
        <v>1</v>
      </c>
      <c r="H10" s="459" t="str">
        <f>IF(K8="","",":")</f>
        <v>:</v>
      </c>
      <c r="I10" s="465">
        <f>IF(L8="","",IF(J8="W","L",J8))</f>
        <v>2</v>
      </c>
      <c r="J10" s="1183"/>
      <c r="K10" s="1169"/>
      <c r="L10" s="1170"/>
      <c r="M10" s="458">
        <v>2</v>
      </c>
      <c r="N10" s="459" t="str">
        <f>IF(M9="","",":")</f>
        <v>:</v>
      </c>
      <c r="O10" s="460">
        <v>0</v>
      </c>
      <c r="P10" s="458">
        <v>2</v>
      </c>
      <c r="Q10" s="459" t="str">
        <f>IF(P9="","",":")</f>
        <v>:</v>
      </c>
      <c r="R10" s="460">
        <v>0</v>
      </c>
      <c r="S10" s="458">
        <v>2</v>
      </c>
      <c r="T10" s="459" t="str">
        <f>IF(S9="","",":")</f>
        <v>:</v>
      </c>
      <c r="U10" s="460">
        <v>0</v>
      </c>
      <c r="V10" s="458">
        <v>2</v>
      </c>
      <c r="W10" s="459" t="str">
        <f>IF(V10="","",":")</f>
        <v>:</v>
      </c>
      <c r="X10" s="460">
        <v>0</v>
      </c>
      <c r="Y10" s="458">
        <v>2</v>
      </c>
      <c r="Z10" s="459" t="str">
        <f>IF(Y10="","",":")</f>
        <v>:</v>
      </c>
      <c r="AA10" s="460">
        <v>0</v>
      </c>
      <c r="AB10" s="458"/>
      <c r="AC10" s="459" t="str">
        <f>IF(AB10="","",":")</f>
        <v/>
      </c>
      <c r="AD10" s="460"/>
      <c r="AE10" s="1186"/>
      <c r="AF10" s="1187"/>
      <c r="AG10" s="1189"/>
      <c r="AH10" s="1174"/>
    </row>
    <row r="11" spans="1:34" ht="12" customHeight="1" x14ac:dyDescent="0.2">
      <c r="A11" s="1163">
        <v>4</v>
      </c>
      <c r="B11" s="1165">
        <v>66</v>
      </c>
      <c r="C11" s="456" t="str">
        <f>IF(B11="","",VLOOKUP(B11,'Списки участников'!A:I,3,FALSE))</f>
        <v>АКИНьЩИКОВ Ярослав</v>
      </c>
      <c r="D11" s="1171">
        <f>IF(M5="","",IF(M6="W",0,IF(M5=2,1,IF(M5=1,2,IF(M5=0,2)))))</f>
        <v>1</v>
      </c>
      <c r="E11" s="1172"/>
      <c r="F11" s="1173"/>
      <c r="G11" s="1171">
        <f>IF(M7="","",IF(M8="W",0,IF(M7=2,1,IF(M7=1,2,IF(M7=0,2)))))</f>
        <v>1</v>
      </c>
      <c r="H11" s="1172"/>
      <c r="I11" s="1173"/>
      <c r="J11" s="1171">
        <f>IF(M9="","",IF(M10="W",0,IF(M9=2,1,IF(M9=1,2,IF(M9=0,2)))))</f>
        <v>1</v>
      </c>
      <c r="K11" s="1172"/>
      <c r="L11" s="1173"/>
      <c r="M11" s="1181"/>
      <c r="N11" s="1181"/>
      <c r="O11" s="1181"/>
      <c r="P11" s="1171">
        <v>2</v>
      </c>
      <c r="Q11" s="1172"/>
      <c r="R11" s="1173"/>
      <c r="S11" s="1171">
        <v>1</v>
      </c>
      <c r="T11" s="1172"/>
      <c r="U11" s="1173"/>
      <c r="V11" s="1171">
        <v>1</v>
      </c>
      <c r="W11" s="1172"/>
      <c r="X11" s="1173"/>
      <c r="Y11" s="1171">
        <v>2</v>
      </c>
      <c r="Z11" s="1172"/>
      <c r="AA11" s="1173"/>
      <c r="AB11" s="1171"/>
      <c r="AC11" s="1172"/>
      <c r="AD11" s="1173"/>
      <c r="AE11" s="1184">
        <f>IF(B11="","",SUM(D11,J11,G11,P11,S11,V11,Y11,AB11,))</f>
        <v>9</v>
      </c>
      <c r="AF11" s="1185"/>
      <c r="AG11" s="1188"/>
      <c r="AH11" s="1174">
        <f>IF(B11="","",RANK(AE11,ГР1О))</f>
        <v>6</v>
      </c>
    </row>
    <row r="12" spans="1:34" ht="12" customHeight="1" x14ac:dyDescent="0.2">
      <c r="A12" s="1164"/>
      <c r="B12" s="1166"/>
      <c r="C12" s="457" t="str">
        <f>IF(B11="","",VLOOKUP(B11,'Списки участников'!A:I,6,FALSE))</f>
        <v>Жуковский</v>
      </c>
      <c r="D12" s="464">
        <f>IF(M6="","",IF(O6="l","W",O6))</f>
        <v>0</v>
      </c>
      <c r="E12" s="459" t="str">
        <f>IF(N6="","",":")</f>
        <v>:</v>
      </c>
      <c r="F12" s="465">
        <f>IF(O6="","",IF(M6="W","L",M6))</f>
        <v>2</v>
      </c>
      <c r="G12" s="464">
        <f>IF(M8="","",IF(O8="l","W",O8))</f>
        <v>0</v>
      </c>
      <c r="H12" s="459" t="str">
        <f>IF(N8="","",":")</f>
        <v>:</v>
      </c>
      <c r="I12" s="465">
        <f>IF(O8="","",IF(M8="W","L",M8))</f>
        <v>2</v>
      </c>
      <c r="J12" s="464">
        <f>IF(M10="","",IF(O10="l","W",O10))</f>
        <v>0</v>
      </c>
      <c r="K12" s="459" t="str">
        <f>IF(N10="","",":")</f>
        <v>:</v>
      </c>
      <c r="L12" s="465">
        <f>IF(O10="","",IF(M10="W","L",M10))</f>
        <v>2</v>
      </c>
      <c r="M12" s="1190"/>
      <c r="N12" s="1190"/>
      <c r="O12" s="1190"/>
      <c r="P12" s="458">
        <v>2</v>
      </c>
      <c r="Q12" s="459" t="str">
        <f>IF(P11="","",":")</f>
        <v>:</v>
      </c>
      <c r="R12" s="460">
        <v>1</v>
      </c>
      <c r="S12" s="458">
        <v>2</v>
      </c>
      <c r="T12" s="459" t="str">
        <f>IF(S11="","",":")</f>
        <v>:</v>
      </c>
      <c r="U12" s="460">
        <v>0</v>
      </c>
      <c r="V12" s="458">
        <v>0</v>
      </c>
      <c r="W12" s="459" t="str">
        <f>IF(V11="","",":")</f>
        <v>:</v>
      </c>
      <c r="X12" s="460">
        <v>2</v>
      </c>
      <c r="Y12" s="458">
        <v>2</v>
      </c>
      <c r="Z12" s="459" t="str">
        <f>IF(Y12="","",":")</f>
        <v>:</v>
      </c>
      <c r="AA12" s="460">
        <v>0</v>
      </c>
      <c r="AB12" s="458"/>
      <c r="AC12" s="459" t="str">
        <f>IF(AB12="","",":")</f>
        <v/>
      </c>
      <c r="AD12" s="460"/>
      <c r="AE12" s="1186"/>
      <c r="AF12" s="1187"/>
      <c r="AG12" s="1189"/>
      <c r="AH12" s="1174"/>
    </row>
    <row r="13" spans="1:34" ht="12" customHeight="1" x14ac:dyDescent="0.2">
      <c r="A13" s="1163">
        <v>5</v>
      </c>
      <c r="B13" s="1165">
        <v>67</v>
      </c>
      <c r="C13" s="456" t="str">
        <f>IF(B13="","",VLOOKUP(B13,'Списки участников'!A:I,3,FALSE))</f>
        <v>АНДРОНОВ Федор</v>
      </c>
      <c r="D13" s="1171">
        <f>IF(P5="","",IF(P6="W",0,IF(P5=2,1,IF(P5=1,2,IF(P5=0,2)))))</f>
        <v>1</v>
      </c>
      <c r="E13" s="1172"/>
      <c r="F13" s="1173"/>
      <c r="G13" s="1171">
        <f>IF(P7="","",IF(P8="W",0,IF(P7=2,1,IF(P7=1,2,IF(P7=0,2)))))</f>
        <v>1</v>
      </c>
      <c r="H13" s="1172"/>
      <c r="I13" s="1173"/>
      <c r="J13" s="1171">
        <f>IF(P9="","",IF(P10="W",0,IF(P9=2,1,IF(P9=1,2,IF(P9=0,2)))))</f>
        <v>1</v>
      </c>
      <c r="K13" s="1172"/>
      <c r="L13" s="1173"/>
      <c r="M13" s="1171">
        <f>IF(P11="","",IF(P12="W",0,IF(P11=2,1,IF(P11=1,2,IF(P11=0,2)))))</f>
        <v>1</v>
      </c>
      <c r="N13" s="1172"/>
      <c r="O13" s="1173"/>
      <c r="P13" s="1180"/>
      <c r="Q13" s="1181"/>
      <c r="R13" s="1182"/>
      <c r="S13" s="1171">
        <v>0</v>
      </c>
      <c r="T13" s="1172"/>
      <c r="U13" s="1173"/>
      <c r="V13" s="1171">
        <v>1</v>
      </c>
      <c r="W13" s="1172"/>
      <c r="X13" s="1173"/>
      <c r="Y13" s="1171">
        <v>2</v>
      </c>
      <c r="Z13" s="1172"/>
      <c r="AA13" s="1173"/>
      <c r="AB13" s="1171"/>
      <c r="AC13" s="1172"/>
      <c r="AD13" s="1173"/>
      <c r="AE13" s="1184">
        <f>IF(B13="","",SUM(D13,J13,M13,G13,S13,V13,Y13,AB13,))</f>
        <v>7</v>
      </c>
      <c r="AF13" s="1185"/>
      <c r="AG13" s="1188"/>
      <c r="AH13" s="1174">
        <f>IF(B13="","",RANK(AE13,ГР1О))</f>
        <v>7</v>
      </c>
    </row>
    <row r="14" spans="1:34" ht="12" customHeight="1" x14ac:dyDescent="0.2">
      <c r="A14" s="1164"/>
      <c r="B14" s="1166"/>
      <c r="C14" s="457" t="str">
        <f>IF(B13="","",VLOOKUP(B13,'Списки участников'!A:I,6,FALSE))</f>
        <v>Москва</v>
      </c>
      <c r="D14" s="464">
        <f>IF(P6="","",IF(R6="l","W",R6))</f>
        <v>0</v>
      </c>
      <c r="E14" s="459" t="str">
        <f>IF(Q6="","",":")</f>
        <v>:</v>
      </c>
      <c r="F14" s="465">
        <f>IF(R6="","",IF(P6="W","L",P6))</f>
        <v>2</v>
      </c>
      <c r="G14" s="464">
        <f>IF(P8="","",IF(R8="l","W",R8))</f>
        <v>0</v>
      </c>
      <c r="H14" s="459" t="str">
        <f>IF(Q8="","",":")</f>
        <v>:</v>
      </c>
      <c r="I14" s="465">
        <f>IF(R8="","",IF(P8="W","L",P8))</f>
        <v>2</v>
      </c>
      <c r="J14" s="464">
        <f>IF(P10="","",IF(R10="l","W",R10))</f>
        <v>0</v>
      </c>
      <c r="K14" s="459" t="str">
        <f>IF(Q10="","",":")</f>
        <v>:</v>
      </c>
      <c r="L14" s="465">
        <f>IF(R10="","",IF(P10="W","L",P10))</f>
        <v>2</v>
      </c>
      <c r="M14" s="464">
        <f>IF(P12="","",IF(R12="l","W",R12))</f>
        <v>1</v>
      </c>
      <c r="N14" s="459" t="str">
        <f>IF(Q12="","",":")</f>
        <v>:</v>
      </c>
      <c r="O14" s="465">
        <f>IF(R12="","",IF(P12="W","L",P12))</f>
        <v>2</v>
      </c>
      <c r="P14" s="1183"/>
      <c r="Q14" s="1169"/>
      <c r="R14" s="1170"/>
      <c r="S14" s="998" t="s">
        <v>12172</v>
      </c>
      <c r="T14" s="459" t="str">
        <f>IF(S13="","",":")</f>
        <v>:</v>
      </c>
      <c r="U14" s="999" t="s">
        <v>12171</v>
      </c>
      <c r="V14" s="458">
        <v>1</v>
      </c>
      <c r="W14" s="459" t="str">
        <f>IF(V13="","",":")</f>
        <v>:</v>
      </c>
      <c r="X14" s="460">
        <v>2</v>
      </c>
      <c r="Y14" s="458">
        <v>2</v>
      </c>
      <c r="Z14" s="459" t="str">
        <f>IF(Y13="","",":")</f>
        <v>:</v>
      </c>
      <c r="AA14" s="460">
        <v>1</v>
      </c>
      <c r="AB14" s="458"/>
      <c r="AC14" s="459" t="str">
        <f>IF(AB14="","",":")</f>
        <v/>
      </c>
      <c r="AD14" s="460"/>
      <c r="AE14" s="1186"/>
      <c r="AF14" s="1187"/>
      <c r="AG14" s="1189"/>
      <c r="AH14" s="1174"/>
    </row>
    <row r="15" spans="1:34" ht="12" customHeight="1" x14ac:dyDescent="0.2">
      <c r="A15" s="1163">
        <v>6</v>
      </c>
      <c r="B15" s="1165">
        <v>99</v>
      </c>
      <c r="C15" s="456" t="str">
        <f>IF(B15="","",VLOOKUP(B15,'Списки участников'!A:I,3,FALSE))</f>
        <v>ГРИЦЕВИЧ Станислав</v>
      </c>
      <c r="D15" s="1171">
        <f>IF(S5="","",IF(S6="W",0,IF(S5=2,1,IF(S5=1,2,IF(S5=0,2)))))</f>
        <v>1</v>
      </c>
      <c r="E15" s="1172"/>
      <c r="F15" s="1173"/>
      <c r="G15" s="1171">
        <f>IF(S7="","",IF(S8="W",0,IF(S7=2,1,IF(S7=1,2,IF(S7=0,2)))))</f>
        <v>1</v>
      </c>
      <c r="H15" s="1172"/>
      <c r="I15" s="1173"/>
      <c r="J15" s="1171">
        <f>IF(S9="","",IF(S10="W",0,IF(S9=2,1,IF(S9=1,2,IF(S9=0,2)))))</f>
        <v>1</v>
      </c>
      <c r="K15" s="1172"/>
      <c r="L15" s="1173"/>
      <c r="M15" s="1171">
        <f>IF(S11="","",IF(S12="W",0,IF(S11=2,1,IF(S11=1,2,IF(S11=0,2)))))</f>
        <v>2</v>
      </c>
      <c r="N15" s="1172"/>
      <c r="O15" s="1173"/>
      <c r="P15" s="1171">
        <f>IF(S13="","",IF(S14="W",0,IF(S13=2,1,IF(S13=1,2,IF(S13=0,2)))))</f>
        <v>2</v>
      </c>
      <c r="Q15" s="1172"/>
      <c r="R15" s="1173"/>
      <c r="S15" s="1180"/>
      <c r="T15" s="1181"/>
      <c r="U15" s="1182"/>
      <c r="V15" s="1171">
        <v>2</v>
      </c>
      <c r="W15" s="1172"/>
      <c r="X15" s="1173"/>
      <c r="Y15" s="1171">
        <v>2</v>
      </c>
      <c r="Z15" s="1172"/>
      <c r="AA15" s="1173"/>
      <c r="AB15" s="1171"/>
      <c r="AC15" s="1172"/>
      <c r="AD15" s="1173"/>
      <c r="AE15" s="1184">
        <f>IF(B15="","",SUM(D15,J15,M15,P15,G15,V15,Y15,AB15,))</f>
        <v>11</v>
      </c>
      <c r="AF15" s="1185"/>
      <c r="AG15" s="1188"/>
      <c r="AH15" s="1174">
        <f>IF(B15="","",RANK(AE15,ГР1О))</f>
        <v>4</v>
      </c>
    </row>
    <row r="16" spans="1:34" ht="12" customHeight="1" x14ac:dyDescent="0.2">
      <c r="A16" s="1164"/>
      <c r="B16" s="1166"/>
      <c r="C16" s="457" t="str">
        <f>IF(B15="","",VLOOKUP(B15,'Списки участников'!A:I,6,FALSE))</f>
        <v>Москва</v>
      </c>
      <c r="D16" s="464">
        <f>IF(S6="","",IF(U6="l","W",U6))</f>
        <v>0</v>
      </c>
      <c r="E16" s="459" t="str">
        <f>IF(T6="","",":")</f>
        <v>:</v>
      </c>
      <c r="F16" s="465">
        <f>IF(U6="","",IF(S6="W","L",S6))</f>
        <v>2</v>
      </c>
      <c r="G16" s="464">
        <f>IF(S8="","",IF(U8="l","W",U8))</f>
        <v>0</v>
      </c>
      <c r="H16" s="459" t="str">
        <f>IF(Q8="","",":")</f>
        <v>:</v>
      </c>
      <c r="I16" s="465">
        <f>IF(U8="","",IF(S8="W","L",S8))</f>
        <v>2</v>
      </c>
      <c r="J16" s="464">
        <f>IF(S10="","",IF(U10="l","W",U10))</f>
        <v>0</v>
      </c>
      <c r="K16" s="459" t="str">
        <f>IF(T10="","",":")</f>
        <v>:</v>
      </c>
      <c r="L16" s="465">
        <f>IF(U10="","",IF(S10="W","L",S10))</f>
        <v>2</v>
      </c>
      <c r="M16" s="464">
        <f>IF(S12="","",IF(U12="l","W",U12))</f>
        <v>0</v>
      </c>
      <c r="N16" s="459" t="str">
        <f>IF(T12="","",":")</f>
        <v>:</v>
      </c>
      <c r="O16" s="465">
        <f>IF(U12="","",IF(S12="W","L",S12))</f>
        <v>2</v>
      </c>
      <c r="P16" s="464" t="str">
        <f>IF(S14="","",IF(U14="l","W",U14))</f>
        <v>W</v>
      </c>
      <c r="Q16" s="459" t="str">
        <f>IF(T14="","",":")</f>
        <v>:</v>
      </c>
      <c r="R16" s="465" t="str">
        <f>IF(U14="","",IF(S14="W","L",S14))</f>
        <v>L</v>
      </c>
      <c r="S16" s="1183"/>
      <c r="T16" s="1169"/>
      <c r="U16" s="1170"/>
      <c r="V16" s="458">
        <v>2</v>
      </c>
      <c r="W16" s="459" t="str">
        <f>IF(V15="","",":")</f>
        <v>:</v>
      </c>
      <c r="X16" s="460">
        <v>0</v>
      </c>
      <c r="Y16" s="458">
        <v>2</v>
      </c>
      <c r="Z16" s="459" t="str">
        <f>IF(Y15="","",":")</f>
        <v>:</v>
      </c>
      <c r="AA16" s="460">
        <v>0</v>
      </c>
      <c r="AB16" s="458"/>
      <c r="AC16" s="459" t="str">
        <f>IF(AB15="","",":")</f>
        <v/>
      </c>
      <c r="AD16" s="460"/>
      <c r="AE16" s="1186"/>
      <c r="AF16" s="1187"/>
      <c r="AG16" s="1189"/>
      <c r="AH16" s="1174"/>
    </row>
    <row r="17" spans="1:34" ht="12" customHeight="1" x14ac:dyDescent="0.2">
      <c r="A17" s="1163">
        <v>7</v>
      </c>
      <c r="B17" s="1165">
        <v>101</v>
      </c>
      <c r="C17" s="456" t="s">
        <v>12083</v>
      </c>
      <c r="D17" s="1171">
        <f>IF(V5="","",IF(V6="W",0,IF(V5=2,1,IF(V5=1,2,IF(V5=0,2)))))</f>
        <v>1</v>
      </c>
      <c r="E17" s="1172"/>
      <c r="F17" s="1173"/>
      <c r="G17" s="1171">
        <f>IF(V7="","",IF(V8="W",0,IF(V7=2,1,IF(V7=1,2,IF(V7=0,2)))))</f>
        <v>1</v>
      </c>
      <c r="H17" s="1172"/>
      <c r="I17" s="1173"/>
      <c r="J17" s="1171">
        <f>IF(V9="","",IF(V10="W",0,IF(V9=2,1,IF(V9=1,2,IF(V9=0,2)))))</f>
        <v>1</v>
      </c>
      <c r="K17" s="1172"/>
      <c r="L17" s="1173"/>
      <c r="M17" s="1171">
        <f>IF(V11="","",IF(V12="W",0,IF(V11=2,1,IF(V11=1,2,IF(V11=0,2)))))</f>
        <v>2</v>
      </c>
      <c r="N17" s="1172"/>
      <c r="O17" s="1173"/>
      <c r="P17" s="1171">
        <f>IF(V13="","",IF(V14="W",0,IF(V13=2,1,IF(V13=1,2,IF(V13=0,2)))))</f>
        <v>2</v>
      </c>
      <c r="Q17" s="1172"/>
      <c r="R17" s="1173"/>
      <c r="S17" s="1171">
        <f>IF(V15="","",IF(V16="W",0,IF(V15=2,1,IF(V15=1,2,IF(V15=0,2)))))</f>
        <v>1</v>
      </c>
      <c r="T17" s="1172"/>
      <c r="U17" s="1173"/>
      <c r="V17" s="1191"/>
      <c r="W17" s="1167"/>
      <c r="X17" s="1168"/>
      <c r="Y17" s="1171">
        <v>2</v>
      </c>
      <c r="Z17" s="1172"/>
      <c r="AA17" s="1173"/>
      <c r="AB17" s="1171"/>
      <c r="AC17" s="1172"/>
      <c r="AD17" s="1173"/>
      <c r="AE17" s="1184">
        <f>IF(B17="","",SUM(D17,J17,M17,P17,S17,G17,Y17,AB17,))</f>
        <v>10</v>
      </c>
      <c r="AF17" s="1185"/>
      <c r="AG17" s="1188"/>
      <c r="AH17" s="1174">
        <f>IF(B17="","",RANK(AE17,ГР1О))</f>
        <v>5</v>
      </c>
    </row>
    <row r="18" spans="1:34" ht="12" customHeight="1" x14ac:dyDescent="0.2">
      <c r="A18" s="1164"/>
      <c r="B18" s="1166"/>
      <c r="C18" s="457" t="str">
        <f>IF(B17="","",VLOOKUP(B17,'Списки участников'!A:I,6,FALSE))</f>
        <v>Москва</v>
      </c>
      <c r="D18" s="464">
        <f>IF(V6="","",IF(X6="l","W",X6))</f>
        <v>0</v>
      </c>
      <c r="E18" s="459" t="str">
        <f>IF(W6="","",":")</f>
        <v>:</v>
      </c>
      <c r="F18" s="465">
        <f>IF(X6="","",IF(V6="W","L",V6))</f>
        <v>2</v>
      </c>
      <c r="G18" s="464">
        <f>IF(V8="","",IF(X8="l","W",X8))</f>
        <v>0</v>
      </c>
      <c r="H18" s="459" t="str">
        <f>IF(W8="","",":")</f>
        <v>:</v>
      </c>
      <c r="I18" s="465">
        <f>IF(X8="","",IF(V8="W","L",V8))</f>
        <v>2</v>
      </c>
      <c r="J18" s="464">
        <f>IF(V10="","",IF(X10="l","W",X10))</f>
        <v>0</v>
      </c>
      <c r="K18" s="459" t="str">
        <f>IF(W10="","",":")</f>
        <v>:</v>
      </c>
      <c r="L18" s="465">
        <f>IF(X10="","",IF(V10="W","L",V10))</f>
        <v>2</v>
      </c>
      <c r="M18" s="464">
        <f>IF(V12="","",IF(X12="l","W",X12))</f>
        <v>2</v>
      </c>
      <c r="N18" s="459" t="str">
        <f>IF(W12="","",":")</f>
        <v>:</v>
      </c>
      <c r="O18" s="465">
        <f>IF(X12="","",IF(V12="W","L",V12))</f>
        <v>0</v>
      </c>
      <c r="P18" s="464">
        <f>IF(V14="","",IF(X14="l","W",X14))</f>
        <v>2</v>
      </c>
      <c r="Q18" s="459" t="str">
        <f>IF(W14="","",":")</f>
        <v>:</v>
      </c>
      <c r="R18" s="465">
        <f>IF(X14="","",IF(V14="W","L",V14))</f>
        <v>1</v>
      </c>
      <c r="S18" s="464">
        <f>IF(V16="","",IF(X16="l","W",X16))</f>
        <v>0</v>
      </c>
      <c r="T18" s="459" t="str">
        <f>IF(W16="","",":")</f>
        <v>:</v>
      </c>
      <c r="U18" s="465">
        <f>IF(X16="","",IF(V16="W","L",V16))</f>
        <v>2</v>
      </c>
      <c r="V18" s="1183"/>
      <c r="W18" s="1169"/>
      <c r="X18" s="1170"/>
      <c r="Y18" s="458">
        <v>2</v>
      </c>
      <c r="Z18" s="459" t="str">
        <f>IF(Y17="","",":")</f>
        <v>:</v>
      </c>
      <c r="AA18" s="460">
        <v>1</v>
      </c>
      <c r="AB18" s="458"/>
      <c r="AC18" s="459" t="str">
        <f>IF(AB17="","",":")</f>
        <v/>
      </c>
      <c r="AD18" s="460"/>
      <c r="AE18" s="1186"/>
      <c r="AF18" s="1187"/>
      <c r="AG18" s="1189"/>
      <c r="AH18" s="1174"/>
    </row>
    <row r="19" spans="1:34" ht="12" customHeight="1" x14ac:dyDescent="0.2">
      <c r="A19" s="1163">
        <v>8</v>
      </c>
      <c r="B19" s="1165">
        <v>112</v>
      </c>
      <c r="C19" s="456" t="s">
        <v>12170</v>
      </c>
      <c r="D19" s="1171">
        <f>IF(Y5="","",IF(Y6="W",0,IF(Y5=2,1,IF(Y5=1,2,IF(Y5=0,2)))))</f>
        <v>1</v>
      </c>
      <c r="E19" s="1172"/>
      <c r="F19" s="1173"/>
      <c r="G19" s="1171">
        <f>IF(Y7="","",IF(Y8="W",0,IF(Y7=2,1,IF(Y7=1,2,IF(Y7=0,2)))))</f>
        <v>1</v>
      </c>
      <c r="H19" s="1172"/>
      <c r="I19" s="1173"/>
      <c r="J19" s="1171">
        <f>IF(Y9="","",IF(Y10="W",0,IF(Y9=2,1,IF(Y9=1,2,IF(Y9=0,2)))))</f>
        <v>1</v>
      </c>
      <c r="K19" s="1172"/>
      <c r="L19" s="1173"/>
      <c r="M19" s="1171">
        <f>IF(Y11="","",IF(Y12="W",0,IF(Y11=2,1,IF(Y11=1,2,IF(Y11=0,2)))))</f>
        <v>1</v>
      </c>
      <c r="N19" s="1172"/>
      <c r="O19" s="1173"/>
      <c r="P19" s="1171">
        <f>IF(Y13="","",IF(Y14="W",0,IF(Y13=2,1,IF(Y13=1,2,IF(Y13=0,2)))))</f>
        <v>1</v>
      </c>
      <c r="Q19" s="1172"/>
      <c r="R19" s="1173"/>
      <c r="S19" s="1171">
        <f>IF(Y15="","",IF(Y16="W",0,IF(Y15=2,1,IF(Y15=1,2,IF(Y15=0,2)))))</f>
        <v>1</v>
      </c>
      <c r="T19" s="1172"/>
      <c r="U19" s="1173"/>
      <c r="V19" s="1171">
        <f>IF(Y17="","",IF(Y18="W",0,IF(Y17=2,1,IF(Y17=1,2,IF(Y17=0,2)))))</f>
        <v>1</v>
      </c>
      <c r="W19" s="1172"/>
      <c r="X19" s="1173"/>
      <c r="Y19" s="1180"/>
      <c r="Z19" s="1181"/>
      <c r="AA19" s="1182"/>
      <c r="AB19" s="1171"/>
      <c r="AC19" s="1172"/>
      <c r="AD19" s="1173"/>
      <c r="AE19" s="1184">
        <f>IF(B19="","",SUM(D19,J19,M19,P19,S19,V19,G19,AB19,))</f>
        <v>7</v>
      </c>
      <c r="AF19" s="1185"/>
      <c r="AG19" s="1188"/>
      <c r="AH19" s="1174">
        <v>8</v>
      </c>
    </row>
    <row r="20" spans="1:34" ht="12" customHeight="1" x14ac:dyDescent="0.2">
      <c r="A20" s="1164"/>
      <c r="B20" s="1166"/>
      <c r="C20" s="457" t="str">
        <f>IF(B19="","",VLOOKUP(B19,'Списки участников'!A:I,6,FALSE))</f>
        <v>Москва</v>
      </c>
      <c r="D20" s="464">
        <f>IF(Y6="","",IF(AA6="l","W",AA6))</f>
        <v>0</v>
      </c>
      <c r="E20" s="459" t="str">
        <f>IF(Z6="","",":")</f>
        <v>:</v>
      </c>
      <c r="F20" s="465">
        <f>IF(AA6="","",IF(Y6="W","L",Y6))</f>
        <v>2</v>
      </c>
      <c r="G20" s="464">
        <f>IF(Y8="","",IF(AA8="l","W",AA8))</f>
        <v>0</v>
      </c>
      <c r="H20" s="459" t="str">
        <f>IF(Z8="","",":")</f>
        <v>:</v>
      </c>
      <c r="I20" s="465">
        <f>IF(AA8="","",IF(Y8="W","L",Y8))</f>
        <v>2</v>
      </c>
      <c r="J20" s="464">
        <f>IF(Y10="","",IF(AA10="l","W",AA10))</f>
        <v>0</v>
      </c>
      <c r="K20" s="459" t="str">
        <f>IF(Z10="","",":")</f>
        <v>:</v>
      </c>
      <c r="L20" s="465">
        <f>IF(AA10="","",IF(Y10="W","L",Y10))</f>
        <v>2</v>
      </c>
      <c r="M20" s="464">
        <f>IF(Y12="","",IF(AA12="l","W",AA12))</f>
        <v>0</v>
      </c>
      <c r="N20" s="459" t="str">
        <f>IF(Z12="","",":")</f>
        <v>:</v>
      </c>
      <c r="O20" s="465">
        <f>IF(AA12="","",IF(Y12="W","L",Y12))</f>
        <v>2</v>
      </c>
      <c r="P20" s="464">
        <f>IF(Y14="","",IF(AA14="l","W",AA14))</f>
        <v>1</v>
      </c>
      <c r="Q20" s="459" t="str">
        <f>IF(Z14="","",":")</f>
        <v>:</v>
      </c>
      <c r="R20" s="465">
        <f>IF(AA14="","",IF(Y14="W","L",Y14))</f>
        <v>2</v>
      </c>
      <c r="S20" s="464">
        <f>IF(Y16="","",IF(AA16="l","W",AA16))</f>
        <v>0</v>
      </c>
      <c r="T20" s="459" t="str">
        <f>IF(Z16="","",":")</f>
        <v>:</v>
      </c>
      <c r="U20" s="465">
        <f>IF(AA16="","",IF(Y16="W","L",Y16))</f>
        <v>2</v>
      </c>
      <c r="V20" s="464">
        <f>IF(Y18="","",IF(AA18="l","W",AA18))</f>
        <v>1</v>
      </c>
      <c r="W20" s="459" t="str">
        <f>IF(Z18="","",":")</f>
        <v>:</v>
      </c>
      <c r="X20" s="465">
        <f>IF(AA18="","",IF(Y18="W","L",Y18))</f>
        <v>2</v>
      </c>
      <c r="Y20" s="1183"/>
      <c r="Z20" s="1169"/>
      <c r="AA20" s="1170"/>
      <c r="AB20" s="458"/>
      <c r="AC20" s="459" t="str">
        <f>IF(AB19="","",":")</f>
        <v/>
      </c>
      <c r="AD20" s="460"/>
      <c r="AE20" s="1186"/>
      <c r="AF20" s="1187"/>
      <c r="AG20" s="1189"/>
      <c r="AH20" s="1174"/>
    </row>
    <row r="21" spans="1:34" ht="12" hidden="1" customHeight="1" outlineLevel="1" x14ac:dyDescent="0.2">
      <c r="A21" s="1163">
        <v>9</v>
      </c>
      <c r="B21" s="1165">
        <f>жеребьевка!B20</f>
        <v>0</v>
      </c>
      <c r="C21" s="456" t="e">
        <f>IF(B21="","",VLOOKUP(B21,'Списки участников'!A:I,3,FALSE))</f>
        <v>#N/A</v>
      </c>
      <c r="D21" s="1171" t="str">
        <f>IF(AB5="","",IF(AB6="W",0,IF(AB5=2,1,IF(AB5=1,2,IF(AB5=0,2)))))</f>
        <v/>
      </c>
      <c r="E21" s="1172"/>
      <c r="F21" s="1173"/>
      <c r="G21" s="1171" t="str">
        <f>IF(AB7="","",IF(AB8="W",0,IF(AB7=2,1,IF(AB7=1,2,IF(AB7=0,2)))))</f>
        <v/>
      </c>
      <c r="H21" s="1172"/>
      <c r="I21" s="1173"/>
      <c r="J21" s="1171" t="str">
        <f>IF(AB9="","",IF(AB10="W",0,IF(AB9=2,1,IF(AB9=1,2,IF(AB9=0,2)))))</f>
        <v/>
      </c>
      <c r="K21" s="1172"/>
      <c r="L21" s="1173"/>
      <c r="M21" s="1171" t="str">
        <f>IF(AB11="","",IF(AB12="W",0,IF(AB11=2,1,IF(AB11=1,2,IF(AB11=0,2)))))</f>
        <v/>
      </c>
      <c r="N21" s="1172"/>
      <c r="O21" s="1173"/>
      <c r="P21" s="1171" t="str">
        <f>IF(AB13="","",IF(AB14="W",0,IF(AB13=2,1,IF(AB13=1,2,IF(AB13=0,2)))))</f>
        <v/>
      </c>
      <c r="Q21" s="1172"/>
      <c r="R21" s="1173"/>
      <c r="S21" s="1171" t="str">
        <f>IF(AB15="","",IF(AB16="W",0,IF(AB15=2,1,IF(AB15=1,2,IF(AB15=0,2)))))</f>
        <v/>
      </c>
      <c r="T21" s="1172"/>
      <c r="U21" s="1173"/>
      <c r="V21" s="1171" t="str">
        <f>IF(AB17="","",IF(AB18="W",0,IF(AB17=2,1,IF(AB17=1,2,IF(AB17=0,2)))))</f>
        <v/>
      </c>
      <c r="W21" s="1172"/>
      <c r="X21" s="1173"/>
      <c r="Y21" s="1171" t="str">
        <f>IF(AB19="","",IF(AB20="W",0,IF(AB19=2,1,IF(AB19=1,2,IF(AB19=0,2)))))</f>
        <v/>
      </c>
      <c r="Z21" s="1172"/>
      <c r="AA21" s="1173"/>
      <c r="AB21" s="1191"/>
      <c r="AC21" s="1167"/>
      <c r="AD21" s="1168"/>
      <c r="AE21" s="1184">
        <f>IF(B21="","",SUM(D21,J21,M21,P21,S21,V21,Y21,G21,))</f>
        <v>0</v>
      </c>
      <c r="AF21" s="1185"/>
      <c r="AG21" s="1188"/>
      <c r="AH21" s="1174">
        <f>IF(B21="","",RANK(AE21,ГР1О))</f>
        <v>9</v>
      </c>
    </row>
    <row r="22" spans="1:34" ht="12" hidden="1" customHeight="1" outlineLevel="1" x14ac:dyDescent="0.2">
      <c r="A22" s="1164"/>
      <c r="B22" s="1166"/>
      <c r="C22" s="457" t="e">
        <f>IF(B21="","",VLOOKUP(B21,'Списки участников'!A:I,6,FALSE))</f>
        <v>#N/A</v>
      </c>
      <c r="D22" s="464" t="str">
        <f>IF(AB6="","",IF(AD6="l","W",AD6))</f>
        <v/>
      </c>
      <c r="E22" s="459" t="str">
        <f>IF(AC6="","",":")</f>
        <v/>
      </c>
      <c r="F22" s="465" t="str">
        <f>IF(AD6="","",IF(AB6="W","L",AB6))</f>
        <v/>
      </c>
      <c r="G22" s="464" t="str">
        <f>IF(AB8="","",IF(AD8="l","W",AD8))</f>
        <v/>
      </c>
      <c r="H22" s="459" t="str">
        <f>IF(AC8="","",":")</f>
        <v/>
      </c>
      <c r="I22" s="465" t="str">
        <f>IF(AD8="","",IF(AB8="W","L",AB8))</f>
        <v/>
      </c>
      <c r="J22" s="464" t="str">
        <f>IF(AB10="","",IF(AD10="l","W",AD10))</f>
        <v/>
      </c>
      <c r="K22" s="459" t="str">
        <f>IF(AC10="","",":")</f>
        <v/>
      </c>
      <c r="L22" s="465" t="str">
        <f>IF(AD10="","",IF(AB10="W","L",AB10))</f>
        <v/>
      </c>
      <c r="M22" s="464" t="str">
        <f>IF(AB12="","",IF(AD12="l","W",AD12))</f>
        <v/>
      </c>
      <c r="N22" s="459" t="str">
        <f>IF(AC12="","",":")</f>
        <v/>
      </c>
      <c r="O22" s="465" t="str">
        <f>IF(AD12="","",IF(AB12="W","L",AB12))</f>
        <v/>
      </c>
      <c r="P22" s="464" t="str">
        <f>IF(AB14="","",IF(AD14="l","W",AD14))</f>
        <v/>
      </c>
      <c r="Q22" s="459" t="str">
        <f>IF(AC14="","",":")</f>
        <v/>
      </c>
      <c r="R22" s="465" t="str">
        <f>IF(AD14="","",IF(AB14="W","L",AB14))</f>
        <v/>
      </c>
      <c r="S22" s="464" t="str">
        <f>IF(AB16="","",IF(AD16="l","W",AD16))</f>
        <v/>
      </c>
      <c r="T22" s="459" t="str">
        <f>IF(AC16="","",":")</f>
        <v/>
      </c>
      <c r="U22" s="465" t="str">
        <f>IF(AD16="","",IF(AB16="W","L",AB16))</f>
        <v/>
      </c>
      <c r="V22" s="464" t="str">
        <f>IF(AB18="","",IF(AD18="l","W",AD18))</f>
        <v/>
      </c>
      <c r="W22" s="459" t="str">
        <f>IF(AC18="","",":")</f>
        <v/>
      </c>
      <c r="X22" s="465" t="str">
        <f>IF(AD18="","",IF(AB18="W","L",AB18))</f>
        <v/>
      </c>
      <c r="Y22" s="464" t="str">
        <f>IF(AB20="","",IF(AD20="l","W",AD20))</f>
        <v/>
      </c>
      <c r="Z22" s="459" t="str">
        <f>IF(AC20="","",":")</f>
        <v/>
      </c>
      <c r="AA22" s="465" t="str">
        <f>IF(AD20="","",IF(AB20="W","L",AB20))</f>
        <v/>
      </c>
      <c r="AB22" s="1183"/>
      <c r="AC22" s="1169"/>
      <c r="AD22" s="1170"/>
      <c r="AE22" s="1186"/>
      <c r="AF22" s="1187"/>
      <c r="AG22" s="1189"/>
      <c r="AH22" s="1174"/>
    </row>
    <row r="23" spans="1:34" ht="12" customHeight="1" collapsed="1" x14ac:dyDescent="0.25">
      <c r="A23" s="135"/>
      <c r="B23" s="135"/>
      <c r="C23" s="954" t="s">
        <v>765</v>
      </c>
      <c r="D23" s="135"/>
      <c r="E23" s="135"/>
      <c r="F23" s="135"/>
      <c r="G23" s="1192" t="s">
        <v>991</v>
      </c>
      <c r="H23" s="1192"/>
      <c r="I23" s="1192"/>
      <c r="J23" s="1192"/>
      <c r="K23" s="1192"/>
      <c r="L23" s="1192"/>
      <c r="M23" s="1192"/>
      <c r="N23" s="1192"/>
      <c r="O23" s="1192"/>
      <c r="P23" s="1192"/>
      <c r="Q23" s="1192"/>
      <c r="R23" s="1192"/>
      <c r="S23" s="1192"/>
      <c r="T23" s="1192"/>
      <c r="U23" s="1192"/>
      <c r="V23" s="1192"/>
      <c r="W23" s="1192"/>
      <c r="X23" s="1192"/>
      <c r="Y23" s="1192"/>
      <c r="Z23" s="1192"/>
      <c r="AA23" s="1192"/>
      <c r="AB23" s="135"/>
      <c r="AC23" s="135"/>
      <c r="AD23" s="135"/>
      <c r="AE23" s="135"/>
      <c r="AF23" s="135"/>
      <c r="AG23" s="135"/>
      <c r="AH23" s="135"/>
    </row>
    <row r="24" spans="1:34" ht="12" customHeight="1" x14ac:dyDescent="0.2">
      <c r="A24" s="136" t="s">
        <v>3</v>
      </c>
      <c r="B24" s="137"/>
      <c r="C24" s="138" t="s">
        <v>788</v>
      </c>
      <c r="D24" s="1158">
        <v>1</v>
      </c>
      <c r="E24" s="1159"/>
      <c r="F24" s="1160"/>
      <c r="G24" s="1158">
        <v>2</v>
      </c>
      <c r="H24" s="1159"/>
      <c r="I24" s="1160"/>
      <c r="J24" s="1158">
        <v>3</v>
      </c>
      <c r="K24" s="1159"/>
      <c r="L24" s="1160"/>
      <c r="M24" s="1158">
        <v>4</v>
      </c>
      <c r="N24" s="1159"/>
      <c r="O24" s="1160"/>
      <c r="P24" s="1158">
        <v>5</v>
      </c>
      <c r="Q24" s="1159"/>
      <c r="R24" s="1160"/>
      <c r="S24" s="1158">
        <v>6</v>
      </c>
      <c r="T24" s="1159"/>
      <c r="U24" s="1160"/>
      <c r="V24" s="1158">
        <v>7</v>
      </c>
      <c r="W24" s="1159"/>
      <c r="X24" s="1160"/>
      <c r="Y24" s="1158">
        <v>8</v>
      </c>
      <c r="Z24" s="1159"/>
      <c r="AA24" s="1160"/>
      <c r="AB24" s="1158">
        <v>9</v>
      </c>
      <c r="AC24" s="1159"/>
      <c r="AD24" s="1160"/>
      <c r="AE24" s="1161" t="s">
        <v>789</v>
      </c>
      <c r="AF24" s="1162"/>
      <c r="AG24" s="454" t="s">
        <v>790</v>
      </c>
      <c r="AH24" s="455" t="s">
        <v>100</v>
      </c>
    </row>
    <row r="25" spans="1:34" ht="12" customHeight="1" x14ac:dyDescent="0.2">
      <c r="A25" s="1163">
        <v>1</v>
      </c>
      <c r="B25" s="1193">
        <f>жеребьевка!G4</f>
        <v>2</v>
      </c>
      <c r="C25" s="456" t="str">
        <f>IF(B25="","",VLOOKUP(B25,'Списки участников'!A:I,3,FALSE))</f>
        <v>СОДЫЛЬ Максим</v>
      </c>
      <c r="D25" s="1167"/>
      <c r="E25" s="1167"/>
      <c r="F25" s="1168"/>
      <c r="G25" s="1171">
        <v>2</v>
      </c>
      <c r="H25" s="1172"/>
      <c r="I25" s="1173"/>
      <c r="J25" s="1171">
        <v>2</v>
      </c>
      <c r="K25" s="1172"/>
      <c r="L25" s="1173"/>
      <c r="M25" s="1171">
        <v>2</v>
      </c>
      <c r="N25" s="1172"/>
      <c r="O25" s="1173"/>
      <c r="P25" s="1171">
        <v>2</v>
      </c>
      <c r="Q25" s="1172"/>
      <c r="R25" s="1173"/>
      <c r="S25" s="1171">
        <v>2</v>
      </c>
      <c r="T25" s="1172"/>
      <c r="U25" s="1173"/>
      <c r="V25" s="1171">
        <v>2</v>
      </c>
      <c r="W25" s="1172"/>
      <c r="X25" s="1173"/>
      <c r="Y25" s="1171"/>
      <c r="Z25" s="1172"/>
      <c r="AA25" s="1173"/>
      <c r="AB25" s="1171"/>
      <c r="AC25" s="1172"/>
      <c r="AD25" s="1173"/>
      <c r="AE25" s="1184">
        <f>IF(B25="","",SUM(G25,J25,M25,P25,S25,V25,Y25,AB25,))</f>
        <v>12</v>
      </c>
      <c r="AF25" s="1185"/>
      <c r="AG25" s="1175"/>
      <c r="AH25" s="1174">
        <f>IF(B25="","",RANK(AE25,ГР2О))</f>
        <v>1</v>
      </c>
    </row>
    <row r="26" spans="1:34" ht="12" customHeight="1" x14ac:dyDescent="0.2">
      <c r="A26" s="1164"/>
      <c r="B26" s="1194"/>
      <c r="C26" s="457" t="str">
        <f>IF(B25="","",VLOOKUP(B25,'Списки участников'!A:I,6,FALSE))</f>
        <v>Москва</v>
      </c>
      <c r="D26" s="1169"/>
      <c r="E26" s="1169"/>
      <c r="F26" s="1170"/>
      <c r="G26" s="458">
        <v>2</v>
      </c>
      <c r="H26" s="459" t="str">
        <f>IF(G25="","",":")</f>
        <v>:</v>
      </c>
      <c r="I26" s="460">
        <v>0</v>
      </c>
      <c r="J26" s="458">
        <v>2</v>
      </c>
      <c r="K26" s="459" t="str">
        <f>IF(J25="","",":")</f>
        <v>:</v>
      </c>
      <c r="L26" s="460">
        <v>0</v>
      </c>
      <c r="M26" s="458">
        <v>2</v>
      </c>
      <c r="N26" s="459" t="str">
        <f>IF(M26="","",":")</f>
        <v>:</v>
      </c>
      <c r="O26" s="460">
        <v>0</v>
      </c>
      <c r="P26" s="458">
        <v>2</v>
      </c>
      <c r="Q26" s="459" t="str">
        <f>IF(P26="","",":")</f>
        <v>:</v>
      </c>
      <c r="R26" s="460">
        <v>0</v>
      </c>
      <c r="S26" s="458">
        <v>2</v>
      </c>
      <c r="T26" s="459" t="str">
        <f>IF(S26="","",":")</f>
        <v>:</v>
      </c>
      <c r="U26" s="460">
        <v>0</v>
      </c>
      <c r="V26" s="458">
        <v>2</v>
      </c>
      <c r="W26" s="459" t="str">
        <f>IF(V26="","",":")</f>
        <v>:</v>
      </c>
      <c r="X26" s="460">
        <v>0</v>
      </c>
      <c r="Y26" s="458"/>
      <c r="Z26" s="459" t="str">
        <f>IF(Y26="","",":")</f>
        <v/>
      </c>
      <c r="AA26" s="460"/>
      <c r="AB26" s="458"/>
      <c r="AC26" s="459" t="str">
        <f>IF(AB26="","",":")</f>
        <v/>
      </c>
      <c r="AD26" s="460"/>
      <c r="AE26" s="1186"/>
      <c r="AF26" s="1187"/>
      <c r="AG26" s="1176"/>
      <c r="AH26" s="1174"/>
    </row>
    <row r="27" spans="1:34" ht="12" customHeight="1" x14ac:dyDescent="0.2">
      <c r="A27" s="1163">
        <v>2</v>
      </c>
      <c r="B27" s="1193">
        <f>жеребьевка!G6</f>
        <v>34</v>
      </c>
      <c r="C27" s="456" t="str">
        <f>IF(B27="","",VLOOKUP(B27,'Списки участников'!A:I,3,FALSE))</f>
        <v>ШУКЛИН Александр</v>
      </c>
      <c r="D27" s="1177">
        <f>IF(G25="","",IF(G26="W",0,IF(G25=2,1,IF(G25=1,2,IF(G25=0,2)))))</f>
        <v>1</v>
      </c>
      <c r="E27" s="1178"/>
      <c r="F27" s="1179"/>
      <c r="G27" s="1180"/>
      <c r="H27" s="1181"/>
      <c r="I27" s="1182"/>
      <c r="J27" s="1171">
        <v>2</v>
      </c>
      <c r="K27" s="1172"/>
      <c r="L27" s="1173"/>
      <c r="M27" s="1171">
        <v>2</v>
      </c>
      <c r="N27" s="1172"/>
      <c r="O27" s="1173"/>
      <c r="P27" s="1171">
        <v>2</v>
      </c>
      <c r="Q27" s="1172"/>
      <c r="R27" s="1173"/>
      <c r="S27" s="1171">
        <v>2</v>
      </c>
      <c r="T27" s="1172"/>
      <c r="U27" s="1173"/>
      <c r="V27" s="1171">
        <v>2</v>
      </c>
      <c r="W27" s="1172"/>
      <c r="X27" s="1173"/>
      <c r="Y27" s="1171"/>
      <c r="Z27" s="1172"/>
      <c r="AA27" s="1173"/>
      <c r="AB27" s="1171"/>
      <c r="AC27" s="1172"/>
      <c r="AD27" s="1173"/>
      <c r="AE27" s="1184">
        <f>IF(B27="","",SUM(D27,J27,M27,P27,S27,V27,Y27,AB27,))</f>
        <v>11</v>
      </c>
      <c r="AF27" s="1185"/>
      <c r="AG27" s="1175"/>
      <c r="AH27" s="1174">
        <f>IF(B27="","",RANK(AE27,ГР2О))</f>
        <v>2</v>
      </c>
    </row>
    <row r="28" spans="1:34" ht="12" customHeight="1" x14ac:dyDescent="0.2">
      <c r="A28" s="1164"/>
      <c r="B28" s="1194"/>
      <c r="C28" s="457" t="str">
        <f>IF(B27="","",VLOOKUP(B27,'Списки участников'!A:I,6,FALSE))</f>
        <v>Орехово-Зуево</v>
      </c>
      <c r="D28" s="461">
        <f>IF(G26="","",IF(I26="l","W",I26))</f>
        <v>0</v>
      </c>
      <c r="E28" s="462" t="str">
        <f>IF(G25="","",":")</f>
        <v>:</v>
      </c>
      <c r="F28" s="463">
        <f>IF(I26="","",IF(G26="W","L",G26))</f>
        <v>2</v>
      </c>
      <c r="G28" s="1183"/>
      <c r="H28" s="1169"/>
      <c r="I28" s="1170"/>
      <c r="J28" s="458">
        <v>2</v>
      </c>
      <c r="K28" s="459" t="str">
        <f>IF(J27="","",":")</f>
        <v>:</v>
      </c>
      <c r="L28" s="460">
        <v>1</v>
      </c>
      <c r="M28" s="458">
        <v>2</v>
      </c>
      <c r="N28" s="459" t="str">
        <f>IF(M27="","",":")</f>
        <v>:</v>
      </c>
      <c r="O28" s="460">
        <v>0</v>
      </c>
      <c r="P28" s="458">
        <v>2</v>
      </c>
      <c r="Q28" s="459" t="str">
        <f>IF(P27="","",":")</f>
        <v>:</v>
      </c>
      <c r="R28" s="460">
        <v>0</v>
      </c>
      <c r="S28" s="458">
        <v>2</v>
      </c>
      <c r="T28" s="459" t="str">
        <f>IF(S28="","",":")</f>
        <v>:</v>
      </c>
      <c r="U28" s="460">
        <v>0</v>
      </c>
      <c r="V28" s="458">
        <v>2</v>
      </c>
      <c r="W28" s="459" t="str">
        <f>IF(V28="","",":")</f>
        <v>:</v>
      </c>
      <c r="X28" s="460">
        <v>0</v>
      </c>
      <c r="Y28" s="458"/>
      <c r="Z28" s="459" t="str">
        <f>IF(Y28="","",":")</f>
        <v/>
      </c>
      <c r="AA28" s="460"/>
      <c r="AB28" s="458"/>
      <c r="AC28" s="459" t="str">
        <f>IF(AB28="","",":")</f>
        <v/>
      </c>
      <c r="AD28" s="460"/>
      <c r="AE28" s="1186"/>
      <c r="AF28" s="1187"/>
      <c r="AG28" s="1176"/>
      <c r="AH28" s="1174"/>
    </row>
    <row r="29" spans="1:34" ht="12" customHeight="1" x14ac:dyDescent="0.2">
      <c r="A29" s="1163">
        <v>3</v>
      </c>
      <c r="B29" s="1193">
        <f>жеребьевка!G8</f>
        <v>36</v>
      </c>
      <c r="C29" s="456" t="str">
        <f>IF(B29="","",VLOOKUP(B29,'Списки участников'!A:I,3,FALSE))</f>
        <v>БАНДУРИН Михаил</v>
      </c>
      <c r="D29" s="1177">
        <f>IF(J25="","",IF(J26="W",0,IF(J25=2,1,IF(J25=1,2,IF(J25=0,2)))))</f>
        <v>1</v>
      </c>
      <c r="E29" s="1178"/>
      <c r="F29" s="1179"/>
      <c r="G29" s="1171">
        <f>IF(J27="","",IF(J28="W",0,IF(J27=2,1,IF(J27=1,2,IF(J27=0,2)))))</f>
        <v>1</v>
      </c>
      <c r="H29" s="1172"/>
      <c r="I29" s="1173"/>
      <c r="J29" s="1180"/>
      <c r="K29" s="1181"/>
      <c r="L29" s="1182"/>
      <c r="M29" s="1171">
        <v>2</v>
      </c>
      <c r="N29" s="1172"/>
      <c r="O29" s="1173"/>
      <c r="P29" s="1171">
        <v>2</v>
      </c>
      <c r="Q29" s="1172"/>
      <c r="R29" s="1173"/>
      <c r="S29" s="1171">
        <v>2</v>
      </c>
      <c r="T29" s="1172"/>
      <c r="U29" s="1173"/>
      <c r="V29" s="1171">
        <v>2</v>
      </c>
      <c r="W29" s="1172"/>
      <c r="X29" s="1173"/>
      <c r="Y29" s="1171"/>
      <c r="Z29" s="1172"/>
      <c r="AA29" s="1173"/>
      <c r="AB29" s="1171"/>
      <c r="AC29" s="1172"/>
      <c r="AD29" s="1173"/>
      <c r="AE29" s="1184">
        <f>IF(B29="","",SUM(G29,D29,M29,P29,S29,V29,Y29,AB29,))</f>
        <v>10</v>
      </c>
      <c r="AF29" s="1185"/>
      <c r="AG29" s="1188"/>
      <c r="AH29" s="1174">
        <f>IF(B29="","",RANK(AE29,ГР2О))</f>
        <v>3</v>
      </c>
    </row>
    <row r="30" spans="1:34" ht="12" customHeight="1" x14ac:dyDescent="0.2">
      <c r="A30" s="1164"/>
      <c r="B30" s="1195"/>
      <c r="C30" s="457" t="str">
        <f>IF(B29="","",VLOOKUP(B29,'Списки участников'!A:I,6,FALSE))</f>
        <v>Москва</v>
      </c>
      <c r="D30" s="464">
        <f>IF(J26="","",IF(L26="l","W",L26))</f>
        <v>0</v>
      </c>
      <c r="E30" s="459" t="str">
        <f>IF(K26="","",":")</f>
        <v>:</v>
      </c>
      <c r="F30" s="465">
        <f>IF(L26="","",IF(J26="W","L",J26))</f>
        <v>2</v>
      </c>
      <c r="G30" s="464">
        <f>IF(J28="","",IF(L28="l","W",L28))</f>
        <v>1</v>
      </c>
      <c r="H30" s="459" t="str">
        <f>IF(K28="","",":")</f>
        <v>:</v>
      </c>
      <c r="I30" s="465">
        <f>IF(L28="","",IF(J28="W","L",J28))</f>
        <v>2</v>
      </c>
      <c r="J30" s="1183"/>
      <c r="K30" s="1169"/>
      <c r="L30" s="1170"/>
      <c r="M30" s="458">
        <v>2</v>
      </c>
      <c r="N30" s="459" t="str">
        <f>IF(M29="","",":")</f>
        <v>:</v>
      </c>
      <c r="O30" s="460">
        <v>0</v>
      </c>
      <c r="P30" s="458">
        <v>2</v>
      </c>
      <c r="Q30" s="459" t="str">
        <f>IF(P29="","",":")</f>
        <v>:</v>
      </c>
      <c r="R30" s="460">
        <v>0</v>
      </c>
      <c r="S30" s="458">
        <v>2</v>
      </c>
      <c r="T30" s="459" t="str">
        <f>IF(S29="","",":")</f>
        <v>:</v>
      </c>
      <c r="U30" s="460">
        <v>0</v>
      </c>
      <c r="V30" s="458">
        <v>2</v>
      </c>
      <c r="W30" s="459" t="str">
        <f>IF(V30="","",":")</f>
        <v>:</v>
      </c>
      <c r="X30" s="460">
        <v>0</v>
      </c>
      <c r="Y30" s="458"/>
      <c r="Z30" s="459" t="str">
        <f>IF(Y30="","",":")</f>
        <v/>
      </c>
      <c r="AA30" s="460"/>
      <c r="AB30" s="458"/>
      <c r="AC30" s="459" t="str">
        <f>IF(AB30="","",":")</f>
        <v/>
      </c>
      <c r="AD30" s="460"/>
      <c r="AE30" s="1186"/>
      <c r="AF30" s="1187"/>
      <c r="AG30" s="1189"/>
      <c r="AH30" s="1174"/>
    </row>
    <row r="31" spans="1:34" ht="12" customHeight="1" x14ac:dyDescent="0.2">
      <c r="A31" s="1163">
        <v>4</v>
      </c>
      <c r="B31" s="1193">
        <f>жеребьевка!G10</f>
        <v>64</v>
      </c>
      <c r="C31" s="456" t="str">
        <f>IF(B31="","",VLOOKUP(B31,'Списки участников'!A:I,3,FALSE))</f>
        <v>АКЕНТЬЕВ Алексей</v>
      </c>
      <c r="D31" s="1171">
        <f>IF(M25="","",IF(M26="W",0,IF(M25=2,1,IF(M25=1,2,IF(M25=0,2)))))</f>
        <v>1</v>
      </c>
      <c r="E31" s="1172"/>
      <c r="F31" s="1173"/>
      <c r="G31" s="1171">
        <f>IF(M27="","",IF(M28="W",0,IF(M27=2,1,IF(M27=1,2,IF(M27=0,2)))))</f>
        <v>1</v>
      </c>
      <c r="H31" s="1172"/>
      <c r="I31" s="1173"/>
      <c r="J31" s="1171">
        <f>IF(M29="","",IF(M30="W",0,IF(M29=2,1,IF(M29=1,2,IF(M29=0,2)))))</f>
        <v>1</v>
      </c>
      <c r="K31" s="1172"/>
      <c r="L31" s="1173"/>
      <c r="M31" s="1181"/>
      <c r="N31" s="1181"/>
      <c r="O31" s="1181"/>
      <c r="P31" s="1171">
        <v>2</v>
      </c>
      <c r="Q31" s="1172"/>
      <c r="R31" s="1173"/>
      <c r="S31" s="1171">
        <v>1</v>
      </c>
      <c r="T31" s="1172"/>
      <c r="U31" s="1173"/>
      <c r="V31" s="1171">
        <v>2</v>
      </c>
      <c r="W31" s="1172"/>
      <c r="X31" s="1173"/>
      <c r="Y31" s="1171"/>
      <c r="Z31" s="1172"/>
      <c r="AA31" s="1173"/>
      <c r="AB31" s="1171"/>
      <c r="AC31" s="1172"/>
      <c r="AD31" s="1173"/>
      <c r="AE31" s="1184">
        <f>IF(B31="","",SUM(G31,J31,D31,P31,S31,V31,Y31,AB31,))</f>
        <v>8</v>
      </c>
      <c r="AF31" s="1185"/>
      <c r="AG31" s="1188"/>
      <c r="AH31" s="1174">
        <f>IF(B31="","",RANK(AE31,ГР2О))</f>
        <v>5</v>
      </c>
    </row>
    <row r="32" spans="1:34" ht="12" customHeight="1" x14ac:dyDescent="0.2">
      <c r="A32" s="1164"/>
      <c r="B32" s="1195"/>
      <c r="C32" s="457" t="str">
        <f>IF(B31="","",VLOOKUP(B31,'Списки участников'!A:I,6,FALSE))</f>
        <v>Одинцово</v>
      </c>
      <c r="D32" s="464">
        <f>IF(M26="","",IF(O26="l","W",O26))</f>
        <v>0</v>
      </c>
      <c r="E32" s="459" t="str">
        <f>IF(N26="","",":")</f>
        <v>:</v>
      </c>
      <c r="F32" s="465">
        <f>IF(O26="","",IF(M26="W","L",M26))</f>
        <v>2</v>
      </c>
      <c r="G32" s="464">
        <f>IF(M28="","",IF(O28="l","W",O28))</f>
        <v>0</v>
      </c>
      <c r="H32" s="459" t="str">
        <f>IF(N28="","",":")</f>
        <v>:</v>
      </c>
      <c r="I32" s="465">
        <f>IF(O28="","",IF(M28="W","L",M28))</f>
        <v>2</v>
      </c>
      <c r="J32" s="464">
        <f>IF(M30="","",IF(O30="l","W",O30))</f>
        <v>0</v>
      </c>
      <c r="K32" s="459" t="str">
        <f>IF(N30="","",":")</f>
        <v>:</v>
      </c>
      <c r="L32" s="465">
        <f>IF(O30="","",IF(M30="W","L",M30))</f>
        <v>2</v>
      </c>
      <c r="M32" s="1190"/>
      <c r="N32" s="1190"/>
      <c r="O32" s="1190"/>
      <c r="P32" s="458">
        <v>2</v>
      </c>
      <c r="Q32" s="459" t="str">
        <f>IF(P31="","",":")</f>
        <v>:</v>
      </c>
      <c r="R32" s="460">
        <v>0</v>
      </c>
      <c r="S32" s="458">
        <v>0</v>
      </c>
      <c r="T32" s="459" t="str">
        <f>IF(S31="","",":")</f>
        <v>:</v>
      </c>
      <c r="U32" s="460">
        <v>2</v>
      </c>
      <c r="V32" s="458">
        <v>2</v>
      </c>
      <c r="W32" s="459" t="str">
        <f>IF(V31="","",":")</f>
        <v>:</v>
      </c>
      <c r="X32" s="460">
        <v>0</v>
      </c>
      <c r="Y32" s="458"/>
      <c r="Z32" s="459" t="str">
        <f>IF(Y32="","",":")</f>
        <v/>
      </c>
      <c r="AA32" s="460"/>
      <c r="AB32" s="458"/>
      <c r="AC32" s="459" t="str">
        <f>IF(AB32="","",":")</f>
        <v/>
      </c>
      <c r="AD32" s="460"/>
      <c r="AE32" s="1186"/>
      <c r="AF32" s="1187"/>
      <c r="AG32" s="1189"/>
      <c r="AH32" s="1174"/>
    </row>
    <row r="33" spans="1:34" ht="12" customHeight="1" x14ac:dyDescent="0.2">
      <c r="A33" s="1163">
        <v>5</v>
      </c>
      <c r="B33" s="1196">
        <f>жеребьевка!G12</f>
        <v>68</v>
      </c>
      <c r="C33" s="456" t="str">
        <f>IF(B33="","",VLOOKUP(B33,'Списки участников'!A:I,3,FALSE))</f>
        <v>МАКАРОВ Никита</v>
      </c>
      <c r="D33" s="1171">
        <f>IF(P25="","",IF(P26="W",0,IF(P25=2,1,IF(P25=1,2,IF(P25=0,2)))))</f>
        <v>1</v>
      </c>
      <c r="E33" s="1172"/>
      <c r="F33" s="1173"/>
      <c r="G33" s="1171">
        <f>IF(P27="","",IF(P28="W",0,IF(P27=2,1,IF(P27=1,2,IF(P27=0,2)))))</f>
        <v>1</v>
      </c>
      <c r="H33" s="1172"/>
      <c r="I33" s="1173"/>
      <c r="J33" s="1171">
        <f>IF(P29="","",IF(P30="W",0,IF(P29=2,1,IF(P29=1,2,IF(P29=0,2)))))</f>
        <v>1</v>
      </c>
      <c r="K33" s="1172"/>
      <c r="L33" s="1173"/>
      <c r="M33" s="1171">
        <f>IF(P31="","",IF(P32="W",0,IF(P31=2,1,IF(P31=1,2,IF(P31=0,2)))))</f>
        <v>1</v>
      </c>
      <c r="N33" s="1172"/>
      <c r="O33" s="1173"/>
      <c r="P33" s="1180"/>
      <c r="Q33" s="1181"/>
      <c r="R33" s="1182"/>
      <c r="S33" s="1171">
        <v>1</v>
      </c>
      <c r="T33" s="1172"/>
      <c r="U33" s="1173"/>
      <c r="V33" s="1171">
        <v>2</v>
      </c>
      <c r="W33" s="1172"/>
      <c r="X33" s="1173"/>
      <c r="Y33" s="1171"/>
      <c r="Z33" s="1172"/>
      <c r="AA33" s="1173"/>
      <c r="AB33" s="1171"/>
      <c r="AC33" s="1172"/>
      <c r="AD33" s="1173"/>
      <c r="AE33" s="1184">
        <f>IF(B33="","",SUM(G33,J33,M33,D33,S33,V33,Y33,AB33,))</f>
        <v>7</v>
      </c>
      <c r="AF33" s="1185"/>
      <c r="AG33" s="1188"/>
      <c r="AH33" s="1174">
        <f>IF(B33="","",RANK(AE33,ГР2О))</f>
        <v>6</v>
      </c>
    </row>
    <row r="34" spans="1:34" ht="12" customHeight="1" x14ac:dyDescent="0.2">
      <c r="A34" s="1164"/>
      <c r="B34" s="1197"/>
      <c r="C34" s="457" t="str">
        <f>IF(B33="","",VLOOKUP(B33,'Списки участников'!A:I,6,FALSE))</f>
        <v>Москва</v>
      </c>
      <c r="D34" s="464">
        <f>IF(P26="","",IF(R26="l","W",R26))</f>
        <v>0</v>
      </c>
      <c r="E34" s="459" t="str">
        <f>IF(Q26="","",":")</f>
        <v>:</v>
      </c>
      <c r="F34" s="465">
        <f>IF(R26="","",IF(P26="W","L",P26))</f>
        <v>2</v>
      </c>
      <c r="G34" s="464">
        <f>IF(P28="","",IF(R28="l","W",R28))</f>
        <v>0</v>
      </c>
      <c r="H34" s="459" t="str">
        <f>IF(Q28="","",":")</f>
        <v>:</v>
      </c>
      <c r="I34" s="465">
        <f>IF(R28="","",IF(P28="W","L",P28))</f>
        <v>2</v>
      </c>
      <c r="J34" s="464">
        <f>IF(P30="","",IF(R30="l","W",R30))</f>
        <v>0</v>
      </c>
      <c r="K34" s="459" t="str">
        <f>IF(Q30="","",":")</f>
        <v>:</v>
      </c>
      <c r="L34" s="465">
        <f>IF(R30="","",IF(P30="W","L",P30))</f>
        <v>2</v>
      </c>
      <c r="M34" s="464">
        <f>IF(P32="","",IF(R32="l","W",R32))</f>
        <v>0</v>
      </c>
      <c r="N34" s="459" t="str">
        <f>IF(Q32="","",":")</f>
        <v>:</v>
      </c>
      <c r="O34" s="465">
        <f>IF(R32="","",IF(P32="W","L",P32))</f>
        <v>2</v>
      </c>
      <c r="P34" s="1183"/>
      <c r="Q34" s="1169"/>
      <c r="R34" s="1170"/>
      <c r="S34" s="458">
        <v>1</v>
      </c>
      <c r="T34" s="459" t="str">
        <f>IF(S33="","",":")</f>
        <v>:</v>
      </c>
      <c r="U34" s="460">
        <v>2</v>
      </c>
      <c r="V34" s="458">
        <v>2</v>
      </c>
      <c r="W34" s="459" t="str">
        <f>IF(V33="","",":")</f>
        <v>:</v>
      </c>
      <c r="X34" s="460">
        <v>0</v>
      </c>
      <c r="Y34" s="458"/>
      <c r="Z34" s="459" t="str">
        <f>IF(Y33="","",":")</f>
        <v/>
      </c>
      <c r="AA34" s="460"/>
      <c r="AB34" s="458"/>
      <c r="AC34" s="459" t="str">
        <f>IF(AB34="","",":")</f>
        <v/>
      </c>
      <c r="AD34" s="460"/>
      <c r="AE34" s="1186"/>
      <c r="AF34" s="1187"/>
      <c r="AG34" s="1189"/>
      <c r="AH34" s="1174"/>
    </row>
    <row r="35" spans="1:34" ht="12" customHeight="1" x14ac:dyDescent="0.2">
      <c r="A35" s="1163">
        <v>6</v>
      </c>
      <c r="B35" s="1196">
        <f>жеребьевка!G14</f>
        <v>98</v>
      </c>
      <c r="C35" s="456" t="str">
        <f>IF(B35="","",VLOOKUP(B35,'Списки участников'!A:I,3,FALSE))</f>
        <v>ЧИКИН Александр</v>
      </c>
      <c r="D35" s="1171">
        <f>IF(S25="","",IF(S26="W",0,IF(S25=2,1,IF(S25=1,2,IF(S25=0,2)))))</f>
        <v>1</v>
      </c>
      <c r="E35" s="1172"/>
      <c r="F35" s="1173"/>
      <c r="G35" s="1171">
        <f>IF(S27="","",IF(S28="W",0,IF(S27=2,1,IF(S27=1,2,IF(S27=0,2)))))</f>
        <v>1</v>
      </c>
      <c r="H35" s="1172"/>
      <c r="I35" s="1173"/>
      <c r="J35" s="1171">
        <f>IF(S29="","",IF(S30="W",0,IF(S29=2,1,IF(S29=1,2,IF(S29=0,2)))))</f>
        <v>1</v>
      </c>
      <c r="K35" s="1172"/>
      <c r="L35" s="1173"/>
      <c r="M35" s="1171">
        <f>IF(S31="","",IF(S32="W",0,IF(S31=2,1,IF(S31=1,2,IF(S31=0,2)))))</f>
        <v>2</v>
      </c>
      <c r="N35" s="1172"/>
      <c r="O35" s="1173"/>
      <c r="P35" s="1171">
        <f>IF(S33="","",IF(S34="W",0,IF(S33=2,1,IF(S33=1,2,IF(S33=0,2)))))</f>
        <v>2</v>
      </c>
      <c r="Q35" s="1172"/>
      <c r="R35" s="1173"/>
      <c r="S35" s="1180"/>
      <c r="T35" s="1181"/>
      <c r="U35" s="1182"/>
      <c r="V35" s="1171">
        <v>2</v>
      </c>
      <c r="W35" s="1172"/>
      <c r="X35" s="1173"/>
      <c r="Y35" s="1171"/>
      <c r="Z35" s="1172"/>
      <c r="AA35" s="1173"/>
      <c r="AB35" s="1171"/>
      <c r="AC35" s="1172"/>
      <c r="AD35" s="1173"/>
      <c r="AE35" s="1184">
        <f>IF(B35="","",SUM(G35,J35,M35,P35,D35,V35,Y35,AB35,))</f>
        <v>9</v>
      </c>
      <c r="AF35" s="1185"/>
      <c r="AG35" s="1188"/>
      <c r="AH35" s="1174">
        <f>IF(B35="","",RANK(AE35,ГР2О))</f>
        <v>4</v>
      </c>
    </row>
    <row r="36" spans="1:34" ht="12" customHeight="1" x14ac:dyDescent="0.2">
      <c r="A36" s="1164"/>
      <c r="B36" s="1197"/>
      <c r="C36" s="457" t="str">
        <f>IF(B35="","",VLOOKUP(B35,'Списки участников'!A:I,6,FALSE))</f>
        <v>Москва</v>
      </c>
      <c r="D36" s="464">
        <f>IF(S26="","",IF(U26="l","W",U26))</f>
        <v>0</v>
      </c>
      <c r="E36" s="459" t="str">
        <f>IF(T26="","",":")</f>
        <v>:</v>
      </c>
      <c r="F36" s="465">
        <f>IF(U26="","",IF(S26="W","L",S26))</f>
        <v>2</v>
      </c>
      <c r="G36" s="464">
        <f>IF(S28="","",IF(U28="l","W",U28))</f>
        <v>0</v>
      </c>
      <c r="H36" s="459" t="str">
        <f>IF(T28="","",":")</f>
        <v>:</v>
      </c>
      <c r="I36" s="465">
        <f>IF(U28="","",IF(S28="W","L",S28))</f>
        <v>2</v>
      </c>
      <c r="J36" s="464">
        <f>IF(S30="","",IF(U30="l","W",U30))</f>
        <v>0</v>
      </c>
      <c r="K36" s="459" t="str">
        <f>IF(T30="","",":")</f>
        <v>:</v>
      </c>
      <c r="L36" s="465">
        <f>IF(U30="","",IF(S30="W","L",S30))</f>
        <v>2</v>
      </c>
      <c r="M36" s="464">
        <f>IF(S32="","",IF(U32="l","W",U32))</f>
        <v>2</v>
      </c>
      <c r="N36" s="459" t="str">
        <f>IF(T32="","",":")</f>
        <v>:</v>
      </c>
      <c r="O36" s="465">
        <f>IF(U32="","",IF(S32="W","L",S32))</f>
        <v>0</v>
      </c>
      <c r="P36" s="464">
        <f>IF(S34="","",IF(U34="l","W",U34))</f>
        <v>2</v>
      </c>
      <c r="Q36" s="459" t="str">
        <f>IF(T34="","",":")</f>
        <v>:</v>
      </c>
      <c r="R36" s="465">
        <f>IF(U34="","",IF(S34="W","L",S34))</f>
        <v>1</v>
      </c>
      <c r="S36" s="1183"/>
      <c r="T36" s="1169"/>
      <c r="U36" s="1170"/>
      <c r="V36" s="458">
        <v>2</v>
      </c>
      <c r="W36" s="459" t="str">
        <f>IF(V35="","",":")</f>
        <v>:</v>
      </c>
      <c r="X36" s="460">
        <v>0</v>
      </c>
      <c r="Y36" s="458"/>
      <c r="Z36" s="459" t="str">
        <f>IF(Y35="","",":")</f>
        <v/>
      </c>
      <c r="AA36" s="460"/>
      <c r="AB36" s="458"/>
      <c r="AC36" s="459" t="str">
        <f>IF(AB35="","",":")</f>
        <v/>
      </c>
      <c r="AD36" s="460"/>
      <c r="AE36" s="1186"/>
      <c r="AF36" s="1187"/>
      <c r="AG36" s="1189"/>
      <c r="AH36" s="1174"/>
    </row>
    <row r="37" spans="1:34" ht="12" customHeight="1" x14ac:dyDescent="0.2">
      <c r="A37" s="1163">
        <v>7</v>
      </c>
      <c r="B37" s="1196">
        <f>жеребьевка!G16</f>
        <v>102</v>
      </c>
      <c r="C37" s="456" t="str">
        <f>IF(B37="","",VLOOKUP(B37,'Списки участников'!A:I,3,FALSE))</f>
        <v>КРАСНОЖОН Михаил</v>
      </c>
      <c r="D37" s="1171">
        <f>IF(V25="","",IF(V26="W",0,IF(V25=2,1,IF(V25=1,2,IF(V25=0,2)))))</f>
        <v>1</v>
      </c>
      <c r="E37" s="1172"/>
      <c r="F37" s="1173"/>
      <c r="G37" s="1171">
        <f>IF(V27="","",IF(V28="W",0,IF(V27=2,1,IF(V27=1,2,IF(V27=0,2)))))</f>
        <v>1</v>
      </c>
      <c r="H37" s="1172"/>
      <c r="I37" s="1173"/>
      <c r="J37" s="1171">
        <f>IF(V29="","",IF(V30="W",0,IF(V29=2,1,IF(V29=1,2,IF(V29=0,2)))))</f>
        <v>1</v>
      </c>
      <c r="K37" s="1172"/>
      <c r="L37" s="1173"/>
      <c r="M37" s="1171">
        <f>IF(V31="","",IF(V32="W",0,IF(V31=2,1,IF(V31=1,2,IF(V31=0,2)))))</f>
        <v>1</v>
      </c>
      <c r="N37" s="1172"/>
      <c r="O37" s="1173"/>
      <c r="P37" s="1171">
        <f>IF(V33="","",IF(V34="W",0,IF(V33=2,1,IF(V33=1,2,IF(V33=0,2)))))</f>
        <v>1</v>
      </c>
      <c r="Q37" s="1172"/>
      <c r="R37" s="1173"/>
      <c r="S37" s="1171">
        <f>IF(V35="","",IF(V36="W",0,IF(V35=2,1,IF(V35=1,2,IF(V35=0,2)))))</f>
        <v>1</v>
      </c>
      <c r="T37" s="1172"/>
      <c r="U37" s="1173"/>
      <c r="V37" s="1191"/>
      <c r="W37" s="1167"/>
      <c r="X37" s="1168"/>
      <c r="Y37" s="1171"/>
      <c r="Z37" s="1172"/>
      <c r="AA37" s="1173"/>
      <c r="AB37" s="1171"/>
      <c r="AC37" s="1172"/>
      <c r="AD37" s="1173"/>
      <c r="AE37" s="1184">
        <f>IF(B37="","",SUM(G37,J37,M37,P37,S37,D37,Y37,AB37,))</f>
        <v>6</v>
      </c>
      <c r="AF37" s="1185"/>
      <c r="AG37" s="1188"/>
      <c r="AH37" s="1174">
        <f>IF(B37="","",RANK(AE37,ГР2О))</f>
        <v>7</v>
      </c>
    </row>
    <row r="38" spans="1:34" ht="12" customHeight="1" x14ac:dyDescent="0.2">
      <c r="A38" s="1164"/>
      <c r="B38" s="1197"/>
      <c r="C38" s="457" t="str">
        <f>IF(B37="","",VLOOKUP(B37,'Списки участников'!A:I,6,FALSE))</f>
        <v>Домодедово  М.о.</v>
      </c>
      <c r="D38" s="464">
        <f>IF(V26="","",IF(X26="l","W",X26))</f>
        <v>0</v>
      </c>
      <c r="E38" s="459" t="str">
        <f>IF(W26="","",":")</f>
        <v>:</v>
      </c>
      <c r="F38" s="465">
        <f>IF(X26="","",IF(V26="W","L",V26))</f>
        <v>2</v>
      </c>
      <c r="G38" s="464">
        <f>IF(V28="","",IF(X28="l","W",X28))</f>
        <v>0</v>
      </c>
      <c r="H38" s="459" t="str">
        <f>IF(W28="","",":")</f>
        <v>:</v>
      </c>
      <c r="I38" s="465">
        <f>IF(X28="","",IF(V28="W","L",V28))</f>
        <v>2</v>
      </c>
      <c r="J38" s="464">
        <f>IF(V30="","",IF(X30="l","W",X30))</f>
        <v>0</v>
      </c>
      <c r="K38" s="459" t="str">
        <f>IF(W30="","",":")</f>
        <v>:</v>
      </c>
      <c r="L38" s="465">
        <f>IF(X30="","",IF(V30="W","L",V30))</f>
        <v>2</v>
      </c>
      <c r="M38" s="464">
        <f>IF(V32="","",IF(X32="l","W",X32))</f>
        <v>0</v>
      </c>
      <c r="N38" s="459" t="str">
        <f>IF(W32="","",":")</f>
        <v>:</v>
      </c>
      <c r="O38" s="465">
        <f>IF(X32="","",IF(V32="W","L",V32))</f>
        <v>2</v>
      </c>
      <c r="P38" s="464">
        <f>IF(V34="","",IF(X34="l","W",X34))</f>
        <v>0</v>
      </c>
      <c r="Q38" s="459" t="str">
        <f>IF(W34="","",":")</f>
        <v>:</v>
      </c>
      <c r="R38" s="465">
        <f>IF(X34="","",IF(V34="W","L",V34))</f>
        <v>2</v>
      </c>
      <c r="S38" s="464">
        <f>IF(V36="","",IF(X36="l","W",X36))</f>
        <v>0</v>
      </c>
      <c r="T38" s="459" t="str">
        <f>IF(W36="","",":")</f>
        <v>:</v>
      </c>
      <c r="U38" s="465">
        <f>IF(X36="","",IF(V36="W","L",V36))</f>
        <v>2</v>
      </c>
      <c r="V38" s="1183"/>
      <c r="W38" s="1169"/>
      <c r="X38" s="1170"/>
      <c r="Y38" s="458"/>
      <c r="Z38" s="459" t="str">
        <f>IF(Y37="","",":")</f>
        <v/>
      </c>
      <c r="AA38" s="460"/>
      <c r="AB38" s="458"/>
      <c r="AC38" s="459" t="str">
        <f>IF(AB37="","",":")</f>
        <v/>
      </c>
      <c r="AD38" s="460"/>
      <c r="AE38" s="1186"/>
      <c r="AF38" s="1187"/>
      <c r="AG38" s="1189"/>
      <c r="AH38" s="1174"/>
    </row>
    <row r="39" spans="1:34" ht="12" customHeight="1" x14ac:dyDescent="0.2">
      <c r="A39" s="1163">
        <v>8</v>
      </c>
      <c r="B39" s="1196"/>
      <c r="C39" s="456" t="str">
        <f>IF(B39="","",VLOOKUP(B39,'Списки участников'!A:I,3,FALSE))</f>
        <v/>
      </c>
      <c r="D39" s="1171" t="str">
        <f>IF(Y25="","",IF(Y26="W",0,IF(Y25=2,1,IF(Y25=1,2,IF(Y25=0,2)))))</f>
        <v/>
      </c>
      <c r="E39" s="1172"/>
      <c r="F39" s="1173"/>
      <c r="G39" s="1171" t="str">
        <f>IF(Y27="","",IF(Y28="W",0,IF(Y27=2,1,IF(Y27=1,2,IF(Y27=0,2)))))</f>
        <v/>
      </c>
      <c r="H39" s="1172"/>
      <c r="I39" s="1173"/>
      <c r="J39" s="1171" t="str">
        <f>IF(Y29="","",IF(Y30="W",0,IF(Y29=2,1,IF(Y29=1,2,IF(Y29=0,2)))))</f>
        <v/>
      </c>
      <c r="K39" s="1172"/>
      <c r="L39" s="1173"/>
      <c r="M39" s="1171" t="str">
        <f>IF(Y31="","",IF(Y32="W",0,IF(Y31=2,1,IF(Y31=1,2,IF(Y31=0,2)))))</f>
        <v/>
      </c>
      <c r="N39" s="1172"/>
      <c r="O39" s="1173"/>
      <c r="P39" s="1171" t="str">
        <f>IF(Y33="","",IF(Y34="W",0,IF(Y33=2,1,IF(Y33=1,2,IF(Y33=0,2)))))</f>
        <v/>
      </c>
      <c r="Q39" s="1172"/>
      <c r="R39" s="1173"/>
      <c r="S39" s="1171" t="str">
        <f>IF(Y35="","",IF(Y36="W",0,IF(Y35=2,1,IF(Y35=1,2,IF(Y35=0,2)))))</f>
        <v/>
      </c>
      <c r="T39" s="1172"/>
      <c r="U39" s="1173"/>
      <c r="V39" s="1171" t="str">
        <f>IF(Y37="","",IF(Y38="W",0,IF(Y37=2,1,IF(Y37=1,2,IF(Y37=0,2)))))</f>
        <v/>
      </c>
      <c r="W39" s="1172"/>
      <c r="X39" s="1173"/>
      <c r="Y39" s="1180"/>
      <c r="Z39" s="1181"/>
      <c r="AA39" s="1182"/>
      <c r="AB39" s="1171"/>
      <c r="AC39" s="1172"/>
      <c r="AD39" s="1173"/>
      <c r="AE39" s="1184" t="str">
        <f>IF(B39="","",SUM(G39,J39,M39,P39,S39,V39,D39,AB39,))</f>
        <v/>
      </c>
      <c r="AF39" s="1185"/>
      <c r="AG39" s="1188"/>
      <c r="AH39" s="1174" t="str">
        <f>IF(B39="","",RANK(AE39,ГР2О))</f>
        <v/>
      </c>
    </row>
    <row r="40" spans="1:34" ht="12" customHeight="1" x14ac:dyDescent="0.2">
      <c r="A40" s="1164"/>
      <c r="B40" s="1197"/>
      <c r="C40" s="457" t="str">
        <f>IF(B39="","",VLOOKUP(B39,'Списки участников'!A:I,6,FALSE))</f>
        <v/>
      </c>
      <c r="D40" s="464" t="str">
        <f>IF(Y26="","",IF(AA26="l","W",AA26))</f>
        <v/>
      </c>
      <c r="E40" s="459" t="str">
        <f>IF(Z26="","",":")</f>
        <v/>
      </c>
      <c r="F40" s="465" t="str">
        <f>IF(AA26="","",IF(Y26="W","L",Y26))</f>
        <v/>
      </c>
      <c r="G40" s="464" t="str">
        <f>IF(Y28="","",IF(AA28="l","W",AA28))</f>
        <v/>
      </c>
      <c r="H40" s="459" t="str">
        <f>IF(Z28="","",":")</f>
        <v/>
      </c>
      <c r="I40" s="465" t="str">
        <f>IF(AA28="","",IF(Y28="W","L",Y28))</f>
        <v/>
      </c>
      <c r="J40" s="464" t="str">
        <f>IF(Y30="","",IF(AA30="l","W",AA30))</f>
        <v/>
      </c>
      <c r="K40" s="459" t="str">
        <f>IF(Z30="","",":")</f>
        <v/>
      </c>
      <c r="L40" s="465" t="str">
        <f>IF(AA30="","",IF(Y30="W","L",Y30))</f>
        <v/>
      </c>
      <c r="M40" s="464" t="str">
        <f>IF(Y32="","",IF(AA32="l","W",AA32))</f>
        <v/>
      </c>
      <c r="N40" s="459" t="str">
        <f>IF(Z32="","",":")</f>
        <v/>
      </c>
      <c r="O40" s="465" t="str">
        <f>IF(AA32="","",IF(Y32="W","L",Y32))</f>
        <v/>
      </c>
      <c r="P40" s="464" t="str">
        <f>IF(Y34="","",IF(AA34="l","W",AA34))</f>
        <v/>
      </c>
      <c r="Q40" s="459" t="str">
        <f>IF(Z34="","",":")</f>
        <v/>
      </c>
      <c r="R40" s="465" t="str">
        <f>IF(AA34="","",IF(Y34="W","L",Y34))</f>
        <v/>
      </c>
      <c r="S40" s="464" t="str">
        <f>IF(Y36="","",IF(AA36="l","W",AA36))</f>
        <v/>
      </c>
      <c r="T40" s="459" t="str">
        <f>IF(Z36="","",":")</f>
        <v/>
      </c>
      <c r="U40" s="465" t="str">
        <f>IF(AA36="","",IF(Y36="W","L",Y36))</f>
        <v/>
      </c>
      <c r="V40" s="464" t="str">
        <f>IF(Y38="","",IF(AA38="l","W",AA38))</f>
        <v/>
      </c>
      <c r="W40" s="459" t="str">
        <f>IF(Z38="","",":")</f>
        <v/>
      </c>
      <c r="X40" s="465" t="str">
        <f>IF(AA38="","",IF(Y38="W","L",Y38))</f>
        <v/>
      </c>
      <c r="Y40" s="1183"/>
      <c r="Z40" s="1169"/>
      <c r="AA40" s="1170"/>
      <c r="AB40" s="458"/>
      <c r="AC40" s="459" t="str">
        <f>IF(AB39="","",":")</f>
        <v/>
      </c>
      <c r="AD40" s="460"/>
      <c r="AE40" s="1186"/>
      <c r="AF40" s="1187"/>
      <c r="AG40" s="1189"/>
      <c r="AH40" s="1174"/>
    </row>
    <row r="41" spans="1:34" ht="12" hidden="1" customHeight="1" outlineLevel="1" x14ac:dyDescent="0.2">
      <c r="A41" s="1163">
        <v>9</v>
      </c>
      <c r="B41" s="1165">
        <f>жеребьевка!G20</f>
        <v>0</v>
      </c>
      <c r="C41" s="456" t="e">
        <f>IF(B41="","",VLOOKUP(B41,'Списки участников'!A:I,3,FALSE))</f>
        <v>#N/A</v>
      </c>
      <c r="D41" s="1171" t="str">
        <f>IF(AB25="","",IF(AB26="W",0,IF(AB25=2,1,IF(AB25=1,2,IF(AB25=0,2)))))</f>
        <v/>
      </c>
      <c r="E41" s="1172"/>
      <c r="F41" s="1173"/>
      <c r="G41" s="1171" t="str">
        <f>IF(AB27="","",IF(AB28="W",0,IF(AB27=2,1,IF(AB27=1,2,IF(AB27=0,2)))))</f>
        <v/>
      </c>
      <c r="H41" s="1172"/>
      <c r="I41" s="1173"/>
      <c r="J41" s="1171" t="str">
        <f>IF(AB29="","",IF(AB30="W",0,IF(AB29=2,1,IF(AB29=1,2,IF(AB29=0,2)))))</f>
        <v/>
      </c>
      <c r="K41" s="1172"/>
      <c r="L41" s="1173"/>
      <c r="M41" s="1171" t="str">
        <f>IF(AB31="","",IF(AB32="W",0,IF(AB31=2,1,IF(AB31=1,2,IF(AB31=0,2)))))</f>
        <v/>
      </c>
      <c r="N41" s="1172"/>
      <c r="O41" s="1173"/>
      <c r="P41" s="1171" t="str">
        <f>IF(AB33="","",IF(AB34="W",0,IF(AB33=2,1,IF(AB33=1,2,IF(AB33=0,2)))))</f>
        <v/>
      </c>
      <c r="Q41" s="1172"/>
      <c r="R41" s="1173"/>
      <c r="S41" s="1171" t="str">
        <f>IF(AB35="","",IF(AB36="W",0,IF(AB35=2,1,IF(AB35=1,2,IF(AB35=0,2)))))</f>
        <v/>
      </c>
      <c r="T41" s="1172"/>
      <c r="U41" s="1173"/>
      <c r="V41" s="1171" t="str">
        <f>IF(AB37="","",IF(AB38="W",0,IF(AB37=2,1,IF(AB37=1,2,IF(AB37=0,2)))))</f>
        <v/>
      </c>
      <c r="W41" s="1172"/>
      <c r="X41" s="1173"/>
      <c r="Y41" s="1171" t="str">
        <f>IF(AB39="","",IF(AB40="W",0,IF(AB39=2,1,IF(AB39=1,2,IF(AB39=0,2)))))</f>
        <v/>
      </c>
      <c r="Z41" s="1172"/>
      <c r="AA41" s="1173"/>
      <c r="AB41" s="1191"/>
      <c r="AC41" s="1167"/>
      <c r="AD41" s="1168"/>
      <c r="AE41" s="1184">
        <f>IF(B41="","",SUM(G41,J41,M41,P41,S41,V41,Y41,D41,))</f>
        <v>0</v>
      </c>
      <c r="AF41" s="1185"/>
      <c r="AG41" s="1188"/>
      <c r="AH41" s="1174">
        <f>IF(B41="","",RANK(AE41,ГР2О))</f>
        <v>8</v>
      </c>
    </row>
    <row r="42" spans="1:34" ht="12" hidden="1" customHeight="1" outlineLevel="1" x14ac:dyDescent="0.2">
      <c r="A42" s="1164"/>
      <c r="B42" s="1166"/>
      <c r="C42" s="457" t="e">
        <f>IF(B41="","",VLOOKUP(B41,'Списки участников'!A:I,6,FALSE))</f>
        <v>#N/A</v>
      </c>
      <c r="D42" s="464" t="str">
        <f>IF(AB26="","",IF(AD26="l","W",AD26))</f>
        <v/>
      </c>
      <c r="E42" s="459" t="str">
        <f>IF(AC26="","",":")</f>
        <v/>
      </c>
      <c r="F42" s="465" t="str">
        <f>IF(AD26="","",IF(AB26="W","L",AB26))</f>
        <v/>
      </c>
      <c r="G42" s="464" t="str">
        <f>IF(AB28="","",IF(AD28="l","W",AD28))</f>
        <v/>
      </c>
      <c r="H42" s="459" t="str">
        <f>IF(AC28="","",":")</f>
        <v/>
      </c>
      <c r="I42" s="465" t="str">
        <f>IF(AD28="","",IF(AB28="W","L",AB28))</f>
        <v/>
      </c>
      <c r="J42" s="464" t="str">
        <f>IF(AB30="","",IF(AD30="l","W",AD30))</f>
        <v/>
      </c>
      <c r="K42" s="459" t="str">
        <f>IF(AC30="","",":")</f>
        <v/>
      </c>
      <c r="L42" s="465" t="str">
        <f>IF(AD30="","",IF(AB30="W","L",AB30))</f>
        <v/>
      </c>
      <c r="M42" s="464" t="str">
        <f>IF(AB32="","",IF(AD32="l","W",AD32))</f>
        <v/>
      </c>
      <c r="N42" s="459" t="str">
        <f>IF(AC32="","",":")</f>
        <v/>
      </c>
      <c r="O42" s="465" t="str">
        <f>IF(AD32="","",IF(AB32="W","L",AB32))</f>
        <v/>
      </c>
      <c r="P42" s="464" t="str">
        <f>IF(AB34="","",IF(AD34="l","W",AD34))</f>
        <v/>
      </c>
      <c r="Q42" s="459" t="str">
        <f>IF(AC34="","",":")</f>
        <v/>
      </c>
      <c r="R42" s="465" t="str">
        <f>IF(AD34="","",IF(AB34="W","L",AB34))</f>
        <v/>
      </c>
      <c r="S42" s="464" t="str">
        <f>IF(AB36="","",IF(AD36="l","W",AD36))</f>
        <v/>
      </c>
      <c r="T42" s="459" t="str">
        <f>IF(AC36="","",":")</f>
        <v/>
      </c>
      <c r="U42" s="465" t="str">
        <f>IF(AD36="","",IF(AB36="W","L",AB36))</f>
        <v/>
      </c>
      <c r="V42" s="464" t="str">
        <f>IF(AB38="","",IF(AD38="l","W",AD38))</f>
        <v/>
      </c>
      <c r="W42" s="459" t="str">
        <f>IF(AC38="","",":")</f>
        <v/>
      </c>
      <c r="X42" s="465" t="str">
        <f>IF(AD38="","",IF(AB38="W","L",AB38))</f>
        <v/>
      </c>
      <c r="Y42" s="464" t="str">
        <f>IF(AB40="","",IF(AD40="l","W",AD40))</f>
        <v/>
      </c>
      <c r="Z42" s="459" t="str">
        <f>IF(AC40="","",":")</f>
        <v/>
      </c>
      <c r="AA42" s="465" t="str">
        <f>IF(AD40="","",IF(AB40="W","L",AB40))</f>
        <v/>
      </c>
      <c r="AB42" s="1183"/>
      <c r="AC42" s="1169"/>
      <c r="AD42" s="1170"/>
      <c r="AE42" s="1186"/>
      <c r="AF42" s="1187"/>
      <c r="AG42" s="1189"/>
      <c r="AH42" s="1174"/>
    </row>
    <row r="43" spans="1:34" ht="12" customHeight="1" collapsed="1" x14ac:dyDescent="0.25">
      <c r="A43" s="135"/>
      <c r="B43" s="135"/>
      <c r="C43" s="954" t="s">
        <v>765</v>
      </c>
      <c r="D43" s="135"/>
      <c r="E43" s="135"/>
      <c r="F43" s="135"/>
      <c r="G43" s="1192" t="s">
        <v>992</v>
      </c>
      <c r="H43" s="1192"/>
      <c r="I43" s="1192"/>
      <c r="J43" s="1192"/>
      <c r="K43" s="1192"/>
      <c r="L43" s="1192"/>
      <c r="M43" s="1192"/>
      <c r="N43" s="1192"/>
      <c r="O43" s="1192"/>
      <c r="P43" s="1192"/>
      <c r="Q43" s="1192"/>
      <c r="R43" s="1192"/>
      <c r="S43" s="1192"/>
      <c r="T43" s="1192"/>
      <c r="U43" s="1192"/>
      <c r="V43" s="1192"/>
      <c r="W43" s="1192"/>
      <c r="X43" s="1192"/>
      <c r="Y43" s="1192"/>
      <c r="Z43" s="1192"/>
      <c r="AA43" s="1192"/>
      <c r="AB43" s="135"/>
      <c r="AC43" s="135"/>
      <c r="AD43" s="135"/>
      <c r="AE43" s="135"/>
      <c r="AF43" s="135"/>
      <c r="AG43" s="135"/>
      <c r="AH43" s="135"/>
    </row>
    <row r="44" spans="1:34" ht="12" customHeight="1" x14ac:dyDescent="0.2">
      <c r="A44" s="136" t="s">
        <v>3</v>
      </c>
      <c r="B44" s="137"/>
      <c r="C44" s="138" t="s">
        <v>788</v>
      </c>
      <c r="D44" s="1158">
        <v>1</v>
      </c>
      <c r="E44" s="1159"/>
      <c r="F44" s="1160"/>
      <c r="G44" s="1158">
        <v>2</v>
      </c>
      <c r="H44" s="1159"/>
      <c r="I44" s="1160"/>
      <c r="J44" s="1158">
        <v>3</v>
      </c>
      <c r="K44" s="1159"/>
      <c r="L44" s="1160"/>
      <c r="M44" s="1158">
        <v>4</v>
      </c>
      <c r="N44" s="1159"/>
      <c r="O44" s="1160"/>
      <c r="P44" s="1158">
        <v>5</v>
      </c>
      <c r="Q44" s="1159"/>
      <c r="R44" s="1160"/>
      <c r="S44" s="1158">
        <v>6</v>
      </c>
      <c r="T44" s="1159"/>
      <c r="U44" s="1160"/>
      <c r="V44" s="1158">
        <v>7</v>
      </c>
      <c r="W44" s="1159"/>
      <c r="X44" s="1160"/>
      <c r="Y44" s="1158">
        <v>8</v>
      </c>
      <c r="Z44" s="1159"/>
      <c r="AA44" s="1160"/>
      <c r="AB44" s="1158">
        <v>9</v>
      </c>
      <c r="AC44" s="1159"/>
      <c r="AD44" s="1160"/>
      <c r="AE44" s="1161" t="s">
        <v>789</v>
      </c>
      <c r="AF44" s="1162"/>
      <c r="AG44" s="454" t="s">
        <v>790</v>
      </c>
      <c r="AH44" s="455" t="s">
        <v>100</v>
      </c>
    </row>
    <row r="45" spans="1:34" ht="12" customHeight="1" x14ac:dyDescent="0.2">
      <c r="A45" s="1163">
        <v>1</v>
      </c>
      <c r="B45" s="1193">
        <f>жеребьевка!L4</f>
        <v>3</v>
      </c>
      <c r="C45" s="456" t="str">
        <f>IF(B45="","",VLOOKUP(B45,'Списки участников'!A:I,3,FALSE))</f>
        <v>РАМС Сергей</v>
      </c>
      <c r="D45" s="1167"/>
      <c r="E45" s="1167"/>
      <c r="F45" s="1168"/>
      <c r="G45" s="1171">
        <v>2</v>
      </c>
      <c r="H45" s="1172"/>
      <c r="I45" s="1173"/>
      <c r="J45" s="1171">
        <v>2</v>
      </c>
      <c r="K45" s="1172"/>
      <c r="L45" s="1173"/>
      <c r="M45" s="1171">
        <v>2</v>
      </c>
      <c r="N45" s="1172"/>
      <c r="O45" s="1173"/>
      <c r="P45" s="1171">
        <v>2</v>
      </c>
      <c r="Q45" s="1172"/>
      <c r="R45" s="1173"/>
      <c r="S45" s="1171">
        <v>2</v>
      </c>
      <c r="T45" s="1172"/>
      <c r="U45" s="1173"/>
      <c r="V45" s="1171">
        <v>2</v>
      </c>
      <c r="W45" s="1172"/>
      <c r="X45" s="1173"/>
      <c r="Y45" s="1171"/>
      <c r="Z45" s="1172"/>
      <c r="AA45" s="1173"/>
      <c r="AB45" s="1171"/>
      <c r="AC45" s="1172"/>
      <c r="AD45" s="1173"/>
      <c r="AE45" s="1184">
        <v>10</v>
      </c>
      <c r="AF45" s="1185"/>
      <c r="AG45" s="1175"/>
      <c r="AH45" s="1174">
        <f>IF(B45="","",RANK(AE45,ГР3О))</f>
        <v>1</v>
      </c>
    </row>
    <row r="46" spans="1:34" ht="12" customHeight="1" x14ac:dyDescent="0.2">
      <c r="A46" s="1164"/>
      <c r="B46" s="1194"/>
      <c r="C46" s="457" t="str">
        <f>IF(B45="","",VLOOKUP(B45,'Списки участников'!A:I,6,FALSE))</f>
        <v>Н.Новгород</v>
      </c>
      <c r="D46" s="1169"/>
      <c r="E46" s="1169"/>
      <c r="F46" s="1170"/>
      <c r="G46" s="458">
        <v>2</v>
      </c>
      <c r="H46" s="459" t="str">
        <f>IF(G45="","",":")</f>
        <v>:</v>
      </c>
      <c r="I46" s="460">
        <v>0</v>
      </c>
      <c r="J46" s="998" t="s">
        <v>12171</v>
      </c>
      <c r="K46" s="459" t="str">
        <f>IF(J45="","",":")</f>
        <v>:</v>
      </c>
      <c r="L46" s="999" t="s">
        <v>12172</v>
      </c>
      <c r="M46" s="458">
        <v>2</v>
      </c>
      <c r="N46" s="459" t="str">
        <f>IF(M46="","",":")</f>
        <v>:</v>
      </c>
      <c r="O46" s="460">
        <v>0</v>
      </c>
      <c r="P46" s="458">
        <v>2</v>
      </c>
      <c r="Q46" s="459" t="str">
        <f>IF(P46="","",":")</f>
        <v>:</v>
      </c>
      <c r="R46" s="460">
        <v>0</v>
      </c>
      <c r="S46" s="458">
        <v>2</v>
      </c>
      <c r="T46" s="459" t="str">
        <f>IF(S46="","",":")</f>
        <v>:</v>
      </c>
      <c r="U46" s="460">
        <v>0</v>
      </c>
      <c r="V46" s="458">
        <v>2</v>
      </c>
      <c r="W46" s="459" t="str">
        <f>IF(V46="","",":")</f>
        <v>:</v>
      </c>
      <c r="X46" s="460">
        <v>0</v>
      </c>
      <c r="Y46" s="458"/>
      <c r="Z46" s="459" t="str">
        <f>IF(Y46="","",":")</f>
        <v/>
      </c>
      <c r="AA46" s="460"/>
      <c r="AB46" s="458"/>
      <c r="AC46" s="459" t="str">
        <f>IF(AB46="","",":")</f>
        <v/>
      </c>
      <c r="AD46" s="460"/>
      <c r="AE46" s="1186"/>
      <c r="AF46" s="1187"/>
      <c r="AG46" s="1176"/>
      <c r="AH46" s="1174"/>
    </row>
    <row r="47" spans="1:34" ht="12" customHeight="1" x14ac:dyDescent="0.2">
      <c r="A47" s="1163">
        <v>2</v>
      </c>
      <c r="B47" s="1193">
        <f>жеребьевка!L6</f>
        <v>32</v>
      </c>
      <c r="C47" s="456" t="str">
        <f>IF(B47="","",VLOOKUP(B47,'Списки участников'!A:I,3,FALSE))</f>
        <v>САТДАРОВ Артем</v>
      </c>
      <c r="D47" s="1177">
        <f>IF(G45="","",IF(G46="W",0,IF(G45=2,1,IF(G45=1,2,IF(G45=0,2)))))</f>
        <v>1</v>
      </c>
      <c r="E47" s="1178"/>
      <c r="F47" s="1179"/>
      <c r="G47" s="1180"/>
      <c r="H47" s="1181"/>
      <c r="I47" s="1182"/>
      <c r="J47" s="1171">
        <v>2</v>
      </c>
      <c r="K47" s="1172"/>
      <c r="L47" s="1173"/>
      <c r="M47" s="1171">
        <v>2</v>
      </c>
      <c r="N47" s="1172"/>
      <c r="O47" s="1173"/>
      <c r="P47" s="1171">
        <v>2</v>
      </c>
      <c r="Q47" s="1172"/>
      <c r="R47" s="1173"/>
      <c r="S47" s="1171">
        <v>2</v>
      </c>
      <c r="T47" s="1172"/>
      <c r="U47" s="1173"/>
      <c r="V47" s="1171">
        <v>2</v>
      </c>
      <c r="W47" s="1172"/>
      <c r="X47" s="1173"/>
      <c r="Y47" s="1171"/>
      <c r="Z47" s="1172"/>
      <c r="AA47" s="1173"/>
      <c r="AB47" s="1171"/>
      <c r="AC47" s="1172"/>
      <c r="AD47" s="1173"/>
      <c r="AE47" s="1184">
        <v>9</v>
      </c>
      <c r="AF47" s="1185"/>
      <c r="AG47" s="1175"/>
      <c r="AH47" s="1174">
        <f>IF(B47="","",RANK(AE47,ГР3О))</f>
        <v>2</v>
      </c>
    </row>
    <row r="48" spans="1:34" ht="12" customHeight="1" x14ac:dyDescent="0.2">
      <c r="A48" s="1164"/>
      <c r="B48" s="1194"/>
      <c r="C48" s="457" t="str">
        <f>IF(B47="","",VLOOKUP(B47,'Списки участников'!A:I,6,FALSE))</f>
        <v>Москва</v>
      </c>
      <c r="D48" s="461">
        <f>IF(G46="","",IF(I46="l","W",I46))</f>
        <v>0</v>
      </c>
      <c r="E48" s="462" t="str">
        <f>IF(G45="","",":")</f>
        <v>:</v>
      </c>
      <c r="F48" s="463">
        <f>IF(I46="","",IF(G46="W","L",G46))</f>
        <v>2</v>
      </c>
      <c r="G48" s="1183"/>
      <c r="H48" s="1169"/>
      <c r="I48" s="1170"/>
      <c r="J48" s="998" t="s">
        <v>12171</v>
      </c>
      <c r="K48" s="459" t="str">
        <f>IF(J47="","",":")</f>
        <v>:</v>
      </c>
      <c r="L48" s="999" t="s">
        <v>12172</v>
      </c>
      <c r="M48" s="458">
        <v>2</v>
      </c>
      <c r="N48" s="459" t="str">
        <f>IF(M47="","",":")</f>
        <v>:</v>
      </c>
      <c r="O48" s="460">
        <v>0</v>
      </c>
      <c r="P48" s="458">
        <v>2</v>
      </c>
      <c r="Q48" s="459" t="str">
        <f>IF(P47="","",":")</f>
        <v>:</v>
      </c>
      <c r="R48" s="460">
        <v>0</v>
      </c>
      <c r="S48" s="458">
        <v>2</v>
      </c>
      <c r="T48" s="459" t="str">
        <f>IF(S48="","",":")</f>
        <v>:</v>
      </c>
      <c r="U48" s="460">
        <v>0</v>
      </c>
      <c r="V48" s="458">
        <v>2</v>
      </c>
      <c r="W48" s="459" t="str">
        <f>IF(V48="","",":")</f>
        <v>:</v>
      </c>
      <c r="X48" s="460">
        <v>0</v>
      </c>
      <c r="Y48" s="458"/>
      <c r="Z48" s="459" t="str">
        <f>IF(Y48="","",":")</f>
        <v/>
      </c>
      <c r="AA48" s="460"/>
      <c r="AB48" s="458"/>
      <c r="AC48" s="459" t="str">
        <f>IF(AB48="","",":")</f>
        <v/>
      </c>
      <c r="AD48" s="460"/>
      <c r="AE48" s="1186"/>
      <c r="AF48" s="1187"/>
      <c r="AG48" s="1176"/>
      <c r="AH48" s="1174"/>
    </row>
    <row r="49" spans="1:34" ht="12" customHeight="1" x14ac:dyDescent="0.2">
      <c r="A49" s="1163">
        <v>3</v>
      </c>
      <c r="B49" s="1193">
        <f>жеребьевка!L8</f>
        <v>37</v>
      </c>
      <c r="C49" s="456" t="str">
        <f>IF(B49="","",VLOOKUP(B49,'Списки участников'!A:I,3,FALSE))</f>
        <v>МАКЕЕВ Александр</v>
      </c>
      <c r="D49" s="1177">
        <f>IF(J45="","",IF(J46="W",0,IF(J45=2,1,IF(J45=1,2,IF(J45=0,2)))))</f>
        <v>0</v>
      </c>
      <c r="E49" s="1178"/>
      <c r="F49" s="1179"/>
      <c r="G49" s="1171">
        <f>IF(J47="","",IF(J48="W",0,IF(J47=2,1,IF(J47=1,2,IF(J47=0,2)))))</f>
        <v>0</v>
      </c>
      <c r="H49" s="1172"/>
      <c r="I49" s="1173"/>
      <c r="J49" s="1180"/>
      <c r="K49" s="1181"/>
      <c r="L49" s="1182"/>
      <c r="M49" s="1171">
        <v>0</v>
      </c>
      <c r="N49" s="1172"/>
      <c r="O49" s="1173"/>
      <c r="P49" s="1171">
        <v>1</v>
      </c>
      <c r="Q49" s="1172"/>
      <c r="R49" s="1173"/>
      <c r="S49" s="1171">
        <v>0</v>
      </c>
      <c r="T49" s="1172"/>
      <c r="U49" s="1173"/>
      <c r="V49" s="1171">
        <v>0</v>
      </c>
      <c r="W49" s="1172"/>
      <c r="X49" s="1173"/>
      <c r="Y49" s="1171"/>
      <c r="Z49" s="1172"/>
      <c r="AA49" s="1173"/>
      <c r="AB49" s="1171"/>
      <c r="AC49" s="1172"/>
      <c r="AD49" s="1173"/>
      <c r="AE49" s="1184">
        <f>IF(B49="","",SUM(G49,D49,M49,P49,S49,V49,Y49,AB49,))</f>
        <v>1</v>
      </c>
      <c r="AF49" s="1185"/>
      <c r="AG49" s="1188"/>
      <c r="AH49" s="1174">
        <f>IF(B49="","",RANK(AE49,ГР3О))</f>
        <v>7</v>
      </c>
    </row>
    <row r="50" spans="1:34" ht="12" customHeight="1" x14ac:dyDescent="0.2">
      <c r="A50" s="1164"/>
      <c r="B50" s="1194"/>
      <c r="C50" s="457" t="str">
        <f>IF(B49="","",VLOOKUP(B49,'Списки участников'!A:I,6,FALSE))</f>
        <v>Москва</v>
      </c>
      <c r="D50" s="464" t="str">
        <f>IF(J46="","",IF(L46="l","W",L46))</f>
        <v>W</v>
      </c>
      <c r="E50" s="459" t="str">
        <f>IF(K46="","",":")</f>
        <v>:</v>
      </c>
      <c r="F50" s="465" t="str">
        <f>IF(L46="","",IF(J46="W","L",J46))</f>
        <v>L</v>
      </c>
      <c r="G50" s="464" t="str">
        <f>IF(J48="","",IF(L48="l","W",L48))</f>
        <v>W</v>
      </c>
      <c r="H50" s="459" t="str">
        <f>IF(K48="","",":")</f>
        <v>:</v>
      </c>
      <c r="I50" s="465" t="str">
        <f>IF(L48="","",IF(J48="W","L",J48))</f>
        <v>L</v>
      </c>
      <c r="J50" s="1183"/>
      <c r="K50" s="1169"/>
      <c r="L50" s="1170"/>
      <c r="M50" s="998" t="s">
        <v>12172</v>
      </c>
      <c r="N50" s="459" t="str">
        <f>IF(M49="","",":")</f>
        <v>:</v>
      </c>
      <c r="O50" s="999" t="s">
        <v>12171</v>
      </c>
      <c r="P50" s="998">
        <v>0</v>
      </c>
      <c r="Q50" s="459" t="str">
        <f>IF(P49="","",":")</f>
        <v>:</v>
      </c>
      <c r="R50" s="999">
        <v>2</v>
      </c>
      <c r="S50" s="998" t="s">
        <v>12172</v>
      </c>
      <c r="T50" s="459" t="str">
        <f>IF(S49="","",":")</f>
        <v>:</v>
      </c>
      <c r="U50" s="999" t="s">
        <v>12171</v>
      </c>
      <c r="V50" s="998" t="s">
        <v>12172</v>
      </c>
      <c r="W50" s="459" t="str">
        <f>IF(V50="","",":")</f>
        <v>:</v>
      </c>
      <c r="X50" s="999" t="s">
        <v>12171</v>
      </c>
      <c r="Y50" s="458"/>
      <c r="Z50" s="459" t="str">
        <f>IF(Y50="","",":")</f>
        <v/>
      </c>
      <c r="AA50" s="460"/>
      <c r="AB50" s="458"/>
      <c r="AC50" s="459" t="str">
        <f>IF(AB50="","",":")</f>
        <v/>
      </c>
      <c r="AD50" s="460"/>
      <c r="AE50" s="1186"/>
      <c r="AF50" s="1187"/>
      <c r="AG50" s="1189"/>
      <c r="AH50" s="1174"/>
    </row>
    <row r="51" spans="1:34" ht="12" customHeight="1" x14ac:dyDescent="0.2">
      <c r="A51" s="1163">
        <v>4</v>
      </c>
      <c r="B51" s="1193">
        <f>жеребьевка!L10</f>
        <v>63</v>
      </c>
      <c r="C51" s="456" t="str">
        <f>IF(B51="","",VLOOKUP(B51,'Списки участников'!A:I,3,FALSE))</f>
        <v>ПОПОВ Павел</v>
      </c>
      <c r="D51" s="1171">
        <f>IF(M45="","",IF(M46="W",0,IF(M45=2,1,IF(M45=1,2,IF(M45=0,2)))))</f>
        <v>1</v>
      </c>
      <c r="E51" s="1172"/>
      <c r="F51" s="1173"/>
      <c r="G51" s="1171">
        <f>IF(M47="","",IF(M48="W",0,IF(M47=2,1,IF(M47=1,2,IF(M47=0,2)))))</f>
        <v>1</v>
      </c>
      <c r="H51" s="1172"/>
      <c r="I51" s="1173"/>
      <c r="J51" s="1171">
        <f>IF(M49="","",IF(M50="W",0,IF(M49=2,1,IF(M49=1,2,IF(M49=0,2)))))</f>
        <v>2</v>
      </c>
      <c r="K51" s="1172"/>
      <c r="L51" s="1173"/>
      <c r="M51" s="1181"/>
      <c r="N51" s="1181"/>
      <c r="O51" s="1181"/>
      <c r="P51" s="1171">
        <v>1</v>
      </c>
      <c r="Q51" s="1172"/>
      <c r="R51" s="1173"/>
      <c r="S51" s="1171">
        <v>2</v>
      </c>
      <c r="T51" s="1172"/>
      <c r="U51" s="1173"/>
      <c r="V51" s="1171">
        <v>2</v>
      </c>
      <c r="W51" s="1172"/>
      <c r="X51" s="1173"/>
      <c r="Y51" s="1171"/>
      <c r="Z51" s="1172"/>
      <c r="AA51" s="1173"/>
      <c r="AB51" s="1171"/>
      <c r="AC51" s="1172"/>
      <c r="AD51" s="1173"/>
      <c r="AE51" s="1184">
        <v>7</v>
      </c>
      <c r="AF51" s="1185"/>
      <c r="AG51" s="1188"/>
      <c r="AH51" s="1174">
        <f>IF(B51="","",RANK(AE51,ГР3О))</f>
        <v>4</v>
      </c>
    </row>
    <row r="52" spans="1:34" ht="12" customHeight="1" x14ac:dyDescent="0.2">
      <c r="A52" s="1164"/>
      <c r="B52" s="1195"/>
      <c r="C52" s="457" t="str">
        <f>IF(B51="","",VLOOKUP(B51,'Списки участников'!A:I,6,FALSE))</f>
        <v>Москва</v>
      </c>
      <c r="D52" s="464">
        <f>IF(M46="","",IF(O46="l","W",O46))</f>
        <v>0</v>
      </c>
      <c r="E52" s="459" t="str">
        <f>IF(N46="","",":")</f>
        <v>:</v>
      </c>
      <c r="F52" s="465">
        <f>IF(O46="","",IF(M46="W","L",M46))</f>
        <v>2</v>
      </c>
      <c r="G52" s="464">
        <f>IF(M48="","",IF(O48="l","W",O48))</f>
        <v>0</v>
      </c>
      <c r="H52" s="459" t="str">
        <f>IF(N48="","",":")</f>
        <v>:</v>
      </c>
      <c r="I52" s="465">
        <f>IF(O48="","",IF(M48="W","L",M48))</f>
        <v>2</v>
      </c>
      <c r="J52" s="464" t="str">
        <f>IF(M50="","",IF(O50="l","W",O50))</f>
        <v>W</v>
      </c>
      <c r="K52" s="459" t="str">
        <f>IF(N50="","",":")</f>
        <v>:</v>
      </c>
      <c r="L52" s="465" t="str">
        <f>IF(O50="","",IF(M50="W","L",M50))</f>
        <v>L</v>
      </c>
      <c r="M52" s="1190"/>
      <c r="N52" s="1190"/>
      <c r="O52" s="1190"/>
      <c r="P52" s="458">
        <v>1</v>
      </c>
      <c r="Q52" s="459" t="str">
        <f>IF(P51="","",":")</f>
        <v>:</v>
      </c>
      <c r="R52" s="460">
        <v>2</v>
      </c>
      <c r="S52" s="458">
        <v>2</v>
      </c>
      <c r="T52" s="459" t="str">
        <f>IF(S51="","",":")</f>
        <v>:</v>
      </c>
      <c r="U52" s="460">
        <v>0</v>
      </c>
      <c r="V52" s="458">
        <v>2</v>
      </c>
      <c r="W52" s="459" t="str">
        <f>IF(V51="","",":")</f>
        <v>:</v>
      </c>
      <c r="X52" s="460">
        <v>0</v>
      </c>
      <c r="Y52" s="458"/>
      <c r="Z52" s="459" t="str">
        <f>IF(Y52="","",":")</f>
        <v/>
      </c>
      <c r="AA52" s="460"/>
      <c r="AB52" s="458"/>
      <c r="AC52" s="459" t="str">
        <f>IF(AB52="","",":")</f>
        <v/>
      </c>
      <c r="AD52" s="460"/>
      <c r="AE52" s="1186"/>
      <c r="AF52" s="1187"/>
      <c r="AG52" s="1189"/>
      <c r="AH52" s="1174"/>
    </row>
    <row r="53" spans="1:34" ht="12" customHeight="1" x14ac:dyDescent="0.2">
      <c r="A53" s="1163">
        <v>5</v>
      </c>
      <c r="B53" s="1193">
        <f>жеребьевка!L12</f>
        <v>69</v>
      </c>
      <c r="C53" s="456" t="str">
        <f>IF(B53="","",VLOOKUP(B53,'Списки участников'!A:I,3,FALSE))</f>
        <v>ЮНУСОВ Михаил</v>
      </c>
      <c r="D53" s="1171">
        <f>IF(P45="","",IF(P46="W",0,IF(P45=2,1,IF(P45=1,2,IF(P45=0,2)))))</f>
        <v>1</v>
      </c>
      <c r="E53" s="1172"/>
      <c r="F53" s="1173"/>
      <c r="G53" s="1171">
        <f>IF(P47="","",IF(P48="W",0,IF(P47=2,1,IF(P47=1,2,IF(P47=0,2)))))</f>
        <v>1</v>
      </c>
      <c r="H53" s="1172"/>
      <c r="I53" s="1173"/>
      <c r="J53" s="1171">
        <f>IF(P49="","",IF(P50="W",0,IF(P49=2,1,IF(P49=1,2,IF(P49=0,2)))))</f>
        <v>2</v>
      </c>
      <c r="K53" s="1172"/>
      <c r="L53" s="1173"/>
      <c r="M53" s="1171">
        <f>IF(P51="","",IF(P52="W",0,IF(P51=2,1,IF(P51=1,2,IF(P51=0,2)))))</f>
        <v>2</v>
      </c>
      <c r="N53" s="1172"/>
      <c r="O53" s="1173"/>
      <c r="P53" s="1180"/>
      <c r="Q53" s="1181"/>
      <c r="R53" s="1182"/>
      <c r="S53" s="1171">
        <v>2</v>
      </c>
      <c r="T53" s="1172"/>
      <c r="U53" s="1173"/>
      <c r="V53" s="1171">
        <v>2</v>
      </c>
      <c r="W53" s="1172"/>
      <c r="X53" s="1173"/>
      <c r="Y53" s="1171"/>
      <c r="Z53" s="1172"/>
      <c r="AA53" s="1173"/>
      <c r="AB53" s="1171"/>
      <c r="AC53" s="1172"/>
      <c r="AD53" s="1173"/>
      <c r="AE53" s="1184">
        <v>8</v>
      </c>
      <c r="AF53" s="1185"/>
      <c r="AG53" s="1188"/>
      <c r="AH53" s="1174">
        <f>IF(B53="","",RANK(AE53,ГР3О))</f>
        <v>3</v>
      </c>
    </row>
    <row r="54" spans="1:34" ht="12" customHeight="1" x14ac:dyDescent="0.2">
      <c r="A54" s="1164"/>
      <c r="B54" s="1195"/>
      <c r="C54" s="457" t="str">
        <f>IF(B53="","",VLOOKUP(B53,'Списки участников'!A:I,6,FALSE))</f>
        <v>Москва</v>
      </c>
      <c r="D54" s="464">
        <f>IF(P46="","",IF(R46="l","W",R46))</f>
        <v>0</v>
      </c>
      <c r="E54" s="459" t="str">
        <f>IF(Q46="","",":")</f>
        <v>:</v>
      </c>
      <c r="F54" s="465">
        <f>IF(R46="","",IF(P46="W","L",P46))</f>
        <v>2</v>
      </c>
      <c r="G54" s="464">
        <f>IF(P48="","",IF(R48="l","W",R48))</f>
        <v>0</v>
      </c>
      <c r="H54" s="459" t="str">
        <f>IF(Q48="","",":")</f>
        <v>:</v>
      </c>
      <c r="I54" s="465">
        <f>IF(R48="","",IF(P48="W","L",P48))</f>
        <v>2</v>
      </c>
      <c r="J54" s="464">
        <f>IF(P50="","",IF(R50="l","W",R50))</f>
        <v>2</v>
      </c>
      <c r="K54" s="459" t="str">
        <f>IF(Q50="","",":")</f>
        <v>:</v>
      </c>
      <c r="L54" s="465">
        <f>IF(R50="","",IF(P50="W","L",P50))</f>
        <v>0</v>
      </c>
      <c r="M54" s="464">
        <f>IF(P52="","",IF(R52="l","W",R52))</f>
        <v>2</v>
      </c>
      <c r="N54" s="459" t="str">
        <f>IF(Q52="","",":")</f>
        <v>:</v>
      </c>
      <c r="O54" s="465">
        <f>IF(R52="","",IF(P52="W","L",P52))</f>
        <v>1</v>
      </c>
      <c r="P54" s="1183"/>
      <c r="Q54" s="1169"/>
      <c r="R54" s="1170"/>
      <c r="S54" s="458">
        <v>2</v>
      </c>
      <c r="T54" s="459" t="str">
        <f>IF(S53="","",":")</f>
        <v>:</v>
      </c>
      <c r="U54" s="460">
        <v>0</v>
      </c>
      <c r="V54" s="458">
        <v>2</v>
      </c>
      <c r="W54" s="459" t="str">
        <f>IF(V53="","",":")</f>
        <v>:</v>
      </c>
      <c r="X54" s="460">
        <v>1</v>
      </c>
      <c r="Y54" s="458"/>
      <c r="Z54" s="459" t="str">
        <f>IF(Y53="","",":")</f>
        <v/>
      </c>
      <c r="AA54" s="460"/>
      <c r="AB54" s="458"/>
      <c r="AC54" s="459" t="str">
        <f>IF(AB54="","",":")</f>
        <v/>
      </c>
      <c r="AD54" s="460"/>
      <c r="AE54" s="1186"/>
      <c r="AF54" s="1187"/>
      <c r="AG54" s="1189"/>
      <c r="AH54" s="1174"/>
    </row>
    <row r="55" spans="1:34" ht="12" customHeight="1" x14ac:dyDescent="0.2">
      <c r="A55" s="1163">
        <v>6</v>
      </c>
      <c r="B55" s="1196">
        <f>жеребьевка!L14</f>
        <v>97</v>
      </c>
      <c r="C55" s="456" t="str">
        <f>IF(B55="","",VLOOKUP(B55,'Списки участников'!A:I,3,FALSE))</f>
        <v>ЖИЛОВ Кристиан</v>
      </c>
      <c r="D55" s="1171">
        <f>IF(S45="","",IF(S46="W",0,IF(S45=2,1,IF(S45=1,2,IF(S45=0,2)))))</f>
        <v>1</v>
      </c>
      <c r="E55" s="1172"/>
      <c r="F55" s="1173"/>
      <c r="G55" s="1171">
        <f>IF(S47="","",IF(S48="W",0,IF(S47=2,1,IF(S47=1,2,IF(S47=0,2)))))</f>
        <v>1</v>
      </c>
      <c r="H55" s="1172"/>
      <c r="I55" s="1173"/>
      <c r="J55" s="1171">
        <f>IF(S49="","",IF(S50="W",0,IF(S49=2,1,IF(S49=1,2,IF(S49=0,2)))))</f>
        <v>2</v>
      </c>
      <c r="K55" s="1172"/>
      <c r="L55" s="1173"/>
      <c r="M55" s="1171">
        <f>IF(S51="","",IF(S52="W",0,IF(S51=2,1,IF(S51=1,2,IF(S51=0,2)))))</f>
        <v>1</v>
      </c>
      <c r="N55" s="1172"/>
      <c r="O55" s="1173"/>
      <c r="P55" s="1171">
        <f>IF(S53="","",IF(S54="W",0,IF(S53=2,1,IF(S53=1,2,IF(S53=0,2)))))</f>
        <v>1</v>
      </c>
      <c r="Q55" s="1172"/>
      <c r="R55" s="1173"/>
      <c r="S55" s="1180"/>
      <c r="T55" s="1181"/>
      <c r="U55" s="1182"/>
      <c r="V55" s="1171">
        <v>1</v>
      </c>
      <c r="W55" s="1172"/>
      <c r="X55" s="1173"/>
      <c r="Y55" s="1171"/>
      <c r="Z55" s="1172"/>
      <c r="AA55" s="1173"/>
      <c r="AB55" s="1171"/>
      <c r="AC55" s="1172"/>
      <c r="AD55" s="1173"/>
      <c r="AE55" s="1184">
        <v>5</v>
      </c>
      <c r="AF55" s="1185"/>
      <c r="AG55" s="1188"/>
      <c r="AH55" s="1174">
        <f>IF(B55="","",RANK(AE55,ГР3О))</f>
        <v>6</v>
      </c>
    </row>
    <row r="56" spans="1:34" ht="12" customHeight="1" x14ac:dyDescent="0.2">
      <c r="A56" s="1164"/>
      <c r="B56" s="1197"/>
      <c r="C56" s="457" t="str">
        <f>IF(B55="","",VLOOKUP(B55,'Списки участников'!A:I,6,FALSE))</f>
        <v>Москва</v>
      </c>
      <c r="D56" s="464">
        <f>IF(S46="","",IF(U46="l","W",U46))</f>
        <v>0</v>
      </c>
      <c r="E56" s="459" t="str">
        <f>IF(T46="","",":")</f>
        <v>:</v>
      </c>
      <c r="F56" s="465">
        <f>IF(U46="","",IF(S46="W","L",S46))</f>
        <v>2</v>
      </c>
      <c r="G56" s="464">
        <f>IF(S48="","",IF(U48="l","W",U48))</f>
        <v>0</v>
      </c>
      <c r="H56" s="459" t="str">
        <f>IF(Q48="","",":")</f>
        <v>:</v>
      </c>
      <c r="I56" s="465">
        <f>IF(U48="","",IF(S48="W","L",S48))</f>
        <v>2</v>
      </c>
      <c r="J56" s="464" t="str">
        <f>IF(S50="","",IF(U50="l","W",U50))</f>
        <v>W</v>
      </c>
      <c r="K56" s="459" t="str">
        <f>IF(T50="","",":")</f>
        <v>:</v>
      </c>
      <c r="L56" s="465" t="str">
        <f>IF(U50="","",IF(S50="W","L",S50))</f>
        <v>L</v>
      </c>
      <c r="M56" s="464">
        <f>IF(S52="","",IF(U52="l","W",U52))</f>
        <v>0</v>
      </c>
      <c r="N56" s="459" t="str">
        <f>IF(T52="","",":")</f>
        <v>:</v>
      </c>
      <c r="O56" s="465">
        <f>IF(U52="","",IF(S52="W","L",S52))</f>
        <v>2</v>
      </c>
      <c r="P56" s="464">
        <f>IF(S54="","",IF(U54="l","W",U54))</f>
        <v>0</v>
      </c>
      <c r="Q56" s="459" t="str">
        <f>IF(T54="","",":")</f>
        <v>:</v>
      </c>
      <c r="R56" s="465">
        <f>IF(U54="","",IF(S54="W","L",S54))</f>
        <v>2</v>
      </c>
      <c r="S56" s="1183"/>
      <c r="T56" s="1169"/>
      <c r="U56" s="1170"/>
      <c r="V56" s="458">
        <v>0</v>
      </c>
      <c r="W56" s="459" t="str">
        <f>IF(V55="","",":")</f>
        <v>:</v>
      </c>
      <c r="X56" s="460">
        <v>2</v>
      </c>
      <c r="Y56" s="458"/>
      <c r="Z56" s="459" t="str">
        <f>IF(Y55="","",":")</f>
        <v/>
      </c>
      <c r="AA56" s="460"/>
      <c r="AB56" s="458"/>
      <c r="AC56" s="459" t="str">
        <f>IF(AB55="","",":")</f>
        <v/>
      </c>
      <c r="AD56" s="460"/>
      <c r="AE56" s="1186"/>
      <c r="AF56" s="1187"/>
      <c r="AG56" s="1189"/>
      <c r="AH56" s="1174"/>
    </row>
    <row r="57" spans="1:34" ht="12" customHeight="1" x14ac:dyDescent="0.2">
      <c r="A57" s="1163">
        <v>7</v>
      </c>
      <c r="B57" s="1196">
        <f>жеребьевка!L16</f>
        <v>103</v>
      </c>
      <c r="C57" s="456" t="str">
        <f>IF(B57="","",VLOOKUP(B57,'Списки участников'!A:I,3,FALSE))</f>
        <v>ПЕТРОВ Егор</v>
      </c>
      <c r="D57" s="1171">
        <f>IF(V45="","",IF(V46="W",0,IF(V45=2,1,IF(V45=1,2,IF(V45=0,2)))))</f>
        <v>1</v>
      </c>
      <c r="E57" s="1172"/>
      <c r="F57" s="1173"/>
      <c r="G57" s="1171">
        <f>IF(V47="","",IF(V48="W",0,IF(V47=2,1,IF(V47=1,2,IF(V47=0,2)))))</f>
        <v>1</v>
      </c>
      <c r="H57" s="1172"/>
      <c r="I57" s="1173"/>
      <c r="J57" s="1171">
        <f>IF(V49="","",IF(V50="W",0,IF(V49=2,1,IF(V49=1,2,IF(V49=0,2)))))</f>
        <v>2</v>
      </c>
      <c r="K57" s="1172"/>
      <c r="L57" s="1173"/>
      <c r="M57" s="1171">
        <f>IF(V51="","",IF(V52="W",0,IF(V51=2,1,IF(V51=1,2,IF(V51=0,2)))))</f>
        <v>1</v>
      </c>
      <c r="N57" s="1172"/>
      <c r="O57" s="1173"/>
      <c r="P57" s="1171">
        <f>IF(V53="","",IF(V54="W",0,IF(V53=2,1,IF(V53=1,2,IF(V53=0,2)))))</f>
        <v>1</v>
      </c>
      <c r="Q57" s="1172"/>
      <c r="R57" s="1173"/>
      <c r="S57" s="1171">
        <f>IF(V55="","",IF(V56="W",0,IF(V55=2,1,IF(V55=1,2,IF(V55=0,2)))))</f>
        <v>2</v>
      </c>
      <c r="T57" s="1172"/>
      <c r="U57" s="1173"/>
      <c r="V57" s="1191"/>
      <c r="W57" s="1167"/>
      <c r="X57" s="1168"/>
      <c r="Y57" s="1171"/>
      <c r="Z57" s="1172"/>
      <c r="AA57" s="1173"/>
      <c r="AB57" s="1171"/>
      <c r="AC57" s="1172"/>
      <c r="AD57" s="1173"/>
      <c r="AE57" s="1184">
        <v>6</v>
      </c>
      <c r="AF57" s="1185"/>
      <c r="AG57" s="1188"/>
      <c r="AH57" s="1174">
        <f>IF(B57="","",RANK(AE57,ГР3О))</f>
        <v>5</v>
      </c>
    </row>
    <row r="58" spans="1:34" ht="12" customHeight="1" x14ac:dyDescent="0.2">
      <c r="A58" s="1164"/>
      <c r="B58" s="1197"/>
      <c r="C58" s="457" t="str">
        <f>IF(B57="","",VLOOKUP(B57,'Списки участников'!A:I,6,FALSE))</f>
        <v>Одинцово</v>
      </c>
      <c r="D58" s="464">
        <f>IF(V46="","",IF(X46="l","W",X46))</f>
        <v>0</v>
      </c>
      <c r="E58" s="459" t="str">
        <f>IF(W46="","",":")</f>
        <v>:</v>
      </c>
      <c r="F58" s="465">
        <f>IF(X46="","",IF(V46="W","L",V46))</f>
        <v>2</v>
      </c>
      <c r="G58" s="464">
        <f>IF(V48="","",IF(X48="l","W",X48))</f>
        <v>0</v>
      </c>
      <c r="H58" s="459" t="str">
        <f>IF(W48="","",":")</f>
        <v>:</v>
      </c>
      <c r="I58" s="465">
        <f>IF(X48="","",IF(V48="W","L",V48))</f>
        <v>2</v>
      </c>
      <c r="J58" s="464" t="str">
        <f>IF(V50="","",IF(X50="l","W",X50))</f>
        <v>W</v>
      </c>
      <c r="K58" s="459" t="str">
        <f>IF(W50="","",":")</f>
        <v>:</v>
      </c>
      <c r="L58" s="465" t="str">
        <f>IF(X50="","",IF(V50="W","L",V50))</f>
        <v>L</v>
      </c>
      <c r="M58" s="464">
        <f>IF(V52="","",IF(X52="l","W",X52))</f>
        <v>0</v>
      </c>
      <c r="N58" s="459" t="str">
        <f>IF(W52="","",":")</f>
        <v>:</v>
      </c>
      <c r="O58" s="465">
        <f>IF(X52="","",IF(V52="W","L",V52))</f>
        <v>2</v>
      </c>
      <c r="P58" s="464">
        <f>IF(V54="","",IF(X54="l","W",X54))</f>
        <v>1</v>
      </c>
      <c r="Q58" s="459" t="str">
        <f>IF(W54="","",":")</f>
        <v>:</v>
      </c>
      <c r="R58" s="465">
        <f>IF(X54="","",IF(V54="W","L",V54))</f>
        <v>2</v>
      </c>
      <c r="S58" s="464">
        <f>IF(V56="","",IF(X56="l","W",X56))</f>
        <v>2</v>
      </c>
      <c r="T58" s="459" t="str">
        <f>IF(W56="","",":")</f>
        <v>:</v>
      </c>
      <c r="U58" s="465">
        <f>IF(X56="","",IF(V56="W","L",V56))</f>
        <v>0</v>
      </c>
      <c r="V58" s="1183"/>
      <c r="W58" s="1169"/>
      <c r="X58" s="1170"/>
      <c r="Y58" s="458"/>
      <c r="Z58" s="459" t="str">
        <f>IF(Y57="","",":")</f>
        <v/>
      </c>
      <c r="AA58" s="460"/>
      <c r="AB58" s="458"/>
      <c r="AC58" s="459" t="str">
        <f>IF(AB57="","",":")</f>
        <v/>
      </c>
      <c r="AD58" s="460"/>
      <c r="AE58" s="1186"/>
      <c r="AF58" s="1187"/>
      <c r="AG58" s="1189"/>
      <c r="AH58" s="1174"/>
    </row>
    <row r="59" spans="1:34" ht="12" customHeight="1" x14ac:dyDescent="0.2">
      <c r="A59" s="1163">
        <v>8</v>
      </c>
      <c r="B59" s="1196"/>
      <c r="C59" s="456" t="str">
        <f>IF(B59="","",VLOOKUP(B59,'Списки участников'!A:I,3,FALSE))</f>
        <v/>
      </c>
      <c r="D59" s="1171" t="str">
        <f>IF(Y45="","",IF(Y46="W",0,IF(Y45=2,1,IF(Y45=1,2,IF(Y45=0,2)))))</f>
        <v/>
      </c>
      <c r="E59" s="1172"/>
      <c r="F59" s="1173"/>
      <c r="G59" s="1171" t="str">
        <f>IF(Y47="","",IF(Y48="W",0,IF(Y47=2,1,IF(Y47=1,2,IF(Y47=0,2)))))</f>
        <v/>
      </c>
      <c r="H59" s="1172"/>
      <c r="I59" s="1173"/>
      <c r="J59" s="1171" t="str">
        <f>IF(Y49="","",IF(Y50="W",0,IF(Y49=2,1,IF(Y49=1,2,IF(Y49=0,2)))))</f>
        <v/>
      </c>
      <c r="K59" s="1172"/>
      <c r="L59" s="1173"/>
      <c r="M59" s="1171" t="str">
        <f>IF(Y51="","",IF(Y52="W",0,IF(Y51=2,1,IF(Y51=1,2,IF(Y51=0,2)))))</f>
        <v/>
      </c>
      <c r="N59" s="1172"/>
      <c r="O59" s="1173"/>
      <c r="P59" s="1171" t="str">
        <f>IF(Y53="","",IF(Y54="W",0,IF(Y53=2,1,IF(Y53=1,2,IF(Y53=0,2)))))</f>
        <v/>
      </c>
      <c r="Q59" s="1172"/>
      <c r="R59" s="1173"/>
      <c r="S59" s="1171" t="str">
        <f>IF(Y55="","",IF(Y56="W",0,IF(Y55=2,1,IF(Y55=1,2,IF(Y55=0,2)))))</f>
        <v/>
      </c>
      <c r="T59" s="1172"/>
      <c r="U59" s="1173"/>
      <c r="V59" s="1171" t="str">
        <f>IF(Y57="","",IF(Y58="W",0,IF(Y57=2,1,IF(Y57=1,2,IF(Y57=0,2)))))</f>
        <v/>
      </c>
      <c r="W59" s="1172"/>
      <c r="X59" s="1173"/>
      <c r="Y59" s="1180"/>
      <c r="Z59" s="1181"/>
      <c r="AA59" s="1182"/>
      <c r="AB59" s="1171"/>
      <c r="AC59" s="1172"/>
      <c r="AD59" s="1173"/>
      <c r="AE59" s="1184" t="str">
        <f>IF(B59="","",SUM(G59,J59,M59,P59,S59,V59,D59,AB59,))</f>
        <v/>
      </c>
      <c r="AF59" s="1185"/>
      <c r="AG59" s="1188"/>
      <c r="AH59" s="1174" t="str">
        <f>IF(B59="","",RANK(AE59,ГР3О))</f>
        <v/>
      </c>
    </row>
    <row r="60" spans="1:34" ht="12" customHeight="1" x14ac:dyDescent="0.2">
      <c r="A60" s="1164"/>
      <c r="B60" s="1197"/>
      <c r="C60" s="457" t="str">
        <f>IF(B59="","",VLOOKUP(B59,'Списки участников'!A:I,6,FALSE))</f>
        <v/>
      </c>
      <c r="D60" s="464" t="str">
        <f>IF(Y46="","",IF(AA46="l","W",AA46))</f>
        <v/>
      </c>
      <c r="E60" s="459" t="str">
        <f>IF(Z46="","",":")</f>
        <v/>
      </c>
      <c r="F60" s="465" t="str">
        <f>IF(AA46="","",IF(Y46="W","L",Y46))</f>
        <v/>
      </c>
      <c r="G60" s="464" t="str">
        <f>IF(Y48="","",IF(AA48="l","W",AA48))</f>
        <v/>
      </c>
      <c r="H60" s="459" t="str">
        <f>IF(Z48="","",":")</f>
        <v/>
      </c>
      <c r="I60" s="465" t="str">
        <f>IF(AA48="","",IF(Y48="W","L",Y48))</f>
        <v/>
      </c>
      <c r="J60" s="464" t="str">
        <f>IF(Y50="","",IF(AA50="l","W",AA50))</f>
        <v/>
      </c>
      <c r="K60" s="459" t="str">
        <f>IF(Z50="","",":")</f>
        <v/>
      </c>
      <c r="L60" s="465" t="str">
        <f>IF(AA50="","",IF(Y50="W","L",Y50))</f>
        <v/>
      </c>
      <c r="M60" s="464" t="str">
        <f>IF(Y52="","",IF(AA52="l","W",AA52))</f>
        <v/>
      </c>
      <c r="N60" s="459" t="str">
        <f>IF(Z52="","",":")</f>
        <v/>
      </c>
      <c r="O60" s="465" t="str">
        <f>IF(AA52="","",IF(Y52="W","L",Y52))</f>
        <v/>
      </c>
      <c r="P60" s="464" t="str">
        <f>IF(Y54="","",IF(AA54="l","W",AA54))</f>
        <v/>
      </c>
      <c r="Q60" s="459" t="str">
        <f>IF(Z54="","",":")</f>
        <v/>
      </c>
      <c r="R60" s="465" t="str">
        <f>IF(AA54="","",IF(Y54="W","L",Y54))</f>
        <v/>
      </c>
      <c r="S60" s="464" t="str">
        <f>IF(Y56="","",IF(AA56="l","W",AA56))</f>
        <v/>
      </c>
      <c r="T60" s="459" t="str">
        <f>IF(Z56="","",":")</f>
        <v/>
      </c>
      <c r="U60" s="465" t="str">
        <f>IF(AA56="","",IF(Y56="W","L",Y56))</f>
        <v/>
      </c>
      <c r="V60" s="464" t="str">
        <f>IF(Y58="","",IF(AA58="l","W",AA58))</f>
        <v/>
      </c>
      <c r="W60" s="459" t="str">
        <f>IF(Z58="","",":")</f>
        <v/>
      </c>
      <c r="X60" s="465" t="str">
        <f>IF(AA58="","",IF(Y58="W","L",Y58))</f>
        <v/>
      </c>
      <c r="Y60" s="1183"/>
      <c r="Z60" s="1169"/>
      <c r="AA60" s="1170"/>
      <c r="AB60" s="458"/>
      <c r="AC60" s="459" t="str">
        <f>IF(AB59="","",":")</f>
        <v/>
      </c>
      <c r="AD60" s="460"/>
      <c r="AE60" s="1186"/>
      <c r="AF60" s="1187"/>
      <c r="AG60" s="1189"/>
      <c r="AH60" s="1174"/>
    </row>
    <row r="61" spans="1:34" ht="12" hidden="1" customHeight="1" outlineLevel="1" x14ac:dyDescent="0.2">
      <c r="A61" s="1163">
        <v>9</v>
      </c>
      <c r="B61" s="1165">
        <f>жеребьевка!L20</f>
        <v>0</v>
      </c>
      <c r="C61" s="456" t="e">
        <f>IF(B61="","",VLOOKUP(B61,'Списки участников'!A:I,3,FALSE))</f>
        <v>#N/A</v>
      </c>
      <c r="D61" s="1171" t="str">
        <f>IF(AB45="","",IF(AB46="W",0,IF(AB45=2,1,IF(AB45=1,2,IF(AB45=0,2)))))</f>
        <v/>
      </c>
      <c r="E61" s="1172"/>
      <c r="F61" s="1173"/>
      <c r="G61" s="1171" t="str">
        <f>IF(AB47="","",IF(AB48="W",0,IF(AB47=2,1,IF(AB47=1,2,IF(AB47=0,2)))))</f>
        <v/>
      </c>
      <c r="H61" s="1172"/>
      <c r="I61" s="1173"/>
      <c r="J61" s="1171" t="str">
        <f>IF(AB49="","",IF(AB50="W",0,IF(AB49=2,1,IF(AB49=1,2,IF(AB49=0,2)))))</f>
        <v/>
      </c>
      <c r="K61" s="1172"/>
      <c r="L61" s="1173"/>
      <c r="M61" s="1171" t="str">
        <f>IF(AB51="","",IF(AB52="W",0,IF(AB51=2,1,IF(AB51=1,2,IF(AB51=0,2)))))</f>
        <v/>
      </c>
      <c r="N61" s="1172"/>
      <c r="O61" s="1173"/>
      <c r="P61" s="1171" t="str">
        <f>IF(AB53="","",IF(AB54="W",0,IF(AB53=2,1,IF(AB53=1,2,IF(AB53=0,2)))))</f>
        <v/>
      </c>
      <c r="Q61" s="1172"/>
      <c r="R61" s="1173"/>
      <c r="S61" s="1171" t="str">
        <f>IF(AB55="","",IF(AB56="W",0,IF(AB55=2,1,IF(AB55=1,2,IF(AB55=0,2)))))</f>
        <v/>
      </c>
      <c r="T61" s="1172"/>
      <c r="U61" s="1173"/>
      <c r="V61" s="1171" t="str">
        <f>IF(AB57="","",IF(AB58="W",0,IF(AB57=2,1,IF(AB57=1,2,IF(AB57=0,2)))))</f>
        <v/>
      </c>
      <c r="W61" s="1172"/>
      <c r="X61" s="1173"/>
      <c r="Y61" s="1171" t="str">
        <f>IF(AB59="","",IF(AB60="W",0,IF(AB59=2,1,IF(AB59=1,2,IF(AB59=0,2)))))</f>
        <v/>
      </c>
      <c r="Z61" s="1172"/>
      <c r="AA61" s="1173"/>
      <c r="AB61" s="1191"/>
      <c r="AC61" s="1167"/>
      <c r="AD61" s="1168"/>
      <c r="AE61" s="1184">
        <f>IF(B61="","",SUM(G61,J61,M61,P61,S61,V61,Y61,D61,))</f>
        <v>0</v>
      </c>
      <c r="AF61" s="1185"/>
      <c r="AG61" s="1188"/>
      <c r="AH61" s="1174">
        <f>IF(B61="","",RANK(AE61,ГР3О))</f>
        <v>8</v>
      </c>
    </row>
    <row r="62" spans="1:34" ht="12" hidden="1" customHeight="1" outlineLevel="1" x14ac:dyDescent="0.2">
      <c r="A62" s="1164"/>
      <c r="B62" s="1166"/>
      <c r="C62" s="457" t="e">
        <f>IF(B61="","",VLOOKUP(B61,'Списки участников'!A:I,6,FALSE))</f>
        <v>#N/A</v>
      </c>
      <c r="D62" s="464" t="str">
        <f>IF(AB46="","",IF(AD46="l","W",AD46))</f>
        <v/>
      </c>
      <c r="E62" s="459" t="str">
        <f>IF(AC46="","",":")</f>
        <v/>
      </c>
      <c r="F62" s="465" t="str">
        <f>IF(AD46="","",IF(AB46="W","L",AB46))</f>
        <v/>
      </c>
      <c r="G62" s="464" t="str">
        <f>IF(AB48="","",IF(AD48="l","W",AD48))</f>
        <v/>
      </c>
      <c r="H62" s="459" t="str">
        <f>IF(AC48="","",":")</f>
        <v/>
      </c>
      <c r="I62" s="465" t="str">
        <f>IF(AD48="","",IF(AB48="W","L",AB48))</f>
        <v/>
      </c>
      <c r="J62" s="464" t="str">
        <f>IF(AB50="","",IF(AD50="l","W",AD50))</f>
        <v/>
      </c>
      <c r="K62" s="459" t="str">
        <f>IF(AC50="","",":")</f>
        <v/>
      </c>
      <c r="L62" s="465" t="str">
        <f>IF(AD50="","",IF(AB50="W","L",AB50))</f>
        <v/>
      </c>
      <c r="M62" s="464" t="str">
        <f>IF(AB52="","",IF(AD52="l","W",AD52))</f>
        <v/>
      </c>
      <c r="N62" s="459" t="str">
        <f>IF(AC52="","",":")</f>
        <v/>
      </c>
      <c r="O62" s="465" t="str">
        <f>IF(AD52="","",IF(AB52="W","L",AB52))</f>
        <v/>
      </c>
      <c r="P62" s="464" t="str">
        <f>IF(AB54="","",IF(AD54="l","W",AD54))</f>
        <v/>
      </c>
      <c r="Q62" s="459" t="str">
        <f>IF(AC54="","",":")</f>
        <v/>
      </c>
      <c r="R62" s="465" t="str">
        <f>IF(AD54="","",IF(AB54="W","L",AB54))</f>
        <v/>
      </c>
      <c r="S62" s="464" t="str">
        <f>IF(AB56="","",IF(AD56="l","W",AD56))</f>
        <v/>
      </c>
      <c r="T62" s="459" t="str">
        <f>IF(AC56="","",":")</f>
        <v/>
      </c>
      <c r="U62" s="465" t="str">
        <f>IF(AD56="","",IF(AB56="W","L",AB56))</f>
        <v/>
      </c>
      <c r="V62" s="464" t="str">
        <f>IF(AB58="","",IF(AD58="l","W",AD58))</f>
        <v/>
      </c>
      <c r="W62" s="459" t="str">
        <f>IF(AC58="","",":")</f>
        <v/>
      </c>
      <c r="X62" s="465" t="str">
        <f>IF(AD58="","",IF(AB58="W","L",AB58))</f>
        <v/>
      </c>
      <c r="Y62" s="464" t="str">
        <f>IF(AB60="","",IF(AD60="l","W",AD60))</f>
        <v/>
      </c>
      <c r="Z62" s="459" t="str">
        <f>IF(AC60="","",":")</f>
        <v/>
      </c>
      <c r="AA62" s="465" t="str">
        <f>IF(AD60="","",IF(AB60="W","L",AB60))</f>
        <v/>
      </c>
      <c r="AB62" s="1183"/>
      <c r="AC62" s="1169"/>
      <c r="AD62" s="1170"/>
      <c r="AE62" s="1186"/>
      <c r="AF62" s="1187"/>
      <c r="AG62" s="1189"/>
      <c r="AH62" s="1174"/>
    </row>
    <row r="63" spans="1:34" ht="12" customHeight="1" collapsed="1" x14ac:dyDescent="0.25">
      <c r="A63" s="135"/>
      <c r="B63" s="135"/>
      <c r="C63" s="954" t="s">
        <v>765</v>
      </c>
      <c r="D63" s="135"/>
      <c r="E63" s="135"/>
      <c r="F63" s="135"/>
      <c r="G63" s="1192" t="s">
        <v>993</v>
      </c>
      <c r="H63" s="1192"/>
      <c r="I63" s="1192"/>
      <c r="J63" s="1192"/>
      <c r="K63" s="1192"/>
      <c r="L63" s="1192"/>
      <c r="M63" s="1192"/>
      <c r="N63" s="1192"/>
      <c r="O63" s="1192"/>
      <c r="P63" s="1192"/>
      <c r="Q63" s="1192"/>
      <c r="R63" s="1192"/>
      <c r="S63" s="1192"/>
      <c r="T63" s="1192"/>
      <c r="U63" s="1192"/>
      <c r="V63" s="1192"/>
      <c r="W63" s="1192"/>
      <c r="X63" s="1192"/>
      <c r="Y63" s="1192"/>
      <c r="Z63" s="1192"/>
      <c r="AA63" s="1192"/>
      <c r="AB63" s="135"/>
      <c r="AC63" s="135"/>
      <c r="AD63" s="135"/>
      <c r="AE63" s="135"/>
      <c r="AF63" s="135"/>
      <c r="AG63" s="135"/>
      <c r="AH63" s="135"/>
    </row>
    <row r="64" spans="1:34" ht="12" customHeight="1" x14ac:dyDescent="0.2">
      <c r="A64" s="136" t="s">
        <v>3</v>
      </c>
      <c r="B64" s="137"/>
      <c r="C64" s="138" t="s">
        <v>788</v>
      </c>
      <c r="D64" s="1158">
        <v>1</v>
      </c>
      <c r="E64" s="1159"/>
      <c r="F64" s="1160"/>
      <c r="G64" s="1158">
        <v>2</v>
      </c>
      <c r="H64" s="1159"/>
      <c r="I64" s="1160"/>
      <c r="J64" s="1158">
        <v>3</v>
      </c>
      <c r="K64" s="1159"/>
      <c r="L64" s="1160"/>
      <c r="M64" s="1158">
        <v>4</v>
      </c>
      <c r="N64" s="1159"/>
      <c r="O64" s="1160"/>
      <c r="P64" s="1158">
        <v>5</v>
      </c>
      <c r="Q64" s="1159"/>
      <c r="R64" s="1160"/>
      <c r="S64" s="1158">
        <v>6</v>
      </c>
      <c r="T64" s="1159"/>
      <c r="U64" s="1160"/>
      <c r="V64" s="1158">
        <v>7</v>
      </c>
      <c r="W64" s="1159"/>
      <c r="X64" s="1160"/>
      <c r="Y64" s="1158">
        <v>8</v>
      </c>
      <c r="Z64" s="1159"/>
      <c r="AA64" s="1160"/>
      <c r="AB64" s="1158">
        <v>9</v>
      </c>
      <c r="AC64" s="1159"/>
      <c r="AD64" s="1160"/>
      <c r="AE64" s="1161" t="s">
        <v>789</v>
      </c>
      <c r="AF64" s="1162"/>
      <c r="AG64" s="454" t="s">
        <v>790</v>
      </c>
      <c r="AH64" s="455" t="s">
        <v>100</v>
      </c>
    </row>
    <row r="65" spans="1:34" ht="12" customHeight="1" x14ac:dyDescent="0.2">
      <c r="A65" s="1163">
        <v>1</v>
      </c>
      <c r="B65" s="1165">
        <f>жеребьевка!Q4</f>
        <v>4</v>
      </c>
      <c r="C65" s="456" t="str">
        <f>IF(B65="","",VLOOKUP(B65,'Списки участников'!A:I,3,FALSE))</f>
        <v>СТАШКОВСКИЙ Глеб</v>
      </c>
      <c r="D65" s="1167"/>
      <c r="E65" s="1167"/>
      <c r="F65" s="1168"/>
      <c r="G65" s="1171">
        <v>2</v>
      </c>
      <c r="H65" s="1172"/>
      <c r="I65" s="1173"/>
      <c r="J65" s="1171">
        <v>2</v>
      </c>
      <c r="K65" s="1172"/>
      <c r="L65" s="1173"/>
      <c r="M65" s="1171">
        <v>2</v>
      </c>
      <c r="N65" s="1172"/>
      <c r="O65" s="1173"/>
      <c r="P65" s="1171">
        <v>2</v>
      </c>
      <c r="Q65" s="1172"/>
      <c r="R65" s="1173"/>
      <c r="S65" s="1171">
        <v>2</v>
      </c>
      <c r="T65" s="1172"/>
      <c r="U65" s="1173"/>
      <c r="V65" s="1171">
        <v>2</v>
      </c>
      <c r="W65" s="1172"/>
      <c r="X65" s="1173"/>
      <c r="Y65" s="1171"/>
      <c r="Z65" s="1172"/>
      <c r="AA65" s="1173"/>
      <c r="AB65" s="1171"/>
      <c r="AC65" s="1172"/>
      <c r="AD65" s="1173"/>
      <c r="AE65" s="1184">
        <f>IF(B65="","",SUM(G65,J65,M65,P65,S65,V65,Y65,AB65,))</f>
        <v>12</v>
      </c>
      <c r="AF65" s="1185"/>
      <c r="AG65" s="1175"/>
      <c r="AH65" s="1174">
        <f>IF(B65="","",RANK(AE65,ГР4О))</f>
        <v>1</v>
      </c>
    </row>
    <row r="66" spans="1:34" ht="12" customHeight="1" x14ac:dyDescent="0.2">
      <c r="A66" s="1164"/>
      <c r="B66" s="1166"/>
      <c r="C66" s="457" t="str">
        <f>IF(B65="","",VLOOKUP(B65,'Списки участников'!A:I,6,FALSE))</f>
        <v>Реутов, Мос. Обл.</v>
      </c>
      <c r="D66" s="1169"/>
      <c r="E66" s="1169"/>
      <c r="F66" s="1170"/>
      <c r="G66" s="458">
        <v>2</v>
      </c>
      <c r="H66" s="459" t="str">
        <f>IF(G65="","",":")</f>
        <v>:</v>
      </c>
      <c r="I66" s="460">
        <v>0</v>
      </c>
      <c r="J66" s="458">
        <v>2</v>
      </c>
      <c r="K66" s="459" t="str">
        <f>IF(J65="","",":")</f>
        <v>:</v>
      </c>
      <c r="L66" s="460">
        <v>0</v>
      </c>
      <c r="M66" s="458">
        <v>2</v>
      </c>
      <c r="N66" s="459" t="str">
        <f>IF(M66="","",":")</f>
        <v>:</v>
      </c>
      <c r="O66" s="460">
        <v>0</v>
      </c>
      <c r="P66" s="458">
        <v>2</v>
      </c>
      <c r="Q66" s="459" t="str">
        <f>IF(P66="","",":")</f>
        <v>:</v>
      </c>
      <c r="R66" s="460">
        <v>0</v>
      </c>
      <c r="S66" s="458">
        <v>2</v>
      </c>
      <c r="T66" s="459" t="str">
        <f>IF(S66="","",":")</f>
        <v>:</v>
      </c>
      <c r="U66" s="460">
        <v>0</v>
      </c>
      <c r="V66" s="458">
        <v>2</v>
      </c>
      <c r="W66" s="459" t="str">
        <f>IF(V66="","",":")</f>
        <v>:</v>
      </c>
      <c r="X66" s="460">
        <v>0</v>
      </c>
      <c r="Y66" s="458"/>
      <c r="Z66" s="459" t="str">
        <f>IF(Y66="","",":")</f>
        <v/>
      </c>
      <c r="AA66" s="460"/>
      <c r="AB66" s="458"/>
      <c r="AC66" s="459" t="str">
        <f>IF(AB66="","",":")</f>
        <v/>
      </c>
      <c r="AD66" s="460"/>
      <c r="AE66" s="1186"/>
      <c r="AF66" s="1187"/>
      <c r="AG66" s="1176"/>
      <c r="AH66" s="1174"/>
    </row>
    <row r="67" spans="1:34" ht="12" customHeight="1" x14ac:dyDescent="0.2">
      <c r="A67" s="1163">
        <v>2</v>
      </c>
      <c r="B67" s="1165">
        <f>жеребьевка!Q6</f>
        <v>30</v>
      </c>
      <c r="C67" s="456" t="str">
        <f>IF(B67="","",VLOOKUP(B67,'Списки участников'!A:I,3,FALSE))</f>
        <v>БАКШИНСКИЙ Илья</v>
      </c>
      <c r="D67" s="1177">
        <f>IF(G65="","",IF(G66="W",0,IF(G65=2,1,IF(G65=1,2,IF(G65=0,2)))))</f>
        <v>1</v>
      </c>
      <c r="E67" s="1178"/>
      <c r="F67" s="1179"/>
      <c r="G67" s="1180"/>
      <c r="H67" s="1181"/>
      <c r="I67" s="1182"/>
      <c r="J67" s="1171">
        <v>2</v>
      </c>
      <c r="K67" s="1172"/>
      <c r="L67" s="1173"/>
      <c r="M67" s="1171">
        <v>2</v>
      </c>
      <c r="N67" s="1172"/>
      <c r="O67" s="1173"/>
      <c r="P67" s="1171">
        <v>2</v>
      </c>
      <c r="Q67" s="1172"/>
      <c r="R67" s="1173"/>
      <c r="S67" s="1171">
        <v>2</v>
      </c>
      <c r="T67" s="1172"/>
      <c r="U67" s="1173"/>
      <c r="V67" s="1171">
        <v>2</v>
      </c>
      <c r="W67" s="1172"/>
      <c r="X67" s="1173"/>
      <c r="Y67" s="1171"/>
      <c r="Z67" s="1172"/>
      <c r="AA67" s="1173"/>
      <c r="AB67" s="1171"/>
      <c r="AC67" s="1172"/>
      <c r="AD67" s="1173"/>
      <c r="AE67" s="1184">
        <f>IF(B67="","",SUM(D67,J67,M67,P67,S67,V67,Y67,AB67,))</f>
        <v>11</v>
      </c>
      <c r="AF67" s="1185"/>
      <c r="AG67" s="1175"/>
      <c r="AH67" s="1174">
        <f>IF(B67="","",RANK(AE67,ГР4О))</f>
        <v>2</v>
      </c>
    </row>
    <row r="68" spans="1:34" ht="12" customHeight="1" x14ac:dyDescent="0.2">
      <c r="A68" s="1164"/>
      <c r="B68" s="1166"/>
      <c r="C68" s="457" t="str">
        <f>IF(B67="","",VLOOKUP(B67,'Списки участников'!A:I,6,FALSE))</f>
        <v>Москва</v>
      </c>
      <c r="D68" s="461">
        <f>IF(G66="","",IF(I66="l","W",I66))</f>
        <v>0</v>
      </c>
      <c r="E68" s="462" t="str">
        <f>IF(G65="","",":")</f>
        <v>:</v>
      </c>
      <c r="F68" s="463">
        <f>IF(I66="","",IF(G66="W","L",G66))</f>
        <v>2</v>
      </c>
      <c r="G68" s="1183"/>
      <c r="H68" s="1169"/>
      <c r="I68" s="1170"/>
      <c r="J68" s="458">
        <v>2</v>
      </c>
      <c r="K68" s="459" t="str">
        <f>IF(J67="","",":")</f>
        <v>:</v>
      </c>
      <c r="L68" s="460">
        <v>0</v>
      </c>
      <c r="M68" s="458">
        <v>2</v>
      </c>
      <c r="N68" s="459" t="str">
        <f>IF(M67="","",":")</f>
        <v>:</v>
      </c>
      <c r="O68" s="460">
        <v>0</v>
      </c>
      <c r="P68" s="458">
        <v>2</v>
      </c>
      <c r="Q68" s="459" t="str">
        <f>IF(P67="","",":")</f>
        <v>:</v>
      </c>
      <c r="R68" s="460">
        <v>0</v>
      </c>
      <c r="S68" s="458">
        <v>2</v>
      </c>
      <c r="T68" s="459" t="str">
        <f>IF(S68="","",":")</f>
        <v>:</v>
      </c>
      <c r="U68" s="460">
        <v>0</v>
      </c>
      <c r="V68" s="458">
        <v>2</v>
      </c>
      <c r="W68" s="459" t="str">
        <f>IF(V68="","",":")</f>
        <v>:</v>
      </c>
      <c r="X68" s="460">
        <v>0</v>
      </c>
      <c r="Y68" s="458"/>
      <c r="Z68" s="459" t="str">
        <f>IF(Y68="","",":")</f>
        <v/>
      </c>
      <c r="AA68" s="460"/>
      <c r="AB68" s="458"/>
      <c r="AC68" s="459" t="str">
        <f>IF(AB68="","",":")</f>
        <v/>
      </c>
      <c r="AD68" s="460"/>
      <c r="AE68" s="1186"/>
      <c r="AF68" s="1187"/>
      <c r="AG68" s="1176"/>
      <c r="AH68" s="1174"/>
    </row>
    <row r="69" spans="1:34" ht="12" customHeight="1" x14ac:dyDescent="0.2">
      <c r="A69" s="1163">
        <v>3</v>
      </c>
      <c r="B69" s="1165">
        <f>жеребьевка!Q8</f>
        <v>38</v>
      </c>
      <c r="C69" s="456" t="str">
        <f>IF(B69="","",VLOOKUP(B69,'Списки участников'!A:I,3,FALSE))</f>
        <v>САВИЧЕВ Дмитрий</v>
      </c>
      <c r="D69" s="1177">
        <f>IF(J65="","",IF(J66="W",0,IF(J65=2,1,IF(J65=1,2,IF(J65=0,2)))))</f>
        <v>1</v>
      </c>
      <c r="E69" s="1178"/>
      <c r="F69" s="1179"/>
      <c r="G69" s="1171">
        <f>IF(J67="","",IF(J68="W",0,IF(J67=2,1,IF(J67=1,2,IF(J67=0,2)))))</f>
        <v>1</v>
      </c>
      <c r="H69" s="1172"/>
      <c r="I69" s="1173"/>
      <c r="J69" s="1180"/>
      <c r="K69" s="1181"/>
      <c r="L69" s="1182"/>
      <c r="M69" s="1171">
        <v>2</v>
      </c>
      <c r="N69" s="1172"/>
      <c r="O69" s="1173"/>
      <c r="P69" s="1171">
        <v>2</v>
      </c>
      <c r="Q69" s="1172"/>
      <c r="R69" s="1173"/>
      <c r="S69" s="1171">
        <v>2</v>
      </c>
      <c r="T69" s="1172"/>
      <c r="U69" s="1173"/>
      <c r="V69" s="1171">
        <v>2</v>
      </c>
      <c r="W69" s="1172"/>
      <c r="X69" s="1173"/>
      <c r="Y69" s="1171"/>
      <c r="Z69" s="1172"/>
      <c r="AA69" s="1173"/>
      <c r="AB69" s="1171"/>
      <c r="AC69" s="1172"/>
      <c r="AD69" s="1173"/>
      <c r="AE69" s="1184">
        <f>IF(B69="","",SUM(G69,D69,M69,P69,S69,V69,Y69,AB69,))</f>
        <v>10</v>
      </c>
      <c r="AF69" s="1185"/>
      <c r="AG69" s="1188"/>
      <c r="AH69" s="1174">
        <f>IF(B69="","",RANK(AE69,ГР4О))</f>
        <v>3</v>
      </c>
    </row>
    <row r="70" spans="1:34" ht="12" customHeight="1" x14ac:dyDescent="0.2">
      <c r="A70" s="1164"/>
      <c r="B70" s="1166"/>
      <c r="C70" s="457" t="str">
        <f>IF(B69="","",VLOOKUP(B69,'Списки участников'!A:I,6,FALSE))</f>
        <v>Москва</v>
      </c>
      <c r="D70" s="464">
        <f>IF(J66="","",IF(L66="l","W",L66))</f>
        <v>0</v>
      </c>
      <c r="E70" s="459" t="str">
        <f>IF(K66="","",":")</f>
        <v>:</v>
      </c>
      <c r="F70" s="465">
        <f>IF(L66="","",IF(J66="W","L",J66))</f>
        <v>2</v>
      </c>
      <c r="G70" s="464">
        <f>IF(J68="","",IF(L68="l","W",L68))</f>
        <v>0</v>
      </c>
      <c r="H70" s="459" t="str">
        <f>IF(K68="","",":")</f>
        <v>:</v>
      </c>
      <c r="I70" s="465">
        <f>IF(L68="","",IF(J68="W","L",J68))</f>
        <v>2</v>
      </c>
      <c r="J70" s="1183"/>
      <c r="K70" s="1169"/>
      <c r="L70" s="1170"/>
      <c r="M70" s="458">
        <v>2</v>
      </c>
      <c r="N70" s="459" t="str">
        <f>IF(M69="","",":")</f>
        <v>:</v>
      </c>
      <c r="O70" s="460">
        <v>1</v>
      </c>
      <c r="P70" s="458">
        <v>2</v>
      </c>
      <c r="Q70" s="459" t="str">
        <f>IF(P69="","",":")</f>
        <v>:</v>
      </c>
      <c r="R70" s="460">
        <v>0</v>
      </c>
      <c r="S70" s="458">
        <v>2</v>
      </c>
      <c r="T70" s="459" t="str">
        <f>IF(S69="","",":")</f>
        <v>:</v>
      </c>
      <c r="U70" s="460">
        <v>0</v>
      </c>
      <c r="V70" s="458">
        <v>2</v>
      </c>
      <c r="W70" s="459" t="str">
        <f>IF(V70="","",":")</f>
        <v>:</v>
      </c>
      <c r="X70" s="460">
        <v>0</v>
      </c>
      <c r="Y70" s="458"/>
      <c r="Z70" s="459" t="str">
        <f>IF(Y70="","",":")</f>
        <v/>
      </c>
      <c r="AA70" s="460"/>
      <c r="AB70" s="458"/>
      <c r="AC70" s="459" t="str">
        <f>IF(AB70="","",":")</f>
        <v/>
      </c>
      <c r="AD70" s="460"/>
      <c r="AE70" s="1186"/>
      <c r="AF70" s="1187"/>
      <c r="AG70" s="1189"/>
      <c r="AH70" s="1174"/>
    </row>
    <row r="71" spans="1:34" ht="12" customHeight="1" x14ac:dyDescent="0.2">
      <c r="A71" s="1163">
        <v>4</v>
      </c>
      <c r="B71" s="1165">
        <f>жеребьевка!Q10</f>
        <v>65</v>
      </c>
      <c r="C71" s="456" t="str">
        <f>IF(B71="","",VLOOKUP(B71,'Списки участников'!A:I,3,FALSE))</f>
        <v>СОБАКИН Юрий</v>
      </c>
      <c r="D71" s="1171">
        <f>IF(M65="","",IF(M66="W",0,IF(M65=2,1,IF(M65=1,2,IF(M65=0,2)))))</f>
        <v>1</v>
      </c>
      <c r="E71" s="1172"/>
      <c r="F71" s="1173"/>
      <c r="G71" s="1171">
        <f>IF(M67="","",IF(M68="W",0,IF(M67=2,1,IF(M67=1,2,IF(M67=0,2)))))</f>
        <v>1</v>
      </c>
      <c r="H71" s="1172"/>
      <c r="I71" s="1173"/>
      <c r="J71" s="1171">
        <f>IF(M69="","",IF(M70="W",0,IF(M69=2,1,IF(M69=1,2,IF(M69=0,2)))))</f>
        <v>1</v>
      </c>
      <c r="K71" s="1172"/>
      <c r="L71" s="1173"/>
      <c r="M71" s="1181"/>
      <c r="N71" s="1181"/>
      <c r="O71" s="1181"/>
      <c r="P71" s="1171">
        <v>2</v>
      </c>
      <c r="Q71" s="1172"/>
      <c r="R71" s="1173"/>
      <c r="S71" s="1171">
        <v>1</v>
      </c>
      <c r="T71" s="1172"/>
      <c r="U71" s="1173"/>
      <c r="V71" s="1171">
        <v>2</v>
      </c>
      <c r="W71" s="1172"/>
      <c r="X71" s="1173"/>
      <c r="Y71" s="1171"/>
      <c r="Z71" s="1172"/>
      <c r="AA71" s="1173"/>
      <c r="AB71" s="1171"/>
      <c r="AC71" s="1172"/>
      <c r="AD71" s="1173"/>
      <c r="AE71" s="1184">
        <f>IF(B71="","",SUM(G71,J71,D71,P71,S71,V71,Y71,AB71,))</f>
        <v>8</v>
      </c>
      <c r="AF71" s="1185"/>
      <c r="AG71" s="1188"/>
      <c r="AH71" s="1174">
        <f>IF(B71="","",RANK(AE71,ГР4О))</f>
        <v>5</v>
      </c>
    </row>
    <row r="72" spans="1:34" ht="12" customHeight="1" x14ac:dyDescent="0.2">
      <c r="A72" s="1164"/>
      <c r="B72" s="1166"/>
      <c r="C72" s="457" t="str">
        <f>IF(B71="","",VLOOKUP(B71,'Списки участников'!A:I,6,FALSE))</f>
        <v>Москва</v>
      </c>
      <c r="D72" s="464">
        <f>IF(M66="","",IF(O66="l","W",O66))</f>
        <v>0</v>
      </c>
      <c r="E72" s="459" t="str">
        <f>IF(N66="","",":")</f>
        <v>:</v>
      </c>
      <c r="F72" s="465">
        <f>IF(O66="","",IF(M66="W","L",M66))</f>
        <v>2</v>
      </c>
      <c r="G72" s="464">
        <f>IF(M68="","",IF(O68="l","W",O68))</f>
        <v>0</v>
      </c>
      <c r="H72" s="459" t="str">
        <f>IF(N68="","",":")</f>
        <v>:</v>
      </c>
      <c r="I72" s="465">
        <f>IF(O68="","",IF(M68="W","L",M68))</f>
        <v>2</v>
      </c>
      <c r="J72" s="464">
        <f>IF(M70="","",IF(O70="l","W",O70))</f>
        <v>1</v>
      </c>
      <c r="K72" s="459" t="str">
        <f>IF(N70="","",":")</f>
        <v>:</v>
      </c>
      <c r="L72" s="465">
        <f>IF(O70="","",IF(M70="W","L",M70))</f>
        <v>2</v>
      </c>
      <c r="M72" s="1190"/>
      <c r="N72" s="1190"/>
      <c r="O72" s="1190"/>
      <c r="P72" s="458">
        <v>2</v>
      </c>
      <c r="Q72" s="459" t="str">
        <f>IF(P71="","",":")</f>
        <v>:</v>
      </c>
      <c r="R72" s="460">
        <v>0</v>
      </c>
      <c r="S72" s="458">
        <v>0</v>
      </c>
      <c r="T72" s="459" t="str">
        <f>IF(S71="","",":")</f>
        <v>:</v>
      </c>
      <c r="U72" s="460">
        <v>2</v>
      </c>
      <c r="V72" s="458">
        <v>2</v>
      </c>
      <c r="W72" s="459" t="str">
        <f>IF(V71="","",":")</f>
        <v>:</v>
      </c>
      <c r="X72" s="460">
        <v>0</v>
      </c>
      <c r="Y72" s="458"/>
      <c r="Z72" s="459" t="str">
        <f>IF(Y72="","",":")</f>
        <v/>
      </c>
      <c r="AA72" s="460"/>
      <c r="AB72" s="458"/>
      <c r="AC72" s="459" t="str">
        <f>IF(AB72="","",":")</f>
        <v/>
      </c>
      <c r="AD72" s="460"/>
      <c r="AE72" s="1186"/>
      <c r="AF72" s="1187"/>
      <c r="AG72" s="1189"/>
      <c r="AH72" s="1174"/>
    </row>
    <row r="73" spans="1:34" ht="12" customHeight="1" x14ac:dyDescent="0.2">
      <c r="A73" s="1163">
        <v>5</v>
      </c>
      <c r="B73" s="1165">
        <f>жеребьевка!Q12</f>
        <v>70</v>
      </c>
      <c r="C73" s="456" t="str">
        <f>IF(B73="","",VLOOKUP(B73,'Списки участников'!A:I,3,FALSE))</f>
        <v>МАСЛАКОВ Антон</v>
      </c>
      <c r="D73" s="1171">
        <f>IF(P65="","",IF(P66="W",0,IF(P65=2,1,IF(P65=1,2,IF(P65=0,2)))))</f>
        <v>1</v>
      </c>
      <c r="E73" s="1172"/>
      <c r="F73" s="1173"/>
      <c r="G73" s="1171">
        <f>IF(P67="","",IF(P68="W",0,IF(P67=2,1,IF(P67=1,2,IF(P67=0,2)))))</f>
        <v>1</v>
      </c>
      <c r="H73" s="1172"/>
      <c r="I73" s="1173"/>
      <c r="J73" s="1171">
        <f>IF(P69="","",IF(P70="W",0,IF(P69=2,1,IF(P69=1,2,IF(P69=0,2)))))</f>
        <v>1</v>
      </c>
      <c r="K73" s="1172"/>
      <c r="L73" s="1173"/>
      <c r="M73" s="1171">
        <f>IF(P71="","",IF(P72="W",0,IF(P71=2,1,IF(P71=1,2,IF(P71=0,2)))))</f>
        <v>1</v>
      </c>
      <c r="N73" s="1172"/>
      <c r="O73" s="1173"/>
      <c r="P73" s="1180"/>
      <c r="Q73" s="1181"/>
      <c r="R73" s="1182"/>
      <c r="S73" s="1171">
        <v>1</v>
      </c>
      <c r="T73" s="1172"/>
      <c r="U73" s="1173"/>
      <c r="V73" s="1171">
        <v>2</v>
      </c>
      <c r="W73" s="1172"/>
      <c r="X73" s="1173"/>
      <c r="Y73" s="1171"/>
      <c r="Z73" s="1172"/>
      <c r="AA73" s="1173"/>
      <c r="AB73" s="1171"/>
      <c r="AC73" s="1172"/>
      <c r="AD73" s="1173"/>
      <c r="AE73" s="1184">
        <f>IF(B73="","",SUM(G73,J73,M73,D73,S73,V73,Y73,AB73,))</f>
        <v>7</v>
      </c>
      <c r="AF73" s="1185"/>
      <c r="AG73" s="1188"/>
      <c r="AH73" s="1174">
        <f>IF(B73="","",RANK(AE73,ГР4О))</f>
        <v>6</v>
      </c>
    </row>
    <row r="74" spans="1:34" ht="12" customHeight="1" x14ac:dyDescent="0.2">
      <c r="A74" s="1164"/>
      <c r="B74" s="1166"/>
      <c r="C74" s="457" t="str">
        <f>IF(B73="","",VLOOKUP(B73,'Списки участников'!A:I,6,FALSE))</f>
        <v>Орехово-Зуево</v>
      </c>
      <c r="D74" s="464">
        <f>IF(P66="","",IF(R66="l","W",R66))</f>
        <v>0</v>
      </c>
      <c r="E74" s="459" t="str">
        <f>IF(Q66="","",":")</f>
        <v>:</v>
      </c>
      <c r="F74" s="465">
        <f>IF(R66="","",IF(P66="W","L",P66))</f>
        <v>2</v>
      </c>
      <c r="G74" s="464">
        <f>IF(P68="","",IF(R68="l","W",R68))</f>
        <v>0</v>
      </c>
      <c r="H74" s="459" t="str">
        <f>IF(Q68="","",":")</f>
        <v>:</v>
      </c>
      <c r="I74" s="465">
        <f>IF(R68="","",IF(P68="W","L",P68))</f>
        <v>2</v>
      </c>
      <c r="J74" s="464">
        <f>IF(P70="","",IF(R70="l","W",R70))</f>
        <v>0</v>
      </c>
      <c r="K74" s="459" t="str">
        <f>IF(Q70="","",":")</f>
        <v>:</v>
      </c>
      <c r="L74" s="465">
        <f>IF(R70="","",IF(P70="W","L",P70))</f>
        <v>2</v>
      </c>
      <c r="M74" s="464">
        <f>IF(P72="","",IF(R72="l","W",R72))</f>
        <v>0</v>
      </c>
      <c r="N74" s="459" t="str">
        <f>IF(Q72="","",":")</f>
        <v>:</v>
      </c>
      <c r="O74" s="465">
        <f>IF(R72="","",IF(P72="W","L",P72))</f>
        <v>2</v>
      </c>
      <c r="P74" s="1183"/>
      <c r="Q74" s="1169"/>
      <c r="R74" s="1170"/>
      <c r="S74" s="458">
        <v>0</v>
      </c>
      <c r="T74" s="459" t="str">
        <f>IF(S73="","",":")</f>
        <v>:</v>
      </c>
      <c r="U74" s="460">
        <v>2</v>
      </c>
      <c r="V74" s="458">
        <v>2</v>
      </c>
      <c r="W74" s="459" t="str">
        <f>IF(V73="","",":")</f>
        <v>:</v>
      </c>
      <c r="X74" s="460">
        <v>1</v>
      </c>
      <c r="Y74" s="458"/>
      <c r="Z74" s="459" t="str">
        <f>IF(Y73="","",":")</f>
        <v/>
      </c>
      <c r="AA74" s="460"/>
      <c r="AB74" s="458"/>
      <c r="AC74" s="459" t="str">
        <f>IF(AB74="","",":")</f>
        <v/>
      </c>
      <c r="AD74" s="460"/>
      <c r="AE74" s="1186"/>
      <c r="AF74" s="1187"/>
      <c r="AG74" s="1189"/>
      <c r="AH74" s="1174"/>
    </row>
    <row r="75" spans="1:34" ht="12" customHeight="1" x14ac:dyDescent="0.2">
      <c r="A75" s="1163">
        <v>6</v>
      </c>
      <c r="B75" s="1165">
        <v>101</v>
      </c>
      <c r="C75" s="456" t="s">
        <v>12010</v>
      </c>
      <c r="D75" s="1171">
        <f>IF(S65="","",IF(S66="W",0,IF(S65=2,1,IF(S65=1,2,IF(S65=0,2)))))</f>
        <v>1</v>
      </c>
      <c r="E75" s="1172"/>
      <c r="F75" s="1173"/>
      <c r="G75" s="1171">
        <f>IF(S67="","",IF(S68="W",0,IF(S67=2,1,IF(S67=1,2,IF(S67=0,2)))))</f>
        <v>1</v>
      </c>
      <c r="H75" s="1172"/>
      <c r="I75" s="1173"/>
      <c r="J75" s="1171">
        <f>IF(S69="","",IF(S70="W",0,IF(S69=2,1,IF(S69=1,2,IF(S69=0,2)))))</f>
        <v>1</v>
      </c>
      <c r="K75" s="1172"/>
      <c r="L75" s="1173"/>
      <c r="M75" s="1171">
        <f>IF(S71="","",IF(S72="W",0,IF(S71=2,1,IF(S71=1,2,IF(S71=0,2)))))</f>
        <v>2</v>
      </c>
      <c r="N75" s="1172"/>
      <c r="O75" s="1173"/>
      <c r="P75" s="1171">
        <f>IF(S73="","",IF(S74="W",0,IF(S73=2,1,IF(S73=1,2,IF(S73=0,2)))))</f>
        <v>2</v>
      </c>
      <c r="Q75" s="1172"/>
      <c r="R75" s="1173"/>
      <c r="S75" s="1180"/>
      <c r="T75" s="1181"/>
      <c r="U75" s="1182"/>
      <c r="V75" s="1171">
        <v>2</v>
      </c>
      <c r="W75" s="1172"/>
      <c r="X75" s="1173"/>
      <c r="Y75" s="1171"/>
      <c r="Z75" s="1172"/>
      <c r="AA75" s="1173"/>
      <c r="AB75" s="1171"/>
      <c r="AC75" s="1172"/>
      <c r="AD75" s="1173"/>
      <c r="AE75" s="1184">
        <f>IF(B75="","",SUM(G75,J75,M75,P75,D75,V75,Y75,AB75,))</f>
        <v>9</v>
      </c>
      <c r="AF75" s="1185"/>
      <c r="AG75" s="1188"/>
      <c r="AH75" s="1174">
        <f>IF(B75="","",RANK(AE75,ГР4О))</f>
        <v>4</v>
      </c>
    </row>
    <row r="76" spans="1:34" ht="12" customHeight="1" x14ac:dyDescent="0.2">
      <c r="A76" s="1164"/>
      <c r="B76" s="1166"/>
      <c r="C76" s="457" t="str">
        <f>IF(B75="","",VLOOKUP(B75,'Списки участников'!A:I,6,FALSE))</f>
        <v>Москва</v>
      </c>
      <c r="D76" s="464">
        <f>IF(S66="","",IF(U66="l","W",U66))</f>
        <v>0</v>
      </c>
      <c r="E76" s="459" t="str">
        <f>IF(T66="","",":")</f>
        <v>:</v>
      </c>
      <c r="F76" s="465">
        <f>IF(U66="","",IF(S66="W","L",S66))</f>
        <v>2</v>
      </c>
      <c r="G76" s="464">
        <f>IF(S68="","",IF(U68="l","W",U68))</f>
        <v>0</v>
      </c>
      <c r="H76" s="459" t="str">
        <f>IF(T68="","",":")</f>
        <v>:</v>
      </c>
      <c r="I76" s="465">
        <f>IF(U68="","",IF(S68="W","L",S68))</f>
        <v>2</v>
      </c>
      <c r="J76" s="464">
        <f>IF(S70="","",IF(U70="l","W",U70))</f>
        <v>0</v>
      </c>
      <c r="K76" s="459" t="str">
        <f>IF(T70="","",":")</f>
        <v>:</v>
      </c>
      <c r="L76" s="465">
        <f>IF(U70="","",IF(S70="W","L",S70))</f>
        <v>2</v>
      </c>
      <c r="M76" s="464">
        <f>IF(S72="","",IF(U72="l","W",U72))</f>
        <v>2</v>
      </c>
      <c r="N76" s="459" t="str">
        <f>IF(T72="","",":")</f>
        <v>:</v>
      </c>
      <c r="O76" s="465">
        <f>IF(U72="","",IF(S72="W","L",S72))</f>
        <v>0</v>
      </c>
      <c r="P76" s="464">
        <f>IF(S74="","",IF(U74="l","W",U74))</f>
        <v>2</v>
      </c>
      <c r="Q76" s="459" t="str">
        <f>IF(T74="","",":")</f>
        <v>:</v>
      </c>
      <c r="R76" s="465">
        <f>IF(U74="","",IF(S74="W","L",S74))</f>
        <v>0</v>
      </c>
      <c r="S76" s="1183"/>
      <c r="T76" s="1169"/>
      <c r="U76" s="1170"/>
      <c r="V76" s="458">
        <v>2</v>
      </c>
      <c r="W76" s="1035" t="s">
        <v>12173</v>
      </c>
      <c r="X76" s="460">
        <v>1</v>
      </c>
      <c r="Y76" s="458"/>
      <c r="Z76" s="459" t="str">
        <f>IF(Y75="","",":")</f>
        <v/>
      </c>
      <c r="AA76" s="460"/>
      <c r="AB76" s="458"/>
      <c r="AC76" s="459" t="str">
        <f>IF(AB75="","",":")</f>
        <v/>
      </c>
      <c r="AD76" s="460"/>
      <c r="AE76" s="1186"/>
      <c r="AF76" s="1187"/>
      <c r="AG76" s="1189"/>
      <c r="AH76" s="1174"/>
    </row>
    <row r="77" spans="1:34" ht="12" customHeight="1" x14ac:dyDescent="0.2">
      <c r="A77" s="1163">
        <v>7</v>
      </c>
      <c r="B77" s="1165">
        <f>жеребьевка!Q16</f>
        <v>107</v>
      </c>
      <c r="C77" s="456" t="str">
        <f>IF(B77="","",VLOOKUP(B77,'Списки участников'!A:I,3,FALSE))</f>
        <v>ПОПОВ Максим</v>
      </c>
      <c r="D77" s="1171">
        <f>IF(V65="","",IF(V66="W",0,IF(V65=2,1,IF(V65=1,2,IF(V65=0,2)))))</f>
        <v>1</v>
      </c>
      <c r="E77" s="1172"/>
      <c r="F77" s="1173"/>
      <c r="G77" s="1171">
        <f>IF(V67="","",IF(V68="W",0,IF(V67=2,1,IF(V67=1,2,IF(V67=0,2)))))</f>
        <v>1</v>
      </c>
      <c r="H77" s="1172"/>
      <c r="I77" s="1173"/>
      <c r="J77" s="1171">
        <f>IF(V69="","",IF(V70="W",0,IF(V69=2,1,IF(V69=1,2,IF(V69=0,2)))))</f>
        <v>1</v>
      </c>
      <c r="K77" s="1172"/>
      <c r="L77" s="1173"/>
      <c r="M77" s="1171">
        <f>IF(V71="","",IF(V72="W",0,IF(V71=2,1,IF(V71=1,2,IF(V71=0,2)))))</f>
        <v>1</v>
      </c>
      <c r="N77" s="1172"/>
      <c r="O77" s="1173"/>
      <c r="P77" s="1171">
        <f>IF(V73="","",IF(V74="W",0,IF(V73=2,1,IF(V73=1,2,IF(V73=0,2)))))</f>
        <v>1</v>
      </c>
      <c r="Q77" s="1172"/>
      <c r="R77" s="1173"/>
      <c r="S77" s="1171">
        <f>IF(V75="","",IF(V76="W",0,IF(V75=2,1,IF(V75=1,2,IF(V75=0,2)))))</f>
        <v>1</v>
      </c>
      <c r="T77" s="1172"/>
      <c r="U77" s="1173"/>
      <c r="V77" s="1191"/>
      <c r="W77" s="1167"/>
      <c r="X77" s="1168"/>
      <c r="Y77" s="1171"/>
      <c r="Z77" s="1172"/>
      <c r="AA77" s="1173"/>
      <c r="AB77" s="1171"/>
      <c r="AC77" s="1172"/>
      <c r="AD77" s="1173"/>
      <c r="AE77" s="1184">
        <f>IF(B77="","",SUM(G77,J77,M77,P77,S77,D77,Y77,AB77,))</f>
        <v>6</v>
      </c>
      <c r="AF77" s="1185"/>
      <c r="AG77" s="1188"/>
      <c r="AH77" s="1174">
        <f>IF(B77="","",RANK(AE77,ГР4О))</f>
        <v>7</v>
      </c>
    </row>
    <row r="78" spans="1:34" ht="12" customHeight="1" x14ac:dyDescent="0.2">
      <c r="A78" s="1164"/>
      <c r="B78" s="1166"/>
      <c r="C78" s="457" t="str">
        <f>IF(B77="","",VLOOKUP(B77,'Списки участников'!A:I,6,FALSE))</f>
        <v>Электросталь</v>
      </c>
      <c r="D78" s="464">
        <f>IF(V66="","",IF(X66="l","W",X66))</f>
        <v>0</v>
      </c>
      <c r="E78" s="459" t="str">
        <f>IF(W66="","",":")</f>
        <v>:</v>
      </c>
      <c r="F78" s="465">
        <f>IF(X66="","",IF(V66="W","L",V66))</f>
        <v>2</v>
      </c>
      <c r="G78" s="464">
        <f>IF(V68="","",IF(X68="l","W",X68))</f>
        <v>0</v>
      </c>
      <c r="H78" s="459" t="str">
        <f>IF(W68="","",":")</f>
        <v>:</v>
      </c>
      <c r="I78" s="465">
        <f>IF(X68="","",IF(V68="W","L",V68))</f>
        <v>2</v>
      </c>
      <c r="J78" s="464">
        <f>IF(V70="","",IF(X70="l","W",X70))</f>
        <v>0</v>
      </c>
      <c r="K78" s="459" t="str">
        <f>IF(W70="","",":")</f>
        <v>:</v>
      </c>
      <c r="L78" s="465">
        <f>IF(X70="","",IF(V70="W","L",V70))</f>
        <v>2</v>
      </c>
      <c r="M78" s="464">
        <f>IF(V72="","",IF(X72="l","W",X72))</f>
        <v>0</v>
      </c>
      <c r="N78" s="459" t="str">
        <f>IF(W72="","",":")</f>
        <v>:</v>
      </c>
      <c r="O78" s="465">
        <f>IF(X72="","",IF(V72="W","L",V72))</f>
        <v>2</v>
      </c>
      <c r="P78" s="464">
        <f>IF(V74="","",IF(X74="l","W",X74))</f>
        <v>1</v>
      </c>
      <c r="Q78" s="459" t="str">
        <f>IF(W74="","",":")</f>
        <v>:</v>
      </c>
      <c r="R78" s="465">
        <f>IF(X74="","",IF(V74="W","L",V74))</f>
        <v>2</v>
      </c>
      <c r="S78" s="464">
        <f>IF(V76="","",IF(X76="l","W",X76))</f>
        <v>1</v>
      </c>
      <c r="T78" s="459" t="str">
        <f>IF(W76="","",":")</f>
        <v>:</v>
      </c>
      <c r="U78" s="465">
        <f>IF(X76="","",IF(V76="W","L",V76))</f>
        <v>2</v>
      </c>
      <c r="V78" s="1183"/>
      <c r="W78" s="1169"/>
      <c r="X78" s="1170"/>
      <c r="Y78" s="458"/>
      <c r="Z78" s="459" t="str">
        <f>IF(Y77="","",":")</f>
        <v/>
      </c>
      <c r="AA78" s="460"/>
      <c r="AB78" s="458"/>
      <c r="AC78" s="459" t="str">
        <f>IF(AB77="","",":")</f>
        <v/>
      </c>
      <c r="AD78" s="460"/>
      <c r="AE78" s="1186"/>
      <c r="AF78" s="1187"/>
      <c r="AG78" s="1189"/>
      <c r="AH78" s="1174"/>
    </row>
    <row r="79" spans="1:34" ht="12" customHeight="1" x14ac:dyDescent="0.2">
      <c r="A79" s="1163">
        <v>8</v>
      </c>
      <c r="B79" s="1165"/>
      <c r="C79" s="456" t="str">
        <f>IF(B79="","",VLOOKUP(B79,'Списки участников'!A:I,3,FALSE))</f>
        <v/>
      </c>
      <c r="D79" s="1171" t="str">
        <f>IF(Y65="","",IF(Y66="W",0,IF(Y65=2,1,IF(Y65=1,2,IF(Y65=0,2)))))</f>
        <v/>
      </c>
      <c r="E79" s="1172"/>
      <c r="F79" s="1173"/>
      <c r="G79" s="1171" t="str">
        <f>IF(Y67="","",IF(Y68="W",0,IF(Y67=2,1,IF(Y67=1,2,IF(Y67=0,2)))))</f>
        <v/>
      </c>
      <c r="H79" s="1172"/>
      <c r="I79" s="1173"/>
      <c r="J79" s="1171" t="str">
        <f>IF(Y69="","",IF(Y70="W",0,IF(Y69=2,1,IF(Y69=1,2,IF(Y69=0,2)))))</f>
        <v/>
      </c>
      <c r="K79" s="1172"/>
      <c r="L79" s="1173"/>
      <c r="M79" s="1171" t="str">
        <f>IF(Y71="","",IF(Y72="W",0,IF(Y71=2,1,IF(Y71=1,2,IF(Y71=0,2)))))</f>
        <v/>
      </c>
      <c r="N79" s="1172"/>
      <c r="O79" s="1173"/>
      <c r="P79" s="1171" t="str">
        <f>IF(Y73="","",IF(Y74="W",0,IF(Y73=2,1,IF(Y73=1,2,IF(Y73=0,2)))))</f>
        <v/>
      </c>
      <c r="Q79" s="1172"/>
      <c r="R79" s="1173"/>
      <c r="S79" s="1171" t="str">
        <f>IF(Y75="","",IF(Y76="W",0,IF(Y75=2,1,IF(Y75=1,2,IF(Y75=0,2)))))</f>
        <v/>
      </c>
      <c r="T79" s="1172"/>
      <c r="U79" s="1173"/>
      <c r="V79" s="1171" t="str">
        <f>IF(Y77="","",IF(Y78="W",0,IF(Y77=2,1,IF(Y77=1,2,IF(Y77=0,2)))))</f>
        <v/>
      </c>
      <c r="W79" s="1172"/>
      <c r="X79" s="1173"/>
      <c r="Y79" s="1180"/>
      <c r="Z79" s="1181"/>
      <c r="AA79" s="1182"/>
      <c r="AB79" s="1171"/>
      <c r="AC79" s="1172"/>
      <c r="AD79" s="1173"/>
      <c r="AE79" s="1184" t="str">
        <f>IF(B79="","",SUM(G79,J79,M79,P79,S79,V79,D79,AB79,))</f>
        <v/>
      </c>
      <c r="AF79" s="1185"/>
      <c r="AG79" s="1188"/>
      <c r="AH79" s="1174" t="str">
        <f>IF(B79="","",RANK(AE79,ГР4О))</f>
        <v/>
      </c>
    </row>
    <row r="80" spans="1:34" ht="12" customHeight="1" x14ac:dyDescent="0.2">
      <c r="A80" s="1164"/>
      <c r="B80" s="1166"/>
      <c r="C80" s="457" t="str">
        <f>IF(B79="","",VLOOKUP(B79,'Списки участников'!A:I,6,FALSE))</f>
        <v/>
      </c>
      <c r="D80" s="464" t="str">
        <f>IF(Y66="","",IF(AA66="l","W",AA66))</f>
        <v/>
      </c>
      <c r="E80" s="459" t="str">
        <f>IF(Z66="","",":")</f>
        <v/>
      </c>
      <c r="F80" s="465" t="str">
        <f>IF(AA66="","",IF(Y66="W","L",Y66))</f>
        <v/>
      </c>
      <c r="G80" s="464" t="str">
        <f>IF(Y68="","",IF(AA68="l","W",AA68))</f>
        <v/>
      </c>
      <c r="H80" s="459" t="str">
        <f>IF(Z68="","",":")</f>
        <v/>
      </c>
      <c r="I80" s="465" t="str">
        <f>IF(AA68="","",IF(Y68="W","L",Y68))</f>
        <v/>
      </c>
      <c r="J80" s="464" t="str">
        <f>IF(Y70="","",IF(AA70="l","W",AA70))</f>
        <v/>
      </c>
      <c r="K80" s="459" t="str">
        <f>IF(Z70="","",":")</f>
        <v/>
      </c>
      <c r="L80" s="465" t="str">
        <f>IF(AA70="","",IF(Y70="W","L",Y70))</f>
        <v/>
      </c>
      <c r="M80" s="464" t="str">
        <f>IF(Y72="","",IF(AA72="l","W",AA72))</f>
        <v/>
      </c>
      <c r="N80" s="459" t="str">
        <f>IF(Z72="","",":")</f>
        <v/>
      </c>
      <c r="O80" s="465" t="str">
        <f>IF(AA72="","",IF(Y72="W","L",Y72))</f>
        <v/>
      </c>
      <c r="P80" s="464" t="str">
        <f>IF(Y74="","",IF(AA74="l","W",AA74))</f>
        <v/>
      </c>
      <c r="Q80" s="459" t="str">
        <f>IF(Z74="","",":")</f>
        <v/>
      </c>
      <c r="R80" s="465" t="str">
        <f>IF(AA74="","",IF(Y74="W","L",Y74))</f>
        <v/>
      </c>
      <c r="S80" s="464" t="str">
        <f>IF(Y76="","",IF(AA76="l","W",AA76))</f>
        <v/>
      </c>
      <c r="T80" s="459" t="str">
        <f>IF(Z76="","",":")</f>
        <v/>
      </c>
      <c r="U80" s="465" t="str">
        <f>IF(AA76="","",IF(Y76="W","L",Y76))</f>
        <v/>
      </c>
      <c r="V80" s="464" t="str">
        <f>IF(Y78="","",IF(AA78="l","W",AA78))</f>
        <v/>
      </c>
      <c r="W80" s="459" t="str">
        <f>IF(Z78="","",":")</f>
        <v/>
      </c>
      <c r="X80" s="465" t="str">
        <f>IF(AA78="","",IF(Y78="W","L",Y78))</f>
        <v/>
      </c>
      <c r="Y80" s="1183"/>
      <c r="Z80" s="1169"/>
      <c r="AA80" s="1170"/>
      <c r="AB80" s="458"/>
      <c r="AC80" s="459" t="str">
        <f>IF(AB79="","",":")</f>
        <v/>
      </c>
      <c r="AD80" s="460"/>
      <c r="AE80" s="1186"/>
      <c r="AF80" s="1187"/>
      <c r="AG80" s="1189"/>
      <c r="AH80" s="1174"/>
    </row>
    <row r="81" spans="1:34" ht="12" hidden="1" customHeight="1" outlineLevel="1" x14ac:dyDescent="0.2">
      <c r="A81" s="1163">
        <v>9</v>
      </c>
      <c r="B81" s="1165">
        <f>жеребьевка!Q20</f>
        <v>0</v>
      </c>
      <c r="C81" s="456" t="e">
        <f>IF(B81="","",VLOOKUP(B81,'Списки участников'!A:I,3,FALSE))</f>
        <v>#N/A</v>
      </c>
      <c r="D81" s="1171" t="str">
        <f>IF(AB65="","",IF(AB66="W",0,IF(AB65=2,1,IF(AB65=1,2,IF(AB65=0,2)))))</f>
        <v/>
      </c>
      <c r="E81" s="1172"/>
      <c r="F81" s="1173"/>
      <c r="G81" s="1171" t="str">
        <f>IF(AB67="","",IF(AB68="W",0,IF(AB67=2,1,IF(AB67=1,2,IF(AB67=0,2)))))</f>
        <v/>
      </c>
      <c r="H81" s="1172"/>
      <c r="I81" s="1173"/>
      <c r="J81" s="1171" t="str">
        <f>IF(AB69="","",IF(AB70="W",0,IF(AB69=2,1,IF(AB69=1,2,IF(AB69=0,2)))))</f>
        <v/>
      </c>
      <c r="K81" s="1172"/>
      <c r="L81" s="1173"/>
      <c r="M81" s="1171" t="str">
        <f>IF(AB71="","",IF(AB72="W",0,IF(AB71=2,1,IF(AB71=1,2,IF(AB71=0,2)))))</f>
        <v/>
      </c>
      <c r="N81" s="1172"/>
      <c r="O81" s="1173"/>
      <c r="P81" s="1171" t="str">
        <f>IF(AB73="","",IF(AB74="W",0,IF(AB73=2,1,IF(AB73=1,2,IF(AB73=0,2)))))</f>
        <v/>
      </c>
      <c r="Q81" s="1172"/>
      <c r="R81" s="1173"/>
      <c r="S81" s="1171" t="str">
        <f>IF(AB75="","",IF(AB76="W",0,IF(AB75=2,1,IF(AB75=1,2,IF(AB75=0,2)))))</f>
        <v/>
      </c>
      <c r="T81" s="1172"/>
      <c r="U81" s="1173"/>
      <c r="V81" s="1171" t="str">
        <f>IF(AB77="","",IF(AB78="W",0,IF(AB77=2,1,IF(AB77=1,2,IF(AB77=0,2)))))</f>
        <v/>
      </c>
      <c r="W81" s="1172"/>
      <c r="X81" s="1173"/>
      <c r="Y81" s="1171" t="str">
        <f>IF(AB79="","",IF(AB80="W",0,IF(AB79=2,1,IF(AB79=1,2,IF(AB79=0,2)))))</f>
        <v/>
      </c>
      <c r="Z81" s="1172"/>
      <c r="AA81" s="1173"/>
      <c r="AB81" s="1191"/>
      <c r="AC81" s="1167"/>
      <c r="AD81" s="1168"/>
      <c r="AE81" s="1184">
        <f>IF(B81="","",SUM(G81,J81,M81,P81,S81,V81,Y81,D81,))</f>
        <v>0</v>
      </c>
      <c r="AF81" s="1185"/>
      <c r="AG81" s="1188"/>
      <c r="AH81" s="1174">
        <f>IF(B81="","",RANK(AE81,ГР4О))</f>
        <v>8</v>
      </c>
    </row>
    <row r="82" spans="1:34" ht="12" hidden="1" customHeight="1" outlineLevel="1" x14ac:dyDescent="0.2">
      <c r="A82" s="1164"/>
      <c r="B82" s="1166"/>
      <c r="C82" s="457" t="e">
        <f>IF(B81="","",VLOOKUP(B81,'Списки участников'!A:I,6,FALSE))</f>
        <v>#N/A</v>
      </c>
      <c r="D82" s="464" t="str">
        <f>IF(AB66="","",IF(AD66="l","W",AD66))</f>
        <v/>
      </c>
      <c r="E82" s="459" t="str">
        <f>IF(AC66="","",":")</f>
        <v/>
      </c>
      <c r="F82" s="465" t="str">
        <f>IF(AD66="","",IF(AB66="W","L",AB66))</f>
        <v/>
      </c>
      <c r="G82" s="464" t="str">
        <f>IF(AB68="","",IF(AD68="l","W",AD68))</f>
        <v/>
      </c>
      <c r="H82" s="459" t="str">
        <f>IF(AC68="","",":")</f>
        <v/>
      </c>
      <c r="I82" s="465" t="str">
        <f>IF(AD68="","",IF(AB68="W","L",AB68))</f>
        <v/>
      </c>
      <c r="J82" s="464" t="str">
        <f>IF(AB70="","",IF(AD70="l","W",AD70))</f>
        <v/>
      </c>
      <c r="K82" s="459" t="str">
        <f>IF(AC70="","",":")</f>
        <v/>
      </c>
      <c r="L82" s="465" t="str">
        <f>IF(AD70="","",IF(AB70="W","L",AB70))</f>
        <v/>
      </c>
      <c r="M82" s="464" t="str">
        <f>IF(AB72="","",IF(AD72="l","W",AD72))</f>
        <v/>
      </c>
      <c r="N82" s="459" t="str">
        <f>IF(AC72="","",":")</f>
        <v/>
      </c>
      <c r="O82" s="465" t="str">
        <f>IF(AD72="","",IF(AB72="W","L",AB72))</f>
        <v/>
      </c>
      <c r="P82" s="464" t="str">
        <f>IF(AB74="","",IF(AD74="l","W",AD74))</f>
        <v/>
      </c>
      <c r="Q82" s="459" t="str">
        <f>IF(AC74="","",":")</f>
        <v/>
      </c>
      <c r="R82" s="465" t="str">
        <f>IF(AD74="","",IF(AB74="W","L",AB74))</f>
        <v/>
      </c>
      <c r="S82" s="464" t="str">
        <f>IF(AB76="","",IF(AD76="l","W",AD76))</f>
        <v/>
      </c>
      <c r="T82" s="459" t="str">
        <f>IF(AC76="","",":")</f>
        <v/>
      </c>
      <c r="U82" s="465" t="str">
        <f>IF(AD76="","",IF(AB76="W","L",AB76))</f>
        <v/>
      </c>
      <c r="V82" s="464" t="str">
        <f>IF(AB78="","",IF(AD78="l","W",AD78))</f>
        <v/>
      </c>
      <c r="W82" s="459" t="str">
        <f>IF(AC78="","",":")</f>
        <v/>
      </c>
      <c r="X82" s="465" t="str">
        <f>IF(AD78="","",IF(AB78="W","L",AB78))</f>
        <v/>
      </c>
      <c r="Y82" s="464" t="str">
        <f>IF(AB80="","",IF(AD80="l","W",AD80))</f>
        <v/>
      </c>
      <c r="Z82" s="459" t="str">
        <f>IF(AC80="","",":")</f>
        <v/>
      </c>
      <c r="AA82" s="465" t="str">
        <f>IF(AD80="","",IF(AB80="W","L",AB80))</f>
        <v/>
      </c>
      <c r="AB82" s="1183"/>
      <c r="AC82" s="1169"/>
      <c r="AD82" s="1170"/>
      <c r="AE82" s="1186"/>
      <c r="AF82" s="1187"/>
      <c r="AG82" s="1189"/>
      <c r="AH82" s="1174"/>
    </row>
    <row r="83" spans="1:34" collapsed="1" x14ac:dyDescent="0.2"/>
    <row r="84" spans="1:34" ht="15.75" x14ac:dyDescent="0.25">
      <c r="C84" s="468" t="s">
        <v>791</v>
      </c>
      <c r="D84" s="1198" t="str">
        <f>'Списки участников'!I121</f>
        <v>В.А. Коваль</v>
      </c>
      <c r="E84" s="1198"/>
      <c r="F84" s="1198"/>
      <c r="G84" s="1198"/>
      <c r="H84" s="1198"/>
      <c r="I84" s="1198"/>
      <c r="J84" s="1198"/>
      <c r="K84" s="1198"/>
      <c r="L84" s="468"/>
      <c r="M84" s="468"/>
      <c r="N84" s="468"/>
      <c r="O84" s="468"/>
      <c r="P84" s="468"/>
      <c r="Q84" s="1198" t="s">
        <v>792</v>
      </c>
      <c r="R84" s="1198"/>
      <c r="S84" s="1198"/>
      <c r="T84" s="1198"/>
      <c r="U84" s="1198"/>
      <c r="V84" s="1198"/>
      <c r="W84" s="1198"/>
      <c r="X84" s="1198"/>
      <c r="Y84" s="468"/>
      <c r="Z84" s="468"/>
      <c r="AA84" s="468"/>
      <c r="AB84" s="468"/>
      <c r="AC84" s="1198" t="str">
        <f>'Списки участников'!I122</f>
        <v>А.С. Рожкова</v>
      </c>
      <c r="AD84" s="1198"/>
      <c r="AE84" s="1198"/>
      <c r="AF84" s="1198"/>
      <c r="AG84" s="1198"/>
    </row>
  </sheetData>
  <mergeCells count="554">
    <mergeCell ref="D84:K84"/>
    <mergeCell ref="Q84:X84"/>
    <mergeCell ref="AC84:AG84"/>
    <mergeCell ref="M81:O81"/>
    <mergeCell ref="P81:R81"/>
    <mergeCell ref="AB81:AD82"/>
    <mergeCell ref="AE79:AF80"/>
    <mergeCell ref="AG79:AG80"/>
    <mergeCell ref="AE81:AF82"/>
    <mergeCell ref="AG81:AG82"/>
    <mergeCell ref="AH81:AH82"/>
    <mergeCell ref="P79:R79"/>
    <mergeCell ref="S81:U81"/>
    <mergeCell ref="V81:X81"/>
    <mergeCell ref="AH79:AH80"/>
    <mergeCell ref="S79:U79"/>
    <mergeCell ref="A81:A82"/>
    <mergeCell ref="B81:B82"/>
    <mergeCell ref="D81:F81"/>
    <mergeCell ref="G81:I81"/>
    <mergeCell ref="J81:L81"/>
    <mergeCell ref="Y81:AA81"/>
    <mergeCell ref="A79:A80"/>
    <mergeCell ref="B79:B80"/>
    <mergeCell ref="D79:F79"/>
    <mergeCell ref="G79:I79"/>
    <mergeCell ref="J79:L79"/>
    <mergeCell ref="M79:O79"/>
    <mergeCell ref="V79:X79"/>
    <mergeCell ref="S77:U77"/>
    <mergeCell ref="V77:X78"/>
    <mergeCell ref="Y77:AA77"/>
    <mergeCell ref="AB77:AD77"/>
    <mergeCell ref="Y79:AA80"/>
    <mergeCell ref="AB79:AD79"/>
    <mergeCell ref="AE75:AF76"/>
    <mergeCell ref="AG75:AG76"/>
    <mergeCell ref="AH75:AH76"/>
    <mergeCell ref="A77:A78"/>
    <mergeCell ref="B77:B78"/>
    <mergeCell ref="D77:F77"/>
    <mergeCell ref="G77:I77"/>
    <mergeCell ref="J77:L77"/>
    <mergeCell ref="AH77:AH78"/>
    <mergeCell ref="AE73:AF74"/>
    <mergeCell ref="AG73:AG74"/>
    <mergeCell ref="M77:O77"/>
    <mergeCell ref="P77:R77"/>
    <mergeCell ref="M75:O75"/>
    <mergeCell ref="P75:R75"/>
    <mergeCell ref="S75:U76"/>
    <mergeCell ref="V75:X75"/>
    <mergeCell ref="AE77:AF78"/>
    <mergeCell ref="AG77:AG78"/>
    <mergeCell ref="AH73:AH74"/>
    <mergeCell ref="A75:A76"/>
    <mergeCell ref="B75:B76"/>
    <mergeCell ref="D75:F75"/>
    <mergeCell ref="G75:I75"/>
    <mergeCell ref="J75:L75"/>
    <mergeCell ref="Y75:AA75"/>
    <mergeCell ref="AB75:AD75"/>
    <mergeCell ref="Y73:AA73"/>
    <mergeCell ref="AB73:AD73"/>
    <mergeCell ref="AH71:AH72"/>
    <mergeCell ref="A73:A74"/>
    <mergeCell ref="B73:B74"/>
    <mergeCell ref="D73:F73"/>
    <mergeCell ref="G73:I73"/>
    <mergeCell ref="J73:L73"/>
    <mergeCell ref="M73:O73"/>
    <mergeCell ref="P73:R74"/>
    <mergeCell ref="S73:U73"/>
    <mergeCell ref="V73:X73"/>
    <mergeCell ref="S71:U71"/>
    <mergeCell ref="V71:X71"/>
    <mergeCell ref="Y71:AA71"/>
    <mergeCell ref="AB71:AD71"/>
    <mergeCell ref="AE71:AF72"/>
    <mergeCell ref="AG71:AG72"/>
    <mergeCell ref="A71:A72"/>
    <mergeCell ref="B71:B72"/>
    <mergeCell ref="D71:F71"/>
    <mergeCell ref="G71:I71"/>
    <mergeCell ref="J71:L71"/>
    <mergeCell ref="M71:O72"/>
    <mergeCell ref="P71:R71"/>
    <mergeCell ref="M69:O69"/>
    <mergeCell ref="P69:R69"/>
    <mergeCell ref="AB67:AD67"/>
    <mergeCell ref="AE67:AF68"/>
    <mergeCell ref="AG67:AG68"/>
    <mergeCell ref="AH67:AH68"/>
    <mergeCell ref="A69:A70"/>
    <mergeCell ref="B69:B70"/>
    <mergeCell ref="D69:F69"/>
    <mergeCell ref="G69:I69"/>
    <mergeCell ref="J69:L70"/>
    <mergeCell ref="AE69:AF70"/>
    <mergeCell ref="AG69:AG70"/>
    <mergeCell ref="AH69:AH70"/>
    <mergeCell ref="S69:U69"/>
    <mergeCell ref="V69:X69"/>
    <mergeCell ref="Y69:AA69"/>
    <mergeCell ref="AB69:AD69"/>
    <mergeCell ref="A65:A66"/>
    <mergeCell ref="B65:B66"/>
    <mergeCell ref="D65:F66"/>
    <mergeCell ref="G65:I65"/>
    <mergeCell ref="J65:L65"/>
    <mergeCell ref="M65:O65"/>
    <mergeCell ref="P65:R65"/>
    <mergeCell ref="AH65:AH66"/>
    <mergeCell ref="A67:A68"/>
    <mergeCell ref="B67:B68"/>
    <mergeCell ref="D67:F67"/>
    <mergeCell ref="G67:I68"/>
    <mergeCell ref="J67:L67"/>
    <mergeCell ref="M67:O67"/>
    <mergeCell ref="P67:R67"/>
    <mergeCell ref="S67:U67"/>
    <mergeCell ref="V67:X67"/>
    <mergeCell ref="S65:U65"/>
    <mergeCell ref="V65:X65"/>
    <mergeCell ref="Y65:AA65"/>
    <mergeCell ref="AB65:AD65"/>
    <mergeCell ref="AE65:AF66"/>
    <mergeCell ref="AG65:AG66"/>
    <mergeCell ref="Y67:AA67"/>
    <mergeCell ref="AG61:AG62"/>
    <mergeCell ref="AH61:AH62"/>
    <mergeCell ref="G63:AA63"/>
    <mergeCell ref="D64:F64"/>
    <mergeCell ref="G64:I64"/>
    <mergeCell ref="J64:L64"/>
    <mergeCell ref="M64:O64"/>
    <mergeCell ref="P64:R64"/>
    <mergeCell ref="S64:U64"/>
    <mergeCell ref="V64:X64"/>
    <mergeCell ref="P61:R61"/>
    <mergeCell ref="S61:U61"/>
    <mergeCell ref="V61:X61"/>
    <mergeCell ref="Y61:AA61"/>
    <mergeCell ref="AB61:AD62"/>
    <mergeCell ref="AE61:AF62"/>
    <mergeCell ref="Y64:AA64"/>
    <mergeCell ref="AB64:AD64"/>
    <mergeCell ref="AE64:AF64"/>
    <mergeCell ref="A61:A62"/>
    <mergeCell ref="B61:B62"/>
    <mergeCell ref="D61:F61"/>
    <mergeCell ref="G61:I61"/>
    <mergeCell ref="J61:L61"/>
    <mergeCell ref="M61:O61"/>
    <mergeCell ref="V59:X59"/>
    <mergeCell ref="Y59:AA60"/>
    <mergeCell ref="AB59:AD59"/>
    <mergeCell ref="AE59:AF60"/>
    <mergeCell ref="AG59:AG60"/>
    <mergeCell ref="AH59:AH60"/>
    <mergeCell ref="AG57:AG58"/>
    <mergeCell ref="AH57:AH58"/>
    <mergeCell ref="A59:A60"/>
    <mergeCell ref="B59:B60"/>
    <mergeCell ref="D59:F59"/>
    <mergeCell ref="G59:I59"/>
    <mergeCell ref="J59:L59"/>
    <mergeCell ref="M59:O59"/>
    <mergeCell ref="P59:R59"/>
    <mergeCell ref="S59:U59"/>
    <mergeCell ref="P57:R57"/>
    <mergeCell ref="S57:U57"/>
    <mergeCell ref="V57:X58"/>
    <mergeCell ref="Y57:AA57"/>
    <mergeCell ref="AB57:AD57"/>
    <mergeCell ref="AE57:AF58"/>
    <mergeCell ref="A57:A58"/>
    <mergeCell ref="B57:B58"/>
    <mergeCell ref="D57:F57"/>
    <mergeCell ref="G57:I57"/>
    <mergeCell ref="J57:L57"/>
    <mergeCell ref="M57:O57"/>
    <mergeCell ref="V55:X55"/>
    <mergeCell ref="Y55:AA55"/>
    <mergeCell ref="AB55:AD55"/>
    <mergeCell ref="AE55:AF56"/>
    <mergeCell ref="AG55:AG56"/>
    <mergeCell ref="AH55:AH56"/>
    <mergeCell ref="AG53:AG54"/>
    <mergeCell ref="AH53:AH54"/>
    <mergeCell ref="V53:X53"/>
    <mergeCell ref="Y53:AA53"/>
    <mergeCell ref="AB53:AD53"/>
    <mergeCell ref="AE53:AF54"/>
    <mergeCell ref="A55:A56"/>
    <mergeCell ref="B55:B56"/>
    <mergeCell ref="D55:F55"/>
    <mergeCell ref="G55:I55"/>
    <mergeCell ref="J55:L55"/>
    <mergeCell ref="M55:O55"/>
    <mergeCell ref="P55:R55"/>
    <mergeCell ref="S55:U56"/>
    <mergeCell ref="P53:R54"/>
    <mergeCell ref="S53:U53"/>
    <mergeCell ref="A53:A54"/>
    <mergeCell ref="B53:B54"/>
    <mergeCell ref="D53:F53"/>
    <mergeCell ref="G53:I53"/>
    <mergeCell ref="J53:L53"/>
    <mergeCell ref="M53:O53"/>
    <mergeCell ref="V51:X51"/>
    <mergeCell ref="Y51:AA51"/>
    <mergeCell ref="AB51:AD51"/>
    <mergeCell ref="AE51:AF52"/>
    <mergeCell ref="AG51:AG52"/>
    <mergeCell ref="AH51:AH52"/>
    <mergeCell ref="AG49:AG50"/>
    <mergeCell ref="AH49:AH50"/>
    <mergeCell ref="A51:A52"/>
    <mergeCell ref="B51:B52"/>
    <mergeCell ref="D51:F51"/>
    <mergeCell ref="G51:I51"/>
    <mergeCell ref="J51:L51"/>
    <mergeCell ref="M51:O52"/>
    <mergeCell ref="P51:R51"/>
    <mergeCell ref="S51:U51"/>
    <mergeCell ref="P49:R49"/>
    <mergeCell ref="S49:U49"/>
    <mergeCell ref="V49:X49"/>
    <mergeCell ref="Y49:AA49"/>
    <mergeCell ref="AB49:AD49"/>
    <mergeCell ref="AE49:AF50"/>
    <mergeCell ref="A49:A50"/>
    <mergeCell ref="B49:B50"/>
    <mergeCell ref="D49:F49"/>
    <mergeCell ref="G49:I49"/>
    <mergeCell ref="J49:L50"/>
    <mergeCell ref="M49:O49"/>
    <mergeCell ref="V47:X47"/>
    <mergeCell ref="Y47:AA47"/>
    <mergeCell ref="AB47:AD47"/>
    <mergeCell ref="AE47:AF48"/>
    <mergeCell ref="AG47:AG48"/>
    <mergeCell ref="AH47:AH48"/>
    <mergeCell ref="AG45:AG46"/>
    <mergeCell ref="AH45:AH46"/>
    <mergeCell ref="A47:A48"/>
    <mergeCell ref="B47:B48"/>
    <mergeCell ref="D47:F47"/>
    <mergeCell ref="G47:I48"/>
    <mergeCell ref="J47:L47"/>
    <mergeCell ref="M47:O47"/>
    <mergeCell ref="P47:R47"/>
    <mergeCell ref="S47:U47"/>
    <mergeCell ref="P45:R45"/>
    <mergeCell ref="S45:U45"/>
    <mergeCell ref="V45:X45"/>
    <mergeCell ref="Y45:AA45"/>
    <mergeCell ref="AB45:AD45"/>
    <mergeCell ref="AE45:AF46"/>
    <mergeCell ref="A45:A46"/>
    <mergeCell ref="B45:B46"/>
    <mergeCell ref="D45:F46"/>
    <mergeCell ref="G45:I45"/>
    <mergeCell ref="J45:L45"/>
    <mergeCell ref="M45:O45"/>
    <mergeCell ref="D44:F44"/>
    <mergeCell ref="G44:I44"/>
    <mergeCell ref="J44:L44"/>
    <mergeCell ref="M44:O44"/>
    <mergeCell ref="A41:A42"/>
    <mergeCell ref="B41:B42"/>
    <mergeCell ref="D41:F41"/>
    <mergeCell ref="G41:I41"/>
    <mergeCell ref="J41:L41"/>
    <mergeCell ref="AE41:AF42"/>
    <mergeCell ref="V44:X44"/>
    <mergeCell ref="Y44:AA44"/>
    <mergeCell ref="AB44:AD44"/>
    <mergeCell ref="AE44:AF44"/>
    <mergeCell ref="P44:R44"/>
    <mergeCell ref="S44:U44"/>
    <mergeCell ref="AG41:AG42"/>
    <mergeCell ref="AH41:AH42"/>
    <mergeCell ref="G43:AA43"/>
    <mergeCell ref="V41:X41"/>
    <mergeCell ref="Y41:AA41"/>
    <mergeCell ref="AB41:AD42"/>
    <mergeCell ref="M41:O41"/>
    <mergeCell ref="P41:R41"/>
    <mergeCell ref="S41:U41"/>
    <mergeCell ref="Y37:AA37"/>
    <mergeCell ref="AB37:AD37"/>
    <mergeCell ref="AE37:AF38"/>
    <mergeCell ref="AG37:AG38"/>
    <mergeCell ref="Y39:AA40"/>
    <mergeCell ref="AB39:AD39"/>
    <mergeCell ref="AE39:AF40"/>
    <mergeCell ref="AG39:AG40"/>
    <mergeCell ref="AH39:AH40"/>
    <mergeCell ref="A39:A40"/>
    <mergeCell ref="B39:B40"/>
    <mergeCell ref="D39:F39"/>
    <mergeCell ref="G39:I39"/>
    <mergeCell ref="J39:L39"/>
    <mergeCell ref="M39:O39"/>
    <mergeCell ref="P39:R39"/>
    <mergeCell ref="S39:U39"/>
    <mergeCell ref="V39:X39"/>
    <mergeCell ref="A35:A36"/>
    <mergeCell ref="B35:B36"/>
    <mergeCell ref="D35:F35"/>
    <mergeCell ref="G35:I35"/>
    <mergeCell ref="J35:L35"/>
    <mergeCell ref="AE35:AF36"/>
    <mergeCell ref="AG35:AG36"/>
    <mergeCell ref="AH35:AH36"/>
    <mergeCell ref="A37:A38"/>
    <mergeCell ref="B37:B38"/>
    <mergeCell ref="D37:F37"/>
    <mergeCell ref="G37:I37"/>
    <mergeCell ref="J37:L37"/>
    <mergeCell ref="M37:O37"/>
    <mergeCell ref="P37:R37"/>
    <mergeCell ref="M35:O35"/>
    <mergeCell ref="P35:R35"/>
    <mergeCell ref="S35:U36"/>
    <mergeCell ref="V35:X35"/>
    <mergeCell ref="Y35:AA35"/>
    <mergeCell ref="AB35:AD35"/>
    <mergeCell ref="AH37:AH38"/>
    <mergeCell ref="S37:U37"/>
    <mergeCell ref="V37:X38"/>
    <mergeCell ref="AH31:AH32"/>
    <mergeCell ref="A33:A34"/>
    <mergeCell ref="B33:B34"/>
    <mergeCell ref="D33:F33"/>
    <mergeCell ref="G33:I33"/>
    <mergeCell ref="J33:L33"/>
    <mergeCell ref="M33:O33"/>
    <mergeCell ref="P33:R34"/>
    <mergeCell ref="S33:U33"/>
    <mergeCell ref="V33:X33"/>
    <mergeCell ref="S31:U31"/>
    <mergeCell ref="V31:X31"/>
    <mergeCell ref="Y31:AA31"/>
    <mergeCell ref="AB31:AD31"/>
    <mergeCell ref="AE31:AF32"/>
    <mergeCell ref="AG31:AG32"/>
    <mergeCell ref="Y33:AA33"/>
    <mergeCell ref="AB33:AD33"/>
    <mergeCell ref="AE33:AF34"/>
    <mergeCell ref="AG33:AG34"/>
    <mergeCell ref="AH33:AH34"/>
    <mergeCell ref="A31:A32"/>
    <mergeCell ref="B31:B32"/>
    <mergeCell ref="D31:F31"/>
    <mergeCell ref="G31:I31"/>
    <mergeCell ref="J31:L31"/>
    <mergeCell ref="M31:O32"/>
    <mergeCell ref="P31:R31"/>
    <mergeCell ref="M29:O29"/>
    <mergeCell ref="P29:R29"/>
    <mergeCell ref="AB27:AD27"/>
    <mergeCell ref="AE27:AF28"/>
    <mergeCell ref="AG27:AG28"/>
    <mergeCell ref="AH27:AH28"/>
    <mergeCell ref="A29:A30"/>
    <mergeCell ref="B29:B30"/>
    <mergeCell ref="D29:F29"/>
    <mergeCell ref="G29:I29"/>
    <mergeCell ref="J29:L30"/>
    <mergeCell ref="AE29:AF30"/>
    <mergeCell ref="AG29:AG30"/>
    <mergeCell ref="AH29:AH30"/>
    <mergeCell ref="S29:U29"/>
    <mergeCell ref="V29:X29"/>
    <mergeCell ref="Y29:AA29"/>
    <mergeCell ref="AB29:AD29"/>
    <mergeCell ref="A25:A26"/>
    <mergeCell ref="B25:B26"/>
    <mergeCell ref="D25:F26"/>
    <mergeCell ref="G25:I25"/>
    <mergeCell ref="J25:L25"/>
    <mergeCell ref="M25:O25"/>
    <mergeCell ref="P25:R25"/>
    <mergeCell ref="AH25:AH26"/>
    <mergeCell ref="A27:A28"/>
    <mergeCell ref="B27:B28"/>
    <mergeCell ref="D27:F27"/>
    <mergeCell ref="G27:I28"/>
    <mergeCell ref="J27:L27"/>
    <mergeCell ref="M27:O27"/>
    <mergeCell ref="P27:R27"/>
    <mergeCell ref="S27:U27"/>
    <mergeCell ref="V27:X27"/>
    <mergeCell ref="S25:U25"/>
    <mergeCell ref="V25:X25"/>
    <mergeCell ref="Y25:AA25"/>
    <mergeCell ref="AB25:AD25"/>
    <mergeCell ref="AE25:AF26"/>
    <mergeCell ref="AG25:AG26"/>
    <mergeCell ref="Y27:AA27"/>
    <mergeCell ref="AG21:AG22"/>
    <mergeCell ref="AH21:AH22"/>
    <mergeCell ref="G23:AA23"/>
    <mergeCell ref="D24:F24"/>
    <mergeCell ref="G24:I24"/>
    <mergeCell ref="J24:L24"/>
    <mergeCell ref="M24:O24"/>
    <mergeCell ref="P24:R24"/>
    <mergeCell ref="S24:U24"/>
    <mergeCell ref="V24:X24"/>
    <mergeCell ref="P21:R21"/>
    <mergeCell ref="S21:U21"/>
    <mergeCell ref="V21:X21"/>
    <mergeCell ref="Y21:AA21"/>
    <mergeCell ref="AB21:AD22"/>
    <mergeCell ref="AE21:AF22"/>
    <mergeCell ref="Y24:AA24"/>
    <mergeCell ref="AB24:AD24"/>
    <mergeCell ref="AE24:AF24"/>
    <mergeCell ref="A21:A22"/>
    <mergeCell ref="B21:B22"/>
    <mergeCell ref="D21:F21"/>
    <mergeCell ref="G21:I21"/>
    <mergeCell ref="J21:L21"/>
    <mergeCell ref="M21:O21"/>
    <mergeCell ref="V19:X19"/>
    <mergeCell ref="Y19:AA20"/>
    <mergeCell ref="AB19:AD19"/>
    <mergeCell ref="AE19:AF20"/>
    <mergeCell ref="AG19:AG20"/>
    <mergeCell ref="AH19:AH20"/>
    <mergeCell ref="AG17:AG18"/>
    <mergeCell ref="AH17:AH18"/>
    <mergeCell ref="A19:A20"/>
    <mergeCell ref="B19:B20"/>
    <mergeCell ref="D19:F19"/>
    <mergeCell ref="G19:I19"/>
    <mergeCell ref="J19:L19"/>
    <mergeCell ref="M19:O19"/>
    <mergeCell ref="P19:R19"/>
    <mergeCell ref="S19:U19"/>
    <mergeCell ref="P17:R17"/>
    <mergeCell ref="S17:U17"/>
    <mergeCell ref="V17:X18"/>
    <mergeCell ref="Y17:AA17"/>
    <mergeCell ref="AB17:AD17"/>
    <mergeCell ref="AE17:AF18"/>
    <mergeCell ref="A17:A18"/>
    <mergeCell ref="B17:B18"/>
    <mergeCell ref="D17:F17"/>
    <mergeCell ref="G17:I17"/>
    <mergeCell ref="J17:L17"/>
    <mergeCell ref="M17:O17"/>
    <mergeCell ref="V15:X15"/>
    <mergeCell ref="Y15:AA15"/>
    <mergeCell ref="AB15:AD15"/>
    <mergeCell ref="AE15:AF16"/>
    <mergeCell ref="AG15:AG16"/>
    <mergeCell ref="AH15:AH16"/>
    <mergeCell ref="AG13:AG14"/>
    <mergeCell ref="AH13:AH14"/>
    <mergeCell ref="V13:X13"/>
    <mergeCell ref="Y13:AA13"/>
    <mergeCell ref="AB13:AD13"/>
    <mergeCell ref="AE13:AF14"/>
    <mergeCell ref="A15:A16"/>
    <mergeCell ref="B15:B16"/>
    <mergeCell ref="D15:F15"/>
    <mergeCell ref="G15:I15"/>
    <mergeCell ref="J15:L15"/>
    <mergeCell ref="M15:O15"/>
    <mergeCell ref="P15:R15"/>
    <mergeCell ref="S15:U16"/>
    <mergeCell ref="P13:R14"/>
    <mergeCell ref="S13:U13"/>
    <mergeCell ref="A13:A14"/>
    <mergeCell ref="B13:B14"/>
    <mergeCell ref="D13:F13"/>
    <mergeCell ref="G13:I13"/>
    <mergeCell ref="J13:L13"/>
    <mergeCell ref="M13:O13"/>
    <mergeCell ref="V11:X11"/>
    <mergeCell ref="Y11:AA11"/>
    <mergeCell ref="AB11:AD11"/>
    <mergeCell ref="AE11:AF12"/>
    <mergeCell ref="AG11:AG12"/>
    <mergeCell ref="AH11:AH12"/>
    <mergeCell ref="AG9:AG10"/>
    <mergeCell ref="AH9:AH10"/>
    <mergeCell ref="A11:A12"/>
    <mergeCell ref="B11:B12"/>
    <mergeCell ref="D11:F11"/>
    <mergeCell ref="G11:I11"/>
    <mergeCell ref="J11:L11"/>
    <mergeCell ref="M11:O12"/>
    <mergeCell ref="P11:R11"/>
    <mergeCell ref="S11:U11"/>
    <mergeCell ref="P9:R9"/>
    <mergeCell ref="S9:U9"/>
    <mergeCell ref="V9:X9"/>
    <mergeCell ref="Y9:AA9"/>
    <mergeCell ref="AB9:AD9"/>
    <mergeCell ref="AE9:AF10"/>
    <mergeCell ref="A9:A10"/>
    <mergeCell ref="B9:B10"/>
    <mergeCell ref="D9:F9"/>
    <mergeCell ref="G9:I9"/>
    <mergeCell ref="J9:L10"/>
    <mergeCell ref="M9:O9"/>
    <mergeCell ref="V7:X7"/>
    <mergeCell ref="Y7:AA7"/>
    <mergeCell ref="AB7:AD7"/>
    <mergeCell ref="AE7:AF8"/>
    <mergeCell ref="AG7:AG8"/>
    <mergeCell ref="A5:A6"/>
    <mergeCell ref="B5:B6"/>
    <mergeCell ref="D5:F6"/>
    <mergeCell ref="G5:I5"/>
    <mergeCell ref="J5:L5"/>
    <mergeCell ref="M5:O5"/>
    <mergeCell ref="AH7:AH8"/>
    <mergeCell ref="AG5:AG6"/>
    <mergeCell ref="AH5:AH6"/>
    <mergeCell ref="A7:A8"/>
    <mergeCell ref="B7:B8"/>
    <mergeCell ref="D7:F7"/>
    <mergeCell ref="G7:I8"/>
    <mergeCell ref="J7:L7"/>
    <mergeCell ref="M7:O7"/>
    <mergeCell ref="P7:R7"/>
    <mergeCell ref="S7:U7"/>
    <mergeCell ref="P5:R5"/>
    <mergeCell ref="S5:U5"/>
    <mergeCell ref="V5:X5"/>
    <mergeCell ref="Y5:AA5"/>
    <mergeCell ref="AB5:AD5"/>
    <mergeCell ref="AE5:AF6"/>
    <mergeCell ref="C1:AG1"/>
    <mergeCell ref="D2:AA2"/>
    <mergeCell ref="AB2:AG2"/>
    <mergeCell ref="G3:AA3"/>
    <mergeCell ref="D4:F4"/>
    <mergeCell ref="G4:I4"/>
    <mergeCell ref="J4:L4"/>
    <mergeCell ref="M4:O4"/>
    <mergeCell ref="P4:R4"/>
    <mergeCell ref="S4:U4"/>
    <mergeCell ref="V4:X4"/>
    <mergeCell ref="Y4:AA4"/>
    <mergeCell ref="AB4:AD4"/>
    <mergeCell ref="AE4:AF4"/>
  </mergeCells>
  <pageMargins left="0.31496062992125984" right="0.31496062992125984" top="0.35433070866141736" bottom="0.35433070866141736" header="0.31496062992125984" footer="0.31496062992125984"/>
  <pageSetup paperSize="9" scale="7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H84"/>
  <sheetViews>
    <sheetView topLeftCell="A44" workbookViewId="0">
      <selection activeCell="G53" sqref="G53:I53"/>
    </sheetView>
  </sheetViews>
  <sheetFormatPr defaultRowHeight="12.75" outlineLevelRow="1" outlineLevelCol="1" x14ac:dyDescent="0.2"/>
  <cols>
    <col min="1" max="1" width="5.6640625" style="91" customWidth="1"/>
    <col min="2" max="2" width="5" style="91" hidden="1" customWidth="1" outlineLevel="1"/>
    <col min="3" max="3" width="30" style="91" customWidth="1" collapsed="1"/>
    <col min="4" max="27" width="2.83203125" style="91" customWidth="1"/>
    <col min="28" max="30" width="2.83203125" style="91" hidden="1" customWidth="1" outlineLevel="1"/>
    <col min="31" max="31" width="3.5" style="91" customWidth="1" collapsed="1"/>
    <col min="32" max="32" width="3.5" style="91" customWidth="1"/>
    <col min="33" max="33" width="9.5" style="91" customWidth="1"/>
    <col min="34" max="34" width="7.83203125" style="91" customWidth="1"/>
  </cols>
  <sheetData>
    <row r="1" spans="1:34" ht="15.75" x14ac:dyDescent="0.25">
      <c r="C1" s="1123" t="str">
        <f>'Списки участников'!A1</f>
        <v>IV Мемориал Заслуженного тренера России В.А.Воробьева</v>
      </c>
      <c r="D1" s="1123"/>
      <c r="E1" s="1123"/>
      <c r="F1" s="1123"/>
      <c r="G1" s="1123"/>
      <c r="H1" s="1123"/>
      <c r="I1" s="1123"/>
      <c r="J1" s="1123"/>
      <c r="K1" s="1123"/>
      <c r="L1" s="1123"/>
      <c r="M1" s="1123"/>
      <c r="N1" s="1123"/>
      <c r="O1" s="1123"/>
      <c r="P1" s="1123"/>
      <c r="Q1" s="1123"/>
      <c r="R1" s="1123"/>
      <c r="S1" s="1123"/>
      <c r="T1" s="1123"/>
      <c r="U1" s="1123"/>
      <c r="V1" s="1123"/>
      <c r="W1" s="1123"/>
      <c r="X1" s="1123"/>
      <c r="Y1" s="1123"/>
      <c r="Z1" s="1123"/>
      <c r="AA1" s="1123"/>
      <c r="AB1" s="1123"/>
      <c r="AC1" s="1123"/>
      <c r="AD1" s="1123"/>
      <c r="AE1" s="1123"/>
      <c r="AF1" s="1123"/>
      <c r="AG1" s="1123"/>
    </row>
    <row r="2" spans="1:34" ht="15.75" x14ac:dyDescent="0.25">
      <c r="C2" s="453" t="str">
        <f>'Списки участников'!C3</f>
        <v>26-29 мая 2016 г.</v>
      </c>
      <c r="D2" s="1123" t="str">
        <f>'Списки участников'!A2</f>
        <v>среди юношей и девушек 2002 г.р. и моложе</v>
      </c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  <c r="X2" s="1123"/>
      <c r="Y2" s="1123"/>
      <c r="Z2" s="1123"/>
      <c r="AA2" s="1123"/>
      <c r="AB2" s="1156" t="str">
        <f>'Списки участников'!I3</f>
        <v>г. Москва</v>
      </c>
      <c r="AC2" s="1156"/>
      <c r="AD2" s="1156"/>
      <c r="AE2" s="1156"/>
      <c r="AF2" s="1156"/>
      <c r="AG2" s="1156"/>
    </row>
    <row r="3" spans="1:34" ht="15.75" x14ac:dyDescent="0.25">
      <c r="A3" s="135"/>
      <c r="B3" s="135"/>
      <c r="C3" s="804" t="str">
        <f>'Списки участников'!D6</f>
        <v>ЮНОШИ</v>
      </c>
      <c r="D3" s="135"/>
      <c r="E3" s="135"/>
      <c r="F3" s="135"/>
      <c r="G3" s="1157" t="s">
        <v>11987</v>
      </c>
      <c r="H3" s="1157"/>
      <c r="I3" s="1157"/>
      <c r="J3" s="1157"/>
      <c r="K3" s="1157"/>
      <c r="L3" s="1157"/>
      <c r="M3" s="1157"/>
      <c r="N3" s="1157"/>
      <c r="O3" s="1157"/>
      <c r="P3" s="1157"/>
      <c r="Q3" s="1157"/>
      <c r="R3" s="1157"/>
      <c r="S3" s="1157"/>
      <c r="T3" s="1157"/>
      <c r="U3" s="1157"/>
      <c r="V3" s="1157"/>
      <c r="W3" s="1157"/>
      <c r="X3" s="1157"/>
      <c r="Y3" s="1157"/>
      <c r="Z3" s="1157"/>
      <c r="AA3" s="1157"/>
      <c r="AB3" s="135"/>
      <c r="AC3" s="135"/>
      <c r="AD3" s="135"/>
      <c r="AE3" s="135"/>
      <c r="AF3" s="135"/>
      <c r="AG3" s="135"/>
      <c r="AH3" s="135"/>
    </row>
    <row r="4" spans="1:34" ht="15" x14ac:dyDescent="0.2">
      <c r="A4" s="136" t="s">
        <v>3</v>
      </c>
      <c r="B4" s="938"/>
      <c r="C4" s="138" t="s">
        <v>788</v>
      </c>
      <c r="D4" s="1158">
        <v>1</v>
      </c>
      <c r="E4" s="1159"/>
      <c r="F4" s="1160"/>
      <c r="G4" s="1158">
        <v>2</v>
      </c>
      <c r="H4" s="1159"/>
      <c r="I4" s="1160"/>
      <c r="J4" s="1158">
        <v>3</v>
      </c>
      <c r="K4" s="1159"/>
      <c r="L4" s="1160"/>
      <c r="M4" s="1158">
        <v>4</v>
      </c>
      <c r="N4" s="1159"/>
      <c r="O4" s="1160"/>
      <c r="P4" s="1158">
        <v>5</v>
      </c>
      <c r="Q4" s="1159"/>
      <c r="R4" s="1160"/>
      <c r="S4" s="1158">
        <v>6</v>
      </c>
      <c r="T4" s="1159"/>
      <c r="U4" s="1160"/>
      <c r="V4" s="1158">
        <v>7</v>
      </c>
      <c r="W4" s="1159"/>
      <c r="X4" s="1160"/>
      <c r="Y4" s="1158">
        <v>8</v>
      </c>
      <c r="Z4" s="1159"/>
      <c r="AA4" s="1160"/>
      <c r="AB4" s="1158">
        <v>9</v>
      </c>
      <c r="AC4" s="1159"/>
      <c r="AD4" s="1160"/>
      <c r="AE4" s="1161" t="s">
        <v>789</v>
      </c>
      <c r="AF4" s="1162"/>
      <c r="AG4" s="939" t="s">
        <v>790</v>
      </c>
      <c r="AH4" s="455" t="s">
        <v>100</v>
      </c>
    </row>
    <row r="5" spans="1:34" ht="15" x14ac:dyDescent="0.2">
      <c r="A5" s="1163">
        <v>1</v>
      </c>
      <c r="B5" s="1165">
        <v>1</v>
      </c>
      <c r="C5" s="456" t="str">
        <f>IF(B5="","",VLOOKUP(B5,'Списки участников'!A:I,3,FALSE))</f>
        <v>БОКОВ Максим Андреевич</v>
      </c>
      <c r="D5" s="1167"/>
      <c r="E5" s="1167"/>
      <c r="F5" s="1168"/>
      <c r="G5" s="1171">
        <v>2</v>
      </c>
      <c r="H5" s="1172"/>
      <c r="I5" s="1173"/>
      <c r="J5" s="1171">
        <v>2</v>
      </c>
      <c r="K5" s="1172"/>
      <c r="L5" s="1173"/>
      <c r="M5" s="1171">
        <v>2</v>
      </c>
      <c r="N5" s="1172"/>
      <c r="O5" s="1173"/>
      <c r="P5" s="1171">
        <v>2</v>
      </c>
      <c r="Q5" s="1172"/>
      <c r="R5" s="1173"/>
      <c r="S5" s="1171">
        <v>2</v>
      </c>
      <c r="T5" s="1172"/>
      <c r="U5" s="1173"/>
      <c r="V5" s="1171">
        <v>2</v>
      </c>
      <c r="W5" s="1172"/>
      <c r="X5" s="1173"/>
      <c r="Y5" s="1171">
        <v>2</v>
      </c>
      <c r="Z5" s="1172"/>
      <c r="AA5" s="1173"/>
      <c r="AB5" s="1171"/>
      <c r="AC5" s="1172"/>
      <c r="AD5" s="1173"/>
      <c r="AE5" s="1184">
        <f>IF(B5="","",SUM(G5,J5,M5,P5,S5,V5,Y5,AB5,))</f>
        <v>14</v>
      </c>
      <c r="AF5" s="1185"/>
      <c r="AG5" s="1175"/>
      <c r="AH5" s="1174">
        <f>IF(B5="","",RANK(AE5,ГР1О))</f>
        <v>1</v>
      </c>
    </row>
    <row r="6" spans="1:34" ht="15" x14ac:dyDescent="0.2">
      <c r="A6" s="1164"/>
      <c r="B6" s="1166"/>
      <c r="C6" s="457" t="str">
        <f>IF(B5="","",VLOOKUP(B5,'Списки участников'!A:I,6,FALSE))</f>
        <v>Москва</v>
      </c>
      <c r="D6" s="1169"/>
      <c r="E6" s="1169"/>
      <c r="F6" s="1170"/>
      <c r="G6" s="458">
        <v>3</v>
      </c>
      <c r="H6" s="459" t="str">
        <f>IF(G5="","",":")</f>
        <v>:</v>
      </c>
      <c r="I6" s="460">
        <v>0</v>
      </c>
      <c r="J6" s="458">
        <v>3</v>
      </c>
      <c r="K6" s="459" t="str">
        <f>IF(J5="","",":")</f>
        <v>:</v>
      </c>
      <c r="L6" s="460">
        <v>0</v>
      </c>
      <c r="M6" s="458">
        <v>3</v>
      </c>
      <c r="N6" s="459" t="str">
        <f>IF(M6="","",":")</f>
        <v>:</v>
      </c>
      <c r="O6" s="460">
        <v>1</v>
      </c>
      <c r="P6" s="458">
        <v>3</v>
      </c>
      <c r="Q6" s="459" t="str">
        <f>IF(P6="","",":")</f>
        <v>:</v>
      </c>
      <c r="R6" s="460">
        <v>0</v>
      </c>
      <c r="S6" s="458">
        <v>3</v>
      </c>
      <c r="T6" s="459" t="str">
        <f>IF(S6="","",":")</f>
        <v>:</v>
      </c>
      <c r="U6" s="460">
        <v>0</v>
      </c>
      <c r="V6" s="458">
        <v>3</v>
      </c>
      <c r="W6" s="459" t="str">
        <f>IF(V6="","",":")</f>
        <v>:</v>
      </c>
      <c r="X6" s="460">
        <v>1</v>
      </c>
      <c r="Y6" s="458">
        <v>3</v>
      </c>
      <c r="Z6" s="459" t="str">
        <f>IF(Y6="","",":")</f>
        <v>:</v>
      </c>
      <c r="AA6" s="460">
        <v>0</v>
      </c>
      <c r="AB6" s="458"/>
      <c r="AC6" s="459" t="str">
        <f>IF(AB6="","",":")</f>
        <v/>
      </c>
      <c r="AD6" s="460"/>
      <c r="AE6" s="1186"/>
      <c r="AF6" s="1187"/>
      <c r="AG6" s="1176"/>
      <c r="AH6" s="1174"/>
    </row>
    <row r="7" spans="1:34" ht="15" x14ac:dyDescent="0.2">
      <c r="A7" s="1163">
        <v>2</v>
      </c>
      <c r="B7" s="1165">
        <v>27</v>
      </c>
      <c r="C7" s="456" t="str">
        <f>IF(B7="","",VLOOKUP(B7,'Списки участников'!A:I,3,FALSE))</f>
        <v>АВЕРИН Тимофей</v>
      </c>
      <c r="D7" s="1177">
        <f>IF(G5="","",IF(G6="W",0,IF(G5=2,1,IF(G5=1,2,IF(G5=0,2)))))</f>
        <v>1</v>
      </c>
      <c r="E7" s="1178"/>
      <c r="F7" s="1179"/>
      <c r="G7" s="1180"/>
      <c r="H7" s="1181"/>
      <c r="I7" s="1182"/>
      <c r="J7" s="1171">
        <v>1</v>
      </c>
      <c r="K7" s="1172"/>
      <c r="L7" s="1173"/>
      <c r="M7" s="1171">
        <v>1</v>
      </c>
      <c r="N7" s="1172"/>
      <c r="O7" s="1173"/>
      <c r="P7" s="1171">
        <v>2</v>
      </c>
      <c r="Q7" s="1172"/>
      <c r="R7" s="1173"/>
      <c r="S7" s="1171">
        <v>2</v>
      </c>
      <c r="T7" s="1172"/>
      <c r="U7" s="1173"/>
      <c r="V7" s="1171">
        <v>1</v>
      </c>
      <c r="W7" s="1172"/>
      <c r="X7" s="1173"/>
      <c r="Y7" s="1171">
        <v>1</v>
      </c>
      <c r="Z7" s="1172"/>
      <c r="AA7" s="1173"/>
      <c r="AB7" s="1171"/>
      <c r="AC7" s="1172"/>
      <c r="AD7" s="1173"/>
      <c r="AE7" s="1184">
        <f>IF(B7="","",SUM(D7,J7,M7,P7,S7,V7,Y7,AB7,))</f>
        <v>9</v>
      </c>
      <c r="AF7" s="1185"/>
      <c r="AG7" s="1175"/>
      <c r="AH7" s="1174">
        <f>IF(B7="","",RANK(AE7,ГР1О))</f>
        <v>6</v>
      </c>
    </row>
    <row r="8" spans="1:34" ht="15" x14ac:dyDescent="0.2">
      <c r="A8" s="1164"/>
      <c r="B8" s="1166"/>
      <c r="C8" s="457" t="str">
        <f>IF(B7="","",VLOOKUP(B7,'Списки участников'!A:I,6,FALSE))</f>
        <v>Москва</v>
      </c>
      <c r="D8" s="461">
        <f>IF(G6="","",IF(I6="l","W",I6))</f>
        <v>0</v>
      </c>
      <c r="E8" s="462" t="str">
        <f>IF(G5="","",":")</f>
        <v>:</v>
      </c>
      <c r="F8" s="463">
        <f>IF(I6="","",IF(G6="W","L",G6))</f>
        <v>3</v>
      </c>
      <c r="G8" s="1183"/>
      <c r="H8" s="1169"/>
      <c r="I8" s="1170"/>
      <c r="J8" s="458">
        <v>2</v>
      </c>
      <c r="K8" s="459" t="str">
        <f>IF(J7="","",":")</f>
        <v>:</v>
      </c>
      <c r="L8" s="460">
        <v>3</v>
      </c>
      <c r="M8" s="458">
        <v>0</v>
      </c>
      <c r="N8" s="459" t="str">
        <f>IF(M7="","",":")</f>
        <v>:</v>
      </c>
      <c r="O8" s="460">
        <v>3</v>
      </c>
      <c r="P8" s="458">
        <v>3</v>
      </c>
      <c r="Q8" s="459" t="str">
        <f>IF(P7="","",":")</f>
        <v>:</v>
      </c>
      <c r="R8" s="460">
        <v>1</v>
      </c>
      <c r="S8" s="458">
        <v>3</v>
      </c>
      <c r="T8" s="459" t="str">
        <f>IF(S8="","",":")</f>
        <v>:</v>
      </c>
      <c r="U8" s="460">
        <v>2</v>
      </c>
      <c r="V8" s="458">
        <v>0</v>
      </c>
      <c r="W8" s="459" t="str">
        <f>IF(V8="","",":")</f>
        <v>:</v>
      </c>
      <c r="X8" s="460">
        <v>3</v>
      </c>
      <c r="Y8" s="458">
        <v>2</v>
      </c>
      <c r="Z8" s="459" t="str">
        <f>IF(Y8="","",":")</f>
        <v>:</v>
      </c>
      <c r="AA8" s="460">
        <v>3</v>
      </c>
      <c r="AB8" s="458"/>
      <c r="AC8" s="459" t="str">
        <f>IF(AB8="","",":")</f>
        <v/>
      </c>
      <c r="AD8" s="460"/>
      <c r="AE8" s="1186"/>
      <c r="AF8" s="1187"/>
      <c r="AG8" s="1176"/>
      <c r="AH8" s="1174"/>
    </row>
    <row r="9" spans="1:34" ht="15" x14ac:dyDescent="0.2">
      <c r="A9" s="1163">
        <v>3</v>
      </c>
      <c r="B9" s="1165">
        <v>26</v>
      </c>
      <c r="C9" s="456" t="str">
        <f>IF(B9="","",VLOOKUP(B9,'Списки участников'!A:I,3,FALSE))</f>
        <v>МАНЦУРОВ Тихон</v>
      </c>
      <c r="D9" s="1177">
        <f>IF(J5="","",IF(J6="W",0,IF(J5=2,1,IF(J5=1,2,IF(J5=0,2)))))</f>
        <v>1</v>
      </c>
      <c r="E9" s="1178"/>
      <c r="F9" s="1179"/>
      <c r="G9" s="1171">
        <f>IF(J7="","",IF(J8="W",0,IF(J7=2,1,IF(J7=1,2,IF(J7=0,2)))))</f>
        <v>2</v>
      </c>
      <c r="H9" s="1172"/>
      <c r="I9" s="1173"/>
      <c r="J9" s="1180"/>
      <c r="K9" s="1181"/>
      <c r="L9" s="1182"/>
      <c r="M9" s="1171">
        <v>1</v>
      </c>
      <c r="N9" s="1172"/>
      <c r="O9" s="1173"/>
      <c r="P9" s="1171">
        <v>2</v>
      </c>
      <c r="Q9" s="1172"/>
      <c r="R9" s="1173"/>
      <c r="S9" s="1171">
        <v>2</v>
      </c>
      <c r="T9" s="1172"/>
      <c r="U9" s="1173"/>
      <c r="V9" s="1171">
        <v>2</v>
      </c>
      <c r="W9" s="1172"/>
      <c r="X9" s="1173"/>
      <c r="Y9" s="1171">
        <v>2</v>
      </c>
      <c r="Z9" s="1172"/>
      <c r="AA9" s="1173"/>
      <c r="AB9" s="1171"/>
      <c r="AC9" s="1172"/>
      <c r="AD9" s="1173"/>
      <c r="AE9" s="1184">
        <f>IF(B9="","",SUM(D9,G9,M9,P9,S9,V9,Y9,AB9,))</f>
        <v>12</v>
      </c>
      <c r="AF9" s="1185"/>
      <c r="AG9" s="1188"/>
      <c r="AH9" s="1174">
        <f>IF(B9="","",RANK(AE9,ГР1О))</f>
        <v>3</v>
      </c>
    </row>
    <row r="10" spans="1:34" ht="15" x14ac:dyDescent="0.2">
      <c r="A10" s="1164"/>
      <c r="B10" s="1166"/>
      <c r="C10" s="457" t="str">
        <f>IF(B9="","",VLOOKUP(B9,'Списки участников'!A:I,6,FALSE))</f>
        <v>Тула</v>
      </c>
      <c r="D10" s="464">
        <f>IF(J6="","",IF(L6="l","W",L6))</f>
        <v>0</v>
      </c>
      <c r="E10" s="459" t="str">
        <f>IF(K6="","",":")</f>
        <v>:</v>
      </c>
      <c r="F10" s="465">
        <f>IF(L6="","",IF(J6="W","L",J6))</f>
        <v>3</v>
      </c>
      <c r="G10" s="464">
        <f>IF(J8="","",IF(L8="l","W",L8))</f>
        <v>3</v>
      </c>
      <c r="H10" s="459" t="str">
        <f>IF(K8="","",":")</f>
        <v>:</v>
      </c>
      <c r="I10" s="465">
        <f>IF(L8="","",IF(J8="W","L",J8))</f>
        <v>2</v>
      </c>
      <c r="J10" s="1183"/>
      <c r="K10" s="1169"/>
      <c r="L10" s="1170"/>
      <c r="M10" s="458">
        <v>0</v>
      </c>
      <c r="N10" s="459" t="str">
        <f>IF(M9="","",":")</f>
        <v>:</v>
      </c>
      <c r="O10" s="460">
        <v>3</v>
      </c>
      <c r="P10" s="458">
        <v>3</v>
      </c>
      <c r="Q10" s="459" t="str">
        <f>IF(P9="","",":")</f>
        <v>:</v>
      </c>
      <c r="R10" s="460">
        <v>1</v>
      </c>
      <c r="S10" s="458">
        <v>3</v>
      </c>
      <c r="T10" s="459" t="str">
        <f>IF(S9="","",":")</f>
        <v>:</v>
      </c>
      <c r="U10" s="460">
        <v>1</v>
      </c>
      <c r="V10" s="458">
        <v>3</v>
      </c>
      <c r="W10" s="459" t="str">
        <f>IF(V10="","",":")</f>
        <v>:</v>
      </c>
      <c r="X10" s="460">
        <v>0</v>
      </c>
      <c r="Y10" s="458">
        <v>3</v>
      </c>
      <c r="Z10" s="459" t="str">
        <f>IF(Y10="","",":")</f>
        <v>:</v>
      </c>
      <c r="AA10" s="460">
        <v>0</v>
      </c>
      <c r="AB10" s="458"/>
      <c r="AC10" s="459" t="str">
        <f>IF(AB10="","",":")</f>
        <v/>
      </c>
      <c r="AD10" s="460"/>
      <c r="AE10" s="1186"/>
      <c r="AF10" s="1187"/>
      <c r="AG10" s="1189"/>
      <c r="AH10" s="1174"/>
    </row>
    <row r="11" spans="1:34" ht="15" x14ac:dyDescent="0.2">
      <c r="A11" s="1163">
        <v>4</v>
      </c>
      <c r="B11" s="1165">
        <v>17</v>
      </c>
      <c r="C11" s="456" t="str">
        <f>IF(B11="","",VLOOKUP(B11,'Списки участников'!A:I,3,FALSE))</f>
        <v>МАЛОВ Илья</v>
      </c>
      <c r="D11" s="1171">
        <f>IF(M5="","",IF(M6="W",0,IF(M5=2,1,IF(M5=1,2,IF(M5=0,2)))))</f>
        <v>1</v>
      </c>
      <c r="E11" s="1172"/>
      <c r="F11" s="1173"/>
      <c r="G11" s="1171">
        <f>IF(M7="","",IF(M8="W",0,IF(M7=2,1,IF(M7=1,2,IF(M7=0,2)))))</f>
        <v>2</v>
      </c>
      <c r="H11" s="1172"/>
      <c r="I11" s="1173"/>
      <c r="J11" s="1171">
        <f>IF(M9="","",IF(M10="W",0,IF(M9=2,1,IF(M9=1,2,IF(M9=0,2)))))</f>
        <v>2</v>
      </c>
      <c r="K11" s="1172"/>
      <c r="L11" s="1173"/>
      <c r="M11" s="1181"/>
      <c r="N11" s="1181"/>
      <c r="O11" s="1181"/>
      <c r="P11" s="1171">
        <v>2</v>
      </c>
      <c r="Q11" s="1172"/>
      <c r="R11" s="1173"/>
      <c r="S11" s="1171">
        <v>2</v>
      </c>
      <c r="T11" s="1172"/>
      <c r="U11" s="1173"/>
      <c r="V11" s="1171">
        <v>2</v>
      </c>
      <c r="W11" s="1172"/>
      <c r="X11" s="1173"/>
      <c r="Y11" s="1171">
        <v>2</v>
      </c>
      <c r="Z11" s="1172"/>
      <c r="AA11" s="1173"/>
      <c r="AB11" s="1171"/>
      <c r="AC11" s="1172"/>
      <c r="AD11" s="1173"/>
      <c r="AE11" s="1184">
        <f>IF(B11="","",SUM(D11,J11,G11,P11,S11,V11,Y11,AB11,))</f>
        <v>13</v>
      </c>
      <c r="AF11" s="1185"/>
      <c r="AG11" s="1188"/>
      <c r="AH11" s="1174">
        <f>IF(B11="","",RANK(AE11,ГР1О))</f>
        <v>2</v>
      </c>
    </row>
    <row r="12" spans="1:34" ht="15" x14ac:dyDescent="0.2">
      <c r="A12" s="1164"/>
      <c r="B12" s="1166"/>
      <c r="C12" s="457" t="str">
        <f>IF(B11="","",VLOOKUP(B11,'Списки участников'!A:I,6,FALSE))</f>
        <v>Москва</v>
      </c>
      <c r="D12" s="464">
        <f>IF(M6="","",IF(O6="l","W",O6))</f>
        <v>1</v>
      </c>
      <c r="E12" s="459" t="str">
        <f>IF(N6="","",":")</f>
        <v>:</v>
      </c>
      <c r="F12" s="465">
        <f>IF(O6="","",IF(M6="W","L",M6))</f>
        <v>3</v>
      </c>
      <c r="G12" s="464">
        <f>IF(M8="","",IF(O8="l","W",O8))</f>
        <v>3</v>
      </c>
      <c r="H12" s="459" t="str">
        <f>IF(N8="","",":")</f>
        <v>:</v>
      </c>
      <c r="I12" s="465">
        <f>IF(O8="","",IF(M8="W","L",M8))</f>
        <v>0</v>
      </c>
      <c r="J12" s="464">
        <f>IF(M10="","",IF(O10="l","W",O10))</f>
        <v>3</v>
      </c>
      <c r="K12" s="459" t="str">
        <f>IF(N10="","",":")</f>
        <v>:</v>
      </c>
      <c r="L12" s="465">
        <f>IF(O10="","",IF(M10="W","L",M10))</f>
        <v>0</v>
      </c>
      <c r="M12" s="1190"/>
      <c r="N12" s="1190"/>
      <c r="O12" s="1190"/>
      <c r="P12" s="458">
        <v>3</v>
      </c>
      <c r="Q12" s="459" t="str">
        <f>IF(P11="","",":")</f>
        <v>:</v>
      </c>
      <c r="R12" s="460">
        <v>1</v>
      </c>
      <c r="S12" s="458">
        <v>3</v>
      </c>
      <c r="T12" s="459" t="str">
        <f>IF(S11="","",":")</f>
        <v>:</v>
      </c>
      <c r="U12" s="460">
        <v>1</v>
      </c>
      <c r="V12" s="458">
        <v>3</v>
      </c>
      <c r="W12" s="459" t="str">
        <f>IF(V11="","",":")</f>
        <v>:</v>
      </c>
      <c r="X12" s="460">
        <v>1</v>
      </c>
      <c r="Y12" s="458">
        <v>3</v>
      </c>
      <c r="Z12" s="459" t="str">
        <f>IF(Y12="","",":")</f>
        <v>:</v>
      </c>
      <c r="AA12" s="460">
        <v>1</v>
      </c>
      <c r="AB12" s="458"/>
      <c r="AC12" s="459" t="str">
        <f>IF(AB12="","",":")</f>
        <v/>
      </c>
      <c r="AD12" s="460"/>
      <c r="AE12" s="1186"/>
      <c r="AF12" s="1187"/>
      <c r="AG12" s="1189"/>
      <c r="AH12" s="1174"/>
    </row>
    <row r="13" spans="1:34" ht="15" x14ac:dyDescent="0.2">
      <c r="A13" s="1163">
        <v>5</v>
      </c>
      <c r="B13" s="1165">
        <v>32</v>
      </c>
      <c r="C13" s="456" t="str">
        <f>IF(B13="","",VLOOKUP(B13,'Списки участников'!A:I,3,FALSE))</f>
        <v>САТДАРОВ Артем</v>
      </c>
      <c r="D13" s="1171">
        <f>IF(P5="","",IF(P6="W",0,IF(P5=2,1,IF(P5=1,2,IF(P5=0,2)))))</f>
        <v>1</v>
      </c>
      <c r="E13" s="1172"/>
      <c r="F13" s="1173"/>
      <c r="G13" s="1171">
        <f>IF(P7="","",IF(P8="W",0,IF(P7=2,1,IF(P7=1,2,IF(P7=0,2)))))</f>
        <v>1</v>
      </c>
      <c r="H13" s="1172"/>
      <c r="I13" s="1173"/>
      <c r="J13" s="1171">
        <f>IF(P9="","",IF(P10="W",0,IF(P9=2,1,IF(P9=1,2,IF(P9=0,2)))))</f>
        <v>1</v>
      </c>
      <c r="K13" s="1172"/>
      <c r="L13" s="1173"/>
      <c r="M13" s="1171">
        <f>IF(P11="","",IF(P12="W",0,IF(P11=2,1,IF(P11=1,2,IF(P11=0,2)))))</f>
        <v>1</v>
      </c>
      <c r="N13" s="1172"/>
      <c r="O13" s="1173"/>
      <c r="P13" s="1180"/>
      <c r="Q13" s="1181"/>
      <c r="R13" s="1182"/>
      <c r="S13" s="1171">
        <v>2</v>
      </c>
      <c r="T13" s="1172"/>
      <c r="U13" s="1173"/>
      <c r="V13" s="1171">
        <v>1</v>
      </c>
      <c r="W13" s="1172"/>
      <c r="X13" s="1173"/>
      <c r="Y13" s="1171">
        <v>1</v>
      </c>
      <c r="Z13" s="1172"/>
      <c r="AA13" s="1173"/>
      <c r="AB13" s="1171"/>
      <c r="AC13" s="1172"/>
      <c r="AD13" s="1173"/>
      <c r="AE13" s="1184">
        <f>IF(B13="","",SUM(D13,J13,M13,G13,S13,V13,Y13,AB13,))</f>
        <v>8</v>
      </c>
      <c r="AF13" s="1185"/>
      <c r="AG13" s="1188"/>
      <c r="AH13" s="1174">
        <f>IF(B13="","",RANK(AE13,ГР1О))</f>
        <v>7</v>
      </c>
    </row>
    <row r="14" spans="1:34" ht="15" x14ac:dyDescent="0.2">
      <c r="A14" s="1164"/>
      <c r="B14" s="1166"/>
      <c r="C14" s="457" t="str">
        <f>IF(B13="","",VLOOKUP(B13,'Списки участников'!A:I,6,FALSE))</f>
        <v>Москва</v>
      </c>
      <c r="D14" s="464">
        <f>IF(P6="","",IF(R6="l","W",R6))</f>
        <v>0</v>
      </c>
      <c r="E14" s="459" t="str">
        <f>IF(Q6="","",":")</f>
        <v>:</v>
      </c>
      <c r="F14" s="465">
        <f>IF(R6="","",IF(P6="W","L",P6))</f>
        <v>3</v>
      </c>
      <c r="G14" s="464">
        <f>IF(P8="","",IF(R8="l","W",R8))</f>
        <v>1</v>
      </c>
      <c r="H14" s="459" t="str">
        <f>IF(Q8="","",":")</f>
        <v>:</v>
      </c>
      <c r="I14" s="465">
        <f>IF(R8="","",IF(P8="W","L",P8))</f>
        <v>3</v>
      </c>
      <c r="J14" s="464">
        <f>IF(P10="","",IF(R10="l","W",R10))</f>
        <v>1</v>
      </c>
      <c r="K14" s="459" t="str">
        <f>IF(Q10="","",":")</f>
        <v>:</v>
      </c>
      <c r="L14" s="465">
        <f>IF(R10="","",IF(P10="W","L",P10))</f>
        <v>3</v>
      </c>
      <c r="M14" s="464">
        <f>IF(P12="","",IF(R12="l","W",R12))</f>
        <v>1</v>
      </c>
      <c r="N14" s="459" t="str">
        <f>IF(Q12="","",":")</f>
        <v>:</v>
      </c>
      <c r="O14" s="465">
        <f>IF(R12="","",IF(P12="W","L",P12))</f>
        <v>3</v>
      </c>
      <c r="P14" s="1183"/>
      <c r="Q14" s="1169"/>
      <c r="R14" s="1170"/>
      <c r="S14" s="458">
        <v>3</v>
      </c>
      <c r="T14" s="459" t="str">
        <f>IF(S13="","",":")</f>
        <v>:</v>
      </c>
      <c r="U14" s="460">
        <v>2</v>
      </c>
      <c r="V14" s="458">
        <v>2</v>
      </c>
      <c r="W14" s="459" t="str">
        <f>IF(V13="","",":")</f>
        <v>:</v>
      </c>
      <c r="X14" s="460">
        <v>3</v>
      </c>
      <c r="Y14" s="458">
        <v>1</v>
      </c>
      <c r="Z14" s="459" t="str">
        <f>IF(Y13="","",":")</f>
        <v>:</v>
      </c>
      <c r="AA14" s="460">
        <v>3</v>
      </c>
      <c r="AB14" s="458"/>
      <c r="AC14" s="459" t="str">
        <f>IF(AB14="","",":")</f>
        <v/>
      </c>
      <c r="AD14" s="460"/>
      <c r="AE14" s="1186"/>
      <c r="AF14" s="1187"/>
      <c r="AG14" s="1189"/>
      <c r="AH14" s="1174"/>
    </row>
    <row r="15" spans="1:34" ht="15" x14ac:dyDescent="0.2">
      <c r="A15" s="1163">
        <v>6</v>
      </c>
      <c r="B15" s="1165">
        <v>39</v>
      </c>
      <c r="C15" s="456" t="str">
        <f>IF(B15="","",VLOOKUP(B15,'Списки участников'!A:I,3,FALSE))</f>
        <v>РОТНОВ Егор</v>
      </c>
      <c r="D15" s="1171">
        <f>IF(S5="","",IF(S6="W",0,IF(S5=2,1,IF(S5=1,2,IF(S5=0,2)))))</f>
        <v>1</v>
      </c>
      <c r="E15" s="1172"/>
      <c r="F15" s="1173"/>
      <c r="G15" s="1171">
        <f>IF(S7="","",IF(S8="W",0,IF(S7=2,1,IF(S7=1,2,IF(S7=0,2)))))</f>
        <v>1</v>
      </c>
      <c r="H15" s="1172"/>
      <c r="I15" s="1173"/>
      <c r="J15" s="1171">
        <f>IF(S9="","",IF(S10="W",0,IF(S9=2,1,IF(S9=1,2,IF(S9=0,2)))))</f>
        <v>1</v>
      </c>
      <c r="K15" s="1172"/>
      <c r="L15" s="1173"/>
      <c r="M15" s="1171">
        <f>IF(S11="","",IF(S12="W",0,IF(S11=2,1,IF(S11=1,2,IF(S11=0,2)))))</f>
        <v>1</v>
      </c>
      <c r="N15" s="1172"/>
      <c r="O15" s="1173"/>
      <c r="P15" s="1171">
        <f>IF(S13="","",IF(S14="W",0,IF(S13=2,1,IF(S13=1,2,IF(S13=0,2)))))</f>
        <v>1</v>
      </c>
      <c r="Q15" s="1172"/>
      <c r="R15" s="1173"/>
      <c r="S15" s="1180"/>
      <c r="T15" s="1181"/>
      <c r="U15" s="1182"/>
      <c r="V15" s="1171">
        <v>1</v>
      </c>
      <c r="W15" s="1172"/>
      <c r="X15" s="1173"/>
      <c r="Y15" s="1171">
        <v>2</v>
      </c>
      <c r="Z15" s="1172"/>
      <c r="AA15" s="1173"/>
      <c r="AB15" s="1171"/>
      <c r="AC15" s="1172"/>
      <c r="AD15" s="1173"/>
      <c r="AE15" s="1184">
        <f>IF(B15="","",SUM(D15,J15,M15,P15,G15,V15,Y15,AB15,))</f>
        <v>8</v>
      </c>
      <c r="AF15" s="1185"/>
      <c r="AG15" s="1188"/>
      <c r="AH15" s="1174">
        <v>8</v>
      </c>
    </row>
    <row r="16" spans="1:34" ht="15" x14ac:dyDescent="0.2">
      <c r="A16" s="1164"/>
      <c r="B16" s="1166"/>
      <c r="C16" s="457" t="str">
        <f>IF(B15="","",VLOOKUP(B15,'Списки участников'!A:I,6,FALSE))</f>
        <v>Скопин  Ряз.о.</v>
      </c>
      <c r="D16" s="464">
        <f>IF(S6="","",IF(U6="l","W",U6))</f>
        <v>0</v>
      </c>
      <c r="E16" s="459" t="str">
        <f>IF(T6="","",":")</f>
        <v>:</v>
      </c>
      <c r="F16" s="465">
        <f>IF(U6="","",IF(S6="W","L",S6))</f>
        <v>3</v>
      </c>
      <c r="G16" s="464">
        <f>IF(S8="","",IF(U8="l","W",U8))</f>
        <v>2</v>
      </c>
      <c r="H16" s="459" t="str">
        <f>IF(Q8="","",":")</f>
        <v>:</v>
      </c>
      <c r="I16" s="465">
        <f>IF(U8="","",IF(S8="W","L",S8))</f>
        <v>3</v>
      </c>
      <c r="J16" s="464">
        <f>IF(S10="","",IF(U10="l","W",U10))</f>
        <v>1</v>
      </c>
      <c r="K16" s="459" t="str">
        <f>IF(T10="","",":")</f>
        <v>:</v>
      </c>
      <c r="L16" s="465">
        <f>IF(U10="","",IF(S10="W","L",S10))</f>
        <v>3</v>
      </c>
      <c r="M16" s="464">
        <f>IF(S12="","",IF(U12="l","W",U12))</f>
        <v>1</v>
      </c>
      <c r="N16" s="459" t="str">
        <f>IF(T12="","",":")</f>
        <v>:</v>
      </c>
      <c r="O16" s="465">
        <f>IF(U12="","",IF(S12="W","L",S12))</f>
        <v>3</v>
      </c>
      <c r="P16" s="464">
        <f>IF(S14="","",IF(U14="l","W",U14))</f>
        <v>2</v>
      </c>
      <c r="Q16" s="459" t="str">
        <f>IF(T14="","",":")</f>
        <v>:</v>
      </c>
      <c r="R16" s="465">
        <f>IF(U14="","",IF(S14="W","L",S14))</f>
        <v>3</v>
      </c>
      <c r="S16" s="1183"/>
      <c r="T16" s="1169"/>
      <c r="U16" s="1170"/>
      <c r="V16" s="458">
        <v>0</v>
      </c>
      <c r="W16" s="459" t="str">
        <f>IF(V15="","",":")</f>
        <v>:</v>
      </c>
      <c r="X16" s="460">
        <v>3</v>
      </c>
      <c r="Y16" s="458">
        <v>3</v>
      </c>
      <c r="Z16" s="459" t="str">
        <f>IF(Y15="","",":")</f>
        <v>:</v>
      </c>
      <c r="AA16" s="460">
        <v>1</v>
      </c>
      <c r="AB16" s="458"/>
      <c r="AC16" s="459" t="str">
        <f>IF(AB15="","",":")</f>
        <v/>
      </c>
      <c r="AD16" s="460"/>
      <c r="AE16" s="1186"/>
      <c r="AF16" s="1187"/>
      <c r="AG16" s="1189"/>
      <c r="AH16" s="1174"/>
    </row>
    <row r="17" spans="1:34" ht="15" x14ac:dyDescent="0.2">
      <c r="A17" s="1163">
        <v>7</v>
      </c>
      <c r="B17" s="1165">
        <v>22</v>
      </c>
      <c r="C17" s="456" t="str">
        <f>IF(B17="","",VLOOKUP(B17,'Списки участников'!A:I,3,FALSE))</f>
        <v>СТАРОСТИН Максим</v>
      </c>
      <c r="D17" s="1171">
        <f>IF(V5="","",IF(V6="W",0,IF(V5=2,1,IF(V5=1,2,IF(V5=0,2)))))</f>
        <v>1</v>
      </c>
      <c r="E17" s="1172"/>
      <c r="F17" s="1173"/>
      <c r="G17" s="1171">
        <f>IF(V7="","",IF(V8="W",0,IF(V7=2,1,IF(V7=1,2,IF(V7=0,2)))))</f>
        <v>2</v>
      </c>
      <c r="H17" s="1172"/>
      <c r="I17" s="1173"/>
      <c r="J17" s="1171">
        <f>IF(V9="","",IF(V10="W",0,IF(V9=2,1,IF(V9=1,2,IF(V9=0,2)))))</f>
        <v>1</v>
      </c>
      <c r="K17" s="1172"/>
      <c r="L17" s="1173"/>
      <c r="M17" s="1171">
        <f>IF(V11="","",IF(V12="W",0,IF(V11=2,1,IF(V11=1,2,IF(V11=0,2)))))</f>
        <v>1</v>
      </c>
      <c r="N17" s="1172"/>
      <c r="O17" s="1173"/>
      <c r="P17" s="1171">
        <f>IF(V13="","",IF(V14="W",0,IF(V13=2,1,IF(V13=1,2,IF(V13=0,2)))))</f>
        <v>2</v>
      </c>
      <c r="Q17" s="1172"/>
      <c r="R17" s="1173"/>
      <c r="S17" s="1171">
        <f>IF(V15="","",IF(V16="W",0,IF(V15=2,1,IF(V15=1,2,IF(V15=0,2)))))</f>
        <v>2</v>
      </c>
      <c r="T17" s="1172"/>
      <c r="U17" s="1173"/>
      <c r="V17" s="1191"/>
      <c r="W17" s="1167"/>
      <c r="X17" s="1168"/>
      <c r="Y17" s="1171">
        <v>1</v>
      </c>
      <c r="Z17" s="1172"/>
      <c r="AA17" s="1173"/>
      <c r="AB17" s="1171"/>
      <c r="AC17" s="1172"/>
      <c r="AD17" s="1173"/>
      <c r="AE17" s="1184">
        <f>IF(B17="","",SUM(D17,J17,M17,P17,S17,G17,Y17,AB17,))</f>
        <v>10</v>
      </c>
      <c r="AF17" s="1185"/>
      <c r="AG17" s="1188"/>
      <c r="AH17" s="1174">
        <v>5</v>
      </c>
    </row>
    <row r="18" spans="1:34" ht="15" x14ac:dyDescent="0.2">
      <c r="A18" s="1164"/>
      <c r="B18" s="1166"/>
      <c r="C18" s="457" t="str">
        <f>IF(B17="","",VLOOKUP(B17,'Списки участников'!A:I,6,FALSE))</f>
        <v>Екатеринбург</v>
      </c>
      <c r="D18" s="464">
        <f>IF(V6="","",IF(X6="l","W",X6))</f>
        <v>1</v>
      </c>
      <c r="E18" s="459" t="str">
        <f>IF(W6="","",":")</f>
        <v>:</v>
      </c>
      <c r="F18" s="465">
        <f>IF(X6="","",IF(V6="W","L",V6))</f>
        <v>3</v>
      </c>
      <c r="G18" s="464">
        <f>IF(V8="","",IF(X8="l","W",X8))</f>
        <v>3</v>
      </c>
      <c r="H18" s="459" t="str">
        <f>IF(W8="","",":")</f>
        <v>:</v>
      </c>
      <c r="I18" s="465">
        <f>IF(X8="","",IF(V8="W","L",V8))</f>
        <v>0</v>
      </c>
      <c r="J18" s="464">
        <f>IF(V10="","",IF(X10="l","W",X10))</f>
        <v>0</v>
      </c>
      <c r="K18" s="459" t="str">
        <f>IF(W10="","",":")</f>
        <v>:</v>
      </c>
      <c r="L18" s="465">
        <f>IF(X10="","",IF(V10="W","L",V10))</f>
        <v>3</v>
      </c>
      <c r="M18" s="464">
        <f>IF(V12="","",IF(X12="l","W",X12))</f>
        <v>1</v>
      </c>
      <c r="N18" s="459" t="str">
        <f>IF(W12="","",":")</f>
        <v>:</v>
      </c>
      <c r="O18" s="465">
        <f>IF(X12="","",IF(V12="W","L",V12))</f>
        <v>3</v>
      </c>
      <c r="P18" s="464">
        <f>IF(V14="","",IF(X14="l","W",X14))</f>
        <v>3</v>
      </c>
      <c r="Q18" s="459" t="str">
        <f>IF(W14="","",":")</f>
        <v>:</v>
      </c>
      <c r="R18" s="465">
        <f>IF(X14="","",IF(V14="W","L",V14))</f>
        <v>2</v>
      </c>
      <c r="S18" s="464">
        <f>IF(V16="","",IF(X16="l","W",X16))</f>
        <v>3</v>
      </c>
      <c r="T18" s="459" t="str">
        <f>IF(W16="","",":")</f>
        <v>:</v>
      </c>
      <c r="U18" s="465">
        <f>IF(X16="","",IF(V16="W","L",V16))</f>
        <v>0</v>
      </c>
      <c r="V18" s="1183"/>
      <c r="W18" s="1169"/>
      <c r="X18" s="1170"/>
      <c r="Y18" s="458">
        <v>1</v>
      </c>
      <c r="Z18" s="459" t="str">
        <f>IF(Y17="","",":")</f>
        <v>:</v>
      </c>
      <c r="AA18" s="460">
        <v>3</v>
      </c>
      <c r="AB18" s="458"/>
      <c r="AC18" s="459" t="str">
        <f>IF(AB17="","",":")</f>
        <v/>
      </c>
      <c r="AD18" s="460"/>
      <c r="AE18" s="1186"/>
      <c r="AF18" s="1187"/>
      <c r="AG18" s="1189"/>
      <c r="AH18" s="1174"/>
    </row>
    <row r="19" spans="1:34" ht="15" x14ac:dyDescent="0.2">
      <c r="A19" s="1163">
        <v>8</v>
      </c>
      <c r="B19" s="1165">
        <v>25</v>
      </c>
      <c r="C19" s="456" t="str">
        <f>IF(B19="","",VLOOKUP(B19,'Списки участников'!A:I,3,FALSE))</f>
        <v>РОДИОНОВ Всеволод</v>
      </c>
      <c r="D19" s="1171">
        <f>IF(Y5="","",IF(Y6="W",0,IF(Y5=2,1,IF(Y5=1,2,IF(Y5=0,2)))))</f>
        <v>1</v>
      </c>
      <c r="E19" s="1172"/>
      <c r="F19" s="1173"/>
      <c r="G19" s="1171">
        <f>IF(Y7="","",IF(Y8="W",0,IF(Y7=2,1,IF(Y7=1,2,IF(Y7=0,2)))))</f>
        <v>2</v>
      </c>
      <c r="H19" s="1172"/>
      <c r="I19" s="1173"/>
      <c r="J19" s="1171">
        <f>IF(Y9="","",IF(Y10="W",0,IF(Y9=2,1,IF(Y9=1,2,IF(Y9=0,2)))))</f>
        <v>1</v>
      </c>
      <c r="K19" s="1172"/>
      <c r="L19" s="1173"/>
      <c r="M19" s="1171">
        <f>IF(Y11="","",IF(Y12="W",0,IF(Y11=2,1,IF(Y11=1,2,IF(Y11=0,2)))))</f>
        <v>1</v>
      </c>
      <c r="N19" s="1172"/>
      <c r="O19" s="1173"/>
      <c r="P19" s="1171">
        <f>IF(Y13="","",IF(Y14="W",0,IF(Y13=2,1,IF(Y13=1,2,IF(Y13=0,2)))))</f>
        <v>2</v>
      </c>
      <c r="Q19" s="1172"/>
      <c r="R19" s="1173"/>
      <c r="S19" s="1171">
        <f>IF(Y15="","",IF(Y16="W",0,IF(Y15=2,1,IF(Y15=1,2,IF(Y15=0,2)))))</f>
        <v>1</v>
      </c>
      <c r="T19" s="1172"/>
      <c r="U19" s="1173"/>
      <c r="V19" s="1171">
        <f>IF(Y17="","",IF(Y18="W",0,IF(Y17=2,1,IF(Y17=1,2,IF(Y17=0,2)))))</f>
        <v>2</v>
      </c>
      <c r="W19" s="1172"/>
      <c r="X19" s="1173"/>
      <c r="Y19" s="1180"/>
      <c r="Z19" s="1181"/>
      <c r="AA19" s="1182"/>
      <c r="AB19" s="1171"/>
      <c r="AC19" s="1172"/>
      <c r="AD19" s="1173"/>
      <c r="AE19" s="1184">
        <f>IF(B19="","",SUM(D19,J19,M19,P19,S19,V19,G19,AB19,))</f>
        <v>10</v>
      </c>
      <c r="AF19" s="1185"/>
      <c r="AG19" s="1188"/>
      <c r="AH19" s="1174">
        <f>IF(B19="","",RANK(AE19,ГР1О))</f>
        <v>4</v>
      </c>
    </row>
    <row r="20" spans="1:34" ht="15" x14ac:dyDescent="0.2">
      <c r="A20" s="1164"/>
      <c r="B20" s="1166"/>
      <c r="C20" s="457" t="str">
        <f>IF(B19="","",VLOOKUP(B19,'Списки участников'!A:I,6,FALSE))</f>
        <v>Москва</v>
      </c>
      <c r="D20" s="464">
        <f>IF(Y6="","",IF(AA6="l","W",AA6))</f>
        <v>0</v>
      </c>
      <c r="E20" s="459" t="str">
        <f>IF(Z6="","",":")</f>
        <v>:</v>
      </c>
      <c r="F20" s="465">
        <f>IF(AA6="","",IF(Y6="W","L",Y6))</f>
        <v>3</v>
      </c>
      <c r="G20" s="464">
        <f>IF(Y8="","",IF(AA8="l","W",AA8))</f>
        <v>3</v>
      </c>
      <c r="H20" s="459" t="str">
        <f>IF(Z8="","",":")</f>
        <v>:</v>
      </c>
      <c r="I20" s="465">
        <f>IF(AA8="","",IF(Y8="W","L",Y8))</f>
        <v>2</v>
      </c>
      <c r="J20" s="464">
        <f>IF(Y10="","",IF(AA10="l","W",AA10))</f>
        <v>0</v>
      </c>
      <c r="K20" s="459" t="str">
        <f>IF(Z10="","",":")</f>
        <v>:</v>
      </c>
      <c r="L20" s="465">
        <f>IF(AA10="","",IF(Y10="W","L",Y10))</f>
        <v>3</v>
      </c>
      <c r="M20" s="464">
        <f>IF(Y12="","",IF(AA12="l","W",AA12))</f>
        <v>1</v>
      </c>
      <c r="N20" s="459" t="str">
        <f>IF(Z12="","",":")</f>
        <v>:</v>
      </c>
      <c r="O20" s="465">
        <f>IF(AA12="","",IF(Y12="W","L",Y12))</f>
        <v>3</v>
      </c>
      <c r="P20" s="464">
        <f>IF(Y14="","",IF(AA14="l","W",AA14))</f>
        <v>3</v>
      </c>
      <c r="Q20" s="459" t="str">
        <f>IF(Z14="","",":")</f>
        <v>:</v>
      </c>
      <c r="R20" s="465">
        <f>IF(AA14="","",IF(Y14="W","L",Y14))</f>
        <v>1</v>
      </c>
      <c r="S20" s="464">
        <f>IF(Y16="","",IF(AA16="l","W",AA16))</f>
        <v>1</v>
      </c>
      <c r="T20" s="459" t="str">
        <f>IF(Z16="","",":")</f>
        <v>:</v>
      </c>
      <c r="U20" s="465">
        <f>IF(AA16="","",IF(Y16="W","L",Y16))</f>
        <v>3</v>
      </c>
      <c r="V20" s="464">
        <f>IF(Y18="","",IF(AA18="l","W",AA18))</f>
        <v>3</v>
      </c>
      <c r="W20" s="459" t="str">
        <f>IF(Z18="","",":")</f>
        <v>:</v>
      </c>
      <c r="X20" s="465">
        <f>IF(AA18="","",IF(Y18="W","L",Y18))</f>
        <v>1</v>
      </c>
      <c r="Y20" s="1183"/>
      <c r="Z20" s="1169"/>
      <c r="AA20" s="1170"/>
      <c r="AB20" s="458"/>
      <c r="AC20" s="459" t="str">
        <f>IF(AB19="","",":")</f>
        <v/>
      </c>
      <c r="AD20" s="460"/>
      <c r="AE20" s="1186"/>
      <c r="AF20" s="1187"/>
      <c r="AG20" s="1189"/>
      <c r="AH20" s="1174"/>
    </row>
    <row r="21" spans="1:34" ht="15" hidden="1" outlineLevel="1" x14ac:dyDescent="0.2">
      <c r="A21" s="1163">
        <v>9</v>
      </c>
      <c r="B21" s="1165">
        <f>жеребьевка!B20</f>
        <v>0</v>
      </c>
      <c r="C21" s="456" t="e">
        <f>IF(B21="","",VLOOKUP(B21,'Списки участников'!A:I,3,FALSE))</f>
        <v>#N/A</v>
      </c>
      <c r="D21" s="1171" t="str">
        <f>IF(AB5="","",IF(AB6="W",0,IF(AB5=2,1,IF(AB5=1,2,IF(AB5=0,2)))))</f>
        <v/>
      </c>
      <c r="E21" s="1172"/>
      <c r="F21" s="1173"/>
      <c r="G21" s="1171" t="str">
        <f>IF(AB7="","",IF(AB8="W",0,IF(AB7=2,1,IF(AB7=1,2,IF(AB7=0,2)))))</f>
        <v/>
      </c>
      <c r="H21" s="1172"/>
      <c r="I21" s="1173"/>
      <c r="J21" s="1171" t="str">
        <f>IF(AB9="","",IF(AB10="W",0,IF(AB9=2,1,IF(AB9=1,2,IF(AB9=0,2)))))</f>
        <v/>
      </c>
      <c r="K21" s="1172"/>
      <c r="L21" s="1173"/>
      <c r="M21" s="1171" t="str">
        <f>IF(AB11="","",IF(AB12="W",0,IF(AB11=2,1,IF(AB11=1,2,IF(AB11=0,2)))))</f>
        <v/>
      </c>
      <c r="N21" s="1172"/>
      <c r="O21" s="1173"/>
      <c r="P21" s="1171" t="str">
        <f>IF(AB13="","",IF(AB14="W",0,IF(AB13=2,1,IF(AB13=1,2,IF(AB13=0,2)))))</f>
        <v/>
      </c>
      <c r="Q21" s="1172"/>
      <c r="R21" s="1173"/>
      <c r="S21" s="1171" t="str">
        <f>IF(AB15="","",IF(AB16="W",0,IF(AB15=2,1,IF(AB15=1,2,IF(AB15=0,2)))))</f>
        <v/>
      </c>
      <c r="T21" s="1172"/>
      <c r="U21" s="1173"/>
      <c r="V21" s="1171" t="str">
        <f>IF(AB17="","",IF(AB18="W",0,IF(AB17=2,1,IF(AB17=1,2,IF(AB17=0,2)))))</f>
        <v/>
      </c>
      <c r="W21" s="1172"/>
      <c r="X21" s="1173"/>
      <c r="Y21" s="1171" t="str">
        <f>IF(AB19="","",IF(AB20="W",0,IF(AB19=2,1,IF(AB19=1,2,IF(AB19=0,2)))))</f>
        <v/>
      </c>
      <c r="Z21" s="1172"/>
      <c r="AA21" s="1173"/>
      <c r="AB21" s="1191"/>
      <c r="AC21" s="1167"/>
      <c r="AD21" s="1168"/>
      <c r="AE21" s="1184">
        <f>IF(B21="","",SUM(D21,J21,M21,P21,S21,V21,Y21,G21,))</f>
        <v>0</v>
      </c>
      <c r="AF21" s="1185"/>
      <c r="AG21" s="1188"/>
      <c r="AH21" s="1174">
        <f>IF(B21="","",RANK(AE21,ГР1О))</f>
        <v>9</v>
      </c>
    </row>
    <row r="22" spans="1:34" ht="15" hidden="1" outlineLevel="1" x14ac:dyDescent="0.2">
      <c r="A22" s="1164"/>
      <c r="B22" s="1166"/>
      <c r="C22" s="457" t="e">
        <f>IF(B21="","",VLOOKUP(B21,'Списки участников'!A:I,6,FALSE))</f>
        <v>#N/A</v>
      </c>
      <c r="D22" s="464" t="str">
        <f>IF(AB6="","",IF(AD6="l","W",AD6))</f>
        <v/>
      </c>
      <c r="E22" s="459" t="str">
        <f>IF(AC6="","",":")</f>
        <v/>
      </c>
      <c r="F22" s="465" t="str">
        <f>IF(AD6="","",IF(AB6="W","L",AB6))</f>
        <v/>
      </c>
      <c r="G22" s="464" t="str">
        <f>IF(AB8="","",IF(AD8="l","W",AD8))</f>
        <v/>
      </c>
      <c r="H22" s="459" t="str">
        <f>IF(AC8="","",":")</f>
        <v/>
      </c>
      <c r="I22" s="465" t="str">
        <f>IF(AD8="","",IF(AB8="W","L",AB8))</f>
        <v/>
      </c>
      <c r="J22" s="464" t="str">
        <f>IF(AB10="","",IF(AD10="l","W",AD10))</f>
        <v/>
      </c>
      <c r="K22" s="459" t="str">
        <f>IF(AC10="","",":")</f>
        <v/>
      </c>
      <c r="L22" s="465" t="str">
        <f>IF(AD10="","",IF(AB10="W","L",AB10))</f>
        <v/>
      </c>
      <c r="M22" s="464" t="str">
        <f>IF(AB12="","",IF(AD12="l","W",AD12))</f>
        <v/>
      </c>
      <c r="N22" s="459" t="str">
        <f>IF(AC12="","",":")</f>
        <v/>
      </c>
      <c r="O22" s="465" t="str">
        <f>IF(AD12="","",IF(AB12="W","L",AB12))</f>
        <v/>
      </c>
      <c r="P22" s="464" t="str">
        <f>IF(AB14="","",IF(AD14="l","W",AD14))</f>
        <v/>
      </c>
      <c r="Q22" s="459" t="str">
        <f>IF(AC14="","",":")</f>
        <v/>
      </c>
      <c r="R22" s="465" t="str">
        <f>IF(AD14="","",IF(AB14="W","L",AB14))</f>
        <v/>
      </c>
      <c r="S22" s="464" t="str">
        <f>IF(AB16="","",IF(AD16="l","W",AD16))</f>
        <v/>
      </c>
      <c r="T22" s="459" t="str">
        <f>IF(AC16="","",":")</f>
        <v/>
      </c>
      <c r="U22" s="465" t="str">
        <f>IF(AD16="","",IF(AB16="W","L",AB16))</f>
        <v/>
      </c>
      <c r="V22" s="464" t="str">
        <f>IF(AB18="","",IF(AD18="l","W",AD18))</f>
        <v/>
      </c>
      <c r="W22" s="459" t="str">
        <f>IF(AC18="","",":")</f>
        <v/>
      </c>
      <c r="X22" s="465" t="str">
        <f>IF(AD18="","",IF(AB18="W","L",AB18))</f>
        <v/>
      </c>
      <c r="Y22" s="464" t="str">
        <f>IF(AB20="","",IF(AD20="l","W",AD20))</f>
        <v/>
      </c>
      <c r="Z22" s="459" t="str">
        <f>IF(AC20="","",":")</f>
        <v/>
      </c>
      <c r="AA22" s="465" t="str">
        <f>IF(AD20="","",IF(AB20="W","L",AB20))</f>
        <v/>
      </c>
      <c r="AB22" s="1183"/>
      <c r="AC22" s="1169"/>
      <c r="AD22" s="1170"/>
      <c r="AE22" s="1186"/>
      <c r="AF22" s="1187"/>
      <c r="AG22" s="1189"/>
      <c r="AH22" s="1174"/>
    </row>
    <row r="23" spans="1:34" ht="15.75" collapsed="1" x14ac:dyDescent="0.25">
      <c r="A23" s="135"/>
      <c r="B23" s="135"/>
      <c r="C23" s="954" t="s">
        <v>765</v>
      </c>
      <c r="D23" s="135"/>
      <c r="E23" s="135"/>
      <c r="F23" s="135"/>
      <c r="G23" s="1192" t="s">
        <v>11988</v>
      </c>
      <c r="H23" s="1192"/>
      <c r="I23" s="1192"/>
      <c r="J23" s="1192"/>
      <c r="K23" s="1192"/>
      <c r="L23" s="1192"/>
      <c r="M23" s="1192"/>
      <c r="N23" s="1192"/>
      <c r="O23" s="1192"/>
      <c r="P23" s="1192"/>
      <c r="Q23" s="1192"/>
      <c r="R23" s="1192"/>
      <c r="S23" s="1192"/>
      <c r="T23" s="1192"/>
      <c r="U23" s="1192"/>
      <c r="V23" s="1192"/>
      <c r="W23" s="1192"/>
      <c r="X23" s="1192"/>
      <c r="Y23" s="1192"/>
      <c r="Z23" s="1192"/>
      <c r="AA23" s="1192"/>
      <c r="AB23" s="135"/>
      <c r="AC23" s="135"/>
      <c r="AD23" s="135"/>
      <c r="AE23" s="135"/>
      <c r="AF23" s="135"/>
      <c r="AG23" s="135"/>
      <c r="AH23" s="135"/>
    </row>
    <row r="24" spans="1:34" ht="15" x14ac:dyDescent="0.2">
      <c r="A24" s="136" t="s">
        <v>3</v>
      </c>
      <c r="B24" s="938"/>
      <c r="C24" s="138" t="s">
        <v>788</v>
      </c>
      <c r="D24" s="1158">
        <v>1</v>
      </c>
      <c r="E24" s="1159"/>
      <c r="F24" s="1160"/>
      <c r="G24" s="1158">
        <v>2</v>
      </c>
      <c r="H24" s="1159"/>
      <c r="I24" s="1160"/>
      <c r="J24" s="1158">
        <v>3</v>
      </c>
      <c r="K24" s="1159"/>
      <c r="L24" s="1160"/>
      <c r="M24" s="1158">
        <v>4</v>
      </c>
      <c r="N24" s="1159"/>
      <c r="O24" s="1160"/>
      <c r="P24" s="1158">
        <v>5</v>
      </c>
      <c r="Q24" s="1159"/>
      <c r="R24" s="1160"/>
      <c r="S24" s="1158">
        <v>6</v>
      </c>
      <c r="T24" s="1159"/>
      <c r="U24" s="1160"/>
      <c r="V24" s="1158">
        <v>7</v>
      </c>
      <c r="W24" s="1159"/>
      <c r="X24" s="1160"/>
      <c r="Y24" s="1158">
        <v>8</v>
      </c>
      <c r="Z24" s="1159"/>
      <c r="AA24" s="1160"/>
      <c r="AB24" s="1158">
        <v>9</v>
      </c>
      <c r="AC24" s="1159"/>
      <c r="AD24" s="1160"/>
      <c r="AE24" s="1161" t="s">
        <v>789</v>
      </c>
      <c r="AF24" s="1162"/>
      <c r="AG24" s="939" t="s">
        <v>790</v>
      </c>
      <c r="AH24" s="455" t="s">
        <v>100</v>
      </c>
    </row>
    <row r="25" spans="1:34" ht="15" x14ac:dyDescent="0.2">
      <c r="A25" s="1163">
        <v>1</v>
      </c>
      <c r="B25" s="1193">
        <v>2</v>
      </c>
      <c r="C25" s="456" t="str">
        <f>IF(B25="","",VLOOKUP(B25,'Списки участников'!A:I,3,FALSE))</f>
        <v>СОДЫЛЬ Максим</v>
      </c>
      <c r="D25" s="1167"/>
      <c r="E25" s="1167"/>
      <c r="F25" s="1168"/>
      <c r="G25" s="1171">
        <v>2</v>
      </c>
      <c r="H25" s="1172"/>
      <c r="I25" s="1173"/>
      <c r="J25" s="1171">
        <v>2</v>
      </c>
      <c r="K25" s="1172"/>
      <c r="L25" s="1173"/>
      <c r="M25" s="1171">
        <v>2</v>
      </c>
      <c r="N25" s="1172"/>
      <c r="O25" s="1173"/>
      <c r="P25" s="1171">
        <v>2</v>
      </c>
      <c r="Q25" s="1172"/>
      <c r="R25" s="1173"/>
      <c r="S25" s="1171">
        <v>2</v>
      </c>
      <c r="T25" s="1172"/>
      <c r="U25" s="1173"/>
      <c r="V25" s="1171">
        <v>2</v>
      </c>
      <c r="W25" s="1172"/>
      <c r="X25" s="1173"/>
      <c r="Y25" s="1171">
        <v>2</v>
      </c>
      <c r="Z25" s="1172"/>
      <c r="AA25" s="1173"/>
      <c r="AB25" s="1171"/>
      <c r="AC25" s="1172"/>
      <c r="AD25" s="1173"/>
      <c r="AE25" s="1184">
        <f>IF(B25="","",SUM(G25,J25,M25,P25,S25,V25,Y25,AB25,))</f>
        <v>14</v>
      </c>
      <c r="AF25" s="1185"/>
      <c r="AG25" s="1175"/>
      <c r="AH25" s="1174">
        <f>IF(B25="","",RANK(AE25,ГР2О))</f>
        <v>1</v>
      </c>
    </row>
    <row r="26" spans="1:34" ht="15" x14ac:dyDescent="0.2">
      <c r="A26" s="1164"/>
      <c r="B26" s="1194"/>
      <c r="C26" s="457" t="str">
        <f>IF(B25="","",VLOOKUP(B25,'Списки участников'!A:I,6,FALSE))</f>
        <v>Москва</v>
      </c>
      <c r="D26" s="1169"/>
      <c r="E26" s="1169"/>
      <c r="F26" s="1170"/>
      <c r="G26" s="458">
        <v>3</v>
      </c>
      <c r="H26" s="459" t="str">
        <f>IF(G25="","",":")</f>
        <v>:</v>
      </c>
      <c r="I26" s="460">
        <v>0</v>
      </c>
      <c r="J26" s="458">
        <v>3</v>
      </c>
      <c r="K26" s="459" t="str">
        <f>IF(J25="","",":")</f>
        <v>:</v>
      </c>
      <c r="L26" s="460">
        <v>0</v>
      </c>
      <c r="M26" s="458">
        <v>3</v>
      </c>
      <c r="N26" s="459" t="str">
        <f>IF(M26="","",":")</f>
        <v>:</v>
      </c>
      <c r="O26" s="460">
        <v>0</v>
      </c>
      <c r="P26" s="458">
        <v>3</v>
      </c>
      <c r="Q26" s="459" t="str">
        <f>IF(P26="","",":")</f>
        <v>:</v>
      </c>
      <c r="R26" s="460">
        <v>0</v>
      </c>
      <c r="S26" s="458">
        <v>3</v>
      </c>
      <c r="T26" s="459" t="str">
        <f>IF(S26="","",":")</f>
        <v>:</v>
      </c>
      <c r="U26" s="460">
        <v>0</v>
      </c>
      <c r="V26" s="458">
        <v>3</v>
      </c>
      <c r="W26" s="459" t="str">
        <f>IF(V26="","",":")</f>
        <v>:</v>
      </c>
      <c r="X26" s="460">
        <v>0</v>
      </c>
      <c r="Y26" s="458">
        <v>3</v>
      </c>
      <c r="Z26" s="459" t="str">
        <f>IF(Y26="","",":")</f>
        <v>:</v>
      </c>
      <c r="AA26" s="460">
        <v>0</v>
      </c>
      <c r="AB26" s="458"/>
      <c r="AC26" s="459" t="str">
        <f>IF(AB26="","",":")</f>
        <v/>
      </c>
      <c r="AD26" s="460"/>
      <c r="AE26" s="1186"/>
      <c r="AF26" s="1187"/>
      <c r="AG26" s="1176"/>
      <c r="AH26" s="1174"/>
    </row>
    <row r="27" spans="1:34" ht="15" x14ac:dyDescent="0.2">
      <c r="A27" s="1163">
        <v>2</v>
      </c>
      <c r="B27" s="1193">
        <v>7</v>
      </c>
      <c r="C27" s="456" t="str">
        <f>IF(B27="","",VLOOKUP(B27,'Списки участников'!A:I,3,FALSE))</f>
        <v>КАЛИМУЛЛИН Камиль</v>
      </c>
      <c r="D27" s="1177">
        <f>IF(G25="","",IF(G26="W",0,IF(G25=2,1,IF(G25=1,2,IF(G25=0,2)))))</f>
        <v>1</v>
      </c>
      <c r="E27" s="1178"/>
      <c r="F27" s="1179"/>
      <c r="G27" s="1180"/>
      <c r="H27" s="1181"/>
      <c r="I27" s="1182"/>
      <c r="J27" s="1171">
        <v>1</v>
      </c>
      <c r="K27" s="1172"/>
      <c r="L27" s="1173"/>
      <c r="M27" s="1171">
        <v>2</v>
      </c>
      <c r="N27" s="1172"/>
      <c r="O27" s="1173"/>
      <c r="P27" s="1171">
        <v>2</v>
      </c>
      <c r="Q27" s="1172"/>
      <c r="R27" s="1173"/>
      <c r="S27" s="1171">
        <v>2</v>
      </c>
      <c r="T27" s="1172"/>
      <c r="U27" s="1173"/>
      <c r="V27" s="1171">
        <v>2</v>
      </c>
      <c r="W27" s="1172"/>
      <c r="X27" s="1173"/>
      <c r="Y27" s="1171">
        <v>2</v>
      </c>
      <c r="Z27" s="1172"/>
      <c r="AA27" s="1173"/>
      <c r="AB27" s="1171"/>
      <c r="AC27" s="1172"/>
      <c r="AD27" s="1173"/>
      <c r="AE27" s="1184">
        <f>IF(B27="","",SUM(D27,J27,M27,P27,S27,V27,Y27,AB27,))</f>
        <v>12</v>
      </c>
      <c r="AF27" s="1185"/>
      <c r="AG27" s="1175"/>
      <c r="AH27" s="1174">
        <f>IF(B27="","",RANK(AE27,ГР2О))</f>
        <v>3</v>
      </c>
    </row>
    <row r="28" spans="1:34" ht="15" x14ac:dyDescent="0.2">
      <c r="A28" s="1164"/>
      <c r="B28" s="1194"/>
      <c r="C28" s="457" t="str">
        <f>IF(B27="","",VLOOKUP(B27,'Списки участников'!A:I,6,FALSE))</f>
        <v>Москва</v>
      </c>
      <c r="D28" s="461">
        <f>IF(G26="","",IF(I26="l","W",I26))</f>
        <v>0</v>
      </c>
      <c r="E28" s="462" t="str">
        <f>IF(G25="","",":")</f>
        <v>:</v>
      </c>
      <c r="F28" s="463">
        <f>IF(I26="","",IF(G26="W","L",G26))</f>
        <v>3</v>
      </c>
      <c r="G28" s="1183"/>
      <c r="H28" s="1169"/>
      <c r="I28" s="1170"/>
      <c r="J28" s="458">
        <v>1</v>
      </c>
      <c r="K28" s="459" t="str">
        <f>IF(J27="","",":")</f>
        <v>:</v>
      </c>
      <c r="L28" s="460">
        <v>3</v>
      </c>
      <c r="M28" s="458">
        <v>3</v>
      </c>
      <c r="N28" s="459" t="str">
        <f>IF(M27="","",":")</f>
        <v>:</v>
      </c>
      <c r="O28" s="460">
        <v>2</v>
      </c>
      <c r="P28" s="458">
        <v>3</v>
      </c>
      <c r="Q28" s="459" t="str">
        <f>IF(P27="","",":")</f>
        <v>:</v>
      </c>
      <c r="R28" s="460">
        <v>0</v>
      </c>
      <c r="S28" s="458">
        <v>3</v>
      </c>
      <c r="T28" s="459" t="str">
        <f>IF(S28="","",":")</f>
        <v>:</v>
      </c>
      <c r="U28" s="460">
        <v>0</v>
      </c>
      <c r="V28" s="458">
        <v>3</v>
      </c>
      <c r="W28" s="459" t="str">
        <f>IF(V28="","",":")</f>
        <v>:</v>
      </c>
      <c r="X28" s="460">
        <v>0</v>
      </c>
      <c r="Y28" s="458">
        <v>3</v>
      </c>
      <c r="Z28" s="459" t="str">
        <f>IF(Y28="","",":")</f>
        <v>:</v>
      </c>
      <c r="AA28" s="460">
        <v>0</v>
      </c>
      <c r="AB28" s="458"/>
      <c r="AC28" s="459" t="str">
        <f>IF(AB28="","",":")</f>
        <v/>
      </c>
      <c r="AD28" s="460"/>
      <c r="AE28" s="1186"/>
      <c r="AF28" s="1187"/>
      <c r="AG28" s="1176"/>
      <c r="AH28" s="1174"/>
    </row>
    <row r="29" spans="1:34" ht="15" x14ac:dyDescent="0.2">
      <c r="A29" s="1163">
        <v>3</v>
      </c>
      <c r="B29" s="1193">
        <v>10</v>
      </c>
      <c r="C29" s="456" t="str">
        <f>IF(B29="","",VLOOKUP(B29,'Списки участников'!A:I,3,FALSE))</f>
        <v xml:space="preserve">СУЛТАНОВ Артур </v>
      </c>
      <c r="D29" s="1177">
        <f>IF(J25="","",IF(J26="W",0,IF(J25=2,1,IF(J25=1,2,IF(J25=0,2)))))</f>
        <v>1</v>
      </c>
      <c r="E29" s="1178"/>
      <c r="F29" s="1179"/>
      <c r="G29" s="1171">
        <f>IF(J27="","",IF(J28="W",0,IF(J27=2,1,IF(J27=1,2,IF(J27=0,2)))))</f>
        <v>2</v>
      </c>
      <c r="H29" s="1172"/>
      <c r="I29" s="1173"/>
      <c r="J29" s="1180"/>
      <c r="K29" s="1181"/>
      <c r="L29" s="1182"/>
      <c r="M29" s="1171">
        <v>2</v>
      </c>
      <c r="N29" s="1172"/>
      <c r="O29" s="1173"/>
      <c r="P29" s="1171">
        <v>2</v>
      </c>
      <c r="Q29" s="1172"/>
      <c r="R29" s="1173"/>
      <c r="S29" s="1171">
        <v>2</v>
      </c>
      <c r="T29" s="1172"/>
      <c r="U29" s="1173"/>
      <c r="V29" s="1171">
        <v>2</v>
      </c>
      <c r="W29" s="1172"/>
      <c r="X29" s="1173"/>
      <c r="Y29" s="1171">
        <v>2</v>
      </c>
      <c r="Z29" s="1172"/>
      <c r="AA29" s="1173"/>
      <c r="AB29" s="1171"/>
      <c r="AC29" s="1172"/>
      <c r="AD29" s="1173"/>
      <c r="AE29" s="1184">
        <f>IF(B29="","",SUM(G29,D29,M29,P29,S29,V29,Y29,AB29,))</f>
        <v>13</v>
      </c>
      <c r="AF29" s="1185"/>
      <c r="AG29" s="1188"/>
      <c r="AH29" s="1174">
        <f>IF(B29="","",RANK(AE29,ГР2О))</f>
        <v>2</v>
      </c>
    </row>
    <row r="30" spans="1:34" ht="15" x14ac:dyDescent="0.2">
      <c r="A30" s="1164"/>
      <c r="B30" s="1195"/>
      <c r="C30" s="457" t="str">
        <f>IF(B29="","",VLOOKUP(B29,'Списки участников'!A:I,6,FALSE))</f>
        <v>Пермь</v>
      </c>
      <c r="D30" s="464">
        <f>IF(J26="","",IF(L26="l","W",L26))</f>
        <v>0</v>
      </c>
      <c r="E30" s="459" t="str">
        <f>IF(K26="","",":")</f>
        <v>:</v>
      </c>
      <c r="F30" s="465">
        <f>IF(L26="","",IF(J26="W","L",J26))</f>
        <v>3</v>
      </c>
      <c r="G30" s="464">
        <f>IF(J28="","",IF(L28="l","W",L28))</f>
        <v>3</v>
      </c>
      <c r="H30" s="459" t="str">
        <f>IF(K28="","",":")</f>
        <v>:</v>
      </c>
      <c r="I30" s="465">
        <f>IF(L28="","",IF(J28="W","L",J28))</f>
        <v>1</v>
      </c>
      <c r="J30" s="1183"/>
      <c r="K30" s="1169"/>
      <c r="L30" s="1170"/>
      <c r="M30" s="458">
        <v>3</v>
      </c>
      <c r="N30" s="459" t="str">
        <f>IF(M29="","",":")</f>
        <v>:</v>
      </c>
      <c r="O30" s="460">
        <v>0</v>
      </c>
      <c r="P30" s="458">
        <v>3</v>
      </c>
      <c r="Q30" s="459" t="str">
        <f>IF(P29="","",":")</f>
        <v>:</v>
      </c>
      <c r="R30" s="460">
        <v>0</v>
      </c>
      <c r="S30" s="458">
        <v>3</v>
      </c>
      <c r="T30" s="459" t="str">
        <f>IF(S29="","",":")</f>
        <v>:</v>
      </c>
      <c r="U30" s="460">
        <v>1</v>
      </c>
      <c r="V30" s="458">
        <v>3</v>
      </c>
      <c r="W30" s="459" t="str">
        <f>IF(V30="","",":")</f>
        <v>:</v>
      </c>
      <c r="X30" s="460">
        <v>0</v>
      </c>
      <c r="Y30" s="458">
        <v>3</v>
      </c>
      <c r="Z30" s="459" t="str">
        <f>IF(Y30="","",":")</f>
        <v>:</v>
      </c>
      <c r="AA30" s="460">
        <v>0</v>
      </c>
      <c r="AB30" s="458"/>
      <c r="AC30" s="459" t="str">
        <f>IF(AB30="","",":")</f>
        <v/>
      </c>
      <c r="AD30" s="460"/>
      <c r="AE30" s="1186"/>
      <c r="AF30" s="1187"/>
      <c r="AG30" s="1189"/>
      <c r="AH30" s="1174"/>
    </row>
    <row r="31" spans="1:34" ht="15" x14ac:dyDescent="0.2">
      <c r="A31" s="1163">
        <v>4</v>
      </c>
      <c r="B31" s="1193">
        <v>20</v>
      </c>
      <c r="C31" s="456" t="str">
        <f>IF(B31="","",VLOOKUP(B31,'Списки участников'!A:I,3,FALSE))</f>
        <v>АВЕРИН Владимир</v>
      </c>
      <c r="D31" s="1171">
        <f>IF(M25="","",IF(M26="W",0,IF(M25=2,1,IF(M25=1,2,IF(M25=0,2)))))</f>
        <v>1</v>
      </c>
      <c r="E31" s="1172"/>
      <c r="F31" s="1173"/>
      <c r="G31" s="1171">
        <f>IF(M27="","",IF(M28="W",0,IF(M27=2,1,IF(M27=1,2,IF(M27=0,2)))))</f>
        <v>1</v>
      </c>
      <c r="H31" s="1172"/>
      <c r="I31" s="1173"/>
      <c r="J31" s="1171">
        <f>IF(M29="","",IF(M30="W",0,IF(M29=2,1,IF(M29=1,2,IF(M29=0,2)))))</f>
        <v>1</v>
      </c>
      <c r="K31" s="1172"/>
      <c r="L31" s="1173"/>
      <c r="M31" s="1181"/>
      <c r="N31" s="1181"/>
      <c r="O31" s="1181"/>
      <c r="P31" s="1171">
        <v>1</v>
      </c>
      <c r="Q31" s="1172"/>
      <c r="R31" s="1173"/>
      <c r="S31" s="1171">
        <v>1</v>
      </c>
      <c r="T31" s="1172"/>
      <c r="U31" s="1173"/>
      <c r="V31" s="1171">
        <v>2</v>
      </c>
      <c r="W31" s="1172"/>
      <c r="X31" s="1173"/>
      <c r="Y31" s="1171">
        <v>2</v>
      </c>
      <c r="Z31" s="1172"/>
      <c r="AA31" s="1173"/>
      <c r="AB31" s="1171"/>
      <c r="AC31" s="1172"/>
      <c r="AD31" s="1173"/>
      <c r="AE31" s="1184">
        <f>IF(B31="","",SUM(G31,J31,D31,P31,S31,V31,Y31,AB31,))</f>
        <v>9</v>
      </c>
      <c r="AF31" s="1185"/>
      <c r="AG31" s="1188"/>
      <c r="AH31" s="1174">
        <f>IF(B31="","",RANK(AE31,ГР2О))</f>
        <v>6</v>
      </c>
    </row>
    <row r="32" spans="1:34" ht="15" x14ac:dyDescent="0.2">
      <c r="A32" s="1164"/>
      <c r="B32" s="1195"/>
      <c r="C32" s="457" t="str">
        <f>IF(B31="","",VLOOKUP(B31,'Списки участников'!A:I,6,FALSE))</f>
        <v>Коломна</v>
      </c>
      <c r="D32" s="464">
        <f>IF(M26="","",IF(O26="l","W",O26))</f>
        <v>0</v>
      </c>
      <c r="E32" s="459" t="str">
        <f>IF(N26="","",":")</f>
        <v>:</v>
      </c>
      <c r="F32" s="465">
        <f>IF(O26="","",IF(M26="W","L",M26))</f>
        <v>3</v>
      </c>
      <c r="G32" s="464">
        <f>IF(M28="","",IF(O28="l","W",O28))</f>
        <v>2</v>
      </c>
      <c r="H32" s="459" t="str">
        <f>IF(N28="","",":")</f>
        <v>:</v>
      </c>
      <c r="I32" s="465">
        <f>IF(O28="","",IF(M28="W","L",M28))</f>
        <v>3</v>
      </c>
      <c r="J32" s="464">
        <f>IF(M30="","",IF(O30="l","W",O30))</f>
        <v>0</v>
      </c>
      <c r="K32" s="459" t="str">
        <f>IF(N30="","",":")</f>
        <v>:</v>
      </c>
      <c r="L32" s="465">
        <f>IF(O30="","",IF(M30="W","L",M30))</f>
        <v>3</v>
      </c>
      <c r="M32" s="1190"/>
      <c r="N32" s="1190"/>
      <c r="O32" s="1190"/>
      <c r="P32" s="458">
        <v>1</v>
      </c>
      <c r="Q32" s="459" t="str">
        <f>IF(P31="","",":")</f>
        <v>:</v>
      </c>
      <c r="R32" s="460">
        <v>3</v>
      </c>
      <c r="S32" s="458">
        <v>0</v>
      </c>
      <c r="T32" s="459" t="str">
        <f>IF(S31="","",":")</f>
        <v>:</v>
      </c>
      <c r="U32" s="460">
        <v>3</v>
      </c>
      <c r="V32" s="458">
        <v>3</v>
      </c>
      <c r="W32" s="459" t="str">
        <f>IF(V31="","",":")</f>
        <v>:</v>
      </c>
      <c r="X32" s="460">
        <v>0</v>
      </c>
      <c r="Y32" s="458">
        <v>3</v>
      </c>
      <c r="Z32" s="459" t="str">
        <f>IF(Y32="","",":")</f>
        <v>:</v>
      </c>
      <c r="AA32" s="460">
        <v>0</v>
      </c>
      <c r="AB32" s="458"/>
      <c r="AC32" s="459" t="str">
        <f>IF(AB32="","",":")</f>
        <v/>
      </c>
      <c r="AD32" s="460"/>
      <c r="AE32" s="1186"/>
      <c r="AF32" s="1187"/>
      <c r="AG32" s="1189"/>
      <c r="AH32" s="1174"/>
    </row>
    <row r="33" spans="1:34" ht="15" x14ac:dyDescent="0.2">
      <c r="A33" s="1163">
        <v>5</v>
      </c>
      <c r="B33" s="1196">
        <v>30</v>
      </c>
      <c r="C33" s="456" t="str">
        <f>IF(B33="","",VLOOKUP(B33,'Списки участников'!A:I,3,FALSE))</f>
        <v>БАКШИНСКИЙ Илья</v>
      </c>
      <c r="D33" s="1171">
        <f>IF(P25="","",IF(P26="W",0,IF(P25=2,1,IF(P25=1,2,IF(P25=0,2)))))</f>
        <v>1</v>
      </c>
      <c r="E33" s="1172"/>
      <c r="F33" s="1173"/>
      <c r="G33" s="1171">
        <f>IF(P27="","",IF(P28="W",0,IF(P27=2,1,IF(P27=1,2,IF(P27=0,2)))))</f>
        <v>1</v>
      </c>
      <c r="H33" s="1172"/>
      <c r="I33" s="1173"/>
      <c r="J33" s="1171">
        <f>IF(P29="","",IF(P30="W",0,IF(P29=2,1,IF(P29=1,2,IF(P29=0,2)))))</f>
        <v>1</v>
      </c>
      <c r="K33" s="1172"/>
      <c r="L33" s="1173"/>
      <c r="M33" s="1171">
        <f>IF(P31="","",IF(P32="W",0,IF(P31=2,1,IF(P31=1,2,IF(P31=0,2)))))</f>
        <v>2</v>
      </c>
      <c r="N33" s="1172"/>
      <c r="O33" s="1173"/>
      <c r="P33" s="1180"/>
      <c r="Q33" s="1181"/>
      <c r="R33" s="1182"/>
      <c r="S33" s="1171">
        <v>2</v>
      </c>
      <c r="T33" s="1172"/>
      <c r="U33" s="1173"/>
      <c r="V33" s="1171">
        <v>2</v>
      </c>
      <c r="W33" s="1172"/>
      <c r="X33" s="1173"/>
      <c r="Y33" s="1171">
        <v>2</v>
      </c>
      <c r="Z33" s="1172"/>
      <c r="AA33" s="1173"/>
      <c r="AB33" s="1171"/>
      <c r="AC33" s="1172"/>
      <c r="AD33" s="1173"/>
      <c r="AE33" s="1184">
        <f>IF(B33="","",SUM(G33,J33,M33,D33,S33,V33,Y33,AB33,))</f>
        <v>11</v>
      </c>
      <c r="AF33" s="1185"/>
      <c r="AG33" s="1188"/>
      <c r="AH33" s="1174">
        <f>IF(B33="","",RANK(AE33,ГР2О))</f>
        <v>4</v>
      </c>
    </row>
    <row r="34" spans="1:34" ht="15" x14ac:dyDescent="0.2">
      <c r="A34" s="1164"/>
      <c r="B34" s="1197"/>
      <c r="C34" s="457" t="str">
        <f>IF(B33="","",VLOOKUP(B33,'Списки участников'!A:I,6,FALSE))</f>
        <v>Москва</v>
      </c>
      <c r="D34" s="464">
        <f>IF(P26="","",IF(R26="l","W",R26))</f>
        <v>0</v>
      </c>
      <c r="E34" s="459" t="str">
        <f>IF(Q26="","",":")</f>
        <v>:</v>
      </c>
      <c r="F34" s="465">
        <f>IF(R26="","",IF(P26="W","L",P26))</f>
        <v>3</v>
      </c>
      <c r="G34" s="464">
        <f>IF(P28="","",IF(R28="l","W",R28))</f>
        <v>0</v>
      </c>
      <c r="H34" s="459" t="str">
        <f>IF(Q28="","",":")</f>
        <v>:</v>
      </c>
      <c r="I34" s="465">
        <f>IF(R28="","",IF(P28="W","L",P28))</f>
        <v>3</v>
      </c>
      <c r="J34" s="464">
        <f>IF(P30="","",IF(R30="l","W",R30))</f>
        <v>0</v>
      </c>
      <c r="K34" s="459" t="str">
        <f>IF(Q30="","",":")</f>
        <v>:</v>
      </c>
      <c r="L34" s="465">
        <f>IF(R30="","",IF(P30="W","L",P30))</f>
        <v>3</v>
      </c>
      <c r="M34" s="464">
        <f>IF(P32="","",IF(R32="l","W",R32))</f>
        <v>3</v>
      </c>
      <c r="N34" s="459" t="str">
        <f>IF(Q32="","",":")</f>
        <v>:</v>
      </c>
      <c r="O34" s="465">
        <f>IF(R32="","",IF(P32="W","L",P32))</f>
        <v>1</v>
      </c>
      <c r="P34" s="1183"/>
      <c r="Q34" s="1169"/>
      <c r="R34" s="1170"/>
      <c r="S34" s="458">
        <v>3</v>
      </c>
      <c r="T34" s="459" t="str">
        <f>IF(S33="","",":")</f>
        <v>:</v>
      </c>
      <c r="U34" s="460">
        <v>2</v>
      </c>
      <c r="V34" s="458">
        <v>3</v>
      </c>
      <c r="W34" s="459" t="str">
        <f>IF(V33="","",":")</f>
        <v>:</v>
      </c>
      <c r="X34" s="460">
        <v>0</v>
      </c>
      <c r="Y34" s="458">
        <v>3</v>
      </c>
      <c r="Z34" s="459" t="str">
        <f>IF(Y33="","",":")</f>
        <v>:</v>
      </c>
      <c r="AA34" s="460">
        <v>0</v>
      </c>
      <c r="AB34" s="458"/>
      <c r="AC34" s="459" t="str">
        <f>IF(AB34="","",":")</f>
        <v/>
      </c>
      <c r="AD34" s="460"/>
      <c r="AE34" s="1186"/>
      <c r="AF34" s="1187"/>
      <c r="AG34" s="1189"/>
      <c r="AH34" s="1174"/>
    </row>
    <row r="35" spans="1:34" ht="15" x14ac:dyDescent="0.2">
      <c r="A35" s="1163">
        <v>6</v>
      </c>
      <c r="B35" s="1196">
        <v>29</v>
      </c>
      <c r="C35" s="456" t="str">
        <f>IF(B35="","",VLOOKUP(B35,'Списки участников'!A:I,3,FALSE))</f>
        <v>МОСПАНОВ Илья</v>
      </c>
      <c r="D35" s="1171">
        <f>IF(S25="","",IF(S26="W",0,IF(S25=2,1,IF(S25=1,2,IF(S25=0,2)))))</f>
        <v>1</v>
      </c>
      <c r="E35" s="1172"/>
      <c r="F35" s="1173"/>
      <c r="G35" s="1171">
        <f>IF(S27="","",IF(S28="W",0,IF(S27=2,1,IF(S27=1,2,IF(S27=0,2)))))</f>
        <v>1</v>
      </c>
      <c r="H35" s="1172"/>
      <c r="I35" s="1173"/>
      <c r="J35" s="1171">
        <f>IF(S29="","",IF(S30="W",0,IF(S29=2,1,IF(S29=1,2,IF(S29=0,2)))))</f>
        <v>1</v>
      </c>
      <c r="K35" s="1172"/>
      <c r="L35" s="1173"/>
      <c r="M35" s="1171">
        <f>IF(S31="","",IF(S32="W",0,IF(S31=2,1,IF(S31=1,2,IF(S31=0,2)))))</f>
        <v>2</v>
      </c>
      <c r="N35" s="1172"/>
      <c r="O35" s="1173"/>
      <c r="P35" s="1171">
        <f>IF(S33="","",IF(S34="W",0,IF(S33=2,1,IF(S33=1,2,IF(S33=0,2)))))</f>
        <v>1</v>
      </c>
      <c r="Q35" s="1172"/>
      <c r="R35" s="1173"/>
      <c r="S35" s="1180"/>
      <c r="T35" s="1181"/>
      <c r="U35" s="1182"/>
      <c r="V35" s="1171">
        <v>2</v>
      </c>
      <c r="W35" s="1172"/>
      <c r="X35" s="1173"/>
      <c r="Y35" s="1171">
        <v>2</v>
      </c>
      <c r="Z35" s="1172"/>
      <c r="AA35" s="1173"/>
      <c r="AB35" s="1171"/>
      <c r="AC35" s="1172"/>
      <c r="AD35" s="1173"/>
      <c r="AE35" s="1184">
        <f>IF(B35="","",SUM(G35,J35,M35,P35,D35,V35,Y35,AB35,))</f>
        <v>10</v>
      </c>
      <c r="AF35" s="1185"/>
      <c r="AG35" s="1188"/>
      <c r="AH35" s="1174">
        <f>IF(B35="","",RANK(AE35,ГР2О))</f>
        <v>5</v>
      </c>
    </row>
    <row r="36" spans="1:34" ht="15" x14ac:dyDescent="0.2">
      <c r="A36" s="1164"/>
      <c r="B36" s="1197"/>
      <c r="C36" s="457" t="str">
        <f>IF(B35="","",VLOOKUP(B35,'Списки участников'!A:I,6,FALSE))</f>
        <v>Москва</v>
      </c>
      <c r="D36" s="464">
        <f>IF(S26="","",IF(U26="l","W",U26))</f>
        <v>0</v>
      </c>
      <c r="E36" s="459" t="str">
        <f>IF(T26="","",":")</f>
        <v>:</v>
      </c>
      <c r="F36" s="465">
        <f>IF(U26="","",IF(S26="W","L",S26))</f>
        <v>3</v>
      </c>
      <c r="G36" s="464">
        <f>IF(S28="","",IF(U28="l","W",U28))</f>
        <v>0</v>
      </c>
      <c r="H36" s="459" t="str">
        <f>IF(T28="","",":")</f>
        <v>:</v>
      </c>
      <c r="I36" s="465">
        <f>IF(U28="","",IF(S28="W","L",S28))</f>
        <v>3</v>
      </c>
      <c r="J36" s="464">
        <f>IF(S30="","",IF(U30="l","W",U30))</f>
        <v>1</v>
      </c>
      <c r="K36" s="459" t="str">
        <f>IF(T30="","",":")</f>
        <v>:</v>
      </c>
      <c r="L36" s="465">
        <f>IF(U30="","",IF(S30="W","L",S30))</f>
        <v>3</v>
      </c>
      <c r="M36" s="464">
        <f>IF(S32="","",IF(U32="l","W",U32))</f>
        <v>3</v>
      </c>
      <c r="N36" s="459" t="str">
        <f>IF(T32="","",":")</f>
        <v>:</v>
      </c>
      <c r="O36" s="465">
        <f>IF(U32="","",IF(S32="W","L",S32))</f>
        <v>0</v>
      </c>
      <c r="P36" s="464">
        <f>IF(S34="","",IF(U34="l","W",U34))</f>
        <v>2</v>
      </c>
      <c r="Q36" s="459" t="str">
        <f>IF(T34="","",":")</f>
        <v>:</v>
      </c>
      <c r="R36" s="465">
        <f>IF(U34="","",IF(S34="W","L",S34))</f>
        <v>3</v>
      </c>
      <c r="S36" s="1183"/>
      <c r="T36" s="1169"/>
      <c r="U36" s="1170"/>
      <c r="V36" s="458">
        <v>3</v>
      </c>
      <c r="W36" s="459" t="str">
        <f>IF(V35="","",":")</f>
        <v>:</v>
      </c>
      <c r="X36" s="460">
        <v>0</v>
      </c>
      <c r="Y36" s="458">
        <v>3</v>
      </c>
      <c r="Z36" s="459" t="str">
        <f>IF(Y35="","",":")</f>
        <v>:</v>
      </c>
      <c r="AA36" s="460">
        <v>1</v>
      </c>
      <c r="AB36" s="458"/>
      <c r="AC36" s="459" t="str">
        <f>IF(AB35="","",":")</f>
        <v/>
      </c>
      <c r="AD36" s="460"/>
      <c r="AE36" s="1186"/>
      <c r="AF36" s="1187"/>
      <c r="AG36" s="1189"/>
      <c r="AH36" s="1174"/>
    </row>
    <row r="37" spans="1:34" ht="15" x14ac:dyDescent="0.2">
      <c r="A37" s="1163">
        <v>7</v>
      </c>
      <c r="B37" s="1196">
        <v>43</v>
      </c>
      <c r="C37" s="456" t="str">
        <f>IF(B37="","",VLOOKUP(B37,'Списки участников'!A:I,3,FALSE))</f>
        <v>ПОДЛАЗОВ Владислав</v>
      </c>
      <c r="D37" s="1171">
        <f>IF(V25="","",IF(V26="W",0,IF(V25=2,1,IF(V25=1,2,IF(V25=0,2)))))</f>
        <v>1</v>
      </c>
      <c r="E37" s="1172"/>
      <c r="F37" s="1173"/>
      <c r="G37" s="1171">
        <f>IF(V27="","",IF(V28="W",0,IF(V27=2,1,IF(V27=1,2,IF(V27=0,2)))))</f>
        <v>1</v>
      </c>
      <c r="H37" s="1172"/>
      <c r="I37" s="1173"/>
      <c r="J37" s="1171">
        <f>IF(V29="","",IF(V30="W",0,IF(V29=2,1,IF(V29=1,2,IF(V29=0,2)))))</f>
        <v>1</v>
      </c>
      <c r="K37" s="1172"/>
      <c r="L37" s="1173"/>
      <c r="M37" s="1171">
        <f>IF(V31="","",IF(V32="W",0,IF(V31=2,1,IF(V31=1,2,IF(V31=0,2)))))</f>
        <v>1</v>
      </c>
      <c r="N37" s="1172"/>
      <c r="O37" s="1173"/>
      <c r="P37" s="1171">
        <f>IF(V33="","",IF(V34="W",0,IF(V33=2,1,IF(V33=1,2,IF(V33=0,2)))))</f>
        <v>1</v>
      </c>
      <c r="Q37" s="1172"/>
      <c r="R37" s="1173"/>
      <c r="S37" s="1171">
        <f>IF(V35="","",IF(V36="W",0,IF(V35=2,1,IF(V35=1,2,IF(V35=0,2)))))</f>
        <v>1</v>
      </c>
      <c r="T37" s="1172"/>
      <c r="U37" s="1173"/>
      <c r="V37" s="1191"/>
      <c r="W37" s="1167"/>
      <c r="X37" s="1168"/>
      <c r="Y37" s="1171">
        <v>2</v>
      </c>
      <c r="Z37" s="1172"/>
      <c r="AA37" s="1173"/>
      <c r="AB37" s="1171"/>
      <c r="AC37" s="1172"/>
      <c r="AD37" s="1173"/>
      <c r="AE37" s="1184">
        <f>IF(B37="","",SUM(G37,J37,M37,P37,S37,D37,Y37,AB37,))</f>
        <v>8</v>
      </c>
      <c r="AF37" s="1185"/>
      <c r="AG37" s="1188"/>
      <c r="AH37" s="1174">
        <f>IF(B37="","",RANK(AE37,ГР2О))</f>
        <v>7</v>
      </c>
    </row>
    <row r="38" spans="1:34" ht="15" x14ac:dyDescent="0.2">
      <c r="A38" s="1164"/>
      <c r="B38" s="1197"/>
      <c r="C38" s="457" t="str">
        <f>IF(B37="","",VLOOKUP(B37,'Списки участников'!A:I,6,FALSE))</f>
        <v>Москва</v>
      </c>
      <c r="D38" s="464">
        <f>IF(V26="","",IF(X26="l","W",X26))</f>
        <v>0</v>
      </c>
      <c r="E38" s="459" t="str">
        <f>IF(W26="","",":")</f>
        <v>:</v>
      </c>
      <c r="F38" s="465">
        <f>IF(X26="","",IF(V26="W","L",V26))</f>
        <v>3</v>
      </c>
      <c r="G38" s="464">
        <f>IF(V28="","",IF(X28="l","W",X28))</f>
        <v>0</v>
      </c>
      <c r="H38" s="459" t="str">
        <f>IF(W28="","",":")</f>
        <v>:</v>
      </c>
      <c r="I38" s="465">
        <f>IF(X28="","",IF(V28="W","L",V28))</f>
        <v>3</v>
      </c>
      <c r="J38" s="464">
        <f>IF(V30="","",IF(X30="l","W",X30))</f>
        <v>0</v>
      </c>
      <c r="K38" s="459" t="str">
        <f>IF(W30="","",":")</f>
        <v>:</v>
      </c>
      <c r="L38" s="465">
        <f>IF(X30="","",IF(V30="W","L",V30))</f>
        <v>3</v>
      </c>
      <c r="M38" s="464">
        <f>IF(V32="","",IF(X32="l","W",X32))</f>
        <v>0</v>
      </c>
      <c r="N38" s="459" t="str">
        <f>IF(W32="","",":")</f>
        <v>:</v>
      </c>
      <c r="O38" s="465">
        <f>IF(X32="","",IF(V32="W","L",V32))</f>
        <v>3</v>
      </c>
      <c r="P38" s="464">
        <f>IF(V34="","",IF(X34="l","W",X34))</f>
        <v>0</v>
      </c>
      <c r="Q38" s="459" t="str">
        <f>IF(W34="","",":")</f>
        <v>:</v>
      </c>
      <c r="R38" s="465">
        <f>IF(X34="","",IF(V34="W","L",V34))</f>
        <v>3</v>
      </c>
      <c r="S38" s="464">
        <f>IF(V36="","",IF(X36="l","W",X36))</f>
        <v>0</v>
      </c>
      <c r="T38" s="459" t="str">
        <f>IF(W36="","",":")</f>
        <v>:</v>
      </c>
      <c r="U38" s="465">
        <f>IF(X36="","",IF(V36="W","L",V36))</f>
        <v>3</v>
      </c>
      <c r="V38" s="1183"/>
      <c r="W38" s="1169"/>
      <c r="X38" s="1170"/>
      <c r="Y38" s="1456" t="s">
        <v>12171</v>
      </c>
      <c r="Z38" s="459" t="str">
        <f>IF(Y37="","",":")</f>
        <v>:</v>
      </c>
      <c r="AA38" s="1457" t="s">
        <v>12172</v>
      </c>
      <c r="AB38" s="458"/>
      <c r="AC38" s="459" t="str">
        <f>IF(AB37="","",":")</f>
        <v/>
      </c>
      <c r="AD38" s="460"/>
      <c r="AE38" s="1186"/>
      <c r="AF38" s="1187"/>
      <c r="AG38" s="1189"/>
      <c r="AH38" s="1174"/>
    </row>
    <row r="39" spans="1:34" ht="15" x14ac:dyDescent="0.2">
      <c r="A39" s="1163">
        <v>8</v>
      </c>
      <c r="B39" s="1196">
        <v>47</v>
      </c>
      <c r="C39" s="456" t="str">
        <f>IF(B39="","",VLOOKUP(B39,'Списки участников'!A:I,3,FALSE))</f>
        <v>ПРОХОРОВ Кирилл</v>
      </c>
      <c r="D39" s="1171">
        <f>IF(Y25="","",IF(Y26="W",0,IF(Y25=2,1,IF(Y25=1,2,IF(Y25=0,2)))))</f>
        <v>1</v>
      </c>
      <c r="E39" s="1172"/>
      <c r="F39" s="1173"/>
      <c r="G39" s="1171">
        <f>IF(Y27="","",IF(Y28="W",0,IF(Y27=2,1,IF(Y27=1,2,IF(Y27=0,2)))))</f>
        <v>1</v>
      </c>
      <c r="H39" s="1172"/>
      <c r="I39" s="1173"/>
      <c r="J39" s="1171">
        <f>IF(Y29="","",IF(Y30="W",0,IF(Y29=2,1,IF(Y29=1,2,IF(Y29=0,2)))))</f>
        <v>1</v>
      </c>
      <c r="K39" s="1172"/>
      <c r="L39" s="1173"/>
      <c r="M39" s="1171">
        <f>IF(Y31="","",IF(Y32="W",0,IF(Y31=2,1,IF(Y31=1,2,IF(Y31=0,2)))))</f>
        <v>1</v>
      </c>
      <c r="N39" s="1172"/>
      <c r="O39" s="1173"/>
      <c r="P39" s="1171">
        <f>IF(Y33="","",IF(Y34="W",0,IF(Y33=2,1,IF(Y33=1,2,IF(Y33=0,2)))))</f>
        <v>1</v>
      </c>
      <c r="Q39" s="1172"/>
      <c r="R39" s="1173"/>
      <c r="S39" s="1171">
        <f>IF(Y35="","",IF(Y36="W",0,IF(Y35=2,1,IF(Y35=1,2,IF(Y35=0,2)))))</f>
        <v>1</v>
      </c>
      <c r="T39" s="1172"/>
      <c r="U39" s="1173"/>
      <c r="V39" s="1171">
        <f>IF(Y37="","",IF(Y38="W",0,IF(Y37=2,1,IF(Y37=1,2,IF(Y37=0,2)))))</f>
        <v>0</v>
      </c>
      <c r="W39" s="1172"/>
      <c r="X39" s="1173"/>
      <c r="Y39" s="1180"/>
      <c r="Z39" s="1181"/>
      <c r="AA39" s="1182"/>
      <c r="AB39" s="1171"/>
      <c r="AC39" s="1172"/>
      <c r="AD39" s="1173"/>
      <c r="AE39" s="1184">
        <f>IF(B39="","",SUM(G39,J39,M39,P39,S39,V39,D39,AB39,))</f>
        <v>6</v>
      </c>
      <c r="AF39" s="1185"/>
      <c r="AG39" s="1188"/>
      <c r="AH39" s="1174">
        <f>IF(B39="","",RANK(AE39,ГР2О))</f>
        <v>8</v>
      </c>
    </row>
    <row r="40" spans="1:34" ht="15" x14ac:dyDescent="0.2">
      <c r="A40" s="1164"/>
      <c r="B40" s="1197"/>
      <c r="C40" s="457" t="str">
        <f>IF(B39="","",VLOOKUP(B39,'Списки участников'!A:I,6,FALSE))</f>
        <v>Домодедово  М.о.</v>
      </c>
      <c r="D40" s="464">
        <f>IF(Y26="","",IF(AA26="l","W",AA26))</f>
        <v>0</v>
      </c>
      <c r="E40" s="459" t="str">
        <f>IF(Z26="","",":")</f>
        <v>:</v>
      </c>
      <c r="F40" s="465">
        <f>IF(AA26="","",IF(Y26="W","L",Y26))</f>
        <v>3</v>
      </c>
      <c r="G40" s="464">
        <f>IF(Y28="","",IF(AA28="l","W",AA28))</f>
        <v>0</v>
      </c>
      <c r="H40" s="459" t="str">
        <f>IF(Z28="","",":")</f>
        <v>:</v>
      </c>
      <c r="I40" s="465">
        <f>IF(AA28="","",IF(Y28="W","L",Y28))</f>
        <v>3</v>
      </c>
      <c r="J40" s="464">
        <f>IF(Y30="","",IF(AA30="l","W",AA30))</f>
        <v>0</v>
      </c>
      <c r="K40" s="459" t="str">
        <f>IF(Z30="","",":")</f>
        <v>:</v>
      </c>
      <c r="L40" s="465">
        <f>IF(AA30="","",IF(Y30="W","L",Y30))</f>
        <v>3</v>
      </c>
      <c r="M40" s="464">
        <f>IF(Y32="","",IF(AA32="l","W",AA32))</f>
        <v>0</v>
      </c>
      <c r="N40" s="459" t="str">
        <f>IF(Z32="","",":")</f>
        <v>:</v>
      </c>
      <c r="O40" s="465">
        <f>IF(AA32="","",IF(Y32="W","L",Y32))</f>
        <v>3</v>
      </c>
      <c r="P40" s="464">
        <f>IF(Y34="","",IF(AA34="l","W",AA34))</f>
        <v>0</v>
      </c>
      <c r="Q40" s="459" t="str">
        <f>IF(Z34="","",":")</f>
        <v>:</v>
      </c>
      <c r="R40" s="465">
        <f>IF(AA34="","",IF(Y34="W","L",Y34))</f>
        <v>3</v>
      </c>
      <c r="S40" s="464">
        <f>IF(Y36="","",IF(AA36="l","W",AA36))</f>
        <v>1</v>
      </c>
      <c r="T40" s="459" t="str">
        <f>IF(Z36="","",":")</f>
        <v>:</v>
      </c>
      <c r="U40" s="465">
        <f>IF(AA36="","",IF(Y36="W","L",Y36))</f>
        <v>3</v>
      </c>
      <c r="V40" s="464" t="str">
        <f>IF(Y38="","",IF(AA38="l","W",AA38))</f>
        <v>W</v>
      </c>
      <c r="W40" s="459" t="str">
        <f>IF(Z38="","",":")</f>
        <v>:</v>
      </c>
      <c r="X40" s="465" t="str">
        <f>IF(AA38="","",IF(Y38="W","L",Y38))</f>
        <v>L</v>
      </c>
      <c r="Y40" s="1183"/>
      <c r="Z40" s="1169"/>
      <c r="AA40" s="1170"/>
      <c r="AB40" s="458"/>
      <c r="AC40" s="459" t="str">
        <f>IF(AB39="","",":")</f>
        <v/>
      </c>
      <c r="AD40" s="460"/>
      <c r="AE40" s="1186"/>
      <c r="AF40" s="1187"/>
      <c r="AG40" s="1189"/>
      <c r="AH40" s="1174"/>
    </row>
    <row r="41" spans="1:34" ht="15" hidden="1" outlineLevel="1" x14ac:dyDescent="0.2">
      <c r="A41" s="1163">
        <v>9</v>
      </c>
      <c r="B41" s="1165">
        <f>жеребьевка!G20</f>
        <v>0</v>
      </c>
      <c r="C41" s="456" t="e">
        <f>IF(B41="","",VLOOKUP(B41,'Списки участников'!A:I,3,FALSE))</f>
        <v>#N/A</v>
      </c>
      <c r="D41" s="1171" t="str">
        <f>IF(AB25="","",IF(AB26="W",0,IF(AB25=2,1,IF(AB25=1,2,IF(AB25=0,2)))))</f>
        <v/>
      </c>
      <c r="E41" s="1172"/>
      <c r="F41" s="1173"/>
      <c r="G41" s="1171" t="str">
        <f>IF(AB27="","",IF(AB28="W",0,IF(AB27=2,1,IF(AB27=1,2,IF(AB27=0,2)))))</f>
        <v/>
      </c>
      <c r="H41" s="1172"/>
      <c r="I41" s="1173"/>
      <c r="J41" s="1171" t="str">
        <f>IF(AB29="","",IF(AB30="W",0,IF(AB29=2,1,IF(AB29=1,2,IF(AB29=0,2)))))</f>
        <v/>
      </c>
      <c r="K41" s="1172"/>
      <c r="L41" s="1173"/>
      <c r="M41" s="1171" t="str">
        <f>IF(AB31="","",IF(AB32="W",0,IF(AB31=2,1,IF(AB31=1,2,IF(AB31=0,2)))))</f>
        <v/>
      </c>
      <c r="N41" s="1172"/>
      <c r="O41" s="1173"/>
      <c r="P41" s="1171" t="str">
        <f>IF(AB33="","",IF(AB34="W",0,IF(AB33=2,1,IF(AB33=1,2,IF(AB33=0,2)))))</f>
        <v/>
      </c>
      <c r="Q41" s="1172"/>
      <c r="R41" s="1173"/>
      <c r="S41" s="1171" t="str">
        <f>IF(AB35="","",IF(AB36="W",0,IF(AB35=2,1,IF(AB35=1,2,IF(AB35=0,2)))))</f>
        <v/>
      </c>
      <c r="T41" s="1172"/>
      <c r="U41" s="1173"/>
      <c r="V41" s="1171" t="str">
        <f>IF(AB37="","",IF(AB38="W",0,IF(AB37=2,1,IF(AB37=1,2,IF(AB37=0,2)))))</f>
        <v/>
      </c>
      <c r="W41" s="1172"/>
      <c r="X41" s="1173"/>
      <c r="Y41" s="1171" t="str">
        <f>IF(AB39="","",IF(AB40="W",0,IF(AB39=2,1,IF(AB39=1,2,IF(AB39=0,2)))))</f>
        <v/>
      </c>
      <c r="Z41" s="1172"/>
      <c r="AA41" s="1173"/>
      <c r="AB41" s="1191"/>
      <c r="AC41" s="1167"/>
      <c r="AD41" s="1168"/>
      <c r="AE41" s="1184">
        <f>IF(B41="","",SUM(G41,J41,M41,P41,S41,V41,Y41,D41,))</f>
        <v>0</v>
      </c>
      <c r="AF41" s="1185"/>
      <c r="AG41" s="1188"/>
      <c r="AH41" s="1174">
        <f>IF(B41="","",RANK(AE41,ГР2О))</f>
        <v>9</v>
      </c>
    </row>
    <row r="42" spans="1:34" ht="15" hidden="1" outlineLevel="1" x14ac:dyDescent="0.2">
      <c r="A42" s="1164"/>
      <c r="B42" s="1166"/>
      <c r="C42" s="457" t="e">
        <f>IF(B41="","",VLOOKUP(B41,'Списки участников'!A:I,6,FALSE))</f>
        <v>#N/A</v>
      </c>
      <c r="D42" s="464" t="str">
        <f>IF(AB26="","",IF(AD26="l","W",AD26))</f>
        <v/>
      </c>
      <c r="E42" s="459" t="str">
        <f>IF(AC26="","",":")</f>
        <v/>
      </c>
      <c r="F42" s="465" t="str">
        <f>IF(AD26="","",IF(AB26="W","L",AB26))</f>
        <v/>
      </c>
      <c r="G42" s="464" t="str">
        <f>IF(AB28="","",IF(AD28="l","W",AD28))</f>
        <v/>
      </c>
      <c r="H42" s="459" t="str">
        <f>IF(AC28="","",":")</f>
        <v/>
      </c>
      <c r="I42" s="465" t="str">
        <f>IF(AD28="","",IF(AB28="W","L",AB28))</f>
        <v/>
      </c>
      <c r="J42" s="464" t="str">
        <f>IF(AB30="","",IF(AD30="l","W",AD30))</f>
        <v/>
      </c>
      <c r="K42" s="459" t="str">
        <f>IF(AC30="","",":")</f>
        <v/>
      </c>
      <c r="L42" s="465" t="str">
        <f>IF(AD30="","",IF(AB30="W","L",AB30))</f>
        <v/>
      </c>
      <c r="M42" s="464" t="str">
        <f>IF(AB32="","",IF(AD32="l","W",AD32))</f>
        <v/>
      </c>
      <c r="N42" s="459" t="str">
        <f>IF(AC32="","",":")</f>
        <v/>
      </c>
      <c r="O42" s="465" t="str">
        <f>IF(AD32="","",IF(AB32="W","L",AB32))</f>
        <v/>
      </c>
      <c r="P42" s="464" t="str">
        <f>IF(AB34="","",IF(AD34="l","W",AD34))</f>
        <v/>
      </c>
      <c r="Q42" s="459" t="str">
        <f>IF(AC34="","",":")</f>
        <v/>
      </c>
      <c r="R42" s="465" t="str">
        <f>IF(AD34="","",IF(AB34="W","L",AB34))</f>
        <v/>
      </c>
      <c r="S42" s="464" t="str">
        <f>IF(AB36="","",IF(AD36="l","W",AD36))</f>
        <v/>
      </c>
      <c r="T42" s="459" t="str">
        <f>IF(AC36="","",":")</f>
        <v/>
      </c>
      <c r="U42" s="465" t="str">
        <f>IF(AD36="","",IF(AB36="W","L",AB36))</f>
        <v/>
      </c>
      <c r="V42" s="464" t="str">
        <f>IF(AB38="","",IF(AD38="l","W",AD38))</f>
        <v/>
      </c>
      <c r="W42" s="459" t="str">
        <f>IF(AC38="","",":")</f>
        <v/>
      </c>
      <c r="X42" s="465" t="str">
        <f>IF(AD38="","",IF(AB38="W","L",AB38))</f>
        <v/>
      </c>
      <c r="Y42" s="464" t="str">
        <f>IF(AB40="","",IF(AD40="l","W",AD40))</f>
        <v/>
      </c>
      <c r="Z42" s="459" t="str">
        <f>IF(AC40="","",":")</f>
        <v/>
      </c>
      <c r="AA42" s="465" t="str">
        <f>IF(AD40="","",IF(AB40="W","L",AB40))</f>
        <v/>
      </c>
      <c r="AB42" s="1183"/>
      <c r="AC42" s="1169"/>
      <c r="AD42" s="1170"/>
      <c r="AE42" s="1186"/>
      <c r="AF42" s="1187"/>
      <c r="AG42" s="1189"/>
      <c r="AH42" s="1174"/>
    </row>
    <row r="43" spans="1:34" ht="15.75" collapsed="1" x14ac:dyDescent="0.25">
      <c r="A43" s="135"/>
      <c r="B43" s="135"/>
      <c r="C43" s="954" t="s">
        <v>765</v>
      </c>
      <c r="D43" s="135"/>
      <c r="E43" s="135"/>
      <c r="F43" s="135"/>
      <c r="G43" s="1192" t="s">
        <v>11989</v>
      </c>
      <c r="H43" s="1192"/>
      <c r="I43" s="1192"/>
      <c r="J43" s="1192"/>
      <c r="K43" s="1192"/>
      <c r="L43" s="1192"/>
      <c r="M43" s="1192"/>
      <c r="N43" s="1192"/>
      <c r="O43" s="1192"/>
      <c r="P43" s="1192"/>
      <c r="Q43" s="1192"/>
      <c r="R43" s="1192"/>
      <c r="S43" s="1192"/>
      <c r="T43" s="1192"/>
      <c r="U43" s="1192"/>
      <c r="V43" s="1192"/>
      <c r="W43" s="1192"/>
      <c r="X43" s="1192"/>
      <c r="Y43" s="1192"/>
      <c r="Z43" s="1192"/>
      <c r="AA43" s="1192"/>
      <c r="AB43" s="135"/>
      <c r="AC43" s="135"/>
      <c r="AD43" s="135"/>
      <c r="AE43" s="135"/>
      <c r="AF43" s="135"/>
      <c r="AG43" s="135"/>
      <c r="AH43" s="135"/>
    </row>
    <row r="44" spans="1:34" ht="15" x14ac:dyDescent="0.2">
      <c r="A44" s="136" t="s">
        <v>3</v>
      </c>
      <c r="B44" s="938"/>
      <c r="C44" s="138" t="s">
        <v>788</v>
      </c>
      <c r="D44" s="1158">
        <v>1</v>
      </c>
      <c r="E44" s="1159"/>
      <c r="F44" s="1160"/>
      <c r="G44" s="1158">
        <v>2</v>
      </c>
      <c r="H44" s="1159"/>
      <c r="I44" s="1160"/>
      <c r="J44" s="1158">
        <v>3</v>
      </c>
      <c r="K44" s="1159"/>
      <c r="L44" s="1160"/>
      <c r="M44" s="1158">
        <v>4</v>
      </c>
      <c r="N44" s="1159"/>
      <c r="O44" s="1160"/>
      <c r="P44" s="1158">
        <v>5</v>
      </c>
      <c r="Q44" s="1159"/>
      <c r="R44" s="1160"/>
      <c r="S44" s="1158">
        <v>6</v>
      </c>
      <c r="T44" s="1159"/>
      <c r="U44" s="1160"/>
      <c r="V44" s="1158">
        <v>7</v>
      </c>
      <c r="W44" s="1159"/>
      <c r="X44" s="1160"/>
      <c r="Y44" s="1158">
        <v>8</v>
      </c>
      <c r="Z44" s="1159"/>
      <c r="AA44" s="1160"/>
      <c r="AB44" s="1158">
        <v>9</v>
      </c>
      <c r="AC44" s="1159"/>
      <c r="AD44" s="1160"/>
      <c r="AE44" s="1161" t="s">
        <v>789</v>
      </c>
      <c r="AF44" s="1162"/>
      <c r="AG44" s="939" t="s">
        <v>790</v>
      </c>
      <c r="AH44" s="455" t="s">
        <v>100</v>
      </c>
    </row>
    <row r="45" spans="1:34" ht="15" x14ac:dyDescent="0.2">
      <c r="A45" s="1163">
        <v>1</v>
      </c>
      <c r="B45" s="1193">
        <v>3</v>
      </c>
      <c r="C45" s="456" t="str">
        <f>IF(B45="","",VLOOKUP(B45,'Списки участников'!A:I,3,FALSE))</f>
        <v>РАМС Сергей</v>
      </c>
      <c r="D45" s="1167"/>
      <c r="E45" s="1167"/>
      <c r="F45" s="1168"/>
      <c r="G45" s="1171">
        <v>1</v>
      </c>
      <c r="H45" s="1172"/>
      <c r="I45" s="1173"/>
      <c r="J45" s="1171">
        <v>1</v>
      </c>
      <c r="K45" s="1172"/>
      <c r="L45" s="1173"/>
      <c r="M45" s="1171">
        <v>2</v>
      </c>
      <c r="N45" s="1172"/>
      <c r="O45" s="1173"/>
      <c r="P45" s="1171">
        <v>2</v>
      </c>
      <c r="Q45" s="1172"/>
      <c r="R45" s="1173"/>
      <c r="S45" s="1171">
        <v>2</v>
      </c>
      <c r="T45" s="1172"/>
      <c r="U45" s="1173"/>
      <c r="V45" s="1171">
        <v>1</v>
      </c>
      <c r="W45" s="1172"/>
      <c r="X45" s="1173"/>
      <c r="Y45" s="1171">
        <v>2</v>
      </c>
      <c r="Z45" s="1172"/>
      <c r="AA45" s="1173"/>
      <c r="AB45" s="1171"/>
      <c r="AC45" s="1172"/>
      <c r="AD45" s="1173"/>
      <c r="AE45" s="1184">
        <f>IF(B45="","",SUM(G45,J45,M45,P45,S45,V45,Y45,AB45,))</f>
        <v>11</v>
      </c>
      <c r="AF45" s="1185"/>
      <c r="AG45" s="1175"/>
      <c r="AH45" s="1174">
        <f>IF(B45="","",RANK(AE45,ГР3О))</f>
        <v>4</v>
      </c>
    </row>
    <row r="46" spans="1:34" ht="15" x14ac:dyDescent="0.2">
      <c r="A46" s="1164"/>
      <c r="B46" s="1194"/>
      <c r="C46" s="457" t="str">
        <f>IF(B45="","",VLOOKUP(B45,'Списки участников'!A:I,6,FALSE))</f>
        <v>Н.Новгород</v>
      </c>
      <c r="D46" s="1169"/>
      <c r="E46" s="1169"/>
      <c r="F46" s="1170"/>
      <c r="G46" s="458">
        <v>0</v>
      </c>
      <c r="H46" s="459" t="str">
        <f>IF(G45="","",":")</f>
        <v>:</v>
      </c>
      <c r="I46" s="460">
        <v>3</v>
      </c>
      <c r="J46" s="458">
        <v>2</v>
      </c>
      <c r="K46" s="459" t="str">
        <f>IF(J45="","",":")</f>
        <v>:</v>
      </c>
      <c r="L46" s="460">
        <v>3</v>
      </c>
      <c r="M46" s="458">
        <v>3</v>
      </c>
      <c r="N46" s="459" t="str">
        <f>IF(M46="","",":")</f>
        <v>:</v>
      </c>
      <c r="O46" s="460">
        <v>0</v>
      </c>
      <c r="P46" s="458">
        <v>3</v>
      </c>
      <c r="Q46" s="459" t="str">
        <f>IF(P46="","",":")</f>
        <v>:</v>
      </c>
      <c r="R46" s="460">
        <v>0</v>
      </c>
      <c r="S46" s="458">
        <v>3</v>
      </c>
      <c r="T46" s="459" t="str">
        <f>IF(S46="","",":")</f>
        <v>:</v>
      </c>
      <c r="U46" s="460">
        <v>0</v>
      </c>
      <c r="V46" s="458">
        <v>1</v>
      </c>
      <c r="W46" s="459" t="str">
        <f>IF(V46="","",":")</f>
        <v>:</v>
      </c>
      <c r="X46" s="460">
        <v>3</v>
      </c>
      <c r="Y46" s="458">
        <v>3</v>
      </c>
      <c r="Z46" s="459" t="str">
        <f>IF(Y46="","",":")</f>
        <v>:</v>
      </c>
      <c r="AA46" s="460">
        <v>0</v>
      </c>
      <c r="AB46" s="458"/>
      <c r="AC46" s="459" t="str">
        <f>IF(AB46="","",":")</f>
        <v/>
      </c>
      <c r="AD46" s="460"/>
      <c r="AE46" s="1186"/>
      <c r="AF46" s="1187"/>
      <c r="AG46" s="1176"/>
      <c r="AH46" s="1174"/>
    </row>
    <row r="47" spans="1:34" ht="15" x14ac:dyDescent="0.2">
      <c r="A47" s="1163">
        <v>2</v>
      </c>
      <c r="B47" s="1193">
        <v>6</v>
      </c>
      <c r="C47" s="456" t="str">
        <f>IF(B47="","",VLOOKUP(B47,'Списки участников'!A:I,3,FALSE))</f>
        <v>БАТАЛОВ Анатолий</v>
      </c>
      <c r="D47" s="1177">
        <f>IF(G45="","",IF(G46="W",0,IF(G45=2,1,IF(G45=1,2,IF(G45=0,2)))))</f>
        <v>2</v>
      </c>
      <c r="E47" s="1178"/>
      <c r="F47" s="1179"/>
      <c r="G47" s="1180"/>
      <c r="H47" s="1181"/>
      <c r="I47" s="1182"/>
      <c r="J47" s="1171">
        <v>2</v>
      </c>
      <c r="K47" s="1172"/>
      <c r="L47" s="1173"/>
      <c r="M47" s="1171">
        <v>2</v>
      </c>
      <c r="N47" s="1172"/>
      <c r="O47" s="1173"/>
      <c r="P47" s="1171">
        <v>2</v>
      </c>
      <c r="Q47" s="1172"/>
      <c r="R47" s="1173"/>
      <c r="S47" s="1171">
        <v>2</v>
      </c>
      <c r="T47" s="1172"/>
      <c r="U47" s="1173"/>
      <c r="V47" s="1171">
        <v>2</v>
      </c>
      <c r="W47" s="1172"/>
      <c r="X47" s="1173"/>
      <c r="Y47" s="1171">
        <v>2</v>
      </c>
      <c r="Z47" s="1172"/>
      <c r="AA47" s="1173"/>
      <c r="AB47" s="1171"/>
      <c r="AC47" s="1172"/>
      <c r="AD47" s="1173"/>
      <c r="AE47" s="1184">
        <f>IF(B47="","",SUM(D47,J47,M47,P47,S47,V47,Y47,AB47,))</f>
        <v>14</v>
      </c>
      <c r="AF47" s="1185"/>
      <c r="AG47" s="1175"/>
      <c r="AH47" s="1174">
        <f>IF(B47="","",RANK(AE47,ГР3О))</f>
        <v>1</v>
      </c>
    </row>
    <row r="48" spans="1:34" ht="15" x14ac:dyDescent="0.2">
      <c r="A48" s="1164"/>
      <c r="B48" s="1194"/>
      <c r="C48" s="457" t="str">
        <f>IF(B47="","",VLOOKUP(B47,'Списки участников'!A:I,6,FALSE))</f>
        <v>Жуковский</v>
      </c>
      <c r="D48" s="461">
        <f>IF(G46="","",IF(I46="l","W",I46))</f>
        <v>3</v>
      </c>
      <c r="E48" s="462" t="str">
        <f>IF(G45="","",":")</f>
        <v>:</v>
      </c>
      <c r="F48" s="463">
        <f>IF(I46="","",IF(G46="W","L",G46))</f>
        <v>0</v>
      </c>
      <c r="G48" s="1183"/>
      <c r="H48" s="1169"/>
      <c r="I48" s="1170"/>
      <c r="J48" s="458">
        <v>3</v>
      </c>
      <c r="K48" s="459" t="str">
        <f>IF(J47="","",":")</f>
        <v>:</v>
      </c>
      <c r="L48" s="460">
        <v>1</v>
      </c>
      <c r="M48" s="458">
        <v>3</v>
      </c>
      <c r="N48" s="459" t="str">
        <f>IF(M47="","",":")</f>
        <v>:</v>
      </c>
      <c r="O48" s="460">
        <v>0</v>
      </c>
      <c r="P48" s="458">
        <v>3</v>
      </c>
      <c r="Q48" s="459" t="str">
        <f>IF(P47="","",":")</f>
        <v>:</v>
      </c>
      <c r="R48" s="460">
        <v>0</v>
      </c>
      <c r="S48" s="458">
        <v>3</v>
      </c>
      <c r="T48" s="459" t="str">
        <f>IF(S48="","",":")</f>
        <v>:</v>
      </c>
      <c r="U48" s="460">
        <v>2</v>
      </c>
      <c r="V48" s="458">
        <v>3</v>
      </c>
      <c r="W48" s="459" t="str">
        <f>IF(V48="","",":")</f>
        <v>:</v>
      </c>
      <c r="X48" s="460">
        <v>1</v>
      </c>
      <c r="Y48" s="458">
        <v>3</v>
      </c>
      <c r="Z48" s="459" t="str">
        <f>IF(Y48="","",":")</f>
        <v>:</v>
      </c>
      <c r="AA48" s="460">
        <v>0</v>
      </c>
      <c r="AB48" s="458"/>
      <c r="AC48" s="459" t="str">
        <f>IF(AB48="","",":")</f>
        <v/>
      </c>
      <c r="AD48" s="460"/>
      <c r="AE48" s="1186"/>
      <c r="AF48" s="1187"/>
      <c r="AG48" s="1176"/>
      <c r="AH48" s="1174"/>
    </row>
    <row r="49" spans="1:34" ht="15" x14ac:dyDescent="0.2">
      <c r="A49" s="1163">
        <v>3</v>
      </c>
      <c r="B49" s="1193">
        <v>11</v>
      </c>
      <c r="C49" s="456" t="str">
        <f>IF(B49="","",VLOOKUP(B49,'Списки участников'!A:I,3,FALSE))</f>
        <v>ПАНФИЛОВ Федор</v>
      </c>
      <c r="D49" s="1177">
        <f>IF(J45="","",IF(J46="W",0,IF(J45=2,1,IF(J45=1,2,IF(J45=0,2)))))</f>
        <v>2</v>
      </c>
      <c r="E49" s="1178"/>
      <c r="F49" s="1179"/>
      <c r="G49" s="1171">
        <f>IF(J47="","",IF(J48="W",0,IF(J47=2,1,IF(J47=1,2,IF(J47=0,2)))))</f>
        <v>1</v>
      </c>
      <c r="H49" s="1172"/>
      <c r="I49" s="1173"/>
      <c r="J49" s="1180"/>
      <c r="K49" s="1181"/>
      <c r="L49" s="1182"/>
      <c r="M49" s="1171">
        <v>2</v>
      </c>
      <c r="N49" s="1172"/>
      <c r="O49" s="1173"/>
      <c r="P49" s="1171">
        <v>2</v>
      </c>
      <c r="Q49" s="1172"/>
      <c r="R49" s="1173"/>
      <c r="S49" s="1171">
        <v>2</v>
      </c>
      <c r="T49" s="1172"/>
      <c r="U49" s="1173"/>
      <c r="V49" s="1171">
        <v>2</v>
      </c>
      <c r="W49" s="1172"/>
      <c r="X49" s="1173"/>
      <c r="Y49" s="1171">
        <v>2</v>
      </c>
      <c r="Z49" s="1172"/>
      <c r="AA49" s="1173"/>
      <c r="AB49" s="1171"/>
      <c r="AC49" s="1172"/>
      <c r="AD49" s="1173"/>
      <c r="AE49" s="1184">
        <f>IF(B49="","",SUM(G49,D49,M49,P49,S49,V49,Y49,AB49,))</f>
        <v>13</v>
      </c>
      <c r="AF49" s="1185"/>
      <c r="AG49" s="1188"/>
      <c r="AH49" s="1174">
        <f>IF(B49="","",RANK(AE49,ГР3О))</f>
        <v>2</v>
      </c>
    </row>
    <row r="50" spans="1:34" ht="15" x14ac:dyDescent="0.2">
      <c r="A50" s="1164"/>
      <c r="B50" s="1194"/>
      <c r="C50" s="457" t="str">
        <f>IF(B49="","",VLOOKUP(B49,'Списки участников'!A:I,6,FALSE))</f>
        <v>Москва</v>
      </c>
      <c r="D50" s="464">
        <f>IF(J46="","",IF(L46="l","W",L46))</f>
        <v>3</v>
      </c>
      <c r="E50" s="459" t="str">
        <f>IF(K46="","",":")</f>
        <v>:</v>
      </c>
      <c r="F50" s="465">
        <f>IF(L46="","",IF(J46="W","L",J46))</f>
        <v>2</v>
      </c>
      <c r="G50" s="464">
        <v>1</v>
      </c>
      <c r="H50" s="459" t="str">
        <f>IF(K48="","",":")</f>
        <v>:</v>
      </c>
      <c r="I50" s="465">
        <f>IF(L48="","",IF(J48="W","L",J48))</f>
        <v>3</v>
      </c>
      <c r="J50" s="1183"/>
      <c r="K50" s="1169"/>
      <c r="L50" s="1170"/>
      <c r="M50" s="458">
        <v>3</v>
      </c>
      <c r="N50" s="459" t="str">
        <f>IF(M49="","",":")</f>
        <v>:</v>
      </c>
      <c r="O50" s="460">
        <v>1</v>
      </c>
      <c r="P50" s="458">
        <v>3</v>
      </c>
      <c r="Q50" s="459" t="str">
        <f>IF(P49="","",":")</f>
        <v>:</v>
      </c>
      <c r="R50" s="460">
        <v>0</v>
      </c>
      <c r="S50" s="458">
        <v>3</v>
      </c>
      <c r="T50" s="459" t="str">
        <f>IF(S49="","",":")</f>
        <v>:</v>
      </c>
      <c r="U50" s="460">
        <v>0</v>
      </c>
      <c r="V50" s="458">
        <v>3</v>
      </c>
      <c r="W50" s="459" t="str">
        <f>IF(V50="","",":")</f>
        <v>:</v>
      </c>
      <c r="X50" s="460">
        <v>0</v>
      </c>
      <c r="Y50" s="458">
        <v>3</v>
      </c>
      <c r="Z50" s="459" t="str">
        <f>IF(Y50="","",":")</f>
        <v>:</v>
      </c>
      <c r="AA50" s="460">
        <v>0</v>
      </c>
      <c r="AB50" s="458"/>
      <c r="AC50" s="459" t="str">
        <f>IF(AB50="","",":")</f>
        <v/>
      </c>
      <c r="AD50" s="460"/>
      <c r="AE50" s="1186"/>
      <c r="AF50" s="1187"/>
      <c r="AG50" s="1189"/>
      <c r="AH50" s="1174"/>
    </row>
    <row r="51" spans="1:34" ht="15" x14ac:dyDescent="0.2">
      <c r="A51" s="1163">
        <v>4</v>
      </c>
      <c r="B51" s="1193">
        <v>13</v>
      </c>
      <c r="C51" s="456" t="str">
        <f>IF(B51="","",VLOOKUP(B51,'Списки участников'!A:I,3,FALSE))</f>
        <v>ЛАЗАРЕВ Василий</v>
      </c>
      <c r="D51" s="1171">
        <f>IF(M45="","",IF(M46="W",0,IF(M45=2,1,IF(M45=1,2,IF(M45=0,2)))))</f>
        <v>1</v>
      </c>
      <c r="E51" s="1172"/>
      <c r="F51" s="1173"/>
      <c r="G51" s="1171">
        <f>IF(M47="","",IF(M48="W",0,IF(M47=2,1,IF(M47=1,2,IF(M47=0,2)))))</f>
        <v>1</v>
      </c>
      <c r="H51" s="1172"/>
      <c r="I51" s="1173"/>
      <c r="J51" s="1171">
        <f>IF(M49="","",IF(M50="W",0,IF(M49=2,1,IF(M49=1,2,IF(M49=0,2)))))</f>
        <v>1</v>
      </c>
      <c r="K51" s="1172"/>
      <c r="L51" s="1173"/>
      <c r="M51" s="1181"/>
      <c r="N51" s="1181"/>
      <c r="O51" s="1181"/>
      <c r="P51" s="1171">
        <v>2</v>
      </c>
      <c r="Q51" s="1172"/>
      <c r="R51" s="1173"/>
      <c r="S51" s="1171">
        <v>2</v>
      </c>
      <c r="T51" s="1172"/>
      <c r="U51" s="1173"/>
      <c r="V51" s="1171">
        <v>1</v>
      </c>
      <c r="W51" s="1172"/>
      <c r="X51" s="1173"/>
      <c r="Y51" s="1171">
        <v>2</v>
      </c>
      <c r="Z51" s="1172"/>
      <c r="AA51" s="1173"/>
      <c r="AB51" s="1171"/>
      <c r="AC51" s="1172"/>
      <c r="AD51" s="1173"/>
      <c r="AE51" s="1184">
        <f>IF(B51="","",SUM(G51,J51,D51,P51,S51,V51,Y51,AB51,))</f>
        <v>10</v>
      </c>
      <c r="AF51" s="1185"/>
      <c r="AG51" s="1188"/>
      <c r="AH51" s="1174">
        <f>IF(B51="","",RANK(AE51,ГР3О))</f>
        <v>5</v>
      </c>
    </row>
    <row r="52" spans="1:34" ht="15" x14ac:dyDescent="0.2">
      <c r="A52" s="1164"/>
      <c r="B52" s="1195"/>
      <c r="C52" s="457" t="str">
        <f>IF(B51="","",VLOOKUP(B51,'Списки участников'!A:I,6,FALSE))</f>
        <v>Москва</v>
      </c>
      <c r="D52" s="464">
        <f>IF(M46="","",IF(O46="l","W",O46))</f>
        <v>0</v>
      </c>
      <c r="E52" s="459" t="str">
        <f>IF(N46="","",":")</f>
        <v>:</v>
      </c>
      <c r="F52" s="465">
        <f>IF(O46="","",IF(M46="W","L",M46))</f>
        <v>3</v>
      </c>
      <c r="G52" s="464">
        <f>IF(M48="","",IF(O48="l","W",O48))</f>
        <v>0</v>
      </c>
      <c r="H52" s="459" t="str">
        <f>IF(N48="","",":")</f>
        <v>:</v>
      </c>
      <c r="I52" s="465">
        <f>IF(O48="","",IF(M48="W","L",M48))</f>
        <v>3</v>
      </c>
      <c r="J52" s="464">
        <f>IF(M50="","",IF(O50="l","W",O50))</f>
        <v>1</v>
      </c>
      <c r="K52" s="459" t="str">
        <f>IF(N50="","",":")</f>
        <v>:</v>
      </c>
      <c r="L52" s="465">
        <f>IF(O50="","",IF(M50="W","L",M50))</f>
        <v>3</v>
      </c>
      <c r="M52" s="1190"/>
      <c r="N52" s="1190"/>
      <c r="O52" s="1190"/>
      <c r="P52" s="458">
        <v>3</v>
      </c>
      <c r="Q52" s="459" t="str">
        <f>IF(P51="","",":")</f>
        <v>:</v>
      </c>
      <c r="R52" s="460">
        <v>0</v>
      </c>
      <c r="S52" s="458">
        <v>3</v>
      </c>
      <c r="T52" s="459" t="str">
        <f>IF(S51="","",":")</f>
        <v>:</v>
      </c>
      <c r="U52" s="460">
        <v>0</v>
      </c>
      <c r="V52" s="458">
        <v>3</v>
      </c>
      <c r="W52" s="459" t="str">
        <f>IF(V51="","",":")</f>
        <v>:</v>
      </c>
      <c r="X52" s="460">
        <v>3</v>
      </c>
      <c r="Y52" s="458">
        <v>3</v>
      </c>
      <c r="Z52" s="459" t="str">
        <f>IF(Y52="","",":")</f>
        <v>:</v>
      </c>
      <c r="AA52" s="460">
        <v>1</v>
      </c>
      <c r="AB52" s="458"/>
      <c r="AC52" s="459" t="str">
        <f>IF(AB52="","",":")</f>
        <v/>
      </c>
      <c r="AD52" s="460"/>
      <c r="AE52" s="1186"/>
      <c r="AF52" s="1187"/>
      <c r="AG52" s="1189"/>
      <c r="AH52" s="1174"/>
    </row>
    <row r="53" spans="1:34" ht="15" x14ac:dyDescent="0.2">
      <c r="A53" s="1163">
        <v>5</v>
      </c>
      <c r="B53" s="1193">
        <v>33</v>
      </c>
      <c r="C53" s="456" t="str">
        <f>IF(B53="","",VLOOKUP(B53,'Списки участников'!A:I,3,FALSE))</f>
        <v>КУРОЧКИН Егор</v>
      </c>
      <c r="D53" s="1171">
        <f>IF(P45="","",IF(P46="W",0,IF(P45=2,1,IF(P45=1,2,IF(P45=0,2)))))</f>
        <v>1</v>
      </c>
      <c r="E53" s="1172"/>
      <c r="F53" s="1173"/>
      <c r="G53" s="1171">
        <f>IF(P47="","",IF(P48="W",0,IF(P47=2,1,IF(P47=1,2,IF(P47=0,2)))))</f>
        <v>1</v>
      </c>
      <c r="H53" s="1172"/>
      <c r="I53" s="1173"/>
      <c r="J53" s="1171">
        <f>IF(P49="","",IF(P50="W",0,IF(P49=2,1,IF(P49=1,2,IF(P49=0,2)))))</f>
        <v>1</v>
      </c>
      <c r="K53" s="1172"/>
      <c r="L53" s="1173"/>
      <c r="M53" s="1171">
        <f>IF(P51="","",IF(P52="W",0,IF(P51=2,1,IF(P51=1,2,IF(P51=0,2)))))</f>
        <v>1</v>
      </c>
      <c r="N53" s="1172"/>
      <c r="O53" s="1173"/>
      <c r="P53" s="1180"/>
      <c r="Q53" s="1181"/>
      <c r="R53" s="1182"/>
      <c r="S53" s="1171">
        <v>1</v>
      </c>
      <c r="T53" s="1172"/>
      <c r="U53" s="1173"/>
      <c r="V53" s="1171">
        <v>1</v>
      </c>
      <c r="W53" s="1172"/>
      <c r="X53" s="1173"/>
      <c r="Y53" s="1171">
        <v>1</v>
      </c>
      <c r="Z53" s="1172"/>
      <c r="AA53" s="1173"/>
      <c r="AB53" s="1171"/>
      <c r="AC53" s="1172"/>
      <c r="AD53" s="1173"/>
      <c r="AE53" s="1184">
        <f>IF(B53="","",SUM(G53,J53,M53,D53,S53,V53,Y53,AB53,))</f>
        <v>7</v>
      </c>
      <c r="AF53" s="1185"/>
      <c r="AG53" s="1188"/>
      <c r="AH53" s="1174">
        <f>IF(B53="","",RANK(AE53,ГР3О))</f>
        <v>8</v>
      </c>
    </row>
    <row r="54" spans="1:34" ht="15" x14ac:dyDescent="0.2">
      <c r="A54" s="1164"/>
      <c r="B54" s="1195"/>
      <c r="C54" s="457" t="str">
        <f>IF(B53="","",VLOOKUP(B53,'Списки участников'!A:I,6,FALSE))</f>
        <v>Москва</v>
      </c>
      <c r="D54" s="464">
        <f>IF(P46="","",IF(R46="l","W",R46))</f>
        <v>0</v>
      </c>
      <c r="E54" s="459" t="str">
        <f>IF(Q46="","",":")</f>
        <v>:</v>
      </c>
      <c r="F54" s="465">
        <f>IF(R46="","",IF(P46="W","L",P46))</f>
        <v>3</v>
      </c>
      <c r="G54" s="464">
        <f>IF(P48="","",IF(R48="l","W",R48))</f>
        <v>0</v>
      </c>
      <c r="H54" s="459" t="str">
        <f>IF(Q48="","",":")</f>
        <v>:</v>
      </c>
      <c r="I54" s="465">
        <f>IF(R48="","",IF(P48="W","L",P48))</f>
        <v>3</v>
      </c>
      <c r="J54" s="464">
        <f>IF(P50="","",IF(R50="l","W",R50))</f>
        <v>0</v>
      </c>
      <c r="K54" s="459" t="str">
        <f>IF(Q50="","",":")</f>
        <v>:</v>
      </c>
      <c r="L54" s="465">
        <f>IF(R50="","",IF(P50="W","L",P50))</f>
        <v>3</v>
      </c>
      <c r="M54" s="464">
        <f>IF(P52="","",IF(R52="l","W",R52))</f>
        <v>0</v>
      </c>
      <c r="N54" s="459" t="str">
        <f>IF(Q52="","",":")</f>
        <v>:</v>
      </c>
      <c r="O54" s="465">
        <f>IF(R52="","",IF(P52="W","L",P52))</f>
        <v>3</v>
      </c>
      <c r="P54" s="1183"/>
      <c r="Q54" s="1169"/>
      <c r="R54" s="1170"/>
      <c r="S54" s="458">
        <v>1</v>
      </c>
      <c r="T54" s="459" t="str">
        <f>IF(S53="","",":")</f>
        <v>:</v>
      </c>
      <c r="U54" s="460">
        <v>3</v>
      </c>
      <c r="V54" s="458">
        <v>1</v>
      </c>
      <c r="W54" s="459" t="str">
        <f>IF(V53="","",":")</f>
        <v>:</v>
      </c>
      <c r="X54" s="460">
        <v>3</v>
      </c>
      <c r="Y54" s="458">
        <v>0</v>
      </c>
      <c r="Z54" s="459" t="str">
        <f>IF(Y53="","",":")</f>
        <v>:</v>
      </c>
      <c r="AA54" s="460">
        <v>3</v>
      </c>
      <c r="AB54" s="458"/>
      <c r="AC54" s="459" t="str">
        <f>IF(AB54="","",":")</f>
        <v/>
      </c>
      <c r="AD54" s="460"/>
      <c r="AE54" s="1186"/>
      <c r="AF54" s="1187"/>
      <c r="AG54" s="1189"/>
      <c r="AH54" s="1174"/>
    </row>
    <row r="55" spans="1:34" ht="15" x14ac:dyDescent="0.2">
      <c r="A55" s="1163">
        <v>6</v>
      </c>
      <c r="B55" s="1196">
        <v>28</v>
      </c>
      <c r="C55" s="456" t="str">
        <f>IF(B55="","",VLOOKUP(B55,'Списки участников'!A:I,3,FALSE))</f>
        <v>НИКИШАЕВ Матвей</v>
      </c>
      <c r="D55" s="1171">
        <f>IF(S45="","",IF(S46="W",0,IF(S45=2,1,IF(S45=1,2,IF(S45=0,2)))))</f>
        <v>1</v>
      </c>
      <c r="E55" s="1172"/>
      <c r="F55" s="1173"/>
      <c r="G55" s="1171">
        <f>IF(S47="","",IF(S48="W",0,IF(S47=2,1,IF(S47=1,2,IF(S47=0,2)))))</f>
        <v>1</v>
      </c>
      <c r="H55" s="1172"/>
      <c r="I55" s="1173"/>
      <c r="J55" s="1171">
        <f>IF(S49="","",IF(S50="W",0,IF(S49=2,1,IF(S49=1,2,IF(S49=0,2)))))</f>
        <v>1</v>
      </c>
      <c r="K55" s="1172"/>
      <c r="L55" s="1173"/>
      <c r="M55" s="1171">
        <f>IF(S51="","",IF(S52="W",0,IF(S51=2,1,IF(S51=1,2,IF(S51=0,2)))))</f>
        <v>1</v>
      </c>
      <c r="N55" s="1172"/>
      <c r="O55" s="1173"/>
      <c r="P55" s="1171">
        <f>IF(S53="","",IF(S54="W",0,IF(S53=2,1,IF(S53=1,2,IF(S53=0,2)))))</f>
        <v>2</v>
      </c>
      <c r="Q55" s="1172"/>
      <c r="R55" s="1173"/>
      <c r="S55" s="1180"/>
      <c r="T55" s="1181"/>
      <c r="U55" s="1182"/>
      <c r="V55" s="1171">
        <v>1</v>
      </c>
      <c r="W55" s="1172"/>
      <c r="X55" s="1173"/>
      <c r="Y55" s="1171">
        <v>1</v>
      </c>
      <c r="Z55" s="1172"/>
      <c r="AA55" s="1173"/>
      <c r="AB55" s="1171"/>
      <c r="AC55" s="1172"/>
      <c r="AD55" s="1173"/>
      <c r="AE55" s="1184">
        <f>IF(B55="","",SUM(G55,J55,M55,P55,D55,V55,Y55,AB55,))</f>
        <v>8</v>
      </c>
      <c r="AF55" s="1185"/>
      <c r="AG55" s="1188"/>
      <c r="AH55" s="1174">
        <f>IF(B55="","",RANK(AE55,ГР3О))</f>
        <v>7</v>
      </c>
    </row>
    <row r="56" spans="1:34" ht="15" x14ac:dyDescent="0.2">
      <c r="A56" s="1164"/>
      <c r="B56" s="1197"/>
      <c r="C56" s="457" t="str">
        <f>IF(B55="","",VLOOKUP(B55,'Списки участников'!A:I,6,FALSE))</f>
        <v>Москва</v>
      </c>
      <c r="D56" s="464">
        <f>IF(S46="","",IF(U46="l","W",U46))</f>
        <v>0</v>
      </c>
      <c r="E56" s="459" t="str">
        <f>IF(T46="","",":")</f>
        <v>:</v>
      </c>
      <c r="F56" s="465">
        <f>IF(U46="","",IF(S46="W","L",S46))</f>
        <v>3</v>
      </c>
      <c r="G56" s="464">
        <f>IF(S48="","",IF(U48="l","W",U48))</f>
        <v>2</v>
      </c>
      <c r="H56" s="459" t="str">
        <f>IF(Q48="","",":")</f>
        <v>:</v>
      </c>
      <c r="I56" s="465">
        <f>IF(U48="","",IF(S48="W","L",S48))</f>
        <v>3</v>
      </c>
      <c r="J56" s="464">
        <f>IF(S50="","",IF(U50="l","W",U50))</f>
        <v>0</v>
      </c>
      <c r="K56" s="459" t="str">
        <f>IF(T50="","",":")</f>
        <v>:</v>
      </c>
      <c r="L56" s="465">
        <f>IF(U50="","",IF(S50="W","L",S50))</f>
        <v>3</v>
      </c>
      <c r="M56" s="464">
        <f>IF(S52="","",IF(U52="l","W",U52))</f>
        <v>0</v>
      </c>
      <c r="N56" s="459" t="str">
        <f>IF(T52="","",":")</f>
        <v>:</v>
      </c>
      <c r="O56" s="465">
        <f>IF(U52="","",IF(S52="W","L",S52))</f>
        <v>3</v>
      </c>
      <c r="P56" s="464">
        <f>IF(S54="","",IF(U54="l","W",U54))</f>
        <v>3</v>
      </c>
      <c r="Q56" s="459" t="str">
        <f>IF(T54="","",":")</f>
        <v>:</v>
      </c>
      <c r="R56" s="465">
        <f>IF(U54="","",IF(S54="W","L",S54))</f>
        <v>1</v>
      </c>
      <c r="S56" s="1183"/>
      <c r="T56" s="1169"/>
      <c r="U56" s="1170"/>
      <c r="V56" s="458">
        <v>0</v>
      </c>
      <c r="W56" s="459" t="str">
        <f>IF(V55="","",":")</f>
        <v>:</v>
      </c>
      <c r="X56" s="460">
        <v>3</v>
      </c>
      <c r="Y56" s="458">
        <v>0</v>
      </c>
      <c r="Z56" s="459" t="str">
        <f>IF(Y55="","",":")</f>
        <v>:</v>
      </c>
      <c r="AA56" s="460">
        <v>3</v>
      </c>
      <c r="AB56" s="458"/>
      <c r="AC56" s="459" t="str">
        <f>IF(AB55="","",":")</f>
        <v/>
      </c>
      <c r="AD56" s="460"/>
      <c r="AE56" s="1186"/>
      <c r="AF56" s="1187"/>
      <c r="AG56" s="1189"/>
      <c r="AH56" s="1174"/>
    </row>
    <row r="57" spans="1:34" ht="15" x14ac:dyDescent="0.2">
      <c r="A57" s="1163">
        <v>7</v>
      </c>
      <c r="B57" s="1196">
        <v>24</v>
      </c>
      <c r="C57" s="456" t="str">
        <f>IF(B57="","",VLOOKUP(B57,'Списки участников'!A:I,3,FALSE))</f>
        <v>КЛЕСТОВ Евгений</v>
      </c>
      <c r="D57" s="1171">
        <f>IF(V45="","",IF(V46="W",0,IF(V45=2,1,IF(V45=1,2,IF(V45=0,2)))))</f>
        <v>2</v>
      </c>
      <c r="E57" s="1172"/>
      <c r="F57" s="1173"/>
      <c r="G57" s="1171">
        <f>IF(V47="","",IF(V48="W",0,IF(V47=2,1,IF(V47=1,2,IF(V47=0,2)))))</f>
        <v>1</v>
      </c>
      <c r="H57" s="1172"/>
      <c r="I57" s="1173"/>
      <c r="J57" s="1171">
        <f>IF(V49="","",IF(V50="W",0,IF(V49=2,1,IF(V49=1,2,IF(V49=0,2)))))</f>
        <v>1</v>
      </c>
      <c r="K57" s="1172"/>
      <c r="L57" s="1173"/>
      <c r="M57" s="1171">
        <f>IF(V51="","",IF(V52="W",0,IF(V51=2,1,IF(V51=1,2,IF(V51=0,2)))))</f>
        <v>2</v>
      </c>
      <c r="N57" s="1172"/>
      <c r="O57" s="1173"/>
      <c r="P57" s="1171">
        <f>IF(V53="","",IF(V54="W",0,IF(V53=2,1,IF(V53=1,2,IF(V53=0,2)))))</f>
        <v>2</v>
      </c>
      <c r="Q57" s="1172"/>
      <c r="R57" s="1173"/>
      <c r="S57" s="1171">
        <f>IF(V55="","",IF(V56="W",0,IF(V55=2,1,IF(V55=1,2,IF(V55=0,2)))))</f>
        <v>2</v>
      </c>
      <c r="T57" s="1172"/>
      <c r="U57" s="1173"/>
      <c r="V57" s="1191"/>
      <c r="W57" s="1167"/>
      <c r="X57" s="1168"/>
      <c r="Y57" s="1171">
        <v>2</v>
      </c>
      <c r="Z57" s="1172"/>
      <c r="AA57" s="1173"/>
      <c r="AB57" s="1171"/>
      <c r="AC57" s="1172"/>
      <c r="AD57" s="1173"/>
      <c r="AE57" s="1184">
        <f>IF(B57="","",SUM(G57,J57,M57,P57,S57,D57,Y57,AB57,))</f>
        <v>12</v>
      </c>
      <c r="AF57" s="1185"/>
      <c r="AG57" s="1188"/>
      <c r="AH57" s="1174">
        <f>IF(B57="","",RANK(AE57,ГР3О))</f>
        <v>3</v>
      </c>
    </row>
    <row r="58" spans="1:34" ht="15" x14ac:dyDescent="0.2">
      <c r="A58" s="1164"/>
      <c r="B58" s="1197"/>
      <c r="C58" s="457" t="str">
        <f>IF(B57="","",VLOOKUP(B57,'Списки участников'!A:I,6,FALSE))</f>
        <v>Людиново  Кал.обл.</v>
      </c>
      <c r="D58" s="464">
        <f>IF(V46="","",IF(X46="l","W",X46))</f>
        <v>3</v>
      </c>
      <c r="E58" s="459" t="str">
        <f>IF(W46="","",":")</f>
        <v>:</v>
      </c>
      <c r="F58" s="465">
        <f>IF(X46="","",IF(V46="W","L",V46))</f>
        <v>1</v>
      </c>
      <c r="G58" s="464">
        <f>IF(V48="","",IF(X48="l","W",X48))</f>
        <v>1</v>
      </c>
      <c r="H58" s="459" t="str">
        <f>IF(W48="","",":")</f>
        <v>:</v>
      </c>
      <c r="I58" s="465">
        <f>IF(X48="","",IF(V48="W","L",V48))</f>
        <v>3</v>
      </c>
      <c r="J58" s="464">
        <f>IF(V50="","",IF(X50="l","W",X50))</f>
        <v>0</v>
      </c>
      <c r="K58" s="459" t="str">
        <f>IF(W50="","",":")</f>
        <v>:</v>
      </c>
      <c r="L58" s="465">
        <f>IF(X50="","",IF(V50="W","L",V50))</f>
        <v>3</v>
      </c>
      <c r="M58" s="464">
        <f>IF(V52="","",IF(X52="l","W",X52))</f>
        <v>3</v>
      </c>
      <c r="N58" s="459" t="str">
        <f>IF(W52="","",":")</f>
        <v>:</v>
      </c>
      <c r="O58" s="465">
        <f>IF(X52="","",IF(V52="W","L",V52))</f>
        <v>3</v>
      </c>
      <c r="P58" s="464">
        <f>IF(V54="","",IF(X54="l","W",X54))</f>
        <v>3</v>
      </c>
      <c r="Q58" s="459" t="str">
        <f>IF(W54="","",":")</f>
        <v>:</v>
      </c>
      <c r="R58" s="465">
        <f>IF(X54="","",IF(V54="W","L",V54))</f>
        <v>1</v>
      </c>
      <c r="S58" s="464">
        <f>IF(V56="","",IF(X56="l","W",X56))</f>
        <v>3</v>
      </c>
      <c r="T58" s="459" t="str">
        <f>IF(W56="","",":")</f>
        <v>:</v>
      </c>
      <c r="U58" s="465">
        <f>IF(X56="","",IF(V56="W","L",V56))</f>
        <v>0</v>
      </c>
      <c r="V58" s="1183"/>
      <c r="W58" s="1169"/>
      <c r="X58" s="1170"/>
      <c r="Y58" s="458">
        <v>3</v>
      </c>
      <c r="Z58" s="459" t="str">
        <f>IF(Y57="","",":")</f>
        <v>:</v>
      </c>
      <c r="AA58" s="460">
        <v>2</v>
      </c>
      <c r="AB58" s="458"/>
      <c r="AC58" s="459" t="str">
        <f>IF(AB57="","",":")</f>
        <v/>
      </c>
      <c r="AD58" s="460"/>
      <c r="AE58" s="1186"/>
      <c r="AF58" s="1187"/>
      <c r="AG58" s="1189"/>
      <c r="AH58" s="1174"/>
    </row>
    <row r="59" spans="1:34" ht="15" x14ac:dyDescent="0.2">
      <c r="A59" s="1163">
        <v>8</v>
      </c>
      <c r="B59" s="1196">
        <v>14</v>
      </c>
      <c r="C59" s="456" t="str">
        <f>IF(B59="","",VLOOKUP(B59,'Списки участников'!A:I,3,FALSE))</f>
        <v>ПЕРФИЛЬЕВ Алексей</v>
      </c>
      <c r="D59" s="1171">
        <f>IF(Y45="","",IF(Y46="W",0,IF(Y45=2,1,IF(Y45=1,2,IF(Y45=0,2)))))</f>
        <v>1</v>
      </c>
      <c r="E59" s="1172"/>
      <c r="F59" s="1173"/>
      <c r="G59" s="1171">
        <f>IF(Y47="","",IF(Y48="W",0,IF(Y47=2,1,IF(Y47=1,2,IF(Y47=0,2)))))</f>
        <v>1</v>
      </c>
      <c r="H59" s="1172"/>
      <c r="I59" s="1173"/>
      <c r="J59" s="1171">
        <f>IF(Y49="","",IF(Y50="W",0,IF(Y49=2,1,IF(Y49=1,2,IF(Y49=0,2)))))</f>
        <v>1</v>
      </c>
      <c r="K59" s="1172"/>
      <c r="L59" s="1173"/>
      <c r="M59" s="1171">
        <f>IF(Y51="","",IF(Y52="W",0,IF(Y51=2,1,IF(Y51=1,2,IF(Y51=0,2)))))</f>
        <v>1</v>
      </c>
      <c r="N59" s="1172"/>
      <c r="O59" s="1173"/>
      <c r="P59" s="1171">
        <f>IF(Y53="","",IF(Y54="W",0,IF(Y53=2,1,IF(Y53=1,2,IF(Y53=0,2)))))</f>
        <v>2</v>
      </c>
      <c r="Q59" s="1172"/>
      <c r="R59" s="1173"/>
      <c r="S59" s="1171">
        <f>IF(Y55="","",IF(Y56="W",0,IF(Y55=2,1,IF(Y55=1,2,IF(Y55=0,2)))))</f>
        <v>2</v>
      </c>
      <c r="T59" s="1172"/>
      <c r="U59" s="1173"/>
      <c r="V59" s="1171">
        <f>IF(Y57="","",IF(Y58="W",0,IF(Y57=2,1,IF(Y57=1,2,IF(Y57=0,2)))))</f>
        <v>1</v>
      </c>
      <c r="W59" s="1172"/>
      <c r="X59" s="1173"/>
      <c r="Y59" s="1180"/>
      <c r="Z59" s="1181"/>
      <c r="AA59" s="1182"/>
      <c r="AB59" s="1171"/>
      <c r="AC59" s="1172"/>
      <c r="AD59" s="1173"/>
      <c r="AE59" s="1184">
        <f>IF(B59="","",SUM(G59,J59,M59,P59,S59,V59,D59,AB59,))</f>
        <v>9</v>
      </c>
      <c r="AF59" s="1185"/>
      <c r="AG59" s="1188"/>
      <c r="AH59" s="1174">
        <f>IF(B59="","",RANK(AE59,ГР3О))</f>
        <v>6</v>
      </c>
    </row>
    <row r="60" spans="1:34" ht="15" x14ac:dyDescent="0.2">
      <c r="A60" s="1164"/>
      <c r="B60" s="1197"/>
      <c r="C60" s="457" t="str">
        <f>IF(B59="","",VLOOKUP(B59,'Списки участников'!A:I,6,FALSE))</f>
        <v>Барнаул</v>
      </c>
      <c r="D60" s="464">
        <f>IF(Y46="","",IF(AA46="l","W",AA46))</f>
        <v>0</v>
      </c>
      <c r="E60" s="459" t="str">
        <f>IF(Z46="","",":")</f>
        <v>:</v>
      </c>
      <c r="F60" s="465">
        <f>IF(AA46="","",IF(Y46="W","L",Y46))</f>
        <v>3</v>
      </c>
      <c r="G60" s="464">
        <f>IF(Y48="","",IF(AA48="l","W",AA48))</f>
        <v>0</v>
      </c>
      <c r="H60" s="459" t="str">
        <f>IF(Z48="","",":")</f>
        <v>:</v>
      </c>
      <c r="I60" s="465">
        <f>IF(AA48="","",IF(Y48="W","L",Y48))</f>
        <v>3</v>
      </c>
      <c r="J60" s="464">
        <f>IF(Y50="","",IF(AA50="l","W",AA50))</f>
        <v>0</v>
      </c>
      <c r="K60" s="459" t="str">
        <f>IF(Z50="","",":")</f>
        <v>:</v>
      </c>
      <c r="L60" s="465">
        <f>IF(AA50="","",IF(Y50="W","L",Y50))</f>
        <v>3</v>
      </c>
      <c r="M60" s="464">
        <f>IF(Y52="","",IF(AA52="l","W",AA52))</f>
        <v>1</v>
      </c>
      <c r="N60" s="459" t="str">
        <f>IF(Z52="","",":")</f>
        <v>:</v>
      </c>
      <c r="O60" s="465">
        <f>IF(AA52="","",IF(Y52="W","L",Y52))</f>
        <v>3</v>
      </c>
      <c r="P60" s="464">
        <f>IF(Y54="","",IF(AA54="l","W",AA54))</f>
        <v>3</v>
      </c>
      <c r="Q60" s="459" t="str">
        <f>IF(Z54="","",":")</f>
        <v>:</v>
      </c>
      <c r="R60" s="465">
        <f>IF(AA54="","",IF(Y54="W","L",Y54))</f>
        <v>0</v>
      </c>
      <c r="S60" s="464">
        <f>IF(Y56="","",IF(AA56="l","W",AA56))</f>
        <v>3</v>
      </c>
      <c r="T60" s="459" t="str">
        <f>IF(Z56="","",":")</f>
        <v>:</v>
      </c>
      <c r="U60" s="465">
        <f>IF(AA56="","",IF(Y56="W","L",Y56))</f>
        <v>0</v>
      </c>
      <c r="V60" s="464">
        <f>IF(Y58="","",IF(AA58="l","W",AA58))</f>
        <v>2</v>
      </c>
      <c r="W60" s="459" t="str">
        <f>IF(Z58="","",":")</f>
        <v>:</v>
      </c>
      <c r="X60" s="465">
        <f>IF(AA58="","",IF(Y58="W","L",Y58))</f>
        <v>3</v>
      </c>
      <c r="Y60" s="1183"/>
      <c r="Z60" s="1169"/>
      <c r="AA60" s="1170"/>
      <c r="AB60" s="458"/>
      <c r="AC60" s="459" t="str">
        <f>IF(AB59="","",":")</f>
        <v/>
      </c>
      <c r="AD60" s="460"/>
      <c r="AE60" s="1186"/>
      <c r="AF60" s="1187"/>
      <c r="AG60" s="1189"/>
      <c r="AH60" s="1174"/>
    </row>
    <row r="61" spans="1:34" ht="15" hidden="1" outlineLevel="1" x14ac:dyDescent="0.2">
      <c r="A61" s="1163">
        <v>9</v>
      </c>
      <c r="B61" s="1165">
        <f>жеребьевка!L20</f>
        <v>0</v>
      </c>
      <c r="C61" s="456" t="e">
        <f>IF(B61="","",VLOOKUP(B61,'Списки участников'!A:I,3,FALSE))</f>
        <v>#N/A</v>
      </c>
      <c r="D61" s="1171" t="str">
        <f>IF(AB45="","",IF(AB46="W",0,IF(AB45=2,1,IF(AB45=1,2,IF(AB45=0,2)))))</f>
        <v/>
      </c>
      <c r="E61" s="1172"/>
      <c r="F61" s="1173"/>
      <c r="G61" s="1171" t="str">
        <f>IF(AB47="","",IF(AB48="W",0,IF(AB47=2,1,IF(AB47=1,2,IF(AB47=0,2)))))</f>
        <v/>
      </c>
      <c r="H61" s="1172"/>
      <c r="I61" s="1173"/>
      <c r="J61" s="1171" t="str">
        <f>IF(AB49="","",IF(AB50="W",0,IF(AB49=2,1,IF(AB49=1,2,IF(AB49=0,2)))))</f>
        <v/>
      </c>
      <c r="K61" s="1172"/>
      <c r="L61" s="1173"/>
      <c r="M61" s="1171" t="str">
        <f>IF(AB51="","",IF(AB52="W",0,IF(AB51=2,1,IF(AB51=1,2,IF(AB51=0,2)))))</f>
        <v/>
      </c>
      <c r="N61" s="1172"/>
      <c r="O61" s="1173"/>
      <c r="P61" s="1171" t="str">
        <f>IF(AB53="","",IF(AB54="W",0,IF(AB53=2,1,IF(AB53=1,2,IF(AB53=0,2)))))</f>
        <v/>
      </c>
      <c r="Q61" s="1172"/>
      <c r="R61" s="1173"/>
      <c r="S61" s="1171" t="str">
        <f>IF(AB55="","",IF(AB56="W",0,IF(AB55=2,1,IF(AB55=1,2,IF(AB55=0,2)))))</f>
        <v/>
      </c>
      <c r="T61" s="1172"/>
      <c r="U61" s="1173"/>
      <c r="V61" s="1171" t="str">
        <f>IF(AB57="","",IF(AB58="W",0,IF(AB57=2,1,IF(AB57=1,2,IF(AB57=0,2)))))</f>
        <v/>
      </c>
      <c r="W61" s="1172"/>
      <c r="X61" s="1173"/>
      <c r="Y61" s="1171" t="str">
        <f>IF(AB59="","",IF(AB60="W",0,IF(AB59=2,1,IF(AB59=1,2,IF(AB59=0,2)))))</f>
        <v/>
      </c>
      <c r="Z61" s="1172"/>
      <c r="AA61" s="1173"/>
      <c r="AB61" s="1191"/>
      <c r="AC61" s="1167"/>
      <c r="AD61" s="1168"/>
      <c r="AE61" s="1184">
        <f>IF(B61="","",SUM(G61,J61,M61,P61,S61,V61,Y61,D61,))</f>
        <v>0</v>
      </c>
      <c r="AF61" s="1185"/>
      <c r="AG61" s="1188"/>
      <c r="AH61" s="1174">
        <f>IF(B61="","",RANK(AE61,ГР3О))</f>
        <v>9</v>
      </c>
    </row>
    <row r="62" spans="1:34" ht="15" hidden="1" outlineLevel="1" x14ac:dyDescent="0.2">
      <c r="A62" s="1164"/>
      <c r="B62" s="1166"/>
      <c r="C62" s="457" t="e">
        <f>IF(B61="","",VLOOKUP(B61,'Списки участников'!A:I,6,FALSE))</f>
        <v>#N/A</v>
      </c>
      <c r="D62" s="464" t="str">
        <f>IF(AB46="","",IF(AD46="l","W",AD46))</f>
        <v/>
      </c>
      <c r="E62" s="459" t="str">
        <f>IF(AC46="","",":")</f>
        <v/>
      </c>
      <c r="F62" s="465" t="str">
        <f>IF(AD46="","",IF(AB46="W","L",AB46))</f>
        <v/>
      </c>
      <c r="G62" s="464" t="str">
        <f>IF(AB48="","",IF(AD48="l","W",AD48))</f>
        <v/>
      </c>
      <c r="H62" s="459" t="str">
        <f>IF(AC48="","",":")</f>
        <v/>
      </c>
      <c r="I62" s="465" t="str">
        <f>IF(AD48="","",IF(AB48="W","L",AB48))</f>
        <v/>
      </c>
      <c r="J62" s="464" t="str">
        <f>IF(AB50="","",IF(AD50="l","W",AD50))</f>
        <v/>
      </c>
      <c r="K62" s="459" t="str">
        <f>IF(AC50="","",":")</f>
        <v/>
      </c>
      <c r="L62" s="465" t="str">
        <f>IF(AD50="","",IF(AB50="W","L",AB50))</f>
        <v/>
      </c>
      <c r="M62" s="464" t="str">
        <f>IF(AB52="","",IF(AD52="l","W",AD52))</f>
        <v/>
      </c>
      <c r="N62" s="459" t="str">
        <f>IF(AC52="","",":")</f>
        <v/>
      </c>
      <c r="O62" s="465" t="str">
        <f>IF(AD52="","",IF(AB52="W","L",AB52))</f>
        <v/>
      </c>
      <c r="P62" s="464" t="str">
        <f>IF(AB54="","",IF(AD54="l","W",AD54))</f>
        <v/>
      </c>
      <c r="Q62" s="459" t="str">
        <f>IF(AC54="","",":")</f>
        <v/>
      </c>
      <c r="R62" s="465" t="str">
        <f>IF(AD54="","",IF(AB54="W","L",AB54))</f>
        <v/>
      </c>
      <c r="S62" s="464" t="str">
        <f>IF(AB56="","",IF(AD56="l","W",AD56))</f>
        <v/>
      </c>
      <c r="T62" s="459" t="str">
        <f>IF(AC56="","",":")</f>
        <v/>
      </c>
      <c r="U62" s="465" t="str">
        <f>IF(AD56="","",IF(AB56="W","L",AB56))</f>
        <v/>
      </c>
      <c r="V62" s="464" t="str">
        <f>IF(AB58="","",IF(AD58="l","W",AD58))</f>
        <v/>
      </c>
      <c r="W62" s="459" t="str">
        <f>IF(AC58="","",":")</f>
        <v/>
      </c>
      <c r="X62" s="465" t="str">
        <f>IF(AD58="","",IF(AB58="W","L",AB58))</f>
        <v/>
      </c>
      <c r="Y62" s="464" t="str">
        <f>IF(AB60="","",IF(AD60="l","W",AD60))</f>
        <v/>
      </c>
      <c r="Z62" s="459" t="str">
        <f>IF(AC60="","",":")</f>
        <v/>
      </c>
      <c r="AA62" s="465" t="str">
        <f>IF(AD60="","",IF(AB60="W","L",AB60))</f>
        <v/>
      </c>
      <c r="AB62" s="1183"/>
      <c r="AC62" s="1169"/>
      <c r="AD62" s="1170"/>
      <c r="AE62" s="1186"/>
      <c r="AF62" s="1187"/>
      <c r="AG62" s="1189"/>
      <c r="AH62" s="1174"/>
    </row>
    <row r="63" spans="1:34" ht="15.75" collapsed="1" x14ac:dyDescent="0.25">
      <c r="A63" s="135"/>
      <c r="B63" s="135">
        <v>14</v>
      </c>
      <c r="C63" s="954" t="s">
        <v>765</v>
      </c>
      <c r="D63" s="135"/>
      <c r="E63" s="135"/>
      <c r="F63" s="135"/>
      <c r="G63" s="1192" t="s">
        <v>11990</v>
      </c>
      <c r="H63" s="1192"/>
      <c r="I63" s="1192"/>
      <c r="J63" s="1192"/>
      <c r="K63" s="1192"/>
      <c r="L63" s="1192"/>
      <c r="M63" s="1192"/>
      <c r="N63" s="1192"/>
      <c r="O63" s="1192"/>
      <c r="P63" s="1192"/>
      <c r="Q63" s="1192"/>
      <c r="R63" s="1192"/>
      <c r="S63" s="1192"/>
      <c r="T63" s="1192"/>
      <c r="U63" s="1192"/>
      <c r="V63" s="1192"/>
      <c r="W63" s="1192"/>
      <c r="X63" s="1192"/>
      <c r="Y63" s="1192"/>
      <c r="Z63" s="1192"/>
      <c r="AA63" s="1192"/>
      <c r="AB63" s="135"/>
      <c r="AC63" s="135"/>
      <c r="AD63" s="135"/>
      <c r="AE63" s="135"/>
      <c r="AF63" s="135"/>
      <c r="AG63" s="135"/>
      <c r="AH63" s="135"/>
    </row>
    <row r="64" spans="1:34" ht="15" x14ac:dyDescent="0.2">
      <c r="A64" s="136" t="s">
        <v>3</v>
      </c>
      <c r="B64" s="938"/>
      <c r="C64" s="138" t="s">
        <v>788</v>
      </c>
      <c r="D64" s="1158">
        <v>1</v>
      </c>
      <c r="E64" s="1159"/>
      <c r="F64" s="1160"/>
      <c r="G64" s="1158">
        <v>2</v>
      </c>
      <c r="H64" s="1159"/>
      <c r="I64" s="1160"/>
      <c r="J64" s="1158">
        <v>3</v>
      </c>
      <c r="K64" s="1159"/>
      <c r="L64" s="1160"/>
      <c r="M64" s="1158">
        <v>4</v>
      </c>
      <c r="N64" s="1159"/>
      <c r="O64" s="1160"/>
      <c r="P64" s="1158">
        <v>5</v>
      </c>
      <c r="Q64" s="1159"/>
      <c r="R64" s="1160"/>
      <c r="S64" s="1158">
        <v>6</v>
      </c>
      <c r="T64" s="1159"/>
      <c r="U64" s="1160"/>
      <c r="V64" s="1158">
        <v>7</v>
      </c>
      <c r="W64" s="1159"/>
      <c r="X64" s="1160"/>
      <c r="Y64" s="1158">
        <v>8</v>
      </c>
      <c r="Z64" s="1159"/>
      <c r="AA64" s="1160"/>
      <c r="AB64" s="1158">
        <v>9</v>
      </c>
      <c r="AC64" s="1159"/>
      <c r="AD64" s="1160"/>
      <c r="AE64" s="1161" t="s">
        <v>789</v>
      </c>
      <c r="AF64" s="1162"/>
      <c r="AG64" s="939" t="s">
        <v>790</v>
      </c>
      <c r="AH64" s="455" t="s">
        <v>100</v>
      </c>
    </row>
    <row r="65" spans="1:34" ht="15" x14ac:dyDescent="0.2">
      <c r="A65" s="1163">
        <v>1</v>
      </c>
      <c r="B65" s="1165">
        <v>4</v>
      </c>
      <c r="C65" s="456" t="str">
        <f>IF(B65="","",VLOOKUP(B65,'Списки участников'!A:I,3,FALSE))</f>
        <v>СТАШКОВСКИЙ Глеб</v>
      </c>
      <c r="D65" s="1167"/>
      <c r="E65" s="1167"/>
      <c r="F65" s="1168"/>
      <c r="G65" s="1171">
        <v>2</v>
      </c>
      <c r="H65" s="1172"/>
      <c r="I65" s="1173"/>
      <c r="J65" s="1171">
        <v>2</v>
      </c>
      <c r="K65" s="1172"/>
      <c r="L65" s="1173"/>
      <c r="M65" s="1171">
        <v>2</v>
      </c>
      <c r="N65" s="1172"/>
      <c r="O65" s="1173"/>
      <c r="P65" s="1171">
        <v>2</v>
      </c>
      <c r="Q65" s="1172"/>
      <c r="R65" s="1173"/>
      <c r="S65" s="1171">
        <v>2</v>
      </c>
      <c r="T65" s="1172"/>
      <c r="U65" s="1173"/>
      <c r="V65" s="1171">
        <v>2</v>
      </c>
      <c r="W65" s="1172"/>
      <c r="X65" s="1173"/>
      <c r="Y65" s="1171">
        <v>2</v>
      </c>
      <c r="Z65" s="1172"/>
      <c r="AA65" s="1173"/>
      <c r="AB65" s="1171"/>
      <c r="AC65" s="1172"/>
      <c r="AD65" s="1173"/>
      <c r="AE65" s="1184">
        <f>IF(B65="","",SUM(G65,J65,M65,P65,S65,V65,Y65,AB65,))</f>
        <v>14</v>
      </c>
      <c r="AF65" s="1185"/>
      <c r="AG65" s="1175"/>
      <c r="AH65" s="1174">
        <f>IF(B65="","",RANK(AE65,ГР4О))</f>
        <v>1</v>
      </c>
    </row>
    <row r="66" spans="1:34" ht="15" x14ac:dyDescent="0.2">
      <c r="A66" s="1164"/>
      <c r="B66" s="1166"/>
      <c r="C66" s="457" t="str">
        <f>IF(B65="","",VLOOKUP(B65,'Списки участников'!A:I,6,FALSE))</f>
        <v>Реутов, Мос. Обл.</v>
      </c>
      <c r="D66" s="1169"/>
      <c r="E66" s="1169"/>
      <c r="F66" s="1170"/>
      <c r="G66" s="458">
        <v>3</v>
      </c>
      <c r="H66" s="459" t="str">
        <f>IF(G65="","",":")</f>
        <v>:</v>
      </c>
      <c r="I66" s="460">
        <v>2</v>
      </c>
      <c r="J66" s="458">
        <v>3</v>
      </c>
      <c r="K66" s="459" t="str">
        <f>IF(J65="","",":")</f>
        <v>:</v>
      </c>
      <c r="L66" s="460">
        <v>1</v>
      </c>
      <c r="M66" s="458">
        <v>3</v>
      </c>
      <c r="N66" s="459" t="str">
        <f>IF(M66="","",":")</f>
        <v>:</v>
      </c>
      <c r="O66" s="460">
        <v>2</v>
      </c>
      <c r="P66" s="458">
        <v>3</v>
      </c>
      <c r="Q66" s="459" t="str">
        <f>IF(P66="","",":")</f>
        <v>:</v>
      </c>
      <c r="R66" s="460">
        <v>0</v>
      </c>
      <c r="S66" s="458">
        <v>3</v>
      </c>
      <c r="T66" s="459" t="str">
        <f>IF(S66="","",":")</f>
        <v>:</v>
      </c>
      <c r="U66" s="460">
        <v>0</v>
      </c>
      <c r="V66" s="458">
        <v>3</v>
      </c>
      <c r="W66" s="459" t="str">
        <f>IF(V66="","",":")</f>
        <v>:</v>
      </c>
      <c r="X66" s="460">
        <v>0</v>
      </c>
      <c r="Y66" s="458">
        <v>3</v>
      </c>
      <c r="Z66" s="459" t="str">
        <f>IF(Y66="","",":")</f>
        <v>:</v>
      </c>
      <c r="AA66" s="460">
        <v>1</v>
      </c>
      <c r="AB66" s="458"/>
      <c r="AC66" s="459" t="str">
        <f>IF(AB66="","",":")</f>
        <v/>
      </c>
      <c r="AD66" s="460"/>
      <c r="AE66" s="1186"/>
      <c r="AF66" s="1187"/>
      <c r="AG66" s="1176"/>
      <c r="AH66" s="1174"/>
    </row>
    <row r="67" spans="1:34" ht="15" x14ac:dyDescent="0.2">
      <c r="A67" s="1163">
        <v>2</v>
      </c>
      <c r="B67" s="1165">
        <v>5</v>
      </c>
      <c r="C67" s="456" t="str">
        <f>IF(B67="","",VLOOKUP(B67,'Списки участников'!A:I,3,FALSE))</f>
        <v>МИРОНОВ Егор</v>
      </c>
      <c r="D67" s="1177">
        <f>IF(G65="","",IF(G66="W",0,IF(G65=2,1,IF(G65=1,2,IF(G65=0,2)))))</f>
        <v>1</v>
      </c>
      <c r="E67" s="1178"/>
      <c r="F67" s="1179"/>
      <c r="G67" s="1180"/>
      <c r="H67" s="1181"/>
      <c r="I67" s="1182"/>
      <c r="J67" s="1171">
        <v>2</v>
      </c>
      <c r="K67" s="1172"/>
      <c r="L67" s="1173"/>
      <c r="M67" s="1171">
        <v>2</v>
      </c>
      <c r="N67" s="1172"/>
      <c r="O67" s="1173"/>
      <c r="P67" s="1171">
        <v>2</v>
      </c>
      <c r="Q67" s="1172"/>
      <c r="R67" s="1173"/>
      <c r="S67" s="1171">
        <v>2</v>
      </c>
      <c r="T67" s="1172"/>
      <c r="U67" s="1173"/>
      <c r="V67" s="1171">
        <v>2</v>
      </c>
      <c r="W67" s="1172"/>
      <c r="X67" s="1173"/>
      <c r="Y67" s="1171">
        <v>2</v>
      </c>
      <c r="Z67" s="1172"/>
      <c r="AA67" s="1173"/>
      <c r="AB67" s="1171"/>
      <c r="AC67" s="1172"/>
      <c r="AD67" s="1173"/>
      <c r="AE67" s="1184">
        <f>IF(B67="","",SUM(D67,J67,M67,P67,S67,V67,Y67,AB67,))</f>
        <v>13</v>
      </c>
      <c r="AF67" s="1185"/>
      <c r="AG67" s="1175"/>
      <c r="AH67" s="1174">
        <f>IF(B67="","",RANK(AE67,ГР4О))</f>
        <v>2</v>
      </c>
    </row>
    <row r="68" spans="1:34" ht="15" x14ac:dyDescent="0.2">
      <c r="A68" s="1164"/>
      <c r="B68" s="1166"/>
      <c r="C68" s="457" t="str">
        <f>IF(B67="","",VLOOKUP(B67,'Списки участников'!A:I,6,FALSE))</f>
        <v>Москва</v>
      </c>
      <c r="D68" s="461">
        <f>IF(G66="","",IF(I66="l","W",I66))</f>
        <v>2</v>
      </c>
      <c r="E68" s="462" t="str">
        <f>IF(G65="","",":")</f>
        <v>:</v>
      </c>
      <c r="F68" s="463">
        <f>IF(I66="","",IF(G66="W","L",G66))</f>
        <v>3</v>
      </c>
      <c r="G68" s="1183"/>
      <c r="H68" s="1169"/>
      <c r="I68" s="1170"/>
      <c r="J68" s="458">
        <v>3</v>
      </c>
      <c r="K68" s="459" t="str">
        <f>IF(J67="","",":")</f>
        <v>:</v>
      </c>
      <c r="L68" s="460">
        <v>1</v>
      </c>
      <c r="M68" s="458">
        <v>3</v>
      </c>
      <c r="N68" s="459" t="str">
        <f>IF(M67="","",":")</f>
        <v>:</v>
      </c>
      <c r="O68" s="460">
        <v>1</v>
      </c>
      <c r="P68" s="458">
        <v>3</v>
      </c>
      <c r="Q68" s="459" t="str">
        <f>IF(P67="","",":")</f>
        <v>:</v>
      </c>
      <c r="R68" s="460">
        <v>0</v>
      </c>
      <c r="S68" s="458">
        <v>3</v>
      </c>
      <c r="T68" s="459" t="str">
        <f>IF(S68="","",":")</f>
        <v>:</v>
      </c>
      <c r="U68" s="460">
        <v>1</v>
      </c>
      <c r="V68" s="458">
        <v>3</v>
      </c>
      <c r="W68" s="459" t="str">
        <f>IF(V68="","",":")</f>
        <v>:</v>
      </c>
      <c r="X68" s="460">
        <v>0</v>
      </c>
      <c r="Y68" s="458">
        <v>3</v>
      </c>
      <c r="Z68" s="459" t="str">
        <f>IF(Y68="","",":")</f>
        <v>:</v>
      </c>
      <c r="AA68" s="460">
        <v>2</v>
      </c>
      <c r="AB68" s="458"/>
      <c r="AC68" s="459" t="str">
        <f>IF(AB68="","",":")</f>
        <v/>
      </c>
      <c r="AD68" s="460"/>
      <c r="AE68" s="1186"/>
      <c r="AF68" s="1187"/>
      <c r="AG68" s="1176"/>
      <c r="AH68" s="1174"/>
    </row>
    <row r="69" spans="1:34" ht="15" x14ac:dyDescent="0.2">
      <c r="A69" s="1163">
        <v>3</v>
      </c>
      <c r="B69" s="1165">
        <v>12</v>
      </c>
      <c r="C69" s="456" t="str">
        <f>IF(B69="","",VLOOKUP(B69,'Списки участников'!A:I,3,FALSE))</f>
        <v>ПОЛЯКОВ Василий</v>
      </c>
      <c r="D69" s="1177">
        <f>IF(J65="","",IF(J66="W",0,IF(J65=2,1,IF(J65=1,2,IF(J65=0,2)))))</f>
        <v>1</v>
      </c>
      <c r="E69" s="1178"/>
      <c r="F69" s="1179"/>
      <c r="G69" s="1171">
        <f>IF(J67="","",IF(J68="W",0,IF(J67=2,1,IF(J67=1,2,IF(J67=0,2)))))</f>
        <v>1</v>
      </c>
      <c r="H69" s="1172"/>
      <c r="I69" s="1173"/>
      <c r="J69" s="1180"/>
      <c r="K69" s="1181"/>
      <c r="L69" s="1182"/>
      <c r="M69" s="1171">
        <v>2</v>
      </c>
      <c r="N69" s="1172"/>
      <c r="O69" s="1173"/>
      <c r="P69" s="1171">
        <v>2</v>
      </c>
      <c r="Q69" s="1172"/>
      <c r="R69" s="1173"/>
      <c r="S69" s="1171">
        <v>2</v>
      </c>
      <c r="T69" s="1172"/>
      <c r="U69" s="1173"/>
      <c r="V69" s="1171">
        <v>2</v>
      </c>
      <c r="W69" s="1172"/>
      <c r="X69" s="1173"/>
      <c r="Y69" s="1171">
        <v>2</v>
      </c>
      <c r="Z69" s="1172"/>
      <c r="AA69" s="1173"/>
      <c r="AB69" s="1171"/>
      <c r="AC69" s="1172"/>
      <c r="AD69" s="1173"/>
      <c r="AE69" s="1184">
        <f>IF(B69="","",SUM(G69,D69,M69,P69,S69,V69,Y69,AB69,))</f>
        <v>12</v>
      </c>
      <c r="AF69" s="1185"/>
      <c r="AG69" s="1188"/>
      <c r="AH69" s="1174">
        <f>IF(B69="","",RANK(AE69,ГР4О))</f>
        <v>3</v>
      </c>
    </row>
    <row r="70" spans="1:34" ht="15" x14ac:dyDescent="0.2">
      <c r="A70" s="1164"/>
      <c r="B70" s="1166"/>
      <c r="C70" s="457" t="str">
        <f>IF(B69="","",VLOOKUP(B69,'Списки участников'!A:I,6,FALSE))</f>
        <v>Москва</v>
      </c>
      <c r="D70" s="464">
        <f>IF(J66="","",IF(L66="l","W",L66))</f>
        <v>1</v>
      </c>
      <c r="E70" s="459" t="str">
        <f>IF(K66="","",":")</f>
        <v>:</v>
      </c>
      <c r="F70" s="465">
        <f>IF(L66="","",IF(J66="W","L",J66))</f>
        <v>3</v>
      </c>
      <c r="G70" s="464">
        <f>IF(J68="","",IF(L68="l","W",L68))</f>
        <v>1</v>
      </c>
      <c r="H70" s="459" t="str">
        <f>IF(K68="","",":")</f>
        <v>:</v>
      </c>
      <c r="I70" s="465">
        <f>IF(L68="","",IF(J68="W","L",J68))</f>
        <v>3</v>
      </c>
      <c r="J70" s="1183"/>
      <c r="K70" s="1169"/>
      <c r="L70" s="1170"/>
      <c r="M70" s="458">
        <v>3</v>
      </c>
      <c r="N70" s="459" t="str">
        <f>IF(M69="","",":")</f>
        <v>:</v>
      </c>
      <c r="O70" s="460">
        <v>1</v>
      </c>
      <c r="P70" s="458">
        <v>3</v>
      </c>
      <c r="Q70" s="459" t="str">
        <f>IF(P69="","",":")</f>
        <v>:</v>
      </c>
      <c r="R70" s="460">
        <v>0</v>
      </c>
      <c r="S70" s="458">
        <v>3</v>
      </c>
      <c r="T70" s="459" t="str">
        <f>IF(S69="","",":")</f>
        <v>:</v>
      </c>
      <c r="U70" s="460">
        <v>1</v>
      </c>
      <c r="V70" s="458">
        <v>3</v>
      </c>
      <c r="W70" s="459" t="str">
        <f>IF(V70="","",":")</f>
        <v>:</v>
      </c>
      <c r="X70" s="460">
        <v>0</v>
      </c>
      <c r="Y70" s="458">
        <v>3</v>
      </c>
      <c r="Z70" s="459" t="str">
        <f>IF(Y70="","",":")</f>
        <v>:</v>
      </c>
      <c r="AA70" s="460">
        <v>2</v>
      </c>
      <c r="AB70" s="458"/>
      <c r="AC70" s="459" t="str">
        <f>IF(AB70="","",":")</f>
        <v/>
      </c>
      <c r="AD70" s="460"/>
      <c r="AE70" s="1186"/>
      <c r="AF70" s="1187"/>
      <c r="AG70" s="1189"/>
      <c r="AH70" s="1174"/>
    </row>
    <row r="71" spans="1:34" ht="15" x14ac:dyDescent="0.2">
      <c r="A71" s="1163">
        <v>4</v>
      </c>
      <c r="B71" s="1165">
        <v>19</v>
      </c>
      <c r="C71" s="456" t="str">
        <f>IF(B71="","",VLOOKUP(B71,'Списки участников'!A:I,3,FALSE))</f>
        <v>ПОРТНОВ Фадей</v>
      </c>
      <c r="D71" s="1171">
        <f>IF(M65="","",IF(M66="W",0,IF(M65=2,1,IF(M65=1,2,IF(M65=0,2)))))</f>
        <v>1</v>
      </c>
      <c r="E71" s="1172"/>
      <c r="F71" s="1173"/>
      <c r="G71" s="1171">
        <f>IF(M67="","",IF(M68="W",0,IF(M67=2,1,IF(M67=1,2,IF(M67=0,2)))))</f>
        <v>1</v>
      </c>
      <c r="H71" s="1172"/>
      <c r="I71" s="1173"/>
      <c r="J71" s="1171">
        <f>IF(M69="","",IF(M70="W",0,IF(M69=2,1,IF(M69=1,2,IF(M69=0,2)))))</f>
        <v>1</v>
      </c>
      <c r="K71" s="1172"/>
      <c r="L71" s="1173"/>
      <c r="M71" s="1181"/>
      <c r="N71" s="1181"/>
      <c r="O71" s="1181"/>
      <c r="P71" s="1171">
        <v>2</v>
      </c>
      <c r="Q71" s="1172"/>
      <c r="R71" s="1173"/>
      <c r="S71" s="1171">
        <v>1</v>
      </c>
      <c r="T71" s="1172"/>
      <c r="U71" s="1173"/>
      <c r="V71" s="1171">
        <v>2</v>
      </c>
      <c r="W71" s="1172"/>
      <c r="X71" s="1173"/>
      <c r="Y71" s="1171">
        <v>1</v>
      </c>
      <c r="Z71" s="1172"/>
      <c r="AA71" s="1173"/>
      <c r="AB71" s="1171"/>
      <c r="AC71" s="1172"/>
      <c r="AD71" s="1173"/>
      <c r="AE71" s="1184">
        <f>IF(B71="","",SUM(G71,J71,D71,P71,S71,V71,Y71,AB71,))</f>
        <v>9</v>
      </c>
      <c r="AF71" s="1185"/>
      <c r="AG71" s="1188"/>
      <c r="AH71" s="1174">
        <f>IF(B71="","",RANK(AE71,ГР4О))</f>
        <v>6</v>
      </c>
    </row>
    <row r="72" spans="1:34" ht="15" x14ac:dyDescent="0.2">
      <c r="A72" s="1164"/>
      <c r="B72" s="1166"/>
      <c r="C72" s="457" t="str">
        <f>IF(B71="","",VLOOKUP(B71,'Списки участников'!A:I,6,FALSE))</f>
        <v>Москва</v>
      </c>
      <c r="D72" s="464">
        <f>IF(M66="","",IF(O66="l","W",O66))</f>
        <v>2</v>
      </c>
      <c r="E72" s="459" t="str">
        <f>IF(N66="","",":")</f>
        <v>:</v>
      </c>
      <c r="F72" s="465">
        <f>IF(O66="","",IF(M66="W","L",M66))</f>
        <v>3</v>
      </c>
      <c r="G72" s="464">
        <f>IF(M68="","",IF(O68="l","W",O68))</f>
        <v>1</v>
      </c>
      <c r="H72" s="459" t="str">
        <f>IF(N68="","",":")</f>
        <v>:</v>
      </c>
      <c r="I72" s="465">
        <f>IF(O68="","",IF(M68="W","L",M68))</f>
        <v>3</v>
      </c>
      <c r="J72" s="464">
        <f>IF(M70="","",IF(O70="l","W",O70))</f>
        <v>1</v>
      </c>
      <c r="K72" s="459" t="str">
        <f>IF(N70="","",":")</f>
        <v>:</v>
      </c>
      <c r="L72" s="465">
        <f>IF(O70="","",IF(M70="W","L",M70))</f>
        <v>3</v>
      </c>
      <c r="M72" s="1190"/>
      <c r="N72" s="1190"/>
      <c r="O72" s="1190"/>
      <c r="P72" s="458">
        <v>3</v>
      </c>
      <c r="Q72" s="459" t="str">
        <f>IF(P71="","",":")</f>
        <v>:</v>
      </c>
      <c r="R72" s="460">
        <v>1</v>
      </c>
      <c r="S72" s="458">
        <v>2</v>
      </c>
      <c r="T72" s="459" t="str">
        <f>IF(S71="","",":")</f>
        <v>:</v>
      </c>
      <c r="U72" s="460">
        <v>3</v>
      </c>
      <c r="V72" s="458">
        <v>3</v>
      </c>
      <c r="W72" s="459" t="str">
        <f>IF(V71="","",":")</f>
        <v>:</v>
      </c>
      <c r="X72" s="460">
        <v>0</v>
      </c>
      <c r="Y72" s="458">
        <v>0</v>
      </c>
      <c r="Z72" s="459" t="str">
        <f>IF(Y72="","",":")</f>
        <v>:</v>
      </c>
      <c r="AA72" s="460">
        <v>3</v>
      </c>
      <c r="AB72" s="458"/>
      <c r="AC72" s="459" t="str">
        <f>IF(AB72="","",":")</f>
        <v/>
      </c>
      <c r="AD72" s="460"/>
      <c r="AE72" s="1186"/>
      <c r="AF72" s="1187"/>
      <c r="AG72" s="1189"/>
      <c r="AH72" s="1174"/>
    </row>
    <row r="73" spans="1:34" ht="15" x14ac:dyDescent="0.2">
      <c r="A73" s="1163">
        <v>5</v>
      </c>
      <c r="B73" s="1165">
        <v>34</v>
      </c>
      <c r="C73" s="456" t="str">
        <f>IF(B73="","",VLOOKUP(B73,'Списки участников'!A:I,3,FALSE))</f>
        <v>ШУКЛИН Александр</v>
      </c>
      <c r="D73" s="1171">
        <f>IF(P65="","",IF(P66="W",0,IF(P65=2,1,IF(P65=1,2,IF(P65=0,2)))))</f>
        <v>1</v>
      </c>
      <c r="E73" s="1172"/>
      <c r="F73" s="1173"/>
      <c r="G73" s="1171">
        <f>IF(P67="","",IF(P68="W",0,IF(P67=2,1,IF(P67=1,2,IF(P67=0,2)))))</f>
        <v>1</v>
      </c>
      <c r="H73" s="1172"/>
      <c r="I73" s="1173"/>
      <c r="J73" s="1171">
        <f>IF(P69="","",IF(P70="W",0,IF(P69=2,1,IF(P69=1,2,IF(P69=0,2)))))</f>
        <v>1</v>
      </c>
      <c r="K73" s="1172"/>
      <c r="L73" s="1173"/>
      <c r="M73" s="1171">
        <f>IF(P71="","",IF(P72="W",0,IF(P71=2,1,IF(P71=1,2,IF(P71=0,2)))))</f>
        <v>1</v>
      </c>
      <c r="N73" s="1172"/>
      <c r="O73" s="1173"/>
      <c r="P73" s="1180"/>
      <c r="Q73" s="1181"/>
      <c r="R73" s="1182"/>
      <c r="S73" s="1171">
        <v>1</v>
      </c>
      <c r="T73" s="1172"/>
      <c r="U73" s="1173"/>
      <c r="V73" s="1171">
        <v>2</v>
      </c>
      <c r="W73" s="1172"/>
      <c r="X73" s="1173"/>
      <c r="Y73" s="1171">
        <v>1</v>
      </c>
      <c r="Z73" s="1172"/>
      <c r="AA73" s="1173"/>
      <c r="AB73" s="1171"/>
      <c r="AC73" s="1172"/>
      <c r="AD73" s="1173"/>
      <c r="AE73" s="1184">
        <f>IF(B73="","",SUM(G73,J73,M73,D73,S73,V73,Y73,AB73,))</f>
        <v>8</v>
      </c>
      <c r="AF73" s="1185"/>
      <c r="AG73" s="1188"/>
      <c r="AH73" s="1174">
        <f>IF(B73="","",RANK(AE73,ГР4О))</f>
        <v>7</v>
      </c>
    </row>
    <row r="74" spans="1:34" ht="15" x14ac:dyDescent="0.2">
      <c r="A74" s="1164"/>
      <c r="B74" s="1166"/>
      <c r="C74" s="457" t="str">
        <f>IF(B73="","",VLOOKUP(B73,'Списки участников'!A:I,6,FALSE))</f>
        <v>Орехово-Зуево</v>
      </c>
      <c r="D74" s="464">
        <f>IF(P66="","",IF(R66="l","W",R66))</f>
        <v>0</v>
      </c>
      <c r="E74" s="459" t="str">
        <f>IF(Q66="","",":")</f>
        <v>:</v>
      </c>
      <c r="F74" s="465">
        <f>IF(R66="","",IF(P66="W","L",P66))</f>
        <v>3</v>
      </c>
      <c r="G74" s="464">
        <f>IF(P68="","",IF(R68="l","W",R68))</f>
        <v>0</v>
      </c>
      <c r="H74" s="459" t="str">
        <f>IF(Q68="","",":")</f>
        <v>:</v>
      </c>
      <c r="I74" s="465">
        <f>IF(R68="","",IF(P68="W","L",P68))</f>
        <v>3</v>
      </c>
      <c r="J74" s="464">
        <f>IF(P70="","",IF(R70="l","W",R70))</f>
        <v>0</v>
      </c>
      <c r="K74" s="459" t="str">
        <f>IF(Q70="","",":")</f>
        <v>:</v>
      </c>
      <c r="L74" s="465">
        <f>IF(R70="","",IF(P70="W","L",P70))</f>
        <v>3</v>
      </c>
      <c r="M74" s="464">
        <f>IF(P72="","",IF(R72="l","W",R72))</f>
        <v>1</v>
      </c>
      <c r="N74" s="459" t="str">
        <f>IF(Q72="","",":")</f>
        <v>:</v>
      </c>
      <c r="O74" s="465">
        <f>IF(R72="","",IF(P72="W","L",P72))</f>
        <v>3</v>
      </c>
      <c r="P74" s="1183"/>
      <c r="Q74" s="1169"/>
      <c r="R74" s="1170"/>
      <c r="S74" s="458">
        <v>2</v>
      </c>
      <c r="T74" s="459" t="str">
        <f>IF(S73="","",":")</f>
        <v>:</v>
      </c>
      <c r="U74" s="460">
        <v>3</v>
      </c>
      <c r="V74" s="458">
        <v>3</v>
      </c>
      <c r="W74" s="459" t="str">
        <f>IF(V73="","",":")</f>
        <v>:</v>
      </c>
      <c r="X74" s="460">
        <v>1</v>
      </c>
      <c r="Y74" s="458">
        <v>1</v>
      </c>
      <c r="Z74" s="1121" t="s">
        <v>12173</v>
      </c>
      <c r="AA74" s="460">
        <v>3</v>
      </c>
      <c r="AB74" s="458"/>
      <c r="AC74" s="459" t="str">
        <f>IF(AB74="","",":")</f>
        <v/>
      </c>
      <c r="AD74" s="460"/>
      <c r="AE74" s="1186"/>
      <c r="AF74" s="1187"/>
      <c r="AG74" s="1189"/>
      <c r="AH74" s="1174"/>
    </row>
    <row r="75" spans="1:34" ht="15" x14ac:dyDescent="0.2">
      <c r="A75" s="1163">
        <v>6</v>
      </c>
      <c r="B75" s="1165">
        <v>8</v>
      </c>
      <c r="C75" s="456" t="str">
        <f>IF(B75="","",VLOOKUP(B75,'Списки участников'!A:I,3,FALSE))</f>
        <v>МУКОВ Руслан</v>
      </c>
      <c r="D75" s="1171">
        <f>IF(S65="","",IF(S66="W",0,IF(S65=2,1,IF(S65=1,2,IF(S65=0,2)))))</f>
        <v>1</v>
      </c>
      <c r="E75" s="1172"/>
      <c r="F75" s="1173"/>
      <c r="G75" s="1171">
        <f>IF(S67="","",IF(S68="W",0,IF(S67=2,1,IF(S67=1,2,IF(S67=0,2)))))</f>
        <v>1</v>
      </c>
      <c r="H75" s="1172"/>
      <c r="I75" s="1173"/>
      <c r="J75" s="1171">
        <f>IF(S69="","",IF(S70="W",0,IF(S69=2,1,IF(S69=1,2,IF(S69=0,2)))))</f>
        <v>1</v>
      </c>
      <c r="K75" s="1172"/>
      <c r="L75" s="1173"/>
      <c r="M75" s="1171">
        <f>IF(S71="","",IF(S72="W",0,IF(S71=2,1,IF(S71=1,2,IF(S71=0,2)))))</f>
        <v>2</v>
      </c>
      <c r="N75" s="1172"/>
      <c r="O75" s="1173"/>
      <c r="P75" s="1171">
        <f>IF(S73="","",IF(S74="W",0,IF(S73=2,1,IF(S73=1,2,IF(S73=0,2)))))</f>
        <v>2</v>
      </c>
      <c r="Q75" s="1172"/>
      <c r="R75" s="1173"/>
      <c r="S75" s="1180"/>
      <c r="T75" s="1181"/>
      <c r="U75" s="1182"/>
      <c r="V75" s="1171">
        <v>2</v>
      </c>
      <c r="W75" s="1172"/>
      <c r="X75" s="1173"/>
      <c r="Y75" s="1171">
        <v>1</v>
      </c>
      <c r="Z75" s="1172"/>
      <c r="AA75" s="1173"/>
      <c r="AB75" s="1171"/>
      <c r="AC75" s="1172"/>
      <c r="AD75" s="1173"/>
      <c r="AE75" s="1184">
        <f>IF(B75="","",SUM(G75,J75,M75,P75,D75,V75,Y75,AB75,))</f>
        <v>10</v>
      </c>
      <c r="AF75" s="1185"/>
      <c r="AG75" s="1188"/>
      <c r="AH75" s="1174">
        <f>IF(B75="","",RANK(AE75,ГР4О))</f>
        <v>5</v>
      </c>
    </row>
    <row r="76" spans="1:34" ht="15" x14ac:dyDescent="0.2">
      <c r="A76" s="1164"/>
      <c r="B76" s="1166"/>
      <c r="C76" s="457" t="str">
        <f>IF(B75="","",VLOOKUP(B75,'Списки участников'!A:I,6,FALSE))</f>
        <v>Нальчик</v>
      </c>
      <c r="D76" s="464">
        <f>IF(S66="","",IF(U66="l","W",U66))</f>
        <v>0</v>
      </c>
      <c r="E76" s="459" t="str">
        <f>IF(T66="","",":")</f>
        <v>:</v>
      </c>
      <c r="F76" s="465">
        <f>IF(U66="","",IF(S66="W","L",S66))</f>
        <v>3</v>
      </c>
      <c r="G76" s="464">
        <f>IF(S68="","",IF(U68="l","W",U68))</f>
        <v>1</v>
      </c>
      <c r="H76" s="459" t="str">
        <f>IF(T68="","",":")</f>
        <v>:</v>
      </c>
      <c r="I76" s="465">
        <f>IF(U68="","",IF(S68="W","L",S68))</f>
        <v>3</v>
      </c>
      <c r="J76" s="464">
        <f>IF(S70="","",IF(U70="l","W",U70))</f>
        <v>1</v>
      </c>
      <c r="K76" s="459" t="str">
        <f>IF(T70="","",":")</f>
        <v>:</v>
      </c>
      <c r="L76" s="465">
        <f>IF(U70="","",IF(S70="W","L",S70))</f>
        <v>3</v>
      </c>
      <c r="M76" s="464">
        <f>IF(S72="","",IF(U72="l","W",U72))</f>
        <v>3</v>
      </c>
      <c r="N76" s="459" t="str">
        <f>IF(T72="","",":")</f>
        <v>:</v>
      </c>
      <c r="O76" s="465">
        <f>IF(U72="","",IF(S72="W","L",S72))</f>
        <v>2</v>
      </c>
      <c r="P76" s="464">
        <f>IF(S74="","",IF(U74="l","W",U74))</f>
        <v>3</v>
      </c>
      <c r="Q76" s="459" t="str">
        <f>IF(T74="","",":")</f>
        <v>:</v>
      </c>
      <c r="R76" s="465">
        <f>IF(U74="","",IF(S74="W","L",S74))</f>
        <v>2</v>
      </c>
      <c r="S76" s="1183"/>
      <c r="T76" s="1169"/>
      <c r="U76" s="1170"/>
      <c r="V76" s="458">
        <v>3</v>
      </c>
      <c r="W76" s="459" t="str">
        <f>IF(V75="","",":")</f>
        <v>:</v>
      </c>
      <c r="X76" s="460">
        <v>1</v>
      </c>
      <c r="Y76" s="458">
        <v>0</v>
      </c>
      <c r="Z76" s="459" t="str">
        <f>IF(Y75="","",":")</f>
        <v>:</v>
      </c>
      <c r="AA76" s="460">
        <v>3</v>
      </c>
      <c r="AB76" s="458"/>
      <c r="AC76" s="459" t="str">
        <f>IF(AB75="","",":")</f>
        <v/>
      </c>
      <c r="AD76" s="460"/>
      <c r="AE76" s="1186"/>
      <c r="AF76" s="1187"/>
      <c r="AG76" s="1189"/>
      <c r="AH76" s="1174"/>
    </row>
    <row r="77" spans="1:34" ht="15" x14ac:dyDescent="0.2">
      <c r="A77" s="1163">
        <v>7</v>
      </c>
      <c r="B77" s="1165">
        <v>45</v>
      </c>
      <c r="C77" s="456" t="str">
        <f>IF(B77="","",VLOOKUP(B77,'Списки участников'!A:I,3,FALSE))</f>
        <v>ПЛАХОТНИК Александр</v>
      </c>
      <c r="D77" s="1171">
        <f>IF(V65="","",IF(V66="W",0,IF(V65=2,1,IF(V65=1,2,IF(V65=0,2)))))</f>
        <v>1</v>
      </c>
      <c r="E77" s="1172"/>
      <c r="F77" s="1173"/>
      <c r="G77" s="1171">
        <f>IF(V67="","",IF(V68="W",0,IF(V67=2,1,IF(V67=1,2,IF(V67=0,2)))))</f>
        <v>1</v>
      </c>
      <c r="H77" s="1172"/>
      <c r="I77" s="1173"/>
      <c r="J77" s="1171">
        <f>IF(V69="","",IF(V70="W",0,IF(V69=2,1,IF(V69=1,2,IF(V69=0,2)))))</f>
        <v>1</v>
      </c>
      <c r="K77" s="1172"/>
      <c r="L77" s="1173"/>
      <c r="M77" s="1171">
        <f>IF(V71="","",IF(V72="W",0,IF(V71=2,1,IF(V71=1,2,IF(V71=0,2)))))</f>
        <v>1</v>
      </c>
      <c r="N77" s="1172"/>
      <c r="O77" s="1173"/>
      <c r="P77" s="1171">
        <f>IF(V73="","",IF(V74="W",0,IF(V73=2,1,IF(V73=1,2,IF(V73=0,2)))))</f>
        <v>1</v>
      </c>
      <c r="Q77" s="1172"/>
      <c r="R77" s="1173"/>
      <c r="S77" s="1171">
        <f>IF(V75="","",IF(V76="W",0,IF(V75=2,1,IF(V75=1,2,IF(V75=0,2)))))</f>
        <v>1</v>
      </c>
      <c r="T77" s="1172"/>
      <c r="U77" s="1173"/>
      <c r="V77" s="1191"/>
      <c r="W77" s="1167"/>
      <c r="X77" s="1168"/>
      <c r="Y77" s="1171">
        <v>1</v>
      </c>
      <c r="Z77" s="1172"/>
      <c r="AA77" s="1173"/>
      <c r="AB77" s="1171"/>
      <c r="AC77" s="1172"/>
      <c r="AD77" s="1173"/>
      <c r="AE77" s="1184">
        <f>IF(B77="","",SUM(G77,J77,M77,P77,S77,D77,Y77,AB77,))</f>
        <v>7</v>
      </c>
      <c r="AF77" s="1185"/>
      <c r="AG77" s="1188"/>
      <c r="AH77" s="1174">
        <f>IF(B77="","",RANK(AE77,ГР4О))</f>
        <v>8</v>
      </c>
    </row>
    <row r="78" spans="1:34" ht="15" x14ac:dyDescent="0.2">
      <c r="A78" s="1164"/>
      <c r="B78" s="1166"/>
      <c r="C78" s="457" t="str">
        <f>IF(B77="","",VLOOKUP(B77,'Списки участников'!A:I,6,FALSE))</f>
        <v>Москва</v>
      </c>
      <c r="D78" s="464">
        <f>IF(V66="","",IF(X66="l","W",X66))</f>
        <v>0</v>
      </c>
      <c r="E78" s="459" t="str">
        <f>IF(W66="","",":")</f>
        <v>:</v>
      </c>
      <c r="F78" s="465">
        <f>IF(X66="","",IF(V66="W","L",V66))</f>
        <v>3</v>
      </c>
      <c r="G78" s="464">
        <f>IF(V68="","",IF(X68="l","W",X68))</f>
        <v>0</v>
      </c>
      <c r="H78" s="459" t="str">
        <f>IF(W68="","",":")</f>
        <v>:</v>
      </c>
      <c r="I78" s="465">
        <f>IF(X68="","",IF(V68="W","L",V68))</f>
        <v>3</v>
      </c>
      <c r="J78" s="464">
        <f>IF(V70="","",IF(X70="l","W",X70))</f>
        <v>0</v>
      </c>
      <c r="K78" s="459" t="str">
        <f>IF(W70="","",":")</f>
        <v>:</v>
      </c>
      <c r="L78" s="465">
        <f>IF(X70="","",IF(V70="W","L",V70))</f>
        <v>3</v>
      </c>
      <c r="M78" s="464">
        <f>IF(V72="","",IF(X72="l","W",X72))</f>
        <v>0</v>
      </c>
      <c r="N78" s="459" t="str">
        <f>IF(W72="","",":")</f>
        <v>:</v>
      </c>
      <c r="O78" s="465">
        <f>IF(X72="","",IF(V72="W","L",V72))</f>
        <v>3</v>
      </c>
      <c r="P78" s="464">
        <f>IF(V74="","",IF(X74="l","W",X74))</f>
        <v>1</v>
      </c>
      <c r="Q78" s="459" t="str">
        <f>IF(W74="","",":")</f>
        <v>:</v>
      </c>
      <c r="R78" s="465">
        <f>IF(X74="","",IF(V74="W","L",V74))</f>
        <v>3</v>
      </c>
      <c r="S78" s="464">
        <f>IF(V76="","",IF(X76="l","W",X76))</f>
        <v>1</v>
      </c>
      <c r="T78" s="459" t="str">
        <f>IF(W76="","",":")</f>
        <v>:</v>
      </c>
      <c r="U78" s="465">
        <f>IF(X76="","",IF(V76="W","L",V76))</f>
        <v>3</v>
      </c>
      <c r="V78" s="1183"/>
      <c r="W78" s="1169"/>
      <c r="X78" s="1170"/>
      <c r="Y78" s="458">
        <v>0</v>
      </c>
      <c r="Z78" s="459" t="str">
        <f>IF(Y77="","",":")</f>
        <v>:</v>
      </c>
      <c r="AA78" s="460">
        <v>3</v>
      </c>
      <c r="AB78" s="458"/>
      <c r="AC78" s="459" t="str">
        <f>IF(AB77="","",":")</f>
        <v/>
      </c>
      <c r="AD78" s="460"/>
      <c r="AE78" s="1186"/>
      <c r="AF78" s="1187"/>
      <c r="AG78" s="1189"/>
      <c r="AH78" s="1174"/>
    </row>
    <row r="79" spans="1:34" ht="15" x14ac:dyDescent="0.2">
      <c r="A79" s="1163">
        <v>8</v>
      </c>
      <c r="B79" s="1165">
        <v>18</v>
      </c>
      <c r="C79" s="456" t="str">
        <f>IF(B79="","",VLOOKUP(B79,'Списки участников'!A:I,3,FALSE))</f>
        <v>КОРОЛЬ Владислав</v>
      </c>
      <c r="D79" s="1171">
        <f>IF(Y65="","",IF(Y66="W",0,IF(Y65=2,1,IF(Y65=1,2,IF(Y65=0,2)))))</f>
        <v>1</v>
      </c>
      <c r="E79" s="1172"/>
      <c r="F79" s="1173"/>
      <c r="G79" s="1171">
        <f>IF(Y67="","",IF(Y68="W",0,IF(Y67=2,1,IF(Y67=1,2,IF(Y67=0,2)))))</f>
        <v>1</v>
      </c>
      <c r="H79" s="1172"/>
      <c r="I79" s="1173"/>
      <c r="J79" s="1171">
        <f>IF(Y69="","",IF(Y70="W",0,IF(Y69=2,1,IF(Y69=1,2,IF(Y69=0,2)))))</f>
        <v>1</v>
      </c>
      <c r="K79" s="1172"/>
      <c r="L79" s="1173"/>
      <c r="M79" s="1171">
        <f>IF(Y71="","",IF(Y72="W",0,IF(Y71=2,1,IF(Y71=1,2,IF(Y71=0,2)))))</f>
        <v>2</v>
      </c>
      <c r="N79" s="1172"/>
      <c r="O79" s="1173"/>
      <c r="P79" s="1171">
        <f>IF(Y73="","",IF(Y74="W",0,IF(Y73=2,1,IF(Y73=1,2,IF(Y73=0,2)))))</f>
        <v>2</v>
      </c>
      <c r="Q79" s="1172"/>
      <c r="R79" s="1173"/>
      <c r="S79" s="1171">
        <f>IF(Y75="","",IF(Y76="W",0,IF(Y75=2,1,IF(Y75=1,2,IF(Y75=0,2)))))</f>
        <v>2</v>
      </c>
      <c r="T79" s="1172"/>
      <c r="U79" s="1173"/>
      <c r="V79" s="1171">
        <f>IF(Y77="","",IF(Y78="W",0,IF(Y77=2,1,IF(Y77=1,2,IF(Y77=0,2)))))</f>
        <v>2</v>
      </c>
      <c r="W79" s="1172"/>
      <c r="X79" s="1173"/>
      <c r="Y79" s="1180"/>
      <c r="Z79" s="1181"/>
      <c r="AA79" s="1182"/>
      <c r="AB79" s="1171"/>
      <c r="AC79" s="1172"/>
      <c r="AD79" s="1173"/>
      <c r="AE79" s="1184">
        <f>IF(B79="","",SUM(G79,J79,M79,P79,S79,V79,D79,AB79,))</f>
        <v>11</v>
      </c>
      <c r="AF79" s="1185"/>
      <c r="AG79" s="1188"/>
      <c r="AH79" s="1174">
        <f>IF(B79="","",RANK(AE79,ГР4О))</f>
        <v>4</v>
      </c>
    </row>
    <row r="80" spans="1:34" ht="15" x14ac:dyDescent="0.2">
      <c r="A80" s="1164"/>
      <c r="B80" s="1166"/>
      <c r="C80" s="457" t="str">
        <f>IF(B79="","",VLOOKUP(B79,'Списки участников'!A:I,6,FALSE))</f>
        <v>Москва</v>
      </c>
      <c r="D80" s="464">
        <f>IF(Y66="","",IF(AA66="l","W",AA66))</f>
        <v>1</v>
      </c>
      <c r="E80" s="459" t="str">
        <f>IF(Z66="","",":")</f>
        <v>:</v>
      </c>
      <c r="F80" s="465">
        <f>IF(AA66="","",IF(Y66="W","L",Y66))</f>
        <v>3</v>
      </c>
      <c r="G80" s="464">
        <f>IF(Y68="","",IF(AA68="l","W",AA68))</f>
        <v>2</v>
      </c>
      <c r="H80" s="459" t="str">
        <f>IF(Z68="","",":")</f>
        <v>:</v>
      </c>
      <c r="I80" s="465">
        <f>IF(AA68="","",IF(Y68="W","L",Y68))</f>
        <v>3</v>
      </c>
      <c r="J80" s="464">
        <f>IF(Y70="","",IF(AA70="l","W",AA70))</f>
        <v>2</v>
      </c>
      <c r="K80" s="459" t="str">
        <f>IF(Z70="","",":")</f>
        <v>:</v>
      </c>
      <c r="L80" s="465">
        <f>IF(AA70="","",IF(Y70="W","L",Y70))</f>
        <v>3</v>
      </c>
      <c r="M80" s="464">
        <f>IF(Y72="","",IF(AA72="l","W",AA72))</f>
        <v>3</v>
      </c>
      <c r="N80" s="459" t="str">
        <f>IF(Z72="","",":")</f>
        <v>:</v>
      </c>
      <c r="O80" s="465">
        <f>IF(AA72="","",IF(Y72="W","L",Y72))</f>
        <v>0</v>
      </c>
      <c r="P80" s="464">
        <f>IF(Y74="","",IF(AA74="l","W",AA74))</f>
        <v>3</v>
      </c>
      <c r="Q80" s="459" t="str">
        <f>IF(Z74="","",":")</f>
        <v>:</v>
      </c>
      <c r="R80" s="465">
        <f>IF(AA74="","",IF(Y74="W","L",Y74))</f>
        <v>1</v>
      </c>
      <c r="S80" s="464">
        <f>IF(Y76="","",IF(AA76="l","W",AA76))</f>
        <v>3</v>
      </c>
      <c r="T80" s="459" t="str">
        <f>IF(Z76="","",":")</f>
        <v>:</v>
      </c>
      <c r="U80" s="465">
        <f>IF(AA76="","",IF(Y76="W","L",Y76))</f>
        <v>0</v>
      </c>
      <c r="V80" s="464">
        <f>IF(Y78="","",IF(AA78="l","W",AA78))</f>
        <v>3</v>
      </c>
      <c r="W80" s="459" t="str">
        <f>IF(Z78="","",":")</f>
        <v>:</v>
      </c>
      <c r="X80" s="465">
        <f>IF(AA78="","",IF(Y78="W","L",Y78))</f>
        <v>0</v>
      </c>
      <c r="Y80" s="1183"/>
      <c r="Z80" s="1169"/>
      <c r="AA80" s="1170"/>
      <c r="AB80" s="458"/>
      <c r="AC80" s="459" t="str">
        <f>IF(AB79="","",":")</f>
        <v/>
      </c>
      <c r="AD80" s="460"/>
      <c r="AE80" s="1186"/>
      <c r="AF80" s="1187"/>
      <c r="AG80" s="1189"/>
      <c r="AH80" s="1174"/>
    </row>
    <row r="81" spans="1:34" ht="15" hidden="1" outlineLevel="1" x14ac:dyDescent="0.2">
      <c r="A81" s="1163">
        <v>9</v>
      </c>
      <c r="B81" s="1165">
        <f>жеребьевка!Q20</f>
        <v>0</v>
      </c>
      <c r="C81" s="456" t="e">
        <f>IF(B81="","",VLOOKUP(B81,'Списки участников'!A:I,3,FALSE))</f>
        <v>#N/A</v>
      </c>
      <c r="D81" s="1171" t="str">
        <f>IF(AB65="","",IF(AB66="W",0,IF(AB65=2,1,IF(AB65=1,2,IF(AB65=0,2)))))</f>
        <v/>
      </c>
      <c r="E81" s="1172"/>
      <c r="F81" s="1173"/>
      <c r="G81" s="1171" t="str">
        <f>IF(AB67="","",IF(AB68="W",0,IF(AB67=2,1,IF(AB67=1,2,IF(AB67=0,2)))))</f>
        <v/>
      </c>
      <c r="H81" s="1172"/>
      <c r="I81" s="1173"/>
      <c r="J81" s="1171" t="str">
        <f>IF(AB69="","",IF(AB70="W",0,IF(AB69=2,1,IF(AB69=1,2,IF(AB69=0,2)))))</f>
        <v/>
      </c>
      <c r="K81" s="1172"/>
      <c r="L81" s="1173"/>
      <c r="M81" s="1171" t="str">
        <f>IF(AB71="","",IF(AB72="W",0,IF(AB71=2,1,IF(AB71=1,2,IF(AB71=0,2)))))</f>
        <v/>
      </c>
      <c r="N81" s="1172"/>
      <c r="O81" s="1173"/>
      <c r="P81" s="1171" t="str">
        <f>IF(AB73="","",IF(AB74="W",0,IF(AB73=2,1,IF(AB73=1,2,IF(AB73=0,2)))))</f>
        <v/>
      </c>
      <c r="Q81" s="1172"/>
      <c r="R81" s="1173"/>
      <c r="S81" s="1171" t="str">
        <f>IF(AB75="","",IF(AB76="W",0,IF(AB75=2,1,IF(AB75=1,2,IF(AB75=0,2)))))</f>
        <v/>
      </c>
      <c r="T81" s="1172"/>
      <c r="U81" s="1173"/>
      <c r="V81" s="1171" t="str">
        <f>IF(AB77="","",IF(AB78="W",0,IF(AB77=2,1,IF(AB77=1,2,IF(AB77=0,2)))))</f>
        <v/>
      </c>
      <c r="W81" s="1172"/>
      <c r="X81" s="1173"/>
      <c r="Y81" s="1171" t="str">
        <f>IF(AB79="","",IF(AB80="W",0,IF(AB79=2,1,IF(AB79=1,2,IF(AB79=0,2)))))</f>
        <v/>
      </c>
      <c r="Z81" s="1172"/>
      <c r="AA81" s="1173"/>
      <c r="AB81" s="1191"/>
      <c r="AC81" s="1167"/>
      <c r="AD81" s="1168"/>
      <c r="AE81" s="1184">
        <f>IF(B81="","",SUM(G81,J81,M81,P81,S81,V81,Y81,D81,))</f>
        <v>0</v>
      </c>
      <c r="AF81" s="1185"/>
      <c r="AG81" s="1188"/>
      <c r="AH81" s="1174">
        <f>IF(B81="","",RANK(AE81,ГР4О))</f>
        <v>9</v>
      </c>
    </row>
    <row r="82" spans="1:34" ht="15" hidden="1" outlineLevel="1" x14ac:dyDescent="0.2">
      <c r="A82" s="1164"/>
      <c r="B82" s="1166"/>
      <c r="C82" s="457" t="e">
        <f>IF(B81="","",VLOOKUP(B81,'Списки участников'!A:I,6,FALSE))</f>
        <v>#N/A</v>
      </c>
      <c r="D82" s="464" t="str">
        <f>IF(AB66="","",IF(AD66="l","W",AD66))</f>
        <v/>
      </c>
      <c r="E82" s="459" t="str">
        <f>IF(AC66="","",":")</f>
        <v/>
      </c>
      <c r="F82" s="465" t="str">
        <f>IF(AD66="","",IF(AB66="W","L",AB66))</f>
        <v/>
      </c>
      <c r="G82" s="464" t="str">
        <f>IF(AB68="","",IF(AD68="l","W",AD68))</f>
        <v/>
      </c>
      <c r="H82" s="459" t="str">
        <f>IF(AC68="","",":")</f>
        <v/>
      </c>
      <c r="I82" s="465" t="str">
        <f>IF(AD68="","",IF(AB68="W","L",AB68))</f>
        <v/>
      </c>
      <c r="J82" s="464" t="str">
        <f>IF(AB70="","",IF(AD70="l","W",AD70))</f>
        <v/>
      </c>
      <c r="K82" s="459" t="str">
        <f>IF(AC70="","",":")</f>
        <v/>
      </c>
      <c r="L82" s="465" t="str">
        <f>IF(AD70="","",IF(AB70="W","L",AB70))</f>
        <v/>
      </c>
      <c r="M82" s="464" t="str">
        <f>IF(AB72="","",IF(AD72="l","W",AD72))</f>
        <v/>
      </c>
      <c r="N82" s="459" t="str">
        <f>IF(AC72="","",":")</f>
        <v/>
      </c>
      <c r="O82" s="465" t="str">
        <f>IF(AD72="","",IF(AB72="W","L",AB72))</f>
        <v/>
      </c>
      <c r="P82" s="464" t="str">
        <f>IF(AB74="","",IF(AD74="l","W",AD74))</f>
        <v/>
      </c>
      <c r="Q82" s="459" t="str">
        <f>IF(AC74="","",":")</f>
        <v/>
      </c>
      <c r="R82" s="465" t="str">
        <f>IF(AD74="","",IF(AB74="W","L",AB74))</f>
        <v/>
      </c>
      <c r="S82" s="464" t="str">
        <f>IF(AB76="","",IF(AD76="l","W",AD76))</f>
        <v/>
      </c>
      <c r="T82" s="459" t="str">
        <f>IF(AC76="","",":")</f>
        <v/>
      </c>
      <c r="U82" s="465" t="str">
        <f>IF(AD76="","",IF(AB76="W","L",AB76))</f>
        <v/>
      </c>
      <c r="V82" s="464" t="str">
        <f>IF(AB78="","",IF(AD78="l","W",AD78))</f>
        <v/>
      </c>
      <c r="W82" s="459" t="str">
        <f>IF(AC78="","",":")</f>
        <v/>
      </c>
      <c r="X82" s="465" t="str">
        <f>IF(AD78="","",IF(AB78="W","L",AB78))</f>
        <v/>
      </c>
      <c r="Y82" s="464" t="str">
        <f>IF(AB80="","",IF(AD80="l","W",AD80))</f>
        <v/>
      </c>
      <c r="Z82" s="459" t="str">
        <f>IF(AC80="","",":")</f>
        <v/>
      </c>
      <c r="AA82" s="465" t="str">
        <f>IF(AD80="","",IF(AB80="W","L",AB80))</f>
        <v/>
      </c>
      <c r="AB82" s="1183"/>
      <c r="AC82" s="1169"/>
      <c r="AD82" s="1170"/>
      <c r="AE82" s="1186"/>
      <c r="AF82" s="1187"/>
      <c r="AG82" s="1189"/>
      <c r="AH82" s="1174"/>
    </row>
    <row r="83" spans="1:34" collapsed="1" x14ac:dyDescent="0.2"/>
    <row r="84" spans="1:34" ht="15.75" x14ac:dyDescent="0.25">
      <c r="C84" s="468" t="s">
        <v>791</v>
      </c>
      <c r="D84" s="1198" t="str">
        <f>'Списки участников'!I121</f>
        <v>В.А. Коваль</v>
      </c>
      <c r="E84" s="1198"/>
      <c r="F84" s="1198"/>
      <c r="G84" s="1198"/>
      <c r="H84" s="1198"/>
      <c r="I84" s="1198"/>
      <c r="J84" s="1198"/>
      <c r="K84" s="1198"/>
      <c r="L84" s="468"/>
      <c r="M84" s="468"/>
      <c r="N84" s="468"/>
      <c r="O84" s="468"/>
      <c r="P84" s="468"/>
      <c r="Q84" s="1198" t="s">
        <v>792</v>
      </c>
      <c r="R84" s="1198"/>
      <c r="S84" s="1198"/>
      <c r="T84" s="1198"/>
      <c r="U84" s="1198"/>
      <c r="V84" s="1198"/>
      <c r="W84" s="1198"/>
      <c r="X84" s="1198"/>
      <c r="Y84" s="468"/>
      <c r="Z84" s="468"/>
      <c r="AA84" s="468"/>
      <c r="AB84" s="468"/>
      <c r="AC84" s="1198" t="str">
        <f>'Списки участников'!I122</f>
        <v>А.С. Рожкова</v>
      </c>
      <c r="AD84" s="1198"/>
      <c r="AE84" s="1198"/>
      <c r="AF84" s="1198"/>
      <c r="AG84" s="1198"/>
    </row>
  </sheetData>
  <mergeCells count="554">
    <mergeCell ref="A81:A82"/>
    <mergeCell ref="B81:B82"/>
    <mergeCell ref="D81:F81"/>
    <mergeCell ref="G81:I81"/>
    <mergeCell ref="J81:L81"/>
    <mergeCell ref="AE81:AF82"/>
    <mergeCell ref="AG81:AG82"/>
    <mergeCell ref="AH81:AH82"/>
    <mergeCell ref="D84:K84"/>
    <mergeCell ref="Q84:X84"/>
    <mergeCell ref="AC84:AG84"/>
    <mergeCell ref="M81:O81"/>
    <mergeCell ref="P81:R81"/>
    <mergeCell ref="S81:U81"/>
    <mergeCell ref="V81:X81"/>
    <mergeCell ref="Y81:AA81"/>
    <mergeCell ref="AB81:AD82"/>
    <mergeCell ref="Y77:AA77"/>
    <mergeCell ref="AB77:AD77"/>
    <mergeCell ref="AE77:AF78"/>
    <mergeCell ref="AG77:AG78"/>
    <mergeCell ref="Y79:AA80"/>
    <mergeCell ref="AB79:AD79"/>
    <mergeCell ref="AE79:AF80"/>
    <mergeCell ref="AG79:AG80"/>
    <mergeCell ref="AH79:AH80"/>
    <mergeCell ref="A79:A80"/>
    <mergeCell ref="B79:B80"/>
    <mergeCell ref="D79:F79"/>
    <mergeCell ref="G79:I79"/>
    <mergeCell ref="J79:L79"/>
    <mergeCell ref="M79:O79"/>
    <mergeCell ref="P79:R79"/>
    <mergeCell ref="S79:U79"/>
    <mergeCell ref="V79:X79"/>
    <mergeCell ref="A75:A76"/>
    <mergeCell ref="B75:B76"/>
    <mergeCell ref="D75:F75"/>
    <mergeCell ref="G75:I75"/>
    <mergeCell ref="J75:L75"/>
    <mergeCell ref="AE75:AF76"/>
    <mergeCell ref="AG75:AG76"/>
    <mergeCell ref="AH75:AH76"/>
    <mergeCell ref="A77:A78"/>
    <mergeCell ref="B77:B78"/>
    <mergeCell ref="D77:F77"/>
    <mergeCell ref="G77:I77"/>
    <mergeCell ref="J77:L77"/>
    <mergeCell ref="M77:O77"/>
    <mergeCell ref="P77:R77"/>
    <mergeCell ref="M75:O75"/>
    <mergeCell ref="P75:R75"/>
    <mergeCell ref="S75:U76"/>
    <mergeCell ref="V75:X75"/>
    <mergeCell ref="Y75:AA75"/>
    <mergeCell ref="AB75:AD75"/>
    <mergeCell ref="AH77:AH78"/>
    <mergeCell ref="S77:U77"/>
    <mergeCell ref="V77:X78"/>
    <mergeCell ref="AH71:AH72"/>
    <mergeCell ref="A73:A74"/>
    <mergeCell ref="B73:B74"/>
    <mergeCell ref="D73:F73"/>
    <mergeCell ref="G73:I73"/>
    <mergeCell ref="J73:L73"/>
    <mergeCell ref="M73:O73"/>
    <mergeCell ref="P73:R74"/>
    <mergeCell ref="S73:U73"/>
    <mergeCell ref="V73:X73"/>
    <mergeCell ref="S71:U71"/>
    <mergeCell ref="V71:X71"/>
    <mergeCell ref="Y71:AA71"/>
    <mergeCell ref="AB71:AD71"/>
    <mergeCell ref="AE71:AF72"/>
    <mergeCell ref="AG71:AG72"/>
    <mergeCell ref="Y73:AA73"/>
    <mergeCell ref="AB73:AD73"/>
    <mergeCell ref="AE73:AF74"/>
    <mergeCell ref="AG73:AG74"/>
    <mergeCell ref="AH73:AH74"/>
    <mergeCell ref="A71:A72"/>
    <mergeCell ref="B71:B72"/>
    <mergeCell ref="D71:F71"/>
    <mergeCell ref="G71:I71"/>
    <mergeCell ref="J71:L71"/>
    <mergeCell ref="M71:O72"/>
    <mergeCell ref="P71:R71"/>
    <mergeCell ref="M69:O69"/>
    <mergeCell ref="P69:R69"/>
    <mergeCell ref="AB67:AD67"/>
    <mergeCell ref="AE67:AF68"/>
    <mergeCell ref="AG67:AG68"/>
    <mergeCell ref="AH67:AH68"/>
    <mergeCell ref="A69:A70"/>
    <mergeCell ref="B69:B70"/>
    <mergeCell ref="D69:F69"/>
    <mergeCell ref="G69:I69"/>
    <mergeCell ref="J69:L70"/>
    <mergeCell ref="AE69:AF70"/>
    <mergeCell ref="AG69:AG70"/>
    <mergeCell ref="AH69:AH70"/>
    <mergeCell ref="S69:U69"/>
    <mergeCell ref="V69:X69"/>
    <mergeCell ref="Y69:AA69"/>
    <mergeCell ref="AB69:AD69"/>
    <mergeCell ref="A65:A66"/>
    <mergeCell ref="B65:B66"/>
    <mergeCell ref="D65:F66"/>
    <mergeCell ref="G65:I65"/>
    <mergeCell ref="J65:L65"/>
    <mergeCell ref="M65:O65"/>
    <mergeCell ref="P65:R65"/>
    <mergeCell ref="AH65:AH66"/>
    <mergeCell ref="A67:A68"/>
    <mergeCell ref="B67:B68"/>
    <mergeCell ref="D67:F67"/>
    <mergeCell ref="G67:I68"/>
    <mergeCell ref="J67:L67"/>
    <mergeCell ref="M67:O67"/>
    <mergeCell ref="P67:R67"/>
    <mergeCell ref="S67:U67"/>
    <mergeCell ref="V67:X67"/>
    <mergeCell ref="S65:U65"/>
    <mergeCell ref="V65:X65"/>
    <mergeCell ref="Y65:AA65"/>
    <mergeCell ref="AB65:AD65"/>
    <mergeCell ref="AE65:AF66"/>
    <mergeCell ref="AG65:AG66"/>
    <mergeCell ref="Y67:AA67"/>
    <mergeCell ref="AG61:AG62"/>
    <mergeCell ref="AH61:AH62"/>
    <mergeCell ref="G63:AA63"/>
    <mergeCell ref="D64:F64"/>
    <mergeCell ref="G64:I64"/>
    <mergeCell ref="J64:L64"/>
    <mergeCell ref="M64:O64"/>
    <mergeCell ref="P64:R64"/>
    <mergeCell ref="S64:U64"/>
    <mergeCell ref="V64:X64"/>
    <mergeCell ref="P61:R61"/>
    <mergeCell ref="S61:U61"/>
    <mergeCell ref="V61:X61"/>
    <mergeCell ref="Y61:AA61"/>
    <mergeCell ref="AB61:AD62"/>
    <mergeCell ref="AE61:AF62"/>
    <mergeCell ref="Y64:AA64"/>
    <mergeCell ref="AB64:AD64"/>
    <mergeCell ref="AE64:AF64"/>
    <mergeCell ref="A61:A62"/>
    <mergeCell ref="B61:B62"/>
    <mergeCell ref="D61:F61"/>
    <mergeCell ref="G61:I61"/>
    <mergeCell ref="J61:L61"/>
    <mergeCell ref="M61:O61"/>
    <mergeCell ref="V59:X59"/>
    <mergeCell ref="Y59:AA60"/>
    <mergeCell ref="AB59:AD59"/>
    <mergeCell ref="AE59:AF60"/>
    <mergeCell ref="AG59:AG60"/>
    <mergeCell ref="AH59:AH60"/>
    <mergeCell ref="AG57:AG58"/>
    <mergeCell ref="AH57:AH58"/>
    <mergeCell ref="A59:A60"/>
    <mergeCell ref="B59:B60"/>
    <mergeCell ref="D59:F59"/>
    <mergeCell ref="G59:I59"/>
    <mergeCell ref="J59:L59"/>
    <mergeCell ref="M59:O59"/>
    <mergeCell ref="P59:R59"/>
    <mergeCell ref="S59:U59"/>
    <mergeCell ref="P57:R57"/>
    <mergeCell ref="S57:U57"/>
    <mergeCell ref="V57:X58"/>
    <mergeCell ref="Y57:AA57"/>
    <mergeCell ref="AB57:AD57"/>
    <mergeCell ref="AE57:AF58"/>
    <mergeCell ref="A57:A58"/>
    <mergeCell ref="B57:B58"/>
    <mergeCell ref="D57:F57"/>
    <mergeCell ref="G57:I57"/>
    <mergeCell ref="J57:L57"/>
    <mergeCell ref="M57:O57"/>
    <mergeCell ref="V55:X55"/>
    <mergeCell ref="Y55:AA55"/>
    <mergeCell ref="AB55:AD55"/>
    <mergeCell ref="AE55:AF56"/>
    <mergeCell ref="AG55:AG56"/>
    <mergeCell ref="AH55:AH56"/>
    <mergeCell ref="AG53:AG54"/>
    <mergeCell ref="AH53:AH54"/>
    <mergeCell ref="V53:X53"/>
    <mergeCell ref="Y53:AA53"/>
    <mergeCell ref="AB53:AD53"/>
    <mergeCell ref="AE53:AF54"/>
    <mergeCell ref="A55:A56"/>
    <mergeCell ref="B55:B56"/>
    <mergeCell ref="D55:F55"/>
    <mergeCell ref="G55:I55"/>
    <mergeCell ref="J55:L55"/>
    <mergeCell ref="M55:O55"/>
    <mergeCell ref="P55:R55"/>
    <mergeCell ref="S55:U56"/>
    <mergeCell ref="P53:R54"/>
    <mergeCell ref="S53:U53"/>
    <mergeCell ref="A53:A54"/>
    <mergeCell ref="B53:B54"/>
    <mergeCell ref="D53:F53"/>
    <mergeCell ref="G53:I53"/>
    <mergeCell ref="J53:L53"/>
    <mergeCell ref="M53:O53"/>
    <mergeCell ref="V51:X51"/>
    <mergeCell ref="Y51:AA51"/>
    <mergeCell ref="AB51:AD51"/>
    <mergeCell ref="AE51:AF52"/>
    <mergeCell ref="AG51:AG52"/>
    <mergeCell ref="AH51:AH52"/>
    <mergeCell ref="AG49:AG50"/>
    <mergeCell ref="AH49:AH50"/>
    <mergeCell ref="A51:A52"/>
    <mergeCell ref="B51:B52"/>
    <mergeCell ref="D51:F51"/>
    <mergeCell ref="G51:I51"/>
    <mergeCell ref="J51:L51"/>
    <mergeCell ref="M51:O52"/>
    <mergeCell ref="P51:R51"/>
    <mergeCell ref="S51:U51"/>
    <mergeCell ref="P49:R49"/>
    <mergeCell ref="S49:U49"/>
    <mergeCell ref="V49:X49"/>
    <mergeCell ref="Y49:AA49"/>
    <mergeCell ref="AB49:AD49"/>
    <mergeCell ref="AE49:AF50"/>
    <mergeCell ref="A49:A50"/>
    <mergeCell ref="B49:B50"/>
    <mergeCell ref="D49:F49"/>
    <mergeCell ref="G49:I49"/>
    <mergeCell ref="J49:L50"/>
    <mergeCell ref="M49:O49"/>
    <mergeCell ref="V47:X47"/>
    <mergeCell ref="Y47:AA47"/>
    <mergeCell ref="AB47:AD47"/>
    <mergeCell ref="AE47:AF48"/>
    <mergeCell ref="AG47:AG48"/>
    <mergeCell ref="AH47:AH48"/>
    <mergeCell ref="AG45:AG46"/>
    <mergeCell ref="AH45:AH46"/>
    <mergeCell ref="A47:A48"/>
    <mergeCell ref="B47:B48"/>
    <mergeCell ref="D47:F47"/>
    <mergeCell ref="G47:I48"/>
    <mergeCell ref="J47:L47"/>
    <mergeCell ref="M47:O47"/>
    <mergeCell ref="P47:R47"/>
    <mergeCell ref="S47:U47"/>
    <mergeCell ref="P45:R45"/>
    <mergeCell ref="S45:U45"/>
    <mergeCell ref="V45:X45"/>
    <mergeCell ref="Y45:AA45"/>
    <mergeCell ref="AB45:AD45"/>
    <mergeCell ref="AE45:AF46"/>
    <mergeCell ref="A45:A46"/>
    <mergeCell ref="B45:B46"/>
    <mergeCell ref="D45:F46"/>
    <mergeCell ref="G45:I45"/>
    <mergeCell ref="J45:L45"/>
    <mergeCell ref="M45:O45"/>
    <mergeCell ref="D44:F44"/>
    <mergeCell ref="G44:I44"/>
    <mergeCell ref="J44:L44"/>
    <mergeCell ref="M44:O44"/>
    <mergeCell ref="A41:A42"/>
    <mergeCell ref="B41:B42"/>
    <mergeCell ref="D41:F41"/>
    <mergeCell ref="G41:I41"/>
    <mergeCell ref="J41:L41"/>
    <mergeCell ref="AE41:AF42"/>
    <mergeCell ref="V44:X44"/>
    <mergeCell ref="Y44:AA44"/>
    <mergeCell ref="AB44:AD44"/>
    <mergeCell ref="AE44:AF44"/>
    <mergeCell ref="P44:R44"/>
    <mergeCell ref="S44:U44"/>
    <mergeCell ref="AG41:AG42"/>
    <mergeCell ref="AH41:AH42"/>
    <mergeCell ref="G43:AA43"/>
    <mergeCell ref="V41:X41"/>
    <mergeCell ref="Y41:AA41"/>
    <mergeCell ref="AB41:AD42"/>
    <mergeCell ref="M41:O41"/>
    <mergeCell ref="P41:R41"/>
    <mergeCell ref="S41:U41"/>
    <mergeCell ref="Y37:AA37"/>
    <mergeCell ref="AB37:AD37"/>
    <mergeCell ref="AE37:AF38"/>
    <mergeCell ref="AG37:AG38"/>
    <mergeCell ref="Y39:AA40"/>
    <mergeCell ref="AB39:AD39"/>
    <mergeCell ref="AE39:AF40"/>
    <mergeCell ref="AG39:AG40"/>
    <mergeCell ref="AH39:AH40"/>
    <mergeCell ref="A39:A40"/>
    <mergeCell ref="B39:B40"/>
    <mergeCell ref="D39:F39"/>
    <mergeCell ref="G39:I39"/>
    <mergeCell ref="J39:L39"/>
    <mergeCell ref="M39:O39"/>
    <mergeCell ref="P39:R39"/>
    <mergeCell ref="S39:U39"/>
    <mergeCell ref="V39:X39"/>
    <mergeCell ref="A35:A36"/>
    <mergeCell ref="B35:B36"/>
    <mergeCell ref="D35:F35"/>
    <mergeCell ref="G35:I35"/>
    <mergeCell ref="J35:L35"/>
    <mergeCell ref="AE35:AF36"/>
    <mergeCell ref="AG35:AG36"/>
    <mergeCell ref="AH35:AH36"/>
    <mergeCell ref="A37:A38"/>
    <mergeCell ref="B37:B38"/>
    <mergeCell ref="D37:F37"/>
    <mergeCell ref="G37:I37"/>
    <mergeCell ref="J37:L37"/>
    <mergeCell ref="M37:O37"/>
    <mergeCell ref="P37:R37"/>
    <mergeCell ref="M35:O35"/>
    <mergeCell ref="P35:R35"/>
    <mergeCell ref="S35:U36"/>
    <mergeCell ref="V35:X35"/>
    <mergeCell ref="Y35:AA35"/>
    <mergeCell ref="AB35:AD35"/>
    <mergeCell ref="AH37:AH38"/>
    <mergeCell ref="S37:U37"/>
    <mergeCell ref="V37:X38"/>
    <mergeCell ref="AH31:AH32"/>
    <mergeCell ref="A33:A34"/>
    <mergeCell ref="B33:B34"/>
    <mergeCell ref="D33:F33"/>
    <mergeCell ref="G33:I33"/>
    <mergeCell ref="J33:L33"/>
    <mergeCell ref="M33:O33"/>
    <mergeCell ref="P33:R34"/>
    <mergeCell ref="S33:U33"/>
    <mergeCell ref="V33:X33"/>
    <mergeCell ref="S31:U31"/>
    <mergeCell ref="V31:X31"/>
    <mergeCell ref="Y31:AA31"/>
    <mergeCell ref="AB31:AD31"/>
    <mergeCell ref="AE31:AF32"/>
    <mergeCell ref="AG31:AG32"/>
    <mergeCell ref="Y33:AA33"/>
    <mergeCell ref="AB33:AD33"/>
    <mergeCell ref="AE33:AF34"/>
    <mergeCell ref="AG33:AG34"/>
    <mergeCell ref="AH33:AH34"/>
    <mergeCell ref="A31:A32"/>
    <mergeCell ref="B31:B32"/>
    <mergeCell ref="D31:F31"/>
    <mergeCell ref="G31:I31"/>
    <mergeCell ref="J31:L31"/>
    <mergeCell ref="M31:O32"/>
    <mergeCell ref="P31:R31"/>
    <mergeCell ref="M29:O29"/>
    <mergeCell ref="P29:R29"/>
    <mergeCell ref="AB27:AD27"/>
    <mergeCell ref="AE27:AF28"/>
    <mergeCell ref="AG27:AG28"/>
    <mergeCell ref="AH27:AH28"/>
    <mergeCell ref="A29:A30"/>
    <mergeCell ref="B29:B30"/>
    <mergeCell ref="D29:F29"/>
    <mergeCell ref="G29:I29"/>
    <mergeCell ref="J29:L30"/>
    <mergeCell ref="AE29:AF30"/>
    <mergeCell ref="AG29:AG30"/>
    <mergeCell ref="AH29:AH30"/>
    <mergeCell ref="S29:U29"/>
    <mergeCell ref="V29:X29"/>
    <mergeCell ref="Y29:AA29"/>
    <mergeCell ref="AB29:AD29"/>
    <mergeCell ref="A25:A26"/>
    <mergeCell ref="B25:B26"/>
    <mergeCell ref="D25:F26"/>
    <mergeCell ref="G25:I25"/>
    <mergeCell ref="J25:L25"/>
    <mergeCell ref="M25:O25"/>
    <mergeCell ref="P25:R25"/>
    <mergeCell ref="AH25:AH26"/>
    <mergeCell ref="A27:A28"/>
    <mergeCell ref="B27:B28"/>
    <mergeCell ref="D27:F27"/>
    <mergeCell ref="G27:I28"/>
    <mergeCell ref="J27:L27"/>
    <mergeCell ref="M27:O27"/>
    <mergeCell ref="P27:R27"/>
    <mergeCell ref="S27:U27"/>
    <mergeCell ref="V27:X27"/>
    <mergeCell ref="S25:U25"/>
    <mergeCell ref="V25:X25"/>
    <mergeCell ref="Y25:AA25"/>
    <mergeCell ref="AB25:AD25"/>
    <mergeCell ref="AE25:AF26"/>
    <mergeCell ref="AG25:AG26"/>
    <mergeCell ref="Y27:AA27"/>
    <mergeCell ref="AG21:AG22"/>
    <mergeCell ref="AH21:AH22"/>
    <mergeCell ref="G23:AA23"/>
    <mergeCell ref="D24:F24"/>
    <mergeCell ref="G24:I24"/>
    <mergeCell ref="J24:L24"/>
    <mergeCell ref="M24:O24"/>
    <mergeCell ref="P24:R24"/>
    <mergeCell ref="S24:U24"/>
    <mergeCell ref="V24:X24"/>
    <mergeCell ref="P21:R21"/>
    <mergeCell ref="S21:U21"/>
    <mergeCell ref="V21:X21"/>
    <mergeCell ref="Y21:AA21"/>
    <mergeCell ref="AB21:AD22"/>
    <mergeCell ref="AE21:AF22"/>
    <mergeCell ref="Y24:AA24"/>
    <mergeCell ref="AB24:AD24"/>
    <mergeCell ref="AE24:AF24"/>
    <mergeCell ref="A21:A22"/>
    <mergeCell ref="B21:B22"/>
    <mergeCell ref="D21:F21"/>
    <mergeCell ref="G21:I21"/>
    <mergeCell ref="J21:L21"/>
    <mergeCell ref="M21:O21"/>
    <mergeCell ref="V19:X19"/>
    <mergeCell ref="Y19:AA20"/>
    <mergeCell ref="AB19:AD19"/>
    <mergeCell ref="AE19:AF20"/>
    <mergeCell ref="AG19:AG20"/>
    <mergeCell ref="AH19:AH20"/>
    <mergeCell ref="AG17:AG18"/>
    <mergeCell ref="AH17:AH18"/>
    <mergeCell ref="A19:A20"/>
    <mergeCell ref="B19:B20"/>
    <mergeCell ref="D19:F19"/>
    <mergeCell ref="G19:I19"/>
    <mergeCell ref="J19:L19"/>
    <mergeCell ref="M19:O19"/>
    <mergeCell ref="P19:R19"/>
    <mergeCell ref="S19:U19"/>
    <mergeCell ref="P17:R17"/>
    <mergeCell ref="S17:U17"/>
    <mergeCell ref="V17:X18"/>
    <mergeCell ref="Y17:AA17"/>
    <mergeCell ref="AB17:AD17"/>
    <mergeCell ref="AE17:AF18"/>
    <mergeCell ref="A17:A18"/>
    <mergeCell ref="B17:B18"/>
    <mergeCell ref="D17:F17"/>
    <mergeCell ref="G17:I17"/>
    <mergeCell ref="J17:L17"/>
    <mergeCell ref="M17:O17"/>
    <mergeCell ref="V15:X15"/>
    <mergeCell ref="Y15:AA15"/>
    <mergeCell ref="AB15:AD15"/>
    <mergeCell ref="AE15:AF16"/>
    <mergeCell ref="AG15:AG16"/>
    <mergeCell ref="AH15:AH16"/>
    <mergeCell ref="AG13:AG14"/>
    <mergeCell ref="AH13:AH14"/>
    <mergeCell ref="V13:X13"/>
    <mergeCell ref="Y13:AA13"/>
    <mergeCell ref="AB13:AD13"/>
    <mergeCell ref="AE13:AF14"/>
    <mergeCell ref="A15:A16"/>
    <mergeCell ref="B15:B16"/>
    <mergeCell ref="D15:F15"/>
    <mergeCell ref="G15:I15"/>
    <mergeCell ref="J15:L15"/>
    <mergeCell ref="M15:O15"/>
    <mergeCell ref="P15:R15"/>
    <mergeCell ref="S15:U16"/>
    <mergeCell ref="P13:R14"/>
    <mergeCell ref="S13:U13"/>
    <mergeCell ref="A13:A14"/>
    <mergeCell ref="B13:B14"/>
    <mergeCell ref="D13:F13"/>
    <mergeCell ref="G13:I13"/>
    <mergeCell ref="J13:L13"/>
    <mergeCell ref="M13:O13"/>
    <mergeCell ref="V11:X11"/>
    <mergeCell ref="Y11:AA11"/>
    <mergeCell ref="AB11:AD11"/>
    <mergeCell ref="AE11:AF12"/>
    <mergeCell ref="AG11:AG12"/>
    <mergeCell ref="AH11:AH12"/>
    <mergeCell ref="AG9:AG10"/>
    <mergeCell ref="AH9:AH10"/>
    <mergeCell ref="A11:A12"/>
    <mergeCell ref="B11:B12"/>
    <mergeCell ref="D11:F11"/>
    <mergeCell ref="G11:I11"/>
    <mergeCell ref="J11:L11"/>
    <mergeCell ref="M11:O12"/>
    <mergeCell ref="P11:R11"/>
    <mergeCell ref="S11:U11"/>
    <mergeCell ref="P9:R9"/>
    <mergeCell ref="S9:U9"/>
    <mergeCell ref="V9:X9"/>
    <mergeCell ref="Y9:AA9"/>
    <mergeCell ref="AB9:AD9"/>
    <mergeCell ref="AE9:AF10"/>
    <mergeCell ref="A9:A10"/>
    <mergeCell ref="B9:B10"/>
    <mergeCell ref="D9:F9"/>
    <mergeCell ref="G9:I9"/>
    <mergeCell ref="J9:L10"/>
    <mergeCell ref="M9:O9"/>
    <mergeCell ref="V7:X7"/>
    <mergeCell ref="Y7:AA7"/>
    <mergeCell ref="AB7:AD7"/>
    <mergeCell ref="AE7:AF8"/>
    <mergeCell ref="AG7:AG8"/>
    <mergeCell ref="A5:A6"/>
    <mergeCell ref="B5:B6"/>
    <mergeCell ref="D5:F6"/>
    <mergeCell ref="G5:I5"/>
    <mergeCell ref="J5:L5"/>
    <mergeCell ref="M5:O5"/>
    <mergeCell ref="AH7:AH8"/>
    <mergeCell ref="AG5:AG6"/>
    <mergeCell ref="AH5:AH6"/>
    <mergeCell ref="A7:A8"/>
    <mergeCell ref="B7:B8"/>
    <mergeCell ref="D7:F7"/>
    <mergeCell ref="G7:I8"/>
    <mergeCell ref="J7:L7"/>
    <mergeCell ref="M7:O7"/>
    <mergeCell ref="P7:R7"/>
    <mergeCell ref="S7:U7"/>
    <mergeCell ref="P5:R5"/>
    <mergeCell ref="S5:U5"/>
    <mergeCell ref="V5:X5"/>
    <mergeCell ref="Y5:AA5"/>
    <mergeCell ref="AB5:AD5"/>
    <mergeCell ref="AE5:AF6"/>
    <mergeCell ref="C1:AG1"/>
    <mergeCell ref="D2:AA2"/>
    <mergeCell ref="AB2:AG2"/>
    <mergeCell ref="G3:AA3"/>
    <mergeCell ref="D4:F4"/>
    <mergeCell ref="G4:I4"/>
    <mergeCell ref="J4:L4"/>
    <mergeCell ref="M4:O4"/>
    <mergeCell ref="P4:R4"/>
    <mergeCell ref="S4:U4"/>
    <mergeCell ref="V4:X4"/>
    <mergeCell ref="Y4:AA4"/>
    <mergeCell ref="AB4:AD4"/>
    <mergeCell ref="AE4:AF4"/>
  </mergeCells>
  <pageMargins left="0.7" right="0.7" top="0.75" bottom="0.75" header="0.3" footer="0.3"/>
  <pageSetup paperSize="9" scale="6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0070C0"/>
  </sheetPr>
  <dimension ref="A1:BC38"/>
  <sheetViews>
    <sheetView view="pageBreakPreview" zoomScale="90" zoomScaleNormal="80" zoomScaleSheetLayoutView="90" workbookViewId="0">
      <selection activeCell="AZ5" sqref="AZ5:BA36"/>
    </sheetView>
  </sheetViews>
  <sheetFormatPr defaultColWidth="9.33203125" defaultRowHeight="15" outlineLevelCol="1" x14ac:dyDescent="0.25"/>
  <cols>
    <col min="1" max="1" width="4.83203125" style="135" customWidth="1"/>
    <col min="2" max="2" width="4.83203125" style="135" hidden="1" customWidth="1" outlineLevel="1"/>
    <col min="3" max="3" width="29.6640625" style="135" customWidth="1" collapsed="1"/>
    <col min="4" max="51" width="2.6640625" style="135" customWidth="1"/>
    <col min="52" max="52" width="5.33203125" style="135" customWidth="1"/>
    <col min="53" max="53" width="4.6640625" style="135" customWidth="1"/>
    <col min="54" max="54" width="9.1640625" style="135" customWidth="1"/>
    <col min="55" max="55" width="8.33203125" style="135" customWidth="1"/>
    <col min="56" max="56" width="8.1640625" style="135" customWidth="1"/>
    <col min="57" max="16384" width="9.33203125" style="135"/>
  </cols>
  <sheetData>
    <row r="1" spans="1:55" ht="18.75" x14ac:dyDescent="0.25">
      <c r="A1" s="1211" t="str">
        <f>'Списки участников'!A1</f>
        <v>IV Мемориал Заслуженного тренера России В.А.Воробьева</v>
      </c>
      <c r="B1" s="1244"/>
      <c r="C1" s="1244"/>
      <c r="D1" s="1244"/>
      <c r="E1" s="1244"/>
      <c r="F1" s="1244"/>
      <c r="G1" s="1244"/>
      <c r="H1" s="1244"/>
      <c r="I1" s="1244"/>
      <c r="J1" s="1244"/>
      <c r="K1" s="1244"/>
      <c r="L1" s="1244"/>
      <c r="M1" s="1244"/>
      <c r="N1" s="1244"/>
      <c r="O1" s="1244"/>
      <c r="P1" s="1244"/>
      <c r="Q1" s="1244"/>
      <c r="R1" s="1244"/>
      <c r="S1" s="1244"/>
      <c r="T1" s="1244"/>
      <c r="U1" s="1244"/>
      <c r="V1" s="1244"/>
      <c r="W1" s="1244"/>
      <c r="X1" s="1244"/>
      <c r="Y1" s="1244"/>
      <c r="Z1" s="1244"/>
      <c r="AA1" s="1244"/>
      <c r="AB1" s="1244"/>
      <c r="AC1" s="1244"/>
      <c r="AD1" s="1244"/>
      <c r="AE1" s="1244"/>
      <c r="AF1" s="1244"/>
      <c r="AG1" s="1244"/>
      <c r="AH1" s="1244"/>
      <c r="AI1" s="1244"/>
      <c r="AJ1" s="1244"/>
      <c r="AK1" s="1244"/>
      <c r="AL1" s="1244"/>
      <c r="AM1" s="1244"/>
      <c r="AN1" s="1244"/>
      <c r="AO1" s="1244"/>
      <c r="AP1" s="1244"/>
      <c r="AQ1" s="1244"/>
      <c r="AR1" s="1244"/>
      <c r="AS1" s="1244"/>
      <c r="AT1" s="1244"/>
      <c r="AU1" s="1244"/>
      <c r="AV1" s="1244"/>
      <c r="AW1" s="1244"/>
      <c r="AX1" s="1244"/>
      <c r="AY1" s="1244"/>
      <c r="AZ1" s="1244"/>
      <c r="BA1" s="1244"/>
    </row>
    <row r="2" spans="1:55" ht="18.75" x14ac:dyDescent="0.25">
      <c r="C2" s="1206" t="str">
        <f>'Списки участников'!C3</f>
        <v>26-29 мая 2016 г.</v>
      </c>
      <c r="D2" s="1206"/>
      <c r="E2" s="1206"/>
      <c r="F2" s="1206"/>
      <c r="G2" s="193"/>
      <c r="H2" s="193"/>
      <c r="I2" s="1211" t="str">
        <f>'Списки участников'!A2</f>
        <v>среди юношей и девушек 2002 г.р. и моложе</v>
      </c>
      <c r="J2" s="1212"/>
      <c r="K2" s="1212"/>
      <c r="L2" s="1212"/>
      <c r="M2" s="1212"/>
      <c r="N2" s="1212"/>
      <c r="O2" s="1212"/>
      <c r="P2" s="1212"/>
      <c r="Q2" s="1212"/>
      <c r="R2" s="1212"/>
      <c r="S2" s="1212"/>
      <c r="T2" s="1212"/>
      <c r="U2" s="1212"/>
      <c r="V2" s="1212"/>
      <c r="W2" s="1212"/>
      <c r="X2" s="1212"/>
      <c r="Y2" s="1212"/>
      <c r="Z2" s="1212"/>
      <c r="AA2" s="1212"/>
      <c r="AB2" s="1212"/>
      <c r="AC2" s="1212"/>
      <c r="AD2" s="1212"/>
      <c r="AE2" s="1212"/>
      <c r="AF2" s="1212"/>
      <c r="AG2" s="1212"/>
      <c r="AH2" s="1212"/>
      <c r="AI2" s="193"/>
      <c r="AJ2" s="193"/>
      <c r="AK2" s="1207" t="str">
        <f>'Списки участников'!I3</f>
        <v>г. Москва</v>
      </c>
      <c r="AL2" s="1207"/>
      <c r="AM2" s="1207"/>
      <c r="AN2" s="1207"/>
      <c r="AO2" s="1207"/>
      <c r="AP2" s="1207"/>
      <c r="AQ2" s="1207"/>
      <c r="AR2" s="1207"/>
      <c r="AS2" s="1207"/>
      <c r="AT2" s="1207"/>
      <c r="AU2" s="1207"/>
      <c r="AV2" s="1207"/>
      <c r="AW2" s="1207"/>
      <c r="AX2" s="1207"/>
      <c r="AY2" s="1207"/>
      <c r="AZ2" s="1207"/>
      <c r="BA2" s="1207"/>
      <c r="BB2" s="1207"/>
    </row>
    <row r="3" spans="1:55" ht="18.75" x14ac:dyDescent="0.3">
      <c r="C3" s="706" t="s">
        <v>1136</v>
      </c>
      <c r="D3" s="1204" t="str">
        <f>'Списки участников'!D6</f>
        <v>ЮНОШИ</v>
      </c>
      <c r="E3" s="1205"/>
      <c r="F3" s="1205"/>
      <c r="G3" s="1205"/>
      <c r="H3" s="1205"/>
      <c r="I3" s="1205"/>
      <c r="J3" s="1205"/>
      <c r="K3" s="1205"/>
      <c r="L3" s="1205"/>
      <c r="M3" s="1205"/>
      <c r="N3" s="1205"/>
      <c r="O3" s="1205"/>
    </row>
    <row r="4" spans="1:55" x14ac:dyDescent="0.25">
      <c r="A4" s="136" t="s">
        <v>3</v>
      </c>
      <c r="B4" s="137"/>
      <c r="C4" s="138" t="s">
        <v>788</v>
      </c>
      <c r="D4" s="1208">
        <v>1</v>
      </c>
      <c r="E4" s="1209"/>
      <c r="F4" s="1210"/>
      <c r="G4" s="1208">
        <v>2</v>
      </c>
      <c r="H4" s="1209"/>
      <c r="I4" s="1210"/>
      <c r="J4" s="1208">
        <v>3</v>
      </c>
      <c r="K4" s="1209"/>
      <c r="L4" s="1210"/>
      <c r="M4" s="1208">
        <v>4</v>
      </c>
      <c r="N4" s="1209"/>
      <c r="O4" s="1210"/>
      <c r="P4" s="1208">
        <v>5</v>
      </c>
      <c r="Q4" s="1209"/>
      <c r="R4" s="1210"/>
      <c r="S4" s="1208">
        <v>6</v>
      </c>
      <c r="T4" s="1209"/>
      <c r="U4" s="1210"/>
      <c r="V4" s="1208">
        <v>7</v>
      </c>
      <c r="W4" s="1209"/>
      <c r="X4" s="1210"/>
      <c r="Y4" s="1208">
        <v>8</v>
      </c>
      <c r="Z4" s="1209"/>
      <c r="AA4" s="1210"/>
      <c r="AB4" s="1208">
        <v>9</v>
      </c>
      <c r="AC4" s="1209"/>
      <c r="AD4" s="1210"/>
      <c r="AE4" s="1208">
        <v>10</v>
      </c>
      <c r="AF4" s="1209"/>
      <c r="AG4" s="1210"/>
      <c r="AH4" s="1208">
        <v>11</v>
      </c>
      <c r="AI4" s="1209"/>
      <c r="AJ4" s="1210"/>
      <c r="AK4" s="1208">
        <v>12</v>
      </c>
      <c r="AL4" s="1209"/>
      <c r="AM4" s="1210"/>
      <c r="AN4" s="1208">
        <v>13</v>
      </c>
      <c r="AO4" s="1209"/>
      <c r="AP4" s="1210"/>
      <c r="AQ4" s="1208">
        <v>14</v>
      </c>
      <c r="AR4" s="1209"/>
      <c r="AS4" s="1210"/>
      <c r="AT4" s="1208">
        <v>15</v>
      </c>
      <c r="AU4" s="1209"/>
      <c r="AV4" s="1210"/>
      <c r="AW4" s="1208">
        <v>16</v>
      </c>
      <c r="AX4" s="1209"/>
      <c r="AY4" s="1210"/>
      <c r="AZ4" s="1208" t="s">
        <v>789</v>
      </c>
      <c r="BA4" s="1210"/>
      <c r="BB4" s="194" t="s">
        <v>790</v>
      </c>
      <c r="BC4" s="139" t="s">
        <v>100</v>
      </c>
    </row>
    <row r="5" spans="1:55" ht="15.75" customHeight="1" x14ac:dyDescent="0.25">
      <c r="A5" s="1163">
        <v>1</v>
      </c>
      <c r="B5" s="1213"/>
      <c r="C5" s="140" t="str">
        <f>IF(B5="","",VLOOKUP(B5,'Списки участников'!A:I,3,FALSE))</f>
        <v/>
      </c>
      <c r="D5" s="1215"/>
      <c r="E5" s="1215"/>
      <c r="F5" s="1216"/>
      <c r="G5" s="1219"/>
      <c r="H5" s="1220"/>
      <c r="I5" s="1221"/>
      <c r="J5" s="1219"/>
      <c r="K5" s="1220"/>
      <c r="L5" s="1221"/>
      <c r="M5" s="1219"/>
      <c r="N5" s="1220"/>
      <c r="O5" s="1221"/>
      <c r="P5" s="1219"/>
      <c r="Q5" s="1220"/>
      <c r="R5" s="1221"/>
      <c r="S5" s="1219"/>
      <c r="T5" s="1220"/>
      <c r="U5" s="1221"/>
      <c r="V5" s="1219"/>
      <c r="W5" s="1220"/>
      <c r="X5" s="1221"/>
      <c r="Y5" s="1219"/>
      <c r="Z5" s="1220"/>
      <c r="AA5" s="1221"/>
      <c r="AB5" s="1219"/>
      <c r="AC5" s="1220"/>
      <c r="AD5" s="1221"/>
      <c r="AE5" s="1219"/>
      <c r="AF5" s="1220"/>
      <c r="AG5" s="1221"/>
      <c r="AH5" s="1219"/>
      <c r="AI5" s="1220"/>
      <c r="AJ5" s="1221"/>
      <c r="AK5" s="1219"/>
      <c r="AL5" s="1220"/>
      <c r="AM5" s="1221"/>
      <c r="AN5" s="1219"/>
      <c r="AO5" s="1220"/>
      <c r="AP5" s="1221"/>
      <c r="AQ5" s="1219"/>
      <c r="AR5" s="1220"/>
      <c r="AS5" s="1221"/>
      <c r="AT5" s="1219"/>
      <c r="AU5" s="1220"/>
      <c r="AV5" s="1221"/>
      <c r="AW5" s="1219"/>
      <c r="AX5" s="1220"/>
      <c r="AY5" s="1221"/>
      <c r="AZ5" s="1222" t="str">
        <f>IF(B5="","",SUM(G5,J5,M5,P5,S5,V5,Y5,AB5,AE5,AH5,AK5,AN5,AQ5,AT5,AW5))</f>
        <v/>
      </c>
      <c r="BA5" s="1223"/>
      <c r="BB5" s="1226"/>
      <c r="BC5" s="1228" t="str">
        <f>IF(B5="","",RANK(AZ5,Ф1Оч))</f>
        <v/>
      </c>
    </row>
    <row r="6" spans="1:55" ht="15.75" customHeight="1" x14ac:dyDescent="0.25">
      <c r="A6" s="1164"/>
      <c r="B6" s="1214"/>
      <c r="C6" s="141" t="str">
        <f>IF(B5="","",VLOOKUP(B5,'Списки участников'!A:I,6,FALSE))</f>
        <v/>
      </c>
      <c r="D6" s="1217"/>
      <c r="E6" s="1217"/>
      <c r="F6" s="1218"/>
      <c r="G6" s="142"/>
      <c r="H6" s="143" t="str">
        <f>IF(G5="","",":")</f>
        <v/>
      </c>
      <c r="I6" s="144"/>
      <c r="J6" s="142"/>
      <c r="K6" s="143" t="str">
        <f>IF(J5="","",":")</f>
        <v/>
      </c>
      <c r="L6" s="144"/>
      <c r="M6" s="142"/>
      <c r="N6" s="143" t="str">
        <f>IF(M5="","",":")</f>
        <v/>
      </c>
      <c r="O6" s="144"/>
      <c r="P6" s="142"/>
      <c r="Q6" s="143" t="str">
        <f>IF(P5="","",":")</f>
        <v/>
      </c>
      <c r="R6" s="144"/>
      <c r="S6" s="142"/>
      <c r="T6" s="143" t="str">
        <f>IF(S5="","",":")</f>
        <v/>
      </c>
      <c r="U6" s="144"/>
      <c r="V6" s="142"/>
      <c r="W6" s="143" t="str">
        <f>IF(V5="","",":")</f>
        <v/>
      </c>
      <c r="X6" s="144"/>
      <c r="Y6" s="142"/>
      <c r="Z6" s="143" t="str">
        <f>IF(Y5="","",":")</f>
        <v/>
      </c>
      <c r="AA6" s="144"/>
      <c r="AB6" s="142"/>
      <c r="AC6" s="143" t="str">
        <f>IF(AB5="","",":")</f>
        <v/>
      </c>
      <c r="AD6" s="144"/>
      <c r="AE6" s="142"/>
      <c r="AF6" s="143" t="str">
        <f>IF(AE5="","",":")</f>
        <v/>
      </c>
      <c r="AG6" s="144"/>
      <c r="AH6" s="142"/>
      <c r="AI6" s="143" t="str">
        <f>IF(AH5="","",":")</f>
        <v/>
      </c>
      <c r="AJ6" s="144"/>
      <c r="AK6" s="142"/>
      <c r="AL6" s="143" t="str">
        <f>IF(AK5="","",":")</f>
        <v/>
      </c>
      <c r="AM6" s="144"/>
      <c r="AN6" s="142"/>
      <c r="AO6" s="143" t="str">
        <f>IF(AN5="","",":")</f>
        <v/>
      </c>
      <c r="AP6" s="144"/>
      <c r="AQ6" s="142"/>
      <c r="AR6" s="143" t="str">
        <f>IF(AQ5="","",":")</f>
        <v/>
      </c>
      <c r="AS6" s="144"/>
      <c r="AT6" s="142"/>
      <c r="AU6" s="143" t="str">
        <f>IF(AT5="","",":")</f>
        <v/>
      </c>
      <c r="AV6" s="144"/>
      <c r="AW6" s="142"/>
      <c r="AX6" s="143" t="str">
        <f>IF(AW5="","",":")</f>
        <v/>
      </c>
      <c r="AY6" s="144"/>
      <c r="AZ6" s="1224"/>
      <c r="BA6" s="1225"/>
      <c r="BB6" s="1227"/>
      <c r="BC6" s="1228"/>
    </row>
    <row r="7" spans="1:55" ht="15.75" customHeight="1" x14ac:dyDescent="0.25">
      <c r="A7" s="1163">
        <v>2</v>
      </c>
      <c r="B7" s="1229"/>
      <c r="C7" s="140" t="str">
        <f>IF(B7="","",VLOOKUP(B7,'Списки участников'!A:I,3,FALSE))</f>
        <v/>
      </c>
      <c r="D7" s="1231" t="str">
        <f>IF(G5="","",IF(G6="W",0,IF(G5=2,1,IF(G5=1,2,IF(G5=0,2)))))</f>
        <v/>
      </c>
      <c r="E7" s="1232"/>
      <c r="F7" s="1233"/>
      <c r="G7" s="1234"/>
      <c r="H7" s="1235"/>
      <c r="I7" s="1236"/>
      <c r="J7" s="1219"/>
      <c r="K7" s="1220"/>
      <c r="L7" s="1221"/>
      <c r="M7" s="1219"/>
      <c r="N7" s="1220"/>
      <c r="O7" s="1221"/>
      <c r="P7" s="1219"/>
      <c r="Q7" s="1220"/>
      <c r="R7" s="1221"/>
      <c r="S7" s="1219"/>
      <c r="T7" s="1220"/>
      <c r="U7" s="1221"/>
      <c r="V7" s="1219"/>
      <c r="W7" s="1220"/>
      <c r="X7" s="1221"/>
      <c r="Y7" s="1219"/>
      <c r="Z7" s="1220"/>
      <c r="AA7" s="1221"/>
      <c r="AB7" s="1219"/>
      <c r="AC7" s="1220"/>
      <c r="AD7" s="1221"/>
      <c r="AE7" s="1219"/>
      <c r="AF7" s="1220"/>
      <c r="AG7" s="1221"/>
      <c r="AH7" s="1219"/>
      <c r="AI7" s="1220"/>
      <c r="AJ7" s="1221"/>
      <c r="AK7" s="1219"/>
      <c r="AL7" s="1220"/>
      <c r="AM7" s="1221"/>
      <c r="AN7" s="1219"/>
      <c r="AO7" s="1220"/>
      <c r="AP7" s="1221"/>
      <c r="AQ7" s="1219"/>
      <c r="AR7" s="1220"/>
      <c r="AS7" s="1221"/>
      <c r="AT7" s="1219"/>
      <c r="AU7" s="1220"/>
      <c r="AV7" s="1221"/>
      <c r="AW7" s="1219"/>
      <c r="AX7" s="1220"/>
      <c r="AY7" s="1221"/>
      <c r="AZ7" s="1222" t="str">
        <f t="shared" ref="AZ7" si="0">IF(B7="","",SUM(G7,J7,M7,P7,S7,V7,Y7,AB7,AE7,AH7,AK7,AN7,AQ7,AT7,AW7))</f>
        <v/>
      </c>
      <c r="BA7" s="1223"/>
      <c r="BB7" s="1226"/>
      <c r="BC7" s="1228" t="str">
        <f>IF(B7="","",RANK(AZ7,Ф1Оч))</f>
        <v/>
      </c>
    </row>
    <row r="8" spans="1:55" ht="15.75" customHeight="1" x14ac:dyDescent="0.25">
      <c r="A8" s="1164"/>
      <c r="B8" s="1230"/>
      <c r="C8" s="141" t="str">
        <f>IF(B7="","",VLOOKUP(B7,'Списки участников'!A:I,6,FALSE))</f>
        <v/>
      </c>
      <c r="D8" s="145" t="str">
        <f>IF(G6="","",IF(I6="l","W",I6))</f>
        <v/>
      </c>
      <c r="E8" s="146" t="str">
        <f>IF(G5="","",":")</f>
        <v/>
      </c>
      <c r="F8" s="147" t="str">
        <f>IF(I6="","",IF(G6="W","L",G6))</f>
        <v/>
      </c>
      <c r="G8" s="1237"/>
      <c r="H8" s="1217"/>
      <c r="I8" s="1218"/>
      <c r="J8" s="142"/>
      <c r="K8" s="143" t="str">
        <f>IF(J7="","",":")</f>
        <v/>
      </c>
      <c r="L8" s="144"/>
      <c r="M8" s="142"/>
      <c r="N8" s="143" t="str">
        <f>IF(M7="","",":")</f>
        <v/>
      </c>
      <c r="O8" s="144"/>
      <c r="P8" s="142"/>
      <c r="Q8" s="143" t="str">
        <f>IF(P7="","",":")</f>
        <v/>
      </c>
      <c r="R8" s="144"/>
      <c r="S8" s="142"/>
      <c r="T8" s="143" t="str">
        <f>IF(S7="","",":")</f>
        <v/>
      </c>
      <c r="U8" s="144"/>
      <c r="V8" s="142"/>
      <c r="W8" s="143" t="str">
        <f>IF(V7="","",":")</f>
        <v/>
      </c>
      <c r="X8" s="144"/>
      <c r="Y8" s="142"/>
      <c r="Z8" s="143" t="str">
        <f>IF(Y7="","",":")</f>
        <v/>
      </c>
      <c r="AA8" s="144"/>
      <c r="AB8" s="142"/>
      <c r="AC8" s="143" t="str">
        <f>IF(AB7="","",":")</f>
        <v/>
      </c>
      <c r="AD8" s="144"/>
      <c r="AE8" s="142"/>
      <c r="AF8" s="143" t="str">
        <f>IF(AE7="","",":")</f>
        <v/>
      </c>
      <c r="AG8" s="144"/>
      <c r="AH8" s="142"/>
      <c r="AI8" s="143" t="str">
        <f>IF(AH7="","",":")</f>
        <v/>
      </c>
      <c r="AJ8" s="144"/>
      <c r="AK8" s="142"/>
      <c r="AL8" s="143" t="str">
        <f>IF(AK7="","",":")</f>
        <v/>
      </c>
      <c r="AM8" s="144"/>
      <c r="AN8" s="142"/>
      <c r="AO8" s="143" t="str">
        <f>IF(AN7="","",":")</f>
        <v/>
      </c>
      <c r="AP8" s="144"/>
      <c r="AQ8" s="142"/>
      <c r="AR8" s="143" t="str">
        <f>IF(AQ7="","",":")</f>
        <v/>
      </c>
      <c r="AS8" s="144"/>
      <c r="AT8" s="142"/>
      <c r="AU8" s="143" t="str">
        <f>IF(AT7="","",":")</f>
        <v/>
      </c>
      <c r="AV8" s="144"/>
      <c r="AW8" s="142"/>
      <c r="AX8" s="143" t="str">
        <f>IF(AW7="","",":")</f>
        <v/>
      </c>
      <c r="AY8" s="144"/>
      <c r="AZ8" s="1224"/>
      <c r="BA8" s="1225"/>
      <c r="BB8" s="1227"/>
      <c r="BC8" s="1228"/>
    </row>
    <row r="9" spans="1:55" ht="15.75" customHeight="1" x14ac:dyDescent="0.25">
      <c r="A9" s="1163">
        <v>3</v>
      </c>
      <c r="B9" s="1213"/>
      <c r="C9" s="140" t="str">
        <f>IF(B9="","",VLOOKUP(B9,'Списки участников'!A:I,3,FALSE))</f>
        <v/>
      </c>
      <c r="D9" s="1231" t="str">
        <f>IF(J5="","",IF(J6="W",0,IF(J5=2,1,IF(J5=1,2,IF(J5=0,2)))))</f>
        <v/>
      </c>
      <c r="E9" s="1232"/>
      <c r="F9" s="1233"/>
      <c r="G9" s="1219" t="str">
        <f>IF(J7="","",IF(J8="W",0,IF(J7=2,1,IF(J7=1,2,IF(J7=0,2)))))</f>
        <v/>
      </c>
      <c r="H9" s="1220"/>
      <c r="I9" s="1221"/>
      <c r="J9" s="1234"/>
      <c r="K9" s="1235"/>
      <c r="L9" s="1236"/>
      <c r="M9" s="1219"/>
      <c r="N9" s="1220"/>
      <c r="O9" s="1221"/>
      <c r="P9" s="1219"/>
      <c r="Q9" s="1220"/>
      <c r="R9" s="1221"/>
      <c r="S9" s="1219"/>
      <c r="T9" s="1220"/>
      <c r="U9" s="1221"/>
      <c r="V9" s="1219"/>
      <c r="W9" s="1220"/>
      <c r="X9" s="1221"/>
      <c r="Y9" s="1219"/>
      <c r="Z9" s="1220"/>
      <c r="AA9" s="1221"/>
      <c r="AB9" s="1219"/>
      <c r="AC9" s="1220"/>
      <c r="AD9" s="1221"/>
      <c r="AE9" s="1219"/>
      <c r="AF9" s="1220"/>
      <c r="AG9" s="1221"/>
      <c r="AH9" s="1219"/>
      <c r="AI9" s="1220"/>
      <c r="AJ9" s="1221"/>
      <c r="AK9" s="1219"/>
      <c r="AL9" s="1220"/>
      <c r="AM9" s="1221"/>
      <c r="AN9" s="1219"/>
      <c r="AO9" s="1220"/>
      <c r="AP9" s="1221"/>
      <c r="AQ9" s="1219"/>
      <c r="AR9" s="1220"/>
      <c r="AS9" s="1221"/>
      <c r="AT9" s="1219"/>
      <c r="AU9" s="1220"/>
      <c r="AV9" s="1221"/>
      <c r="AW9" s="1219"/>
      <c r="AX9" s="1220"/>
      <c r="AY9" s="1221"/>
      <c r="AZ9" s="1222" t="str">
        <f t="shared" ref="AZ9" si="1">IF(B9="","",SUM(G9,J9,M9,P9,S9,V9,Y9,AB9,AE9,AH9,AK9,AN9,AQ9,AT9,AW9))</f>
        <v/>
      </c>
      <c r="BA9" s="1223"/>
      <c r="BB9" s="1226"/>
      <c r="BC9" s="1228" t="str">
        <f>IF(B9="","",RANK(AZ9,Ф1Оч))</f>
        <v/>
      </c>
    </row>
    <row r="10" spans="1:55" ht="15.75" customHeight="1" x14ac:dyDescent="0.25">
      <c r="A10" s="1164"/>
      <c r="B10" s="1214"/>
      <c r="C10" s="141" t="str">
        <f>IF(B9="","",VLOOKUP(B9,'Списки участников'!A:I,6,FALSE))</f>
        <v/>
      </c>
      <c r="D10" s="148" t="str">
        <f>IF(J6="","",IF(L6="l","W",L6))</f>
        <v/>
      </c>
      <c r="E10" s="143" t="str">
        <f>IF(K6="","",":")</f>
        <v/>
      </c>
      <c r="F10" s="149" t="str">
        <f>IF(L6="","",IF(J6="W","L",J6))</f>
        <v/>
      </c>
      <c r="G10" s="148" t="str">
        <f>IF(J8="","",IF(L8="l","W",L8))</f>
        <v/>
      </c>
      <c r="H10" s="143" t="str">
        <f>IF(K8="","",":")</f>
        <v/>
      </c>
      <c r="I10" s="149" t="str">
        <f>IF(L8="","",IF(J8="W","L",J8))</f>
        <v/>
      </c>
      <c r="J10" s="1237"/>
      <c r="K10" s="1217"/>
      <c r="L10" s="1218"/>
      <c r="M10" s="142"/>
      <c r="N10" s="143" t="str">
        <f>IF(M9="","",":")</f>
        <v/>
      </c>
      <c r="O10" s="144"/>
      <c r="P10" s="142"/>
      <c r="Q10" s="143" t="str">
        <f>IF(P9="","",":")</f>
        <v/>
      </c>
      <c r="R10" s="144"/>
      <c r="S10" s="142"/>
      <c r="T10" s="143" t="str">
        <f>IF(S9="","",":")</f>
        <v/>
      </c>
      <c r="U10" s="144"/>
      <c r="V10" s="142"/>
      <c r="W10" s="143" t="str">
        <f>IF(V9="","",":")</f>
        <v/>
      </c>
      <c r="X10" s="144"/>
      <c r="Y10" s="142"/>
      <c r="Z10" s="143" t="str">
        <f>IF(Y9="","",":")</f>
        <v/>
      </c>
      <c r="AA10" s="144"/>
      <c r="AB10" s="142"/>
      <c r="AC10" s="143" t="str">
        <f>IF(AB9="","",":")</f>
        <v/>
      </c>
      <c r="AD10" s="144"/>
      <c r="AE10" s="142"/>
      <c r="AF10" s="143" t="str">
        <f>IF(AE9="","",":")</f>
        <v/>
      </c>
      <c r="AG10" s="144"/>
      <c r="AH10" s="142"/>
      <c r="AI10" s="143" t="str">
        <f>IF(AH9="","",":")</f>
        <v/>
      </c>
      <c r="AJ10" s="144"/>
      <c r="AK10" s="142"/>
      <c r="AL10" s="143" t="str">
        <f>IF(AK9="","",":")</f>
        <v/>
      </c>
      <c r="AM10" s="144"/>
      <c r="AN10" s="142"/>
      <c r="AO10" s="143" t="str">
        <f>IF(AN9="","",":")</f>
        <v/>
      </c>
      <c r="AP10" s="144"/>
      <c r="AQ10" s="142"/>
      <c r="AR10" s="143" t="str">
        <f>IF(AQ9="","",":")</f>
        <v/>
      </c>
      <c r="AS10" s="144"/>
      <c r="AT10" s="142"/>
      <c r="AU10" s="143" t="str">
        <f>IF(AT9="","",":")</f>
        <v/>
      </c>
      <c r="AV10" s="144"/>
      <c r="AW10" s="142"/>
      <c r="AX10" s="143" t="str">
        <f>IF(AW9="","",":")</f>
        <v/>
      </c>
      <c r="AY10" s="144"/>
      <c r="AZ10" s="1224"/>
      <c r="BA10" s="1225"/>
      <c r="BB10" s="1227"/>
      <c r="BC10" s="1228"/>
    </row>
    <row r="11" spans="1:55" ht="15.75" customHeight="1" x14ac:dyDescent="0.25">
      <c r="A11" s="1163">
        <v>4</v>
      </c>
      <c r="B11" s="1229"/>
      <c r="C11" s="140" t="str">
        <f>IF(B11="","",VLOOKUP(B11,'Списки участников'!A:I,3,FALSE))</f>
        <v/>
      </c>
      <c r="D11" s="1219" t="str">
        <f>IF(M5="","",IF(M6="W",0,IF(M5=2,1,IF(M5=1,2,IF(M5=0,2)))))</f>
        <v/>
      </c>
      <c r="E11" s="1220"/>
      <c r="F11" s="1221"/>
      <c r="G11" s="1219" t="str">
        <f>IF(M7="","",IF(M8="W",0,IF(M7=2,1,IF(M7=1,2,IF(M7=0,2)))))</f>
        <v/>
      </c>
      <c r="H11" s="1220"/>
      <c r="I11" s="1221"/>
      <c r="J11" s="1219" t="str">
        <f>IF(M9="","",IF(M10="W",0,IF(M9=2,1,IF(M9=1,2,IF(M9=0,2)))))</f>
        <v/>
      </c>
      <c r="K11" s="1220"/>
      <c r="L11" s="1221"/>
      <c r="M11" s="1235"/>
      <c r="N11" s="1235"/>
      <c r="O11" s="1235"/>
      <c r="P11" s="1219"/>
      <c r="Q11" s="1220"/>
      <c r="R11" s="1221"/>
      <c r="S11" s="1219"/>
      <c r="T11" s="1220"/>
      <c r="U11" s="1221"/>
      <c r="V11" s="1219"/>
      <c r="W11" s="1220"/>
      <c r="X11" s="1221"/>
      <c r="Y11" s="1219"/>
      <c r="Z11" s="1220"/>
      <c r="AA11" s="1221"/>
      <c r="AB11" s="1219"/>
      <c r="AC11" s="1220"/>
      <c r="AD11" s="1221"/>
      <c r="AE11" s="1219"/>
      <c r="AF11" s="1220"/>
      <c r="AG11" s="1221"/>
      <c r="AH11" s="1219"/>
      <c r="AI11" s="1220"/>
      <c r="AJ11" s="1221"/>
      <c r="AK11" s="1219"/>
      <c r="AL11" s="1220"/>
      <c r="AM11" s="1221"/>
      <c r="AN11" s="1219"/>
      <c r="AO11" s="1220"/>
      <c r="AP11" s="1221"/>
      <c r="AQ11" s="1219"/>
      <c r="AR11" s="1220"/>
      <c r="AS11" s="1221"/>
      <c r="AT11" s="1219"/>
      <c r="AU11" s="1220"/>
      <c r="AV11" s="1221"/>
      <c r="AW11" s="1219"/>
      <c r="AX11" s="1220"/>
      <c r="AY11" s="1221"/>
      <c r="AZ11" s="1222" t="str">
        <f t="shared" ref="AZ11" si="2">IF(B11="","",SUM(G11,J11,M11,P11,S11,V11,Y11,AB11,AE11,AH11,AK11,AN11,AQ11,AT11,AW11))</f>
        <v/>
      </c>
      <c r="BA11" s="1223"/>
      <c r="BB11" s="1226"/>
      <c r="BC11" s="1228" t="str">
        <f>IF(B11="","",RANK(AZ11,Ф1Оч))</f>
        <v/>
      </c>
    </row>
    <row r="12" spans="1:55" ht="15.75" customHeight="1" x14ac:dyDescent="0.25">
      <c r="A12" s="1164"/>
      <c r="B12" s="1230"/>
      <c r="C12" s="141" t="str">
        <f>IF(B11="","",VLOOKUP(B11,'Списки участников'!A:I,6,FALSE))</f>
        <v/>
      </c>
      <c r="D12" s="148" t="str">
        <f>IF(M6="","",IF(O6="l","W",O6))</f>
        <v/>
      </c>
      <c r="E12" s="143" t="str">
        <f>IF(N6="","",":")</f>
        <v/>
      </c>
      <c r="F12" s="149" t="str">
        <f>IF(O6="","",IF(M6="W","L",M6))</f>
        <v/>
      </c>
      <c r="G12" s="148" t="str">
        <f>IF(M8="","",IF(O8="l","W",O8))</f>
        <v/>
      </c>
      <c r="H12" s="143" t="str">
        <f>IF(N8="","",":")</f>
        <v/>
      </c>
      <c r="I12" s="149" t="str">
        <f>IF(O8="","",IF(M8="W","L",M8))</f>
        <v/>
      </c>
      <c r="J12" s="148" t="str">
        <f>IF(M10="","",IF(O10="l","W",O10))</f>
        <v/>
      </c>
      <c r="K12" s="143" t="str">
        <f>IF(N10="","",":")</f>
        <v/>
      </c>
      <c r="L12" s="149" t="str">
        <f>IF(O10="","",IF(M10="W","L",M10))</f>
        <v/>
      </c>
      <c r="M12" s="1238"/>
      <c r="N12" s="1238"/>
      <c r="O12" s="1238"/>
      <c r="P12" s="142"/>
      <c r="Q12" s="143" t="str">
        <f>IF(P11="","",":")</f>
        <v/>
      </c>
      <c r="R12" s="144"/>
      <c r="S12" s="142"/>
      <c r="T12" s="143" t="str">
        <f>IF(S11="","",":")</f>
        <v/>
      </c>
      <c r="U12" s="144"/>
      <c r="V12" s="142"/>
      <c r="W12" s="143" t="str">
        <f>IF(V11="","",":")</f>
        <v/>
      </c>
      <c r="X12" s="144"/>
      <c r="Y12" s="142"/>
      <c r="Z12" s="143" t="str">
        <f>IF(Y11="","",":")</f>
        <v/>
      </c>
      <c r="AA12" s="144"/>
      <c r="AB12" s="142"/>
      <c r="AC12" s="143" t="str">
        <f>IF(AB11="","",":")</f>
        <v/>
      </c>
      <c r="AD12" s="144"/>
      <c r="AE12" s="142"/>
      <c r="AF12" s="143" t="str">
        <f>IF(AE11="","",":")</f>
        <v/>
      </c>
      <c r="AG12" s="144"/>
      <c r="AH12" s="142"/>
      <c r="AI12" s="143" t="str">
        <f>IF(AH11="","",":")</f>
        <v/>
      </c>
      <c r="AJ12" s="144"/>
      <c r="AK12" s="142"/>
      <c r="AL12" s="143" t="str">
        <f>IF(AK11="","",":")</f>
        <v/>
      </c>
      <c r="AM12" s="144"/>
      <c r="AN12" s="142"/>
      <c r="AO12" s="143" t="str">
        <f>IF(AN11="","",":")</f>
        <v/>
      </c>
      <c r="AP12" s="144"/>
      <c r="AQ12" s="142"/>
      <c r="AR12" s="143" t="str">
        <f>IF(AQ11="","",":")</f>
        <v/>
      </c>
      <c r="AS12" s="144"/>
      <c r="AT12" s="142"/>
      <c r="AU12" s="143" t="str">
        <f>IF(AT11="","",":")</f>
        <v/>
      </c>
      <c r="AV12" s="144"/>
      <c r="AW12" s="142"/>
      <c r="AX12" s="143" t="str">
        <f>IF(AW11="","",":")</f>
        <v/>
      </c>
      <c r="AY12" s="144"/>
      <c r="AZ12" s="1224"/>
      <c r="BA12" s="1225"/>
      <c r="BB12" s="1227"/>
      <c r="BC12" s="1228"/>
    </row>
    <row r="13" spans="1:55" ht="15.75" customHeight="1" x14ac:dyDescent="0.25">
      <c r="A13" s="1163">
        <v>5</v>
      </c>
      <c r="B13" s="1213"/>
      <c r="C13" s="140" t="str">
        <f>IF(B13="","",VLOOKUP(B13,'Списки участников'!A:I,3,FALSE))</f>
        <v/>
      </c>
      <c r="D13" s="1219" t="str">
        <f>IF(P5="","",IF(P6="W",0,IF(P5=2,1,IF(P5=1,2,IF(P5=0,2)))))</f>
        <v/>
      </c>
      <c r="E13" s="1220"/>
      <c r="F13" s="1221"/>
      <c r="G13" s="1219" t="str">
        <f>IF(P7="","",IF(P8="W",0,IF(P7=2,1,IF(P7=1,2,IF(P7=0,2)))))</f>
        <v/>
      </c>
      <c r="H13" s="1220"/>
      <c r="I13" s="1221"/>
      <c r="J13" s="1219" t="str">
        <f>IF(P9="","",IF(P10="W",0,IF(P9=2,1,IF(P9=1,2,IF(P9=0,2)))))</f>
        <v/>
      </c>
      <c r="K13" s="1220"/>
      <c r="L13" s="1221"/>
      <c r="M13" s="1219" t="str">
        <f>IF(P11="","",IF(P12="W",0,IF(P11=2,1,IF(P11=1,2,IF(P11=0,2)))))</f>
        <v/>
      </c>
      <c r="N13" s="1220"/>
      <c r="O13" s="1221"/>
      <c r="P13" s="1234"/>
      <c r="Q13" s="1235"/>
      <c r="R13" s="1236"/>
      <c r="S13" s="1219"/>
      <c r="T13" s="1220"/>
      <c r="U13" s="1221"/>
      <c r="V13" s="1219"/>
      <c r="W13" s="1220"/>
      <c r="X13" s="1221"/>
      <c r="Y13" s="1219"/>
      <c r="Z13" s="1220"/>
      <c r="AA13" s="1221"/>
      <c r="AB13" s="1219"/>
      <c r="AC13" s="1220"/>
      <c r="AD13" s="1221"/>
      <c r="AE13" s="1219"/>
      <c r="AF13" s="1220"/>
      <c r="AG13" s="1221"/>
      <c r="AH13" s="1219"/>
      <c r="AI13" s="1220"/>
      <c r="AJ13" s="1221"/>
      <c r="AK13" s="1219"/>
      <c r="AL13" s="1220"/>
      <c r="AM13" s="1221"/>
      <c r="AN13" s="1219"/>
      <c r="AO13" s="1220"/>
      <c r="AP13" s="1221"/>
      <c r="AQ13" s="1219"/>
      <c r="AR13" s="1220"/>
      <c r="AS13" s="1221"/>
      <c r="AT13" s="1219"/>
      <c r="AU13" s="1220"/>
      <c r="AV13" s="1221"/>
      <c r="AW13" s="1219"/>
      <c r="AX13" s="1220"/>
      <c r="AY13" s="1221"/>
      <c r="AZ13" s="1222" t="str">
        <f t="shared" ref="AZ13" si="3">IF(B13="","",SUM(G13,J13,M13,P13,S13,V13,Y13,AB13,AE13,AH13,AK13,AN13,AQ13,AT13,AW13))</f>
        <v/>
      </c>
      <c r="BA13" s="1223"/>
      <c r="BB13" s="1226"/>
      <c r="BC13" s="1228" t="str">
        <f>IF(B13="","",RANK(AZ13,Ф1Оч))</f>
        <v/>
      </c>
    </row>
    <row r="14" spans="1:55" ht="15.75" customHeight="1" x14ac:dyDescent="0.25">
      <c r="A14" s="1164"/>
      <c r="B14" s="1214"/>
      <c r="C14" s="141" t="str">
        <f>IF(B13="","",VLOOKUP(B13,'Списки участников'!A:I,6,FALSE))</f>
        <v/>
      </c>
      <c r="D14" s="148" t="str">
        <f>IF(P6="","",IF(R6="l","W",R6))</f>
        <v/>
      </c>
      <c r="E14" s="143" t="str">
        <f>IF(Q6="","",":")</f>
        <v/>
      </c>
      <c r="F14" s="149" t="str">
        <f>IF(R6="","",IF(P6="W","L",P6))</f>
        <v/>
      </c>
      <c r="G14" s="148" t="str">
        <f>IF(P8="","",IF(R8="l","W",R8))</f>
        <v/>
      </c>
      <c r="H14" s="143" t="str">
        <f>IF(Q8="","",":")</f>
        <v/>
      </c>
      <c r="I14" s="149" t="str">
        <f>IF(R8="","",IF(P8="W","L",P8))</f>
        <v/>
      </c>
      <c r="J14" s="148" t="str">
        <f>IF(P10="","",IF(R10="l","W",R10))</f>
        <v/>
      </c>
      <c r="K14" s="143" t="str">
        <f>IF(Q10="","",":")</f>
        <v/>
      </c>
      <c r="L14" s="149" t="str">
        <f>IF(R10="","",IF(P10="W","L",P10))</f>
        <v/>
      </c>
      <c r="M14" s="148" t="str">
        <f>IF(P12="","",IF(R12="l","W",R12))</f>
        <v/>
      </c>
      <c r="N14" s="143" t="str">
        <f>IF(Q12="","",":")</f>
        <v/>
      </c>
      <c r="O14" s="149" t="str">
        <f>IF(R12="","",IF(P12="W","L",P12))</f>
        <v/>
      </c>
      <c r="P14" s="1237"/>
      <c r="Q14" s="1217"/>
      <c r="R14" s="1218"/>
      <c r="S14" s="142"/>
      <c r="T14" s="143" t="str">
        <f>IF(S13="","",":")</f>
        <v/>
      </c>
      <c r="U14" s="144"/>
      <c r="V14" s="142"/>
      <c r="W14" s="143" t="str">
        <f>IF(V13="","",":")</f>
        <v/>
      </c>
      <c r="X14" s="144"/>
      <c r="Y14" s="142"/>
      <c r="Z14" s="143" t="str">
        <f>IF(Y13="","",":")</f>
        <v/>
      </c>
      <c r="AA14" s="144"/>
      <c r="AB14" s="142"/>
      <c r="AC14" s="143" t="str">
        <f>IF(AB13="","",":")</f>
        <v/>
      </c>
      <c r="AD14" s="144"/>
      <c r="AE14" s="142"/>
      <c r="AF14" s="143" t="str">
        <f>IF(AE13="","",":")</f>
        <v/>
      </c>
      <c r="AG14" s="144"/>
      <c r="AH14" s="142"/>
      <c r="AI14" s="143" t="str">
        <f>IF(AH13="","",":")</f>
        <v/>
      </c>
      <c r="AJ14" s="144"/>
      <c r="AK14" s="142"/>
      <c r="AL14" s="143" t="str">
        <f>IF(AK13="","",":")</f>
        <v/>
      </c>
      <c r="AM14" s="144"/>
      <c r="AN14" s="142"/>
      <c r="AO14" s="143" t="str">
        <f>IF(AN13="","",":")</f>
        <v/>
      </c>
      <c r="AP14" s="144"/>
      <c r="AQ14" s="142"/>
      <c r="AR14" s="143" t="str">
        <f>IF(AQ13="","",":")</f>
        <v/>
      </c>
      <c r="AS14" s="144"/>
      <c r="AT14" s="142"/>
      <c r="AU14" s="143" t="str">
        <f>IF(AT13="","",":")</f>
        <v/>
      </c>
      <c r="AV14" s="144"/>
      <c r="AW14" s="142"/>
      <c r="AX14" s="143" t="str">
        <f>IF(AW13="","",":")</f>
        <v/>
      </c>
      <c r="AY14" s="144"/>
      <c r="AZ14" s="1224"/>
      <c r="BA14" s="1225"/>
      <c r="BB14" s="1227"/>
      <c r="BC14" s="1228"/>
    </row>
    <row r="15" spans="1:55" ht="15.75" customHeight="1" x14ac:dyDescent="0.25">
      <c r="A15" s="1163">
        <v>6</v>
      </c>
      <c r="B15" s="1229"/>
      <c r="C15" s="140" t="str">
        <f>IF(B15="","",VLOOKUP(B15,'Списки участников'!A:I,3,FALSE))</f>
        <v/>
      </c>
      <c r="D15" s="1219" t="str">
        <f>IF(S5="","",IF(S6="W",0,IF(S5=2,1,IF(S5=1,2,IF(S5=0,2)))))</f>
        <v/>
      </c>
      <c r="E15" s="1220"/>
      <c r="F15" s="1221"/>
      <c r="G15" s="1219" t="str">
        <f>IF(S7="","",IF(S8="W",0,IF(S7=2,1,IF(S7=1,2,IF(S7=0,2)))))</f>
        <v/>
      </c>
      <c r="H15" s="1220"/>
      <c r="I15" s="1221"/>
      <c r="J15" s="1219" t="str">
        <f>IF(S9="","",IF(S10="W",0,IF(S9=2,1,IF(S9=1,2,IF(S9=0,2)))))</f>
        <v/>
      </c>
      <c r="K15" s="1220"/>
      <c r="L15" s="1221"/>
      <c r="M15" s="1219" t="str">
        <f>IF(S11="","",IF(S12="W",0,IF(S11=2,1,IF(S11=1,2,IF(S11=0,2)))))</f>
        <v/>
      </c>
      <c r="N15" s="1220"/>
      <c r="O15" s="1221"/>
      <c r="P15" s="1219" t="str">
        <f>IF(S13="","",IF(S14="W",0,IF(S13=2,1,IF(S13=1,2,IF(S13=0,2)))))</f>
        <v/>
      </c>
      <c r="Q15" s="1220"/>
      <c r="R15" s="1221"/>
      <c r="S15" s="1234"/>
      <c r="T15" s="1235"/>
      <c r="U15" s="1236"/>
      <c r="V15" s="1219"/>
      <c r="W15" s="1220"/>
      <c r="X15" s="1221"/>
      <c r="Y15" s="1219"/>
      <c r="Z15" s="1220"/>
      <c r="AA15" s="1221"/>
      <c r="AB15" s="1219"/>
      <c r="AC15" s="1220"/>
      <c r="AD15" s="1221"/>
      <c r="AE15" s="1219"/>
      <c r="AF15" s="1220"/>
      <c r="AG15" s="1221"/>
      <c r="AH15" s="1219"/>
      <c r="AI15" s="1220"/>
      <c r="AJ15" s="1221"/>
      <c r="AK15" s="1219"/>
      <c r="AL15" s="1220"/>
      <c r="AM15" s="1221"/>
      <c r="AN15" s="1219"/>
      <c r="AO15" s="1220"/>
      <c r="AP15" s="1221"/>
      <c r="AQ15" s="1219"/>
      <c r="AR15" s="1220"/>
      <c r="AS15" s="1221"/>
      <c r="AT15" s="1219"/>
      <c r="AU15" s="1220"/>
      <c r="AV15" s="1221"/>
      <c r="AW15" s="1219"/>
      <c r="AX15" s="1220"/>
      <c r="AY15" s="1221"/>
      <c r="AZ15" s="1222" t="str">
        <f t="shared" ref="AZ15" si="4">IF(B15="","",SUM(G15,J15,M15,P15,S15,V15,Y15,AB15,AE15,AH15,AK15,AN15,AQ15,AT15,AW15))</f>
        <v/>
      </c>
      <c r="BA15" s="1223"/>
      <c r="BB15" s="1226"/>
      <c r="BC15" s="1228" t="str">
        <f>IF(B15="","",RANK(AZ15,Ф1Оч))</f>
        <v/>
      </c>
    </row>
    <row r="16" spans="1:55" ht="15.75" customHeight="1" x14ac:dyDescent="0.25">
      <c r="A16" s="1164"/>
      <c r="B16" s="1230"/>
      <c r="C16" s="141" t="str">
        <f>IF(B15="","",VLOOKUP(B15,'Списки участников'!A:I,6,FALSE))</f>
        <v/>
      </c>
      <c r="D16" s="148" t="str">
        <f>IF(S6="","",IF(U6="l","W",U6))</f>
        <v/>
      </c>
      <c r="E16" s="143" t="str">
        <f>IF(T6="","",":")</f>
        <v/>
      </c>
      <c r="F16" s="149" t="str">
        <f>IF(U6="","",IF(S6="W","L",S6))</f>
        <v/>
      </c>
      <c r="G16" s="148" t="str">
        <f>IF(S8="","",IF(U8="l","W",U8))</f>
        <v/>
      </c>
      <c r="H16" s="143" t="str">
        <f>IF(T8="","",":")</f>
        <v/>
      </c>
      <c r="I16" s="149" t="str">
        <f>IF(U8="","",IF(S8="W","L",S8))</f>
        <v/>
      </c>
      <c r="J16" s="148" t="str">
        <f>IF(S10="","",IF(U10="l","W",U10))</f>
        <v/>
      </c>
      <c r="K16" s="143" t="str">
        <f>IF(T10="","",":")</f>
        <v/>
      </c>
      <c r="L16" s="149" t="str">
        <f>IF(U10="","",IF(S10="W","L",S10))</f>
        <v/>
      </c>
      <c r="M16" s="148" t="str">
        <f>IF(S12="","",IF(U12="l","W",U12))</f>
        <v/>
      </c>
      <c r="N16" s="143" t="str">
        <f>IF(T12="","",":")</f>
        <v/>
      </c>
      <c r="O16" s="149" t="str">
        <f>IF(U12="","",IF(S12="W","L",S12))</f>
        <v/>
      </c>
      <c r="P16" s="148" t="str">
        <f>IF(S14="","",IF(U14="l","W",U14))</f>
        <v/>
      </c>
      <c r="Q16" s="143" t="str">
        <f>IF(T14="","",":")</f>
        <v/>
      </c>
      <c r="R16" s="149" t="str">
        <f>IF(U14="","",IF(S14="W","L",S14))</f>
        <v/>
      </c>
      <c r="S16" s="1237"/>
      <c r="T16" s="1217"/>
      <c r="U16" s="1218"/>
      <c r="V16" s="142"/>
      <c r="W16" s="143" t="str">
        <f>IF(V15="","",":")</f>
        <v/>
      </c>
      <c r="X16" s="144"/>
      <c r="Y16" s="142"/>
      <c r="Z16" s="143" t="str">
        <f>IF(Y15="","",":")</f>
        <v/>
      </c>
      <c r="AA16" s="144"/>
      <c r="AB16" s="142"/>
      <c r="AC16" s="143" t="str">
        <f>IF(AB15="","",":")</f>
        <v/>
      </c>
      <c r="AD16" s="144"/>
      <c r="AE16" s="142"/>
      <c r="AF16" s="143" t="str">
        <f>IF(AE15="","",":")</f>
        <v/>
      </c>
      <c r="AG16" s="144"/>
      <c r="AH16" s="142"/>
      <c r="AI16" s="143" t="str">
        <f>IF(AH15="","",":")</f>
        <v/>
      </c>
      <c r="AJ16" s="144"/>
      <c r="AK16" s="142"/>
      <c r="AL16" s="143" t="str">
        <f>IF(AK15="","",":")</f>
        <v/>
      </c>
      <c r="AM16" s="144"/>
      <c r="AN16" s="142"/>
      <c r="AO16" s="143" t="str">
        <f>IF(AN15="","",":")</f>
        <v/>
      </c>
      <c r="AP16" s="144"/>
      <c r="AQ16" s="142"/>
      <c r="AR16" s="143" t="str">
        <f>IF(AQ15="","",":")</f>
        <v/>
      </c>
      <c r="AS16" s="144"/>
      <c r="AT16" s="142"/>
      <c r="AU16" s="143" t="str">
        <f>IF(AT15="","",":")</f>
        <v/>
      </c>
      <c r="AV16" s="144"/>
      <c r="AW16" s="142"/>
      <c r="AX16" s="143" t="str">
        <f>IF(AW15="","",":")</f>
        <v/>
      </c>
      <c r="AY16" s="144"/>
      <c r="AZ16" s="1224"/>
      <c r="BA16" s="1225"/>
      <c r="BB16" s="1227"/>
      <c r="BC16" s="1228"/>
    </row>
    <row r="17" spans="1:55" ht="15.75" customHeight="1" x14ac:dyDescent="0.25">
      <c r="A17" s="1163">
        <v>7</v>
      </c>
      <c r="B17" s="1213"/>
      <c r="C17" s="140" t="str">
        <f>IF(B17="","",VLOOKUP(B17,'Списки участников'!A:I,3,FALSE))</f>
        <v/>
      </c>
      <c r="D17" s="1219" t="str">
        <f>IF(V5="","",IF(V6="W",0,IF(V5=2,1,IF(V5=1,2,IF(V5=0,2)))))</f>
        <v/>
      </c>
      <c r="E17" s="1220"/>
      <c r="F17" s="1221"/>
      <c r="G17" s="1219" t="str">
        <f>IF(V7="","",IF(V8="W",0,IF(V7=2,1,IF(V7=1,2,IF(V7=0,2)))))</f>
        <v/>
      </c>
      <c r="H17" s="1220"/>
      <c r="I17" s="1221"/>
      <c r="J17" s="1219" t="str">
        <f>IF(V9="","",IF(V10="W",0,IF(V9=2,1,IF(V9=1,2,IF(V9=0,2)))))</f>
        <v/>
      </c>
      <c r="K17" s="1220"/>
      <c r="L17" s="1221"/>
      <c r="M17" s="1219" t="str">
        <f>IF(V11="","",IF(V12="W",0,IF(V11=2,1,IF(V11=1,2,IF(V11=0,2)))))</f>
        <v/>
      </c>
      <c r="N17" s="1220"/>
      <c r="O17" s="1221"/>
      <c r="P17" s="1219" t="str">
        <f>IF(V13="","",IF(V14="W",0,IF(V13=2,1,IF(V13=1,2,IF(V13=0,2)))))</f>
        <v/>
      </c>
      <c r="Q17" s="1220"/>
      <c r="R17" s="1221"/>
      <c r="S17" s="1219" t="str">
        <f>IF(V15="","",IF(V16="W",0,IF(V15=2,1,IF(V15=1,2,IF(V15=0,2)))))</f>
        <v/>
      </c>
      <c r="T17" s="1220"/>
      <c r="U17" s="1221"/>
      <c r="V17" s="1239"/>
      <c r="W17" s="1215"/>
      <c r="X17" s="1216"/>
      <c r="Y17" s="1219"/>
      <c r="Z17" s="1220"/>
      <c r="AA17" s="1221"/>
      <c r="AB17" s="1219"/>
      <c r="AC17" s="1220"/>
      <c r="AD17" s="1221"/>
      <c r="AE17" s="1219"/>
      <c r="AF17" s="1220"/>
      <c r="AG17" s="1221"/>
      <c r="AH17" s="1219"/>
      <c r="AI17" s="1220"/>
      <c r="AJ17" s="1221"/>
      <c r="AK17" s="1219"/>
      <c r="AL17" s="1220"/>
      <c r="AM17" s="1221"/>
      <c r="AN17" s="1219"/>
      <c r="AO17" s="1220"/>
      <c r="AP17" s="1221"/>
      <c r="AQ17" s="1219"/>
      <c r="AR17" s="1220"/>
      <c r="AS17" s="1221"/>
      <c r="AT17" s="1219"/>
      <c r="AU17" s="1220"/>
      <c r="AV17" s="1221"/>
      <c r="AW17" s="1219"/>
      <c r="AX17" s="1220"/>
      <c r="AY17" s="1221"/>
      <c r="AZ17" s="1222" t="str">
        <f t="shared" ref="AZ17" si="5">IF(B17="","",SUM(G17,J17,M17,P17,S17,V17,Y17,AB17,AE17,AH17,AK17,AN17,AQ17,AT17,AW17))</f>
        <v/>
      </c>
      <c r="BA17" s="1223"/>
      <c r="BB17" s="1226"/>
      <c r="BC17" s="1228" t="str">
        <f>IF(B17="","",RANK(AZ17,Ф1Оч))</f>
        <v/>
      </c>
    </row>
    <row r="18" spans="1:55" ht="15.75" customHeight="1" x14ac:dyDescent="0.25">
      <c r="A18" s="1164"/>
      <c r="B18" s="1214"/>
      <c r="C18" s="141" t="str">
        <f>IF(B17="","",VLOOKUP(B17,'Списки участников'!A:I,6,FALSE))</f>
        <v/>
      </c>
      <c r="D18" s="148" t="str">
        <f>IF(V6="","",IF(X6="l","W",X6))</f>
        <v/>
      </c>
      <c r="E18" s="143" t="str">
        <f>IF(W6="","",":")</f>
        <v/>
      </c>
      <c r="F18" s="149" t="str">
        <f>IF(X6="","",IF(V6="W","L",V6))</f>
        <v/>
      </c>
      <c r="G18" s="148" t="str">
        <f>IF(V8="","",IF(X8="l","W",X8))</f>
        <v/>
      </c>
      <c r="H18" s="143" t="str">
        <f>IF(W8="","",":")</f>
        <v/>
      </c>
      <c r="I18" s="149" t="str">
        <f>IF(X8="","",IF(V8="W","L",V8))</f>
        <v/>
      </c>
      <c r="J18" s="148" t="str">
        <f>IF(V10="","",IF(X10="l","W",X10))</f>
        <v/>
      </c>
      <c r="K18" s="143" t="str">
        <f>IF(W10="","",":")</f>
        <v/>
      </c>
      <c r="L18" s="149" t="str">
        <f>IF(X10="","",IF(V10="W","L",V10))</f>
        <v/>
      </c>
      <c r="M18" s="148" t="str">
        <f>IF(V12="","",IF(X12="l","W",X12))</f>
        <v/>
      </c>
      <c r="N18" s="143" t="str">
        <f>IF(W12="","",":")</f>
        <v/>
      </c>
      <c r="O18" s="149" t="str">
        <f>IF(X12="","",IF(V12="W","L",V12))</f>
        <v/>
      </c>
      <c r="P18" s="148" t="str">
        <f>IF(V14="","",IF(X14="l","W",X14))</f>
        <v/>
      </c>
      <c r="Q18" s="143" t="str">
        <f>IF(W14="","",":")</f>
        <v/>
      </c>
      <c r="R18" s="149" t="str">
        <f>IF(X14="","",IF(V14="W","L",V14))</f>
        <v/>
      </c>
      <c r="S18" s="148" t="str">
        <f>IF(V16="","",IF(X16="l","W",X16))</f>
        <v/>
      </c>
      <c r="T18" s="143" t="str">
        <f>IF(W16="","",":")</f>
        <v/>
      </c>
      <c r="U18" s="149" t="str">
        <f>IF(X16="","",IF(V16="W","L",V16))</f>
        <v/>
      </c>
      <c r="V18" s="1237"/>
      <c r="W18" s="1217"/>
      <c r="X18" s="1218"/>
      <c r="Y18" s="142"/>
      <c r="Z18" s="143" t="str">
        <f>IF(Y17="","",":")</f>
        <v/>
      </c>
      <c r="AA18" s="144"/>
      <c r="AB18" s="142"/>
      <c r="AC18" s="143" t="str">
        <f>IF(AB17="","",":")</f>
        <v/>
      </c>
      <c r="AD18" s="144"/>
      <c r="AE18" s="142"/>
      <c r="AF18" s="143" t="str">
        <f>IF(AE17="","",":")</f>
        <v/>
      </c>
      <c r="AG18" s="144"/>
      <c r="AH18" s="142"/>
      <c r="AI18" s="143" t="str">
        <f>IF(AH17="","",":")</f>
        <v/>
      </c>
      <c r="AJ18" s="144"/>
      <c r="AK18" s="142"/>
      <c r="AL18" s="143" t="str">
        <f>IF(AK17="","",":")</f>
        <v/>
      </c>
      <c r="AM18" s="144"/>
      <c r="AN18" s="142"/>
      <c r="AO18" s="143" t="str">
        <f>IF(AN17="","",":")</f>
        <v/>
      </c>
      <c r="AP18" s="144"/>
      <c r="AQ18" s="142"/>
      <c r="AR18" s="143" t="str">
        <f>IF(AQ17="","",":")</f>
        <v/>
      </c>
      <c r="AS18" s="144"/>
      <c r="AT18" s="142"/>
      <c r="AU18" s="143" t="str">
        <f>IF(AT17="","",":")</f>
        <v/>
      </c>
      <c r="AV18" s="144"/>
      <c r="AW18" s="142"/>
      <c r="AX18" s="143" t="str">
        <f>IF(AW17="","",":")</f>
        <v/>
      </c>
      <c r="AY18" s="144"/>
      <c r="AZ18" s="1224"/>
      <c r="BA18" s="1225"/>
      <c r="BB18" s="1227"/>
      <c r="BC18" s="1228"/>
    </row>
    <row r="19" spans="1:55" ht="15.75" customHeight="1" x14ac:dyDescent="0.25">
      <c r="A19" s="1163">
        <v>8</v>
      </c>
      <c r="B19" s="1229"/>
      <c r="C19" s="140" t="str">
        <f>IF(B19="","",VLOOKUP(B19,'Списки участников'!A:I,3,FALSE))</f>
        <v/>
      </c>
      <c r="D19" s="1219" t="str">
        <f>IF(Y5="","",IF(Y6="W",0,IF(Y5=2,1,IF(Y5=1,2,IF(Y5=0,2)))))</f>
        <v/>
      </c>
      <c r="E19" s="1220"/>
      <c r="F19" s="1221"/>
      <c r="G19" s="1219" t="str">
        <f>IF(Y7="","",IF(Y8="W",0,IF(Y7=2,1,IF(Y7=1,2,IF(Y7=0,2)))))</f>
        <v/>
      </c>
      <c r="H19" s="1220"/>
      <c r="I19" s="1221"/>
      <c r="J19" s="1219" t="str">
        <f>IF(Y9="","",IF(Y10="W",0,IF(Y9=2,1,IF(Y9=1,2,IF(Y9=0,2)))))</f>
        <v/>
      </c>
      <c r="K19" s="1220"/>
      <c r="L19" s="1221"/>
      <c r="M19" s="1219" t="str">
        <f>IF(Y11="","",IF(Y12="W",0,IF(Y11=2,1,IF(Y11=1,2,IF(Y11=0,2)))))</f>
        <v/>
      </c>
      <c r="N19" s="1220"/>
      <c r="O19" s="1221"/>
      <c r="P19" s="1219" t="str">
        <f>IF(Y13="","",IF(Y14="W",0,IF(Y13=2,1,IF(Y13=1,2,IF(Y13=0,2)))))</f>
        <v/>
      </c>
      <c r="Q19" s="1220"/>
      <c r="R19" s="1221"/>
      <c r="S19" s="1219" t="str">
        <f>IF(Y15="","",IF(Y16="W",0,IF(Y15=2,1,IF(Y15=1,2,IF(Y15=0,2)))))</f>
        <v/>
      </c>
      <c r="T19" s="1220"/>
      <c r="U19" s="1221"/>
      <c r="V19" s="1219" t="str">
        <f>IF(Y17="","",IF(Y18="W",0,IF(Y17=2,1,IF(Y17=1,2,IF(Y17=0,2)))))</f>
        <v/>
      </c>
      <c r="W19" s="1220"/>
      <c r="X19" s="1221"/>
      <c r="Y19" s="1234"/>
      <c r="Z19" s="1235"/>
      <c r="AA19" s="1236"/>
      <c r="AB19" s="1219"/>
      <c r="AC19" s="1220"/>
      <c r="AD19" s="1221"/>
      <c r="AE19" s="1219"/>
      <c r="AF19" s="1220"/>
      <c r="AG19" s="1221"/>
      <c r="AH19" s="1219"/>
      <c r="AI19" s="1220"/>
      <c r="AJ19" s="1221"/>
      <c r="AK19" s="1219"/>
      <c r="AL19" s="1220"/>
      <c r="AM19" s="1221"/>
      <c r="AN19" s="1219"/>
      <c r="AO19" s="1220"/>
      <c r="AP19" s="1221"/>
      <c r="AQ19" s="1219"/>
      <c r="AR19" s="1220"/>
      <c r="AS19" s="1221"/>
      <c r="AT19" s="1219"/>
      <c r="AU19" s="1220"/>
      <c r="AV19" s="1221"/>
      <c r="AW19" s="1219"/>
      <c r="AX19" s="1220"/>
      <c r="AY19" s="1221"/>
      <c r="AZ19" s="1222" t="str">
        <f t="shared" ref="AZ19" si="6">IF(B19="","",SUM(G19,J19,M19,P19,S19,V19,Y19,AB19,AE19,AH19,AK19,AN19,AQ19,AT19,AW19))</f>
        <v/>
      </c>
      <c r="BA19" s="1223"/>
      <c r="BB19" s="1226"/>
      <c r="BC19" s="1228" t="str">
        <f>IF(B19="","",RANK(AZ19,Ф1Оч))</f>
        <v/>
      </c>
    </row>
    <row r="20" spans="1:55" ht="15.75" customHeight="1" x14ac:dyDescent="0.25">
      <c r="A20" s="1164"/>
      <c r="B20" s="1230"/>
      <c r="C20" s="141" t="str">
        <f>IF(B19="","",VLOOKUP(B19,'Списки участников'!A:I,6,FALSE))</f>
        <v/>
      </c>
      <c r="D20" s="148" t="str">
        <f>IF(Y6="","",IF(AA6="l","W",AA6))</f>
        <v/>
      </c>
      <c r="E20" s="143" t="str">
        <f>IF(Z6="","",":")</f>
        <v/>
      </c>
      <c r="F20" s="149" t="str">
        <f>IF(AA6="","",IF(Y6="W","L",Y6))</f>
        <v/>
      </c>
      <c r="G20" s="148" t="str">
        <f>IF(Y8="","",IF(AA8="l","W",AA8))</f>
        <v/>
      </c>
      <c r="H20" s="143" t="str">
        <f>IF(Z8="","",":")</f>
        <v/>
      </c>
      <c r="I20" s="149" t="str">
        <f>IF(AA8="","",IF(Y8="W","L",Y8))</f>
        <v/>
      </c>
      <c r="J20" s="148" t="str">
        <f>IF(Y10="","",IF(AA10="l","W",AA10))</f>
        <v/>
      </c>
      <c r="K20" s="143" t="str">
        <f>IF(Z10="","",":")</f>
        <v/>
      </c>
      <c r="L20" s="149" t="str">
        <f>IF(AA10="","",IF(Y10="W","L",Y10))</f>
        <v/>
      </c>
      <c r="M20" s="148" t="str">
        <f>IF(Y12="","",IF(AA12="l","W",AA12))</f>
        <v/>
      </c>
      <c r="N20" s="143" t="str">
        <f>IF(Z12="","",":")</f>
        <v/>
      </c>
      <c r="O20" s="149" t="str">
        <f>IF(AA12="","",IF(Y12="W","L",Y12))</f>
        <v/>
      </c>
      <c r="P20" s="148" t="str">
        <f>IF(Y14="","",IF(AA14="l","W",AA14))</f>
        <v/>
      </c>
      <c r="Q20" s="143" t="str">
        <f>IF(Z14="","",":")</f>
        <v/>
      </c>
      <c r="R20" s="149" t="str">
        <f>IF(AA14="","",IF(Y14="W","L",Y14))</f>
        <v/>
      </c>
      <c r="S20" s="148" t="str">
        <f>IF(Y16="","",IF(AA16="l","W",AA16))</f>
        <v/>
      </c>
      <c r="T20" s="143" t="str">
        <f>IF(Z16="","",":")</f>
        <v/>
      </c>
      <c r="U20" s="149" t="str">
        <f>IF(AA16="","",IF(Y16="W","L",Y16))</f>
        <v/>
      </c>
      <c r="V20" s="148" t="str">
        <f>IF(Y18="","",IF(AA18="l","W",AA18))</f>
        <v/>
      </c>
      <c r="W20" s="143" t="str">
        <f>IF(Z18="","",":")</f>
        <v/>
      </c>
      <c r="X20" s="149" t="str">
        <f>IF(AA18="","",IF(Y18="W","L",Y18))</f>
        <v/>
      </c>
      <c r="Y20" s="1237"/>
      <c r="Z20" s="1217"/>
      <c r="AA20" s="1218"/>
      <c r="AB20" s="142"/>
      <c r="AC20" s="143" t="str">
        <f>IF(AB19="","",":")</f>
        <v/>
      </c>
      <c r="AD20" s="144"/>
      <c r="AE20" s="142"/>
      <c r="AF20" s="143" t="str">
        <f>IF(AE19="","",":")</f>
        <v/>
      </c>
      <c r="AG20" s="144"/>
      <c r="AH20" s="142"/>
      <c r="AI20" s="143" t="str">
        <f>IF(AH19="","",":")</f>
        <v/>
      </c>
      <c r="AJ20" s="144"/>
      <c r="AK20" s="142"/>
      <c r="AL20" s="143" t="str">
        <f>IF(AK19="","",":")</f>
        <v/>
      </c>
      <c r="AM20" s="144"/>
      <c r="AN20" s="142"/>
      <c r="AO20" s="143" t="str">
        <f>IF(AN19="","",":")</f>
        <v/>
      </c>
      <c r="AP20" s="144"/>
      <c r="AQ20" s="142"/>
      <c r="AR20" s="143" t="str">
        <f>IF(AQ19="","",":")</f>
        <v/>
      </c>
      <c r="AS20" s="144"/>
      <c r="AT20" s="142"/>
      <c r="AU20" s="143" t="str">
        <f>IF(AT19="","",":")</f>
        <v/>
      </c>
      <c r="AV20" s="144"/>
      <c r="AW20" s="142"/>
      <c r="AX20" s="143" t="str">
        <f>IF(AW19="","",":")</f>
        <v/>
      </c>
      <c r="AY20" s="144"/>
      <c r="AZ20" s="1224"/>
      <c r="BA20" s="1225"/>
      <c r="BB20" s="1227"/>
      <c r="BC20" s="1228"/>
    </row>
    <row r="21" spans="1:55" ht="15.75" customHeight="1" x14ac:dyDescent="0.25">
      <c r="A21" s="1163">
        <v>9</v>
      </c>
      <c r="B21" s="1213"/>
      <c r="C21" s="140" t="str">
        <f>IF(B21="","",VLOOKUP(B21,'Списки участников'!A:I,3,FALSE))</f>
        <v/>
      </c>
      <c r="D21" s="1219" t="str">
        <f>IF(AB5="","",IF(AB6="W",0,IF(AB5=2,1,IF(AB5=1,2,IF(AB5=0,2)))))</f>
        <v/>
      </c>
      <c r="E21" s="1220"/>
      <c r="F21" s="1221"/>
      <c r="G21" s="1219" t="str">
        <f>IF(AB7="","",IF(AB8="W",0,IF(AB7=2,1,IF(AB7=1,2,IF(AB7=0,2)))))</f>
        <v/>
      </c>
      <c r="H21" s="1220"/>
      <c r="I21" s="1221"/>
      <c r="J21" s="1219" t="str">
        <f>IF(AB9="","",IF(AB10="W",0,IF(AB9=2,1,IF(AB9=1,2,IF(AB9=0,2)))))</f>
        <v/>
      </c>
      <c r="K21" s="1220"/>
      <c r="L21" s="1221"/>
      <c r="M21" s="1219" t="str">
        <f>IF(AB11="","",IF(AB12="W",0,IF(AB11=2,1,IF(AB11=1,2,IF(AB11=0,2)))))</f>
        <v/>
      </c>
      <c r="N21" s="1220"/>
      <c r="O21" s="1221"/>
      <c r="P21" s="1219" t="str">
        <f>IF(AB13="","",IF(AB14="W",0,IF(AB13=2,1,IF(AB13=1,2,IF(AB13=0,2)))))</f>
        <v/>
      </c>
      <c r="Q21" s="1220"/>
      <c r="R21" s="1221"/>
      <c r="S21" s="1219" t="str">
        <f>IF(AB15="","",IF(AB16="W",0,IF(AB15=2,1,IF(AB15=1,2,IF(AB15=0,2)))))</f>
        <v/>
      </c>
      <c r="T21" s="1220"/>
      <c r="U21" s="1221"/>
      <c r="V21" s="1219" t="str">
        <f>IF(AB17="","",IF(AB18="W",0,IF(AB17=2,1,IF(AB17=1,2,IF(AB17=0,2)))))</f>
        <v/>
      </c>
      <c r="W21" s="1220"/>
      <c r="X21" s="1221"/>
      <c r="Y21" s="1219" t="str">
        <f>IF(AB19="","",IF(AB20="W",0,IF(AB19=2,1,IF(AB19=1,2,IF(AB19=0,2)))))</f>
        <v/>
      </c>
      <c r="Z21" s="1220"/>
      <c r="AA21" s="1221"/>
      <c r="AB21" s="1239"/>
      <c r="AC21" s="1215"/>
      <c r="AD21" s="1216"/>
      <c r="AE21" s="1219"/>
      <c r="AF21" s="1220"/>
      <c r="AG21" s="1221"/>
      <c r="AH21" s="1219"/>
      <c r="AI21" s="1220"/>
      <c r="AJ21" s="1221"/>
      <c r="AK21" s="1219"/>
      <c r="AL21" s="1220"/>
      <c r="AM21" s="1221"/>
      <c r="AN21" s="1219"/>
      <c r="AO21" s="1220"/>
      <c r="AP21" s="1221"/>
      <c r="AQ21" s="1219"/>
      <c r="AR21" s="1220"/>
      <c r="AS21" s="1221"/>
      <c r="AT21" s="1219"/>
      <c r="AU21" s="1220"/>
      <c r="AV21" s="1221"/>
      <c r="AW21" s="1219"/>
      <c r="AX21" s="1220"/>
      <c r="AY21" s="1221"/>
      <c r="AZ21" s="1222" t="str">
        <f t="shared" ref="AZ21" si="7">IF(B21="","",SUM(G21,J21,M21,P21,S21,V21,Y21,AB21,AE21,AH21,AK21,AN21,AQ21,AT21,AW21))</f>
        <v/>
      </c>
      <c r="BA21" s="1223"/>
      <c r="BB21" s="1226"/>
      <c r="BC21" s="1228" t="str">
        <f>IF(B21="","",RANK(AZ21,Ф1Оч))</f>
        <v/>
      </c>
    </row>
    <row r="22" spans="1:55" ht="15.75" customHeight="1" x14ac:dyDescent="0.25">
      <c r="A22" s="1164"/>
      <c r="B22" s="1214"/>
      <c r="C22" s="141" t="str">
        <f>IF(B21="","",VLOOKUP(B21,'Списки участников'!A:I,6,FALSE))</f>
        <v/>
      </c>
      <c r="D22" s="148" t="str">
        <f>IF(AB6="","",IF(AD6="l","W",AD6))</f>
        <v/>
      </c>
      <c r="E22" s="143" t="str">
        <f>IF(AC6="","",":")</f>
        <v/>
      </c>
      <c r="F22" s="149" t="str">
        <f>IF(AD6="","",IF(AB6="W","L",AB6))</f>
        <v/>
      </c>
      <c r="G22" s="148" t="str">
        <f>IF(AB8="","",IF(AD8="l","W",AD8))</f>
        <v/>
      </c>
      <c r="H22" s="143" t="str">
        <f>IF(AC8="","",":")</f>
        <v/>
      </c>
      <c r="I22" s="149" t="str">
        <f>IF(AD8="","",IF(AB8="W","L",AB8))</f>
        <v/>
      </c>
      <c r="J22" s="148" t="str">
        <f>IF(AB10="","",IF(AD10="l","W",AD10))</f>
        <v/>
      </c>
      <c r="K22" s="143" t="str">
        <f>IF(AC10="","",":")</f>
        <v/>
      </c>
      <c r="L22" s="149" t="str">
        <f>IF(AD10="","",IF(AB10="W","L",AB10))</f>
        <v/>
      </c>
      <c r="M22" s="148" t="str">
        <f>IF(AB12="","",IF(AD12="l","W",AD12))</f>
        <v/>
      </c>
      <c r="N22" s="143" t="str">
        <f>IF(AC12="","",":")</f>
        <v/>
      </c>
      <c r="O22" s="149" t="str">
        <f>IF(AD12="","",IF(AB12="W","L",AB12))</f>
        <v/>
      </c>
      <c r="P22" s="148" t="str">
        <f>IF(AB14="","",IF(AD14="l","W",AD14))</f>
        <v/>
      </c>
      <c r="Q22" s="143" t="str">
        <f>IF(AC14="","",":")</f>
        <v/>
      </c>
      <c r="R22" s="149" t="str">
        <f>IF(AD14="","",IF(AB14="W","L",AB14))</f>
        <v/>
      </c>
      <c r="S22" s="148" t="str">
        <f>IF(AB16="","",IF(AD16="l","W",AD16))</f>
        <v/>
      </c>
      <c r="T22" s="143" t="str">
        <f>IF(AC16="","",":")</f>
        <v/>
      </c>
      <c r="U22" s="149" t="str">
        <f>IF(AD16="","",IF(AB16="W","L",AB16))</f>
        <v/>
      </c>
      <c r="V22" s="148" t="str">
        <f>IF(AB18="","",IF(AD18="l","W",AD18))</f>
        <v/>
      </c>
      <c r="W22" s="143" t="str">
        <f>IF(AC18="","",":")</f>
        <v/>
      </c>
      <c r="X22" s="149" t="str">
        <f>IF(AD18="","",IF(AB18="W","L",AB18))</f>
        <v/>
      </c>
      <c r="Y22" s="148" t="str">
        <f>IF(AB20="","",IF(AD20="l","W",AD20))</f>
        <v/>
      </c>
      <c r="Z22" s="143" t="str">
        <f>IF(AC20="","",":")</f>
        <v/>
      </c>
      <c r="AA22" s="149" t="str">
        <f>IF(AD20="","",IF(AB20="W","L",AB20))</f>
        <v/>
      </c>
      <c r="AB22" s="1237"/>
      <c r="AC22" s="1217"/>
      <c r="AD22" s="1218"/>
      <c r="AE22" s="142"/>
      <c r="AF22" s="143" t="str">
        <f>IF(AE21="","",":")</f>
        <v/>
      </c>
      <c r="AG22" s="144"/>
      <c r="AH22" s="142"/>
      <c r="AI22" s="143" t="str">
        <f>IF(AH21="","",":")</f>
        <v/>
      </c>
      <c r="AJ22" s="144"/>
      <c r="AK22" s="142"/>
      <c r="AL22" s="143" t="str">
        <f>IF(AK21="","",":")</f>
        <v/>
      </c>
      <c r="AM22" s="144"/>
      <c r="AN22" s="142"/>
      <c r="AO22" s="143" t="str">
        <f>IF(AN21="","",":")</f>
        <v/>
      </c>
      <c r="AP22" s="144"/>
      <c r="AQ22" s="142"/>
      <c r="AR22" s="143" t="str">
        <f>IF(AQ21="","",":")</f>
        <v/>
      </c>
      <c r="AS22" s="144"/>
      <c r="AT22" s="142"/>
      <c r="AU22" s="143" t="str">
        <f>IF(AT21="","",":")</f>
        <v/>
      </c>
      <c r="AV22" s="144"/>
      <c r="AW22" s="142"/>
      <c r="AX22" s="143" t="str">
        <f>IF(AW21="","",":")</f>
        <v/>
      </c>
      <c r="AY22" s="144"/>
      <c r="AZ22" s="1224"/>
      <c r="BA22" s="1225"/>
      <c r="BB22" s="1227"/>
      <c r="BC22" s="1228"/>
    </row>
    <row r="23" spans="1:55" ht="15.75" customHeight="1" x14ac:dyDescent="0.25">
      <c r="A23" s="1163">
        <v>10</v>
      </c>
      <c r="B23" s="1229"/>
      <c r="C23" s="140" t="str">
        <f>IF(B23="","",VLOOKUP(B23,'Списки участников'!A:I,3,FALSE))</f>
        <v/>
      </c>
      <c r="D23" s="1219" t="str">
        <f>IF(AE5="","",IF(AE6="W",0,IF(AE5=2,1,IF(AE5=1,2,IF(AE5=0,2)))))</f>
        <v/>
      </c>
      <c r="E23" s="1220"/>
      <c r="F23" s="1221"/>
      <c r="G23" s="1219" t="str">
        <f>IF(AE7="","",IF(AE8="W",0,IF(AE7=2,1,IF(AE7=1,2,IF(AE7=0,2)))))</f>
        <v/>
      </c>
      <c r="H23" s="1220"/>
      <c r="I23" s="1221"/>
      <c r="J23" s="1219" t="str">
        <f>IF(AE9="","",IF(AE10="W",0,IF(AE9=2,1,IF(AE9=1,2,IF(AE9=0,2)))))</f>
        <v/>
      </c>
      <c r="K23" s="1220"/>
      <c r="L23" s="1221"/>
      <c r="M23" s="1219" t="str">
        <f>IF(AE11="","",IF(AE12="W",0,IF(AE11=2,1,IF(AE11=1,2,IF(AE11=0,2)))))</f>
        <v/>
      </c>
      <c r="N23" s="1220"/>
      <c r="O23" s="1221"/>
      <c r="P23" s="1219" t="str">
        <f>IF(AE13="","",IF(AE14="W",0,IF(AE13=2,1,IF(AE13=1,2,IF(AE13=0,2)))))</f>
        <v/>
      </c>
      <c r="Q23" s="1220"/>
      <c r="R23" s="1221"/>
      <c r="S23" s="1219" t="str">
        <f>IF(AE15="","",IF(AE16="W",0,IF(AE15=2,1,IF(AE15=1,2,IF(AE15=0,2)))))</f>
        <v/>
      </c>
      <c r="T23" s="1220"/>
      <c r="U23" s="1221"/>
      <c r="V23" s="1219" t="str">
        <f>IF(AE17="","",IF(AE18="W",0,IF(AE17=2,1,IF(AE17=1,2,IF(AE17=0,2)))))</f>
        <v/>
      </c>
      <c r="W23" s="1220"/>
      <c r="X23" s="1221"/>
      <c r="Y23" s="1219" t="str">
        <f>IF(AE19="","",IF(AE20="W",0,IF(AE19=2,1,IF(AE19=1,2,IF(AE19=0,2)))))</f>
        <v/>
      </c>
      <c r="Z23" s="1220"/>
      <c r="AA23" s="1221"/>
      <c r="AB23" s="1219" t="str">
        <f>IF(AE21="","",IF(AE22="W",0,IF(AE21=2,1,IF(AE21=1,2,IF(AE21=0,2)))))</f>
        <v/>
      </c>
      <c r="AC23" s="1220"/>
      <c r="AD23" s="1221"/>
      <c r="AE23" s="1234"/>
      <c r="AF23" s="1235"/>
      <c r="AG23" s="1236"/>
      <c r="AH23" s="1219"/>
      <c r="AI23" s="1220"/>
      <c r="AJ23" s="1221"/>
      <c r="AK23" s="1219"/>
      <c r="AL23" s="1220"/>
      <c r="AM23" s="1221"/>
      <c r="AN23" s="1219"/>
      <c r="AO23" s="1220"/>
      <c r="AP23" s="1221"/>
      <c r="AQ23" s="1219"/>
      <c r="AR23" s="1220"/>
      <c r="AS23" s="1221"/>
      <c r="AT23" s="1219"/>
      <c r="AU23" s="1220"/>
      <c r="AV23" s="1221"/>
      <c r="AW23" s="1219"/>
      <c r="AX23" s="1220"/>
      <c r="AY23" s="1221"/>
      <c r="AZ23" s="1222" t="str">
        <f t="shared" ref="AZ23" si="8">IF(B23="","",SUM(G23,J23,M23,P23,S23,V23,Y23,AB23,AE23,AH23,AK23,AN23,AQ23,AT23,AW23))</f>
        <v/>
      </c>
      <c r="BA23" s="1223"/>
      <c r="BB23" s="1226"/>
      <c r="BC23" s="1228" t="str">
        <f>IF(B23="","",RANK(AZ23,Ф1Оч))</f>
        <v/>
      </c>
    </row>
    <row r="24" spans="1:55" ht="15.75" customHeight="1" x14ac:dyDescent="0.25">
      <c r="A24" s="1164"/>
      <c r="B24" s="1230"/>
      <c r="C24" s="141" t="str">
        <f>IF(B23="","",VLOOKUP(B23,'Списки участников'!A:I,6,FALSE))</f>
        <v/>
      </c>
      <c r="D24" s="148" t="str">
        <f>IF(AE6="","",IF(AG6="l","W",AG6))</f>
        <v/>
      </c>
      <c r="E24" s="143" t="str">
        <f>IF(AF6="","",":")</f>
        <v/>
      </c>
      <c r="F24" s="149" t="str">
        <f>IF(AG6="","",IF(AE6="W","L",AE6))</f>
        <v/>
      </c>
      <c r="G24" s="148" t="str">
        <f>IF(AE8="","",IF(AG8="l","W",AG8))</f>
        <v/>
      </c>
      <c r="H24" s="143" t="str">
        <f>IF(AF8="","",":")</f>
        <v/>
      </c>
      <c r="I24" s="149" t="str">
        <f>IF(AG8="","",IF(AE8="W","L",AE8))</f>
        <v/>
      </c>
      <c r="J24" s="148" t="str">
        <f>IF(AE10="","",IF(AG10="l","W",AG10))</f>
        <v/>
      </c>
      <c r="K24" s="143" t="str">
        <f>IF(AF10="","",":")</f>
        <v/>
      </c>
      <c r="L24" s="149" t="str">
        <f>IF(AG10="","",IF(AE10="W","L",AE10))</f>
        <v/>
      </c>
      <c r="M24" s="148" t="str">
        <f>IF(AE12="","",IF(AG12="l","W",AG12))</f>
        <v/>
      </c>
      <c r="N24" s="143" t="str">
        <f>IF(AF12="","",":")</f>
        <v/>
      </c>
      <c r="O24" s="149" t="str">
        <f>IF(AG12="","",IF(AE12="W","L",AE12))</f>
        <v/>
      </c>
      <c r="P24" s="148" t="str">
        <f>IF(AE14="","",IF(AG14="l","W",AG14))</f>
        <v/>
      </c>
      <c r="Q24" s="143" t="str">
        <f>IF(AF14="","",":")</f>
        <v/>
      </c>
      <c r="R24" s="149" t="str">
        <f>IF(AG14="","",IF(AE14="W","L",AE14))</f>
        <v/>
      </c>
      <c r="S24" s="148" t="str">
        <f>IF(AE16="","",IF(AG16="l","W",AG16))</f>
        <v/>
      </c>
      <c r="T24" s="143" t="str">
        <f>IF(AF16="","",":")</f>
        <v/>
      </c>
      <c r="U24" s="149" t="str">
        <f>IF(AG16="","",IF(AE16="W","L",AE16))</f>
        <v/>
      </c>
      <c r="V24" s="148" t="str">
        <f>IF(AE18="","",IF(AG18="l","W",AG18))</f>
        <v/>
      </c>
      <c r="W24" s="143" t="str">
        <f>IF(AF18="","",":")</f>
        <v/>
      </c>
      <c r="X24" s="149" t="str">
        <f>IF(AG18="","",IF(AE18="W","L",AE18))</f>
        <v/>
      </c>
      <c r="Y24" s="148" t="str">
        <f>IF(AE20="","",IF(AG20="l","W",AG20))</f>
        <v/>
      </c>
      <c r="Z24" s="143" t="str">
        <f>IF(AF20="","",":")</f>
        <v/>
      </c>
      <c r="AA24" s="149" t="str">
        <f>IF(AG20="","",IF(AE20="W","L",AE20))</f>
        <v/>
      </c>
      <c r="AB24" s="148" t="str">
        <f>IF(AE22="","",IF(AG22="l","W",AG22))</f>
        <v/>
      </c>
      <c r="AC24" s="143" t="str">
        <f>IF(AE21="","",":")</f>
        <v/>
      </c>
      <c r="AD24" s="149" t="str">
        <f>IF(AG22="","",IF(AE22="W","L",AE22))</f>
        <v/>
      </c>
      <c r="AE24" s="1237"/>
      <c r="AF24" s="1217"/>
      <c r="AG24" s="1218"/>
      <c r="AH24" s="142"/>
      <c r="AI24" s="143" t="str">
        <f>IF(AH23="","",":")</f>
        <v/>
      </c>
      <c r="AJ24" s="144"/>
      <c r="AK24" s="142"/>
      <c r="AL24" s="143" t="str">
        <f>IF(AK23="","",":")</f>
        <v/>
      </c>
      <c r="AM24" s="144"/>
      <c r="AN24" s="142"/>
      <c r="AO24" s="143" t="str">
        <f>IF(AN23="","",":")</f>
        <v/>
      </c>
      <c r="AP24" s="144"/>
      <c r="AQ24" s="142"/>
      <c r="AR24" s="143" t="str">
        <f>IF(AQ23="","",":")</f>
        <v/>
      </c>
      <c r="AS24" s="144"/>
      <c r="AT24" s="142"/>
      <c r="AU24" s="143" t="str">
        <f>IF(AT23="","",":")</f>
        <v/>
      </c>
      <c r="AV24" s="144"/>
      <c r="AW24" s="142"/>
      <c r="AX24" s="143" t="str">
        <f>IF(AW23="","",":")</f>
        <v/>
      </c>
      <c r="AY24" s="144"/>
      <c r="AZ24" s="1224"/>
      <c r="BA24" s="1225"/>
      <c r="BB24" s="1227"/>
      <c r="BC24" s="1228"/>
    </row>
    <row r="25" spans="1:55" ht="15.75" customHeight="1" x14ac:dyDescent="0.25">
      <c r="A25" s="1163">
        <v>11</v>
      </c>
      <c r="B25" s="1213"/>
      <c r="C25" s="140" t="str">
        <f>IF(B25="","",VLOOKUP(B25,'Списки участников'!A:I,3,FALSE))</f>
        <v/>
      </c>
      <c r="D25" s="1219" t="str">
        <f>IF(AH5="","",IF(AH6="W",0,IF(AH5=2,1,IF(AH5=1,2,IF(AH5=0,2)))))</f>
        <v/>
      </c>
      <c r="E25" s="1220"/>
      <c r="F25" s="1221"/>
      <c r="G25" s="1219" t="str">
        <f>IF(AH7="","",IF(AH8="W",0,IF(AH7=2,1,IF(AH7=1,2,IF(AH7=0,2)))))</f>
        <v/>
      </c>
      <c r="H25" s="1220"/>
      <c r="I25" s="1221"/>
      <c r="J25" s="1219" t="str">
        <f>IF(AH9="","",IF(AH10="W",0,IF(AH9=2,1,IF(AH9=1,2,IF(AH9=0,2)))))</f>
        <v/>
      </c>
      <c r="K25" s="1220"/>
      <c r="L25" s="1221"/>
      <c r="M25" s="1219" t="str">
        <f>IF(AH11="","",IF(AH12="W",0,IF(AH11=2,1,IF(AH11=1,2,IF(AH11=0,2)))))</f>
        <v/>
      </c>
      <c r="N25" s="1220"/>
      <c r="O25" s="1221"/>
      <c r="P25" s="1219" t="str">
        <f>IF(AH13="","",IF(AH14="W",0,IF(AH13=2,1,IF(AH13=1,2,IF(AH13=0,2)))))</f>
        <v/>
      </c>
      <c r="Q25" s="1220"/>
      <c r="R25" s="1221"/>
      <c r="S25" s="1219" t="str">
        <f>IF(AH15="","",IF(AH16="W",0,IF(AH15=2,1,IF(AH15=1,2,IF(AH15=0,2)))))</f>
        <v/>
      </c>
      <c r="T25" s="1220"/>
      <c r="U25" s="1221"/>
      <c r="V25" s="1219" t="str">
        <f>IF(AH17="","",IF(AH18="W",0,IF(AH17=2,1,IF(AH17=1,2,IF(AH17=0,2)))))</f>
        <v/>
      </c>
      <c r="W25" s="1220"/>
      <c r="X25" s="1221"/>
      <c r="Y25" s="1219" t="str">
        <f>IF(AH19="","",IF(AH20="W",0,IF(AH19=2,1,IF(AH19=1,2,IF(AH19=0,2)))))</f>
        <v/>
      </c>
      <c r="Z25" s="1220"/>
      <c r="AA25" s="1221"/>
      <c r="AB25" s="1219" t="str">
        <f>IF(AH21="","",IF(AH22="W",0,IF(AH21=2,1,IF(AH21=1,2,IF(AH21=0,2)))))</f>
        <v/>
      </c>
      <c r="AC25" s="1220"/>
      <c r="AD25" s="1221"/>
      <c r="AE25" s="1219" t="str">
        <f>IF(AH23="","",IF(AH24="W",0,IF(AH23=2,1,IF(AH23=1,2,IF(AH23=0,2)))))</f>
        <v/>
      </c>
      <c r="AF25" s="1220"/>
      <c r="AG25" s="1221"/>
      <c r="AH25" s="1234"/>
      <c r="AI25" s="1235"/>
      <c r="AJ25" s="1236"/>
      <c r="AK25" s="1219"/>
      <c r="AL25" s="1220"/>
      <c r="AM25" s="1221"/>
      <c r="AN25" s="1219"/>
      <c r="AO25" s="1220"/>
      <c r="AP25" s="1221"/>
      <c r="AQ25" s="1219"/>
      <c r="AR25" s="1220"/>
      <c r="AS25" s="1221"/>
      <c r="AT25" s="1219"/>
      <c r="AU25" s="1220"/>
      <c r="AV25" s="1221"/>
      <c r="AW25" s="1219"/>
      <c r="AX25" s="1220"/>
      <c r="AY25" s="1221"/>
      <c r="AZ25" s="1222" t="str">
        <f t="shared" ref="AZ25" si="9">IF(B25="","",SUM(G25,J25,M25,P25,S25,V25,Y25,AB25,AE25,AH25,AK25,AN25,AQ25,AT25,AW25))</f>
        <v/>
      </c>
      <c r="BA25" s="1223"/>
      <c r="BB25" s="1226"/>
      <c r="BC25" s="1228" t="str">
        <f>IF(B25="","",RANK(AZ25,Ф1Оч))</f>
        <v/>
      </c>
    </row>
    <row r="26" spans="1:55" ht="15.75" customHeight="1" x14ac:dyDescent="0.25">
      <c r="A26" s="1164"/>
      <c r="B26" s="1214"/>
      <c r="C26" s="141" t="str">
        <f>IF(B25="","",VLOOKUP(B25,'Списки участников'!A:I,6,FALSE))</f>
        <v/>
      </c>
      <c r="D26" s="148" t="str">
        <f>IF(AH6="","",IF(AJ6="l","W",AJ6))</f>
        <v/>
      </c>
      <c r="E26" s="143" t="str">
        <f>IF(AI6="","",":")</f>
        <v/>
      </c>
      <c r="F26" s="149" t="str">
        <f>IF(AJ6="","",IF(AH6="W","L",AH6))</f>
        <v/>
      </c>
      <c r="G26" s="148" t="str">
        <f>IF(AH8="","",IF(AJ8="l","W",AJ8))</f>
        <v/>
      </c>
      <c r="H26" s="143" t="str">
        <f>IF(AI8="","",":")</f>
        <v/>
      </c>
      <c r="I26" s="149" t="str">
        <f>IF(AJ8="","",IF(AH8="W","L",AH8))</f>
        <v/>
      </c>
      <c r="J26" s="148" t="str">
        <f>IF(AH10="","",IF(AJ10="l","W",AJ10))</f>
        <v/>
      </c>
      <c r="K26" s="143" t="str">
        <f>IF(AI10="","",":")</f>
        <v/>
      </c>
      <c r="L26" s="149" t="str">
        <f>IF(AJ10="","",IF(AH10="W","L",AH10))</f>
        <v/>
      </c>
      <c r="M26" s="148" t="str">
        <f>IF(AH12="","",IF(AJ12="l","W",AJ12))</f>
        <v/>
      </c>
      <c r="N26" s="143" t="str">
        <f>IF(AI12="","",":")</f>
        <v/>
      </c>
      <c r="O26" s="149" t="str">
        <f>IF(AJ12="","",IF(AH12="W","L",AH12))</f>
        <v/>
      </c>
      <c r="P26" s="148" t="str">
        <f>IF(AH14="","",IF(AJ14="l","W",AJ14))</f>
        <v/>
      </c>
      <c r="Q26" s="143" t="str">
        <f>IF(AI14="","",":")</f>
        <v/>
      </c>
      <c r="R26" s="149" t="str">
        <f>IF(AJ14="","",IF(AH14="W","L",AH14))</f>
        <v/>
      </c>
      <c r="S26" s="148" t="str">
        <f>IF(AH16="","",IF(AJ16="l","W",AJ16))</f>
        <v/>
      </c>
      <c r="T26" s="143" t="str">
        <f>IF(AI16="","",":")</f>
        <v/>
      </c>
      <c r="U26" s="149" t="str">
        <f>IF(AJ16="","",IF(AH16="W","L",AH16))</f>
        <v/>
      </c>
      <c r="V26" s="148" t="str">
        <f>IF(AH18="","",IF(AJ18="l","W",AJ18))</f>
        <v/>
      </c>
      <c r="W26" s="143" t="str">
        <f>IF(AI18="","",":")</f>
        <v/>
      </c>
      <c r="X26" s="149" t="str">
        <f>IF(AJ18="","",IF(AH18="W","L",AH18))</f>
        <v/>
      </c>
      <c r="Y26" s="148" t="str">
        <f>IF(AH20="","",IF(AJ20="l","W",AJ20))</f>
        <v/>
      </c>
      <c r="Z26" s="143" t="str">
        <f>IF(AI20="","",":")</f>
        <v/>
      </c>
      <c r="AA26" s="149" t="str">
        <f>IF(AJ20="","",IF(AH20="W","L",AH20))</f>
        <v/>
      </c>
      <c r="AB26" s="148" t="str">
        <f>IF(AH22="","",IF(AJ22="l","W",AJ22))</f>
        <v/>
      </c>
      <c r="AC26" s="143" t="str">
        <f>IF(AI22="","",":")</f>
        <v/>
      </c>
      <c r="AD26" s="149" t="str">
        <f>IF(AJ22="","",IF(AH22="W","L",AH22))</f>
        <v/>
      </c>
      <c r="AE26" s="148" t="str">
        <f>IF(AH24="","",IF(AJ24="l","W",AJ24))</f>
        <v/>
      </c>
      <c r="AF26" s="143" t="str">
        <f>IF(AI24="","",":")</f>
        <v/>
      </c>
      <c r="AG26" s="149" t="str">
        <f>IF(AJ24="","",IF(AH24="W","L",AH24))</f>
        <v/>
      </c>
      <c r="AH26" s="1237"/>
      <c r="AI26" s="1217"/>
      <c r="AJ26" s="1218"/>
      <c r="AK26" s="142"/>
      <c r="AL26" s="143" t="str">
        <f>IF(AK25="","",":")</f>
        <v/>
      </c>
      <c r="AM26" s="144"/>
      <c r="AN26" s="142"/>
      <c r="AO26" s="143" t="str">
        <f>IF(AN25="","",":")</f>
        <v/>
      </c>
      <c r="AP26" s="144"/>
      <c r="AQ26" s="142"/>
      <c r="AR26" s="143" t="str">
        <f>IF(AQ25="","",":")</f>
        <v/>
      </c>
      <c r="AS26" s="144"/>
      <c r="AT26" s="142"/>
      <c r="AU26" s="143" t="str">
        <f>IF(AT25="","",":")</f>
        <v/>
      </c>
      <c r="AV26" s="144"/>
      <c r="AW26" s="142"/>
      <c r="AX26" s="143" t="str">
        <f>IF(AW25="","",":")</f>
        <v/>
      </c>
      <c r="AY26" s="144"/>
      <c r="AZ26" s="1224"/>
      <c r="BA26" s="1225"/>
      <c r="BB26" s="1227"/>
      <c r="BC26" s="1228"/>
    </row>
    <row r="27" spans="1:55" ht="15.75" customHeight="1" x14ac:dyDescent="0.25">
      <c r="A27" s="1163">
        <v>12</v>
      </c>
      <c r="B27" s="1229"/>
      <c r="C27" s="140" t="str">
        <f>IF(B27="","",VLOOKUP(B27,'Списки участников'!A:I,3,FALSE))</f>
        <v/>
      </c>
      <c r="D27" s="1219" t="str">
        <f>IF(AK5="","",IF(AK6="W",0,IF(AK5=2,1,IF(AK5=1,2,IF(AK5=0,2)))))</f>
        <v/>
      </c>
      <c r="E27" s="1220"/>
      <c r="F27" s="1221"/>
      <c r="G27" s="1219" t="str">
        <f>IF(AK7="","",IF(AK8="W",0,IF(AK7=2,1,IF(AK7=1,2,IF(AK7=0,2)))))</f>
        <v/>
      </c>
      <c r="H27" s="1220"/>
      <c r="I27" s="1221"/>
      <c r="J27" s="1219" t="str">
        <f>IF(AK9="","",IF(AK10="W",0,IF(AK9=2,1,IF(AK9=1,2,IF(AK9=0,2)))))</f>
        <v/>
      </c>
      <c r="K27" s="1220"/>
      <c r="L27" s="1221"/>
      <c r="M27" s="1219" t="str">
        <f>IF(AK11="","",IF(AK12="W",0,IF(AK11=2,1,IF(AK11=1,2,IF(AK11=0,2)))))</f>
        <v/>
      </c>
      <c r="N27" s="1220"/>
      <c r="O27" s="1221"/>
      <c r="P27" s="1219" t="str">
        <f>IF(AK13="","",IF(AK14="W",0,IF(AK13=2,1,IF(AK13=1,2,IF(AK13=0,2)))))</f>
        <v/>
      </c>
      <c r="Q27" s="1220"/>
      <c r="R27" s="1221"/>
      <c r="S27" s="1219" t="str">
        <f>IF(AK15="","",IF(AK16="W",0,IF(AK15=2,1,IF(AK15=1,2,IF(AK15=0,2)))))</f>
        <v/>
      </c>
      <c r="T27" s="1220"/>
      <c r="U27" s="1221"/>
      <c r="V27" s="1219" t="str">
        <f>IF(AK17="","",IF(AK18="W",0,IF(AK17=2,1,IF(AK17=1,2,IF(AK17=0,2)))))</f>
        <v/>
      </c>
      <c r="W27" s="1220"/>
      <c r="X27" s="1221"/>
      <c r="Y27" s="1219" t="str">
        <f>IF(AK19="","",IF(AK20="W",0,IF(AK19=2,1,IF(AK19=1,2,IF(AK19=0,2)))))</f>
        <v/>
      </c>
      <c r="Z27" s="1220"/>
      <c r="AA27" s="1221"/>
      <c r="AB27" s="1219" t="str">
        <f>IF(AK21="","",IF(AK22="W",0,IF(AK21=2,1,IF(AK21=1,2,IF(AK21=0,2)))))</f>
        <v/>
      </c>
      <c r="AC27" s="1220"/>
      <c r="AD27" s="1221"/>
      <c r="AE27" s="1219" t="str">
        <f>IF(AK23="","",IF(AK24="W",0,IF(AK23=2,1,IF(AK23=1,2,IF(AK23=0,2)))))</f>
        <v/>
      </c>
      <c r="AF27" s="1220"/>
      <c r="AG27" s="1221"/>
      <c r="AH27" s="1219" t="str">
        <f>IF(AK25="","",IF(AK26="W",0,IF(AK25=2,1,IF(AK25=1,2,IF(AK25=0,2)))))</f>
        <v/>
      </c>
      <c r="AI27" s="1220"/>
      <c r="AJ27" s="1221"/>
      <c r="AK27" s="1234"/>
      <c r="AL27" s="1235"/>
      <c r="AM27" s="1236"/>
      <c r="AN27" s="1219"/>
      <c r="AO27" s="1220"/>
      <c r="AP27" s="1221"/>
      <c r="AQ27" s="1219"/>
      <c r="AR27" s="1220"/>
      <c r="AS27" s="1221"/>
      <c r="AT27" s="1219"/>
      <c r="AU27" s="1220"/>
      <c r="AV27" s="1221"/>
      <c r="AW27" s="1219"/>
      <c r="AX27" s="1220"/>
      <c r="AY27" s="1221"/>
      <c r="AZ27" s="1222" t="str">
        <f t="shared" ref="AZ27" si="10">IF(B27="","",SUM(G27,J27,M27,P27,S27,V27,Y27,AB27,AE27,AH27,AK27,AN27,AQ27,AT27,AW27))</f>
        <v/>
      </c>
      <c r="BA27" s="1223"/>
      <c r="BB27" s="1226"/>
      <c r="BC27" s="1228" t="str">
        <f>IF(B27="","",RANK(AZ27,Ф1Оч))</f>
        <v/>
      </c>
    </row>
    <row r="28" spans="1:55" ht="15.75" customHeight="1" x14ac:dyDescent="0.25">
      <c r="A28" s="1164"/>
      <c r="B28" s="1230"/>
      <c r="C28" s="141" t="str">
        <f>IF(B27="","",VLOOKUP(B27,'Списки участников'!A:I,6,FALSE))</f>
        <v/>
      </c>
      <c r="D28" s="148" t="str">
        <f>IF(AK6="","",IF(AM6="l","W",AM6))</f>
        <v/>
      </c>
      <c r="E28" s="143" t="str">
        <f>IF(AL6="","",":")</f>
        <v/>
      </c>
      <c r="F28" s="149" t="str">
        <f>IF(AM6="","",IF(AK6="W","L",AK6))</f>
        <v/>
      </c>
      <c r="G28" s="148" t="str">
        <f>IF(AK8="","",IF(AM8="l","W",AM8))</f>
        <v/>
      </c>
      <c r="H28" s="143" t="str">
        <f>IF(AL8="","",":")</f>
        <v/>
      </c>
      <c r="I28" s="149" t="str">
        <f>IF(AM8="","",IF(AK8="W","L",AK8))</f>
        <v/>
      </c>
      <c r="J28" s="148" t="str">
        <f>IF(AK10="","",IF(AM10="l","W",AM10))</f>
        <v/>
      </c>
      <c r="K28" s="143" t="str">
        <f>IF(AL10="","",":")</f>
        <v/>
      </c>
      <c r="L28" s="149" t="str">
        <f>IF(AM10="","",IF(AK10="W","L",AK10))</f>
        <v/>
      </c>
      <c r="M28" s="148" t="str">
        <f>IF(AK12="","",IF(AM12="l","W",AM12))</f>
        <v/>
      </c>
      <c r="N28" s="143" t="str">
        <f>IF(AL12="","",":")</f>
        <v/>
      </c>
      <c r="O28" s="149" t="str">
        <f>IF(AM12="","",IF(AK12="W","L",AK12))</f>
        <v/>
      </c>
      <c r="P28" s="148" t="str">
        <f>IF(AK14="","",IF(AM14="l","W",AM14))</f>
        <v/>
      </c>
      <c r="Q28" s="143" t="str">
        <f>IF(AL14="","",":")</f>
        <v/>
      </c>
      <c r="R28" s="149" t="str">
        <f>IF(AM14="","",IF(AK14="W","L",AK14))</f>
        <v/>
      </c>
      <c r="S28" s="148" t="str">
        <f>IF(AK16="","",IF(AM16="l","W",AM16))</f>
        <v/>
      </c>
      <c r="T28" s="143" t="str">
        <f>IF(AL16="","",":")</f>
        <v/>
      </c>
      <c r="U28" s="149" t="str">
        <f>IF(AM16="","",IF(AK16="W","L",AK16))</f>
        <v/>
      </c>
      <c r="V28" s="148" t="str">
        <f>IF(AK18="","",IF(AM18="l","W",AM18))</f>
        <v/>
      </c>
      <c r="W28" s="143" t="str">
        <f>IF(AL18="","",":")</f>
        <v/>
      </c>
      <c r="X28" s="149" t="str">
        <f>IF(AM18="","",IF(AK18="W","L",AK18))</f>
        <v/>
      </c>
      <c r="Y28" s="148" t="str">
        <f>IF(AK20="","",IF(AM20="l","W",AM20))</f>
        <v/>
      </c>
      <c r="Z28" s="143" t="str">
        <f>IF(AL20="","",":")</f>
        <v/>
      </c>
      <c r="AA28" s="149" t="str">
        <f>IF(AM20="","",IF(AK20="W","L",AK20))</f>
        <v/>
      </c>
      <c r="AB28" s="148" t="str">
        <f>IF(AK22="","",IF(AM22="l","W",AM22))</f>
        <v/>
      </c>
      <c r="AC28" s="143" t="str">
        <f>IF(AL22="","",":")</f>
        <v/>
      </c>
      <c r="AD28" s="149" t="str">
        <f>IF(AM22="","",IF(AK22="W","L",AK22))</f>
        <v/>
      </c>
      <c r="AE28" s="148" t="str">
        <f>IF(AK24="","",IF(AM24="l","W",AM24))</f>
        <v/>
      </c>
      <c r="AF28" s="143" t="str">
        <f>IF(AL24="","",":")</f>
        <v/>
      </c>
      <c r="AG28" s="149" t="str">
        <f>IF(AM24="","",IF(AK24="W","L",AK24))</f>
        <v/>
      </c>
      <c r="AH28" s="148" t="str">
        <f>IF(AK26="","",IF(AM26="l","W",AM26))</f>
        <v/>
      </c>
      <c r="AI28" s="143" t="str">
        <f>IF(AL26="","",":")</f>
        <v/>
      </c>
      <c r="AJ28" s="149" t="str">
        <f>IF(AM26="","",IF(AK26="W","L",AK26))</f>
        <v/>
      </c>
      <c r="AK28" s="1237"/>
      <c r="AL28" s="1217"/>
      <c r="AM28" s="1218"/>
      <c r="AN28" s="142"/>
      <c r="AO28" s="143" t="str">
        <f>IF(AN27="","",":")</f>
        <v/>
      </c>
      <c r="AP28" s="144"/>
      <c r="AQ28" s="142"/>
      <c r="AR28" s="143" t="str">
        <f>IF(AQ27="","",":")</f>
        <v/>
      </c>
      <c r="AS28" s="144"/>
      <c r="AT28" s="142"/>
      <c r="AU28" s="143" t="str">
        <f>IF(AT27="","",":")</f>
        <v/>
      </c>
      <c r="AV28" s="144"/>
      <c r="AW28" s="142"/>
      <c r="AX28" s="143" t="str">
        <f>IF(AW27="","",":")</f>
        <v/>
      </c>
      <c r="AY28" s="144"/>
      <c r="AZ28" s="1224"/>
      <c r="BA28" s="1225"/>
      <c r="BB28" s="1227"/>
      <c r="BC28" s="1228"/>
    </row>
    <row r="29" spans="1:55" ht="15.75" customHeight="1" x14ac:dyDescent="0.25">
      <c r="A29" s="1163">
        <v>13</v>
      </c>
      <c r="B29" s="1213"/>
      <c r="C29" s="140" t="str">
        <f>IF(B29="","",VLOOKUP(B29,'Списки участников'!A:I,3,FALSE))</f>
        <v/>
      </c>
      <c r="D29" s="1219" t="str">
        <f>IF(AN5="","",IF(AN6="W",0,IF(AN5=2,1,IF(AN5=1,2,IF(AN5=0,2)))))</f>
        <v/>
      </c>
      <c r="E29" s="1220"/>
      <c r="F29" s="1221"/>
      <c r="G29" s="1219" t="str">
        <f>IF(AN7="","",IF(AN8="W",0,IF(AN7=2,1,IF(AN7=1,2,IF(AN7=0,2)))))</f>
        <v/>
      </c>
      <c r="H29" s="1220"/>
      <c r="I29" s="1221"/>
      <c r="J29" s="1219" t="str">
        <f>IF(AN9="","",IF(AN10="W",0,IF(AN9=2,1,IF(AN9=1,2,IF(AN9=0,2)))))</f>
        <v/>
      </c>
      <c r="K29" s="1220"/>
      <c r="L29" s="1221"/>
      <c r="M29" s="1219" t="str">
        <f>IF(AN11="","",IF(AN12="W",0,IF(AN11=2,1,IF(AN11=1,2,IF(AN11=0,2)))))</f>
        <v/>
      </c>
      <c r="N29" s="1220"/>
      <c r="O29" s="1221"/>
      <c r="P29" s="1219" t="str">
        <f>IF(AN13="","",IF(AN14="W",0,IF(AN13=2,1,IF(AN13=1,2,IF(AN13=0,2)))))</f>
        <v/>
      </c>
      <c r="Q29" s="1220"/>
      <c r="R29" s="1221"/>
      <c r="S29" s="1219" t="str">
        <f>IF(AN15="","",IF(AN16="W",0,IF(AN15=2,1,IF(AN15=1,2,IF(AN15=0,2)))))</f>
        <v/>
      </c>
      <c r="T29" s="1220"/>
      <c r="U29" s="1221"/>
      <c r="V29" s="1219" t="str">
        <f>IF(AN17="","",IF(AN18="W",0,IF(AN17=2,1,IF(AN17=1,2,IF(AN17=0,2)))))</f>
        <v/>
      </c>
      <c r="W29" s="1220"/>
      <c r="X29" s="1221"/>
      <c r="Y29" s="1219" t="str">
        <f>IF(AN19="","",IF(AN20="W",0,IF(AN19=2,1,IF(AN19=1,2,IF(AN19=0,2)))))</f>
        <v/>
      </c>
      <c r="Z29" s="1220"/>
      <c r="AA29" s="1221"/>
      <c r="AB29" s="1219" t="str">
        <f>IF(AN21="","",IF(AN22="W",0,IF(AN21=2,1,IF(AN21=1,2,IF(AN21=0,2)))))</f>
        <v/>
      </c>
      <c r="AC29" s="1220"/>
      <c r="AD29" s="1221"/>
      <c r="AE29" s="1219" t="str">
        <f>IF(AN23="","",IF(AN24="W",0,IF(AN23=2,1,IF(AN23=1,2,IF(AN23=0,2)))))</f>
        <v/>
      </c>
      <c r="AF29" s="1220"/>
      <c r="AG29" s="1221"/>
      <c r="AH29" s="1219" t="str">
        <f>IF(AN25="","",IF(AN26="W",0,IF(AN25=2,1,IF(AN25=1,2,IF(AN25=0,2)))))</f>
        <v/>
      </c>
      <c r="AI29" s="1220"/>
      <c r="AJ29" s="1221"/>
      <c r="AK29" s="1219" t="str">
        <f>IF(AN27="","",IF(AN28="W",0,IF(AN27=2,1,IF(AN27=1,2,IF(AN27=0,2)))))</f>
        <v/>
      </c>
      <c r="AL29" s="1220"/>
      <c r="AM29" s="1221"/>
      <c r="AN29" s="1234"/>
      <c r="AO29" s="1235"/>
      <c r="AP29" s="1236"/>
      <c r="AQ29" s="1219"/>
      <c r="AR29" s="1220"/>
      <c r="AS29" s="1221"/>
      <c r="AT29" s="1219"/>
      <c r="AU29" s="1220"/>
      <c r="AV29" s="1221"/>
      <c r="AW29" s="1219"/>
      <c r="AX29" s="1220"/>
      <c r="AY29" s="1221"/>
      <c r="AZ29" s="1222" t="str">
        <f t="shared" ref="AZ29" si="11">IF(B29="","",SUM(G29,J29,M29,P29,S29,V29,Y29,AB29,AE29,AH29,AK29,AN29,AQ29,AT29,AW29))</f>
        <v/>
      </c>
      <c r="BA29" s="1223"/>
      <c r="BB29" s="1226"/>
      <c r="BC29" s="1228" t="str">
        <f>IF(B29="","",RANK(AZ29,Ф1Оч))</f>
        <v/>
      </c>
    </row>
    <row r="30" spans="1:55" ht="15.75" customHeight="1" x14ac:dyDescent="0.25">
      <c r="A30" s="1164"/>
      <c r="B30" s="1214"/>
      <c r="C30" s="141" t="str">
        <f>IF(B29="","",VLOOKUP(B29,'Списки участников'!A:I,6,FALSE))</f>
        <v/>
      </c>
      <c r="D30" s="148" t="str">
        <f>IF(AN6="","",IF(AP6="l","W",AP6))</f>
        <v/>
      </c>
      <c r="E30" s="143" t="str">
        <f>IF(AO6="","",":")</f>
        <v/>
      </c>
      <c r="F30" s="149" t="str">
        <f>IF(AP6="","",IF(AN6="W","L",AN6))</f>
        <v/>
      </c>
      <c r="G30" s="148" t="str">
        <f>IF(AN8="","",IF(AP8="l","W",AP8))</f>
        <v/>
      </c>
      <c r="H30" s="143" t="str">
        <f>IF(AO8="","",":")</f>
        <v/>
      </c>
      <c r="I30" s="149" t="str">
        <f>IF(AP8="","",IF(AN8="W","L",AN8))</f>
        <v/>
      </c>
      <c r="J30" s="148" t="str">
        <f>IF(AN10="","",IF(AP10="l","W",AP10))</f>
        <v/>
      </c>
      <c r="K30" s="143" t="str">
        <f>IF(AO10="","",":")</f>
        <v/>
      </c>
      <c r="L30" s="149" t="str">
        <f>IF(AP10="","",IF(AN10="W","L",AN10))</f>
        <v/>
      </c>
      <c r="M30" s="148" t="str">
        <f>IF(AN12="","",IF(AP12="l","W",AP12))</f>
        <v/>
      </c>
      <c r="N30" s="143" t="str">
        <f>IF(AO12="","",":")</f>
        <v/>
      </c>
      <c r="O30" s="149" t="str">
        <f>IF(AP12="","",IF(AN12="W","L",AN12))</f>
        <v/>
      </c>
      <c r="P30" s="148" t="str">
        <f>IF(AN14="","",IF(AP14="l","W",AP14))</f>
        <v/>
      </c>
      <c r="Q30" s="143" t="str">
        <f>IF(AO14="","",":")</f>
        <v/>
      </c>
      <c r="R30" s="149" t="str">
        <f>IF(AP14="","",IF(AN14="W","L",AN14))</f>
        <v/>
      </c>
      <c r="S30" s="148" t="str">
        <f>IF(AN16="","",IF(AP16="l","W",AP16))</f>
        <v/>
      </c>
      <c r="T30" s="143" t="str">
        <f>IF(AO16="","",":")</f>
        <v/>
      </c>
      <c r="U30" s="149" t="str">
        <f>IF(AP16="","",IF(AN16="W","L",AN16))</f>
        <v/>
      </c>
      <c r="V30" s="148" t="str">
        <f>IF(AN18="","",IF(AP18="l","W",AP18))</f>
        <v/>
      </c>
      <c r="W30" s="143" t="str">
        <f>IF(AO18="","",":")</f>
        <v/>
      </c>
      <c r="X30" s="149" t="str">
        <f>IF(AP18="","",IF(AN18="W","L",AN18))</f>
        <v/>
      </c>
      <c r="Y30" s="148" t="str">
        <f>IF(AN20="","",IF(AP20="l","W",AP20))</f>
        <v/>
      </c>
      <c r="Z30" s="143" t="str">
        <f>IF(AO20="","",":")</f>
        <v/>
      </c>
      <c r="AA30" s="149" t="str">
        <f>IF(AP20="","",IF(AN20="W","L",AN20))</f>
        <v/>
      </c>
      <c r="AB30" s="148" t="str">
        <f>IF(AN22="","",IF(AP22="l","W",AP22))</f>
        <v/>
      </c>
      <c r="AC30" s="143" t="str">
        <f>IF(AO22="","",":")</f>
        <v/>
      </c>
      <c r="AD30" s="149" t="str">
        <f>IF(AP22="","",IF(AN22="W","L",AN22))</f>
        <v/>
      </c>
      <c r="AE30" s="148" t="str">
        <f>IF(AN24="","",IF(AP24="l","W",AP24))</f>
        <v/>
      </c>
      <c r="AF30" s="143" t="str">
        <f>IF(AO24="","",":")</f>
        <v/>
      </c>
      <c r="AG30" s="149" t="str">
        <f>IF(AP24="","",IF(AN24="W","L",AN24))</f>
        <v/>
      </c>
      <c r="AH30" s="148" t="str">
        <f>IF(AN26="","",IF(AP26="l","W",AP26))</f>
        <v/>
      </c>
      <c r="AI30" s="143" t="str">
        <f>IF(AO26="","",":")</f>
        <v/>
      </c>
      <c r="AJ30" s="149" t="str">
        <f>IF(AP26="","",IF(AN26="W","L",AN26))</f>
        <v/>
      </c>
      <c r="AK30" s="148" t="str">
        <f>IF(AN28="","",IF(AP28="l","W",AP28))</f>
        <v/>
      </c>
      <c r="AL30" s="143" t="str">
        <f>IF(AO28="","",":")</f>
        <v/>
      </c>
      <c r="AM30" s="149" t="str">
        <f>IF(AP28="","",IF(AN28="W","L",AN28))</f>
        <v/>
      </c>
      <c r="AN30" s="1237"/>
      <c r="AO30" s="1217"/>
      <c r="AP30" s="1218"/>
      <c r="AQ30" s="142"/>
      <c r="AR30" s="143" t="str">
        <f>IF(AQ29="","",":")</f>
        <v/>
      </c>
      <c r="AS30" s="144"/>
      <c r="AT30" s="142"/>
      <c r="AU30" s="143" t="str">
        <f>IF(AT29="","",":")</f>
        <v/>
      </c>
      <c r="AV30" s="144"/>
      <c r="AW30" s="142"/>
      <c r="AX30" s="143" t="str">
        <f>IF(AW29="","",":")</f>
        <v/>
      </c>
      <c r="AY30" s="144"/>
      <c r="AZ30" s="1224"/>
      <c r="BA30" s="1225"/>
      <c r="BB30" s="1227"/>
      <c r="BC30" s="1228"/>
    </row>
    <row r="31" spans="1:55" ht="15.75" customHeight="1" x14ac:dyDescent="0.25">
      <c r="A31" s="1163">
        <v>14</v>
      </c>
      <c r="B31" s="1229"/>
      <c r="C31" s="140" t="str">
        <f>IF(B31="","",VLOOKUP(B31,'Списки участников'!A:I,3,FALSE))</f>
        <v/>
      </c>
      <c r="D31" s="1219" t="str">
        <f>IF(AQ5="","",IF(AQ6="W",0,IF(AQ5=2,1,IF(AQ5=1,2,IF(AQ5=0,2)))))</f>
        <v/>
      </c>
      <c r="E31" s="1220"/>
      <c r="F31" s="1221"/>
      <c r="G31" s="1219" t="str">
        <f>IF(AQ7="","",IF(AQ8="W",0,IF(AQ7=2,1,IF(AQ7=1,2,IF(AQ7=0,2)))))</f>
        <v/>
      </c>
      <c r="H31" s="1220"/>
      <c r="I31" s="1221"/>
      <c r="J31" s="1219" t="str">
        <f>IF(AQ9="","",IF(AQ10="W",0,IF(AQ9=2,1,IF(AQ9=1,2,IF(AQ9=0,2)))))</f>
        <v/>
      </c>
      <c r="K31" s="1220"/>
      <c r="L31" s="1221"/>
      <c r="M31" s="1219" t="str">
        <f>IF(AQ11="","",IF(AQ12="W",0,IF(AQ11=2,1,IF(AQ11=1,2,IF(AQ11=0,2)))))</f>
        <v/>
      </c>
      <c r="N31" s="1220"/>
      <c r="O31" s="1221"/>
      <c r="P31" s="1219" t="str">
        <f>IF(AQ13="","",IF(AQ14="W",0,IF(AQ13=2,1,IF(AQ13=1,2,IF(AQ13=0,2)))))</f>
        <v/>
      </c>
      <c r="Q31" s="1220"/>
      <c r="R31" s="1221"/>
      <c r="S31" s="1219" t="str">
        <f>IF(AQ15="","",IF(AQ16="W",0,IF(AQ15=2,1,IF(AQ15=1,2,IF(AQ15=0,2)))))</f>
        <v/>
      </c>
      <c r="T31" s="1220"/>
      <c r="U31" s="1221"/>
      <c r="V31" s="1219" t="str">
        <f>IF(AQ17="","",IF(AQ18="W",0,IF(AQ17=2,1,IF(AQ17=1,2,IF(AQ17=0,2)))))</f>
        <v/>
      </c>
      <c r="W31" s="1220"/>
      <c r="X31" s="1221"/>
      <c r="Y31" s="1219" t="str">
        <f>IF(AQ19="","",IF(AQ20="W",0,IF(AQ19=2,1,IF(AQ19=1,2,IF(AQ19=0,2)))))</f>
        <v/>
      </c>
      <c r="Z31" s="1220"/>
      <c r="AA31" s="1221"/>
      <c r="AB31" s="1219" t="str">
        <f>IF(AQ21="","",IF(AQ22="W",0,IF(AQ21=2,1,IF(AQ21=1,2,IF(AQ21=0,2)))))</f>
        <v/>
      </c>
      <c r="AC31" s="1220"/>
      <c r="AD31" s="1221"/>
      <c r="AE31" s="1219" t="str">
        <f>IF(AQ23="","",IF(AQ24="W",0,IF(AQ23=2,1,IF(AQ23=1,2,IF(AQ23=0,2)))))</f>
        <v/>
      </c>
      <c r="AF31" s="1220"/>
      <c r="AG31" s="1221"/>
      <c r="AH31" s="1219" t="str">
        <f>IF(AQ25="","",IF(AQ26="W",0,IF(AQ25=2,1,IF(AQ25=1,2,IF(AQ25=0,2)))))</f>
        <v/>
      </c>
      <c r="AI31" s="1220"/>
      <c r="AJ31" s="1221"/>
      <c r="AK31" s="1219" t="str">
        <f>IF(AQ27="","",IF(AQ28="W",0,IF(AQ27=2,1,IF(AQ27=1,2,IF(AQ27=0,2)))))</f>
        <v/>
      </c>
      <c r="AL31" s="1220"/>
      <c r="AM31" s="1221"/>
      <c r="AN31" s="1219" t="str">
        <f>IF(AQ29="","",IF(AQ30="W",0,IF(AQ29=2,1,IF(AQ29=1,2,IF(AQ29=0,2)))))</f>
        <v/>
      </c>
      <c r="AO31" s="1220"/>
      <c r="AP31" s="1221"/>
      <c r="AQ31" s="1234"/>
      <c r="AR31" s="1235"/>
      <c r="AS31" s="1236"/>
      <c r="AT31" s="1219"/>
      <c r="AU31" s="1220"/>
      <c r="AV31" s="1221"/>
      <c r="AW31" s="1219"/>
      <c r="AX31" s="1220"/>
      <c r="AY31" s="1221"/>
      <c r="AZ31" s="1222" t="str">
        <f t="shared" ref="AZ31" si="12">IF(B31="","",SUM(G31,J31,M31,P31,S31,V31,Y31,AB31,AE31,AH31,AK31,AN31,AQ31,AT31,AW31))</f>
        <v/>
      </c>
      <c r="BA31" s="1223"/>
      <c r="BB31" s="1226"/>
      <c r="BC31" s="1228" t="str">
        <f>IF(B31="","",RANK(AZ31,Ф1Оч))</f>
        <v/>
      </c>
    </row>
    <row r="32" spans="1:55" ht="15.75" customHeight="1" x14ac:dyDescent="0.25">
      <c r="A32" s="1164"/>
      <c r="B32" s="1230"/>
      <c r="C32" s="141" t="str">
        <f>IF(B31="","",VLOOKUP(B31,'Списки участников'!A:I,6,FALSE))</f>
        <v/>
      </c>
      <c r="D32" s="148" t="str">
        <f>IF(AQ6="","",IF(AS6="l","W",AS6))</f>
        <v/>
      </c>
      <c r="E32" s="143" t="str">
        <f>IF(AR6="","",":")</f>
        <v/>
      </c>
      <c r="F32" s="149" t="str">
        <f>IF(AS6="","",IF(AQ6="W","L",AQ6))</f>
        <v/>
      </c>
      <c r="G32" s="148" t="str">
        <f>IF(AQ8="","",IF(AS8="l","W",AS8))</f>
        <v/>
      </c>
      <c r="H32" s="143" t="str">
        <f>IF(AR8="","",":")</f>
        <v/>
      </c>
      <c r="I32" s="149" t="str">
        <f>IF(AS8="","",IF(AQ8="W","L",AQ8))</f>
        <v/>
      </c>
      <c r="J32" s="148" t="str">
        <f>IF(AQ10="","",IF(AS10="l","W",AS10))</f>
        <v/>
      </c>
      <c r="K32" s="143" t="str">
        <f>IF(AR10="","",":")</f>
        <v/>
      </c>
      <c r="L32" s="149" t="str">
        <f>IF(AS10="","",IF(AQ10="W","L",AQ10))</f>
        <v/>
      </c>
      <c r="M32" s="148" t="str">
        <f>IF(AQ12="","",IF(AS12="l","W",AS12))</f>
        <v/>
      </c>
      <c r="N32" s="143" t="str">
        <f>IF(AR12="","",":")</f>
        <v/>
      </c>
      <c r="O32" s="149" t="str">
        <f>IF(AS12="","",IF(AQ12="W","L",AQ12))</f>
        <v/>
      </c>
      <c r="P32" s="148" t="str">
        <f>IF(AQ14="","",IF(AS14="l","W",AS14))</f>
        <v/>
      </c>
      <c r="Q32" s="143" t="str">
        <f>IF(AR14="","",":")</f>
        <v/>
      </c>
      <c r="R32" s="149" t="str">
        <f>IF(AS14="","",IF(AQ14="W","L",AQ14))</f>
        <v/>
      </c>
      <c r="S32" s="148" t="str">
        <f>IF(AQ16="","",IF(AS16="l","W",AS16))</f>
        <v/>
      </c>
      <c r="T32" s="143" t="str">
        <f>IF(AR16="","",":")</f>
        <v/>
      </c>
      <c r="U32" s="149" t="str">
        <f>IF(AS16="","",IF(AQ16="W","L",AQ16))</f>
        <v/>
      </c>
      <c r="V32" s="148" t="str">
        <f>IF(AQ18="","",IF(AS18="l","W",AS18))</f>
        <v/>
      </c>
      <c r="W32" s="143" t="str">
        <f>IF(AR18="","",":")</f>
        <v/>
      </c>
      <c r="X32" s="149" t="str">
        <f>IF(AS18="","",IF(AQ18="W","L",AQ18))</f>
        <v/>
      </c>
      <c r="Y32" s="148" t="str">
        <f>IF(AQ20="","",IF(AS20="l","W",AS20))</f>
        <v/>
      </c>
      <c r="Z32" s="143" t="str">
        <f>IF(AR20="","",":")</f>
        <v/>
      </c>
      <c r="AA32" s="149" t="str">
        <f>IF(AS20="","",IF(AQ20="W","L",AQ20))</f>
        <v/>
      </c>
      <c r="AB32" s="148" t="str">
        <f>IF(AQ22="","",IF(AS22="l","W",AS22))</f>
        <v/>
      </c>
      <c r="AC32" s="143" t="str">
        <f>IF(AR22="","",":")</f>
        <v/>
      </c>
      <c r="AD32" s="149" t="str">
        <f>IF(AS22="","",IF(AQ22="W","L",AQ22))</f>
        <v/>
      </c>
      <c r="AE32" s="148" t="str">
        <f>IF(AQ24="","",IF(AS24="l","W",AS24))</f>
        <v/>
      </c>
      <c r="AF32" s="143" t="str">
        <f>IF(AR24="","",":")</f>
        <v/>
      </c>
      <c r="AG32" s="149" t="str">
        <f>IF(AS24="","",IF(AQ24="W","L",AQ24))</f>
        <v/>
      </c>
      <c r="AH32" s="148" t="str">
        <f>IF(AQ26="","",IF(AS26="l","W",AS26))</f>
        <v/>
      </c>
      <c r="AI32" s="143" t="str">
        <f>IF(AR26="","",":")</f>
        <v/>
      </c>
      <c r="AJ32" s="149" t="str">
        <f>IF(AS26="","",IF(AQ26="W","L",AQ26))</f>
        <v/>
      </c>
      <c r="AK32" s="148" t="str">
        <f>IF(AQ28="","",IF(AS28="l","W",AS28))</f>
        <v/>
      </c>
      <c r="AL32" s="143" t="str">
        <f>IF(AR28="","",":")</f>
        <v/>
      </c>
      <c r="AM32" s="149" t="str">
        <f>IF(AS28="","",IF(AQ28="W","L",AQ28))</f>
        <v/>
      </c>
      <c r="AN32" s="148" t="str">
        <f>IF(AQ30="","",IF(AS30="l","W",AS30))</f>
        <v/>
      </c>
      <c r="AO32" s="143" t="str">
        <f>IF(AR30="","",":")</f>
        <v/>
      </c>
      <c r="AP32" s="149" t="str">
        <f>IF(AS30="","",IF(AQ30="W","L",AQ30))</f>
        <v/>
      </c>
      <c r="AQ32" s="1237"/>
      <c r="AR32" s="1217"/>
      <c r="AS32" s="1218"/>
      <c r="AT32" s="142"/>
      <c r="AU32" s="143" t="str">
        <f>IF(AT31="","",":")</f>
        <v/>
      </c>
      <c r="AV32" s="144"/>
      <c r="AW32" s="142"/>
      <c r="AX32" s="143" t="str">
        <f>IF(AW31="","",":")</f>
        <v/>
      </c>
      <c r="AY32" s="144"/>
      <c r="AZ32" s="1224"/>
      <c r="BA32" s="1225"/>
      <c r="BB32" s="1227"/>
      <c r="BC32" s="1228"/>
    </row>
    <row r="33" spans="1:55" ht="15.75" customHeight="1" x14ac:dyDescent="0.25">
      <c r="A33" s="1240">
        <v>15</v>
      </c>
      <c r="B33" s="1213"/>
      <c r="C33" s="140" t="str">
        <f>IF(B33="","",VLOOKUP(B33,'Списки участников'!A:I,3,FALSE))</f>
        <v/>
      </c>
      <c r="D33" s="1219" t="str">
        <f>IF(AT5="","",IF(AT6="W",0,IF(AT5=2,1,IF(AT5=1,2,IF(AT5=0,2)))))</f>
        <v/>
      </c>
      <c r="E33" s="1220"/>
      <c r="F33" s="1221"/>
      <c r="G33" s="1219" t="str">
        <f>IF(AT7="","",IF(AT8="W",0,IF(AT7=2,1,IF(AT7=1,2,IF(AT7=0,2)))))</f>
        <v/>
      </c>
      <c r="H33" s="1220"/>
      <c r="I33" s="1221"/>
      <c r="J33" s="1219" t="str">
        <f>IF(AT9="","",IF(AT10="W",0,IF(AT9=2,1,IF(AT9=1,2,IF(AT9=0,2)))))</f>
        <v/>
      </c>
      <c r="K33" s="1220"/>
      <c r="L33" s="1221"/>
      <c r="M33" s="1219" t="str">
        <f>IF(AT11="","",IF(AT12="W",0,IF(AT11=2,1,IF(AT11=1,2,IF(AT11=0,2)))))</f>
        <v/>
      </c>
      <c r="N33" s="1220"/>
      <c r="O33" s="1221"/>
      <c r="P33" s="1219" t="str">
        <f>IF(AT13="","",IF(AT14="W",0,IF(AT13=2,1,IF(AT13=1,2,IF(AT13=0,2)))))</f>
        <v/>
      </c>
      <c r="Q33" s="1220"/>
      <c r="R33" s="1221"/>
      <c r="S33" s="1219" t="str">
        <f>IF(AT15="","",IF(AT16="W",0,IF(AT15=2,1,IF(AT15=1,2,IF(AT15=0,2)))))</f>
        <v/>
      </c>
      <c r="T33" s="1220"/>
      <c r="U33" s="1221"/>
      <c r="V33" s="1219" t="str">
        <f>IF(AT17="","",IF(AT18="W",0,IF(AT17=2,1,IF(AT17=1,2,IF(AT17=0,2)))))</f>
        <v/>
      </c>
      <c r="W33" s="1220"/>
      <c r="X33" s="1221"/>
      <c r="Y33" s="1219" t="str">
        <f>IF(AT19="","",IF(AT20="W",0,IF(AT19=2,1,IF(AT19=1,2,IF(AT19=0,2)))))</f>
        <v/>
      </c>
      <c r="Z33" s="1220"/>
      <c r="AA33" s="1221"/>
      <c r="AB33" s="1219" t="str">
        <f>IF(AT21="","",IF(AT22="W",0,IF(AT21=2,1,IF(AT21=1,2,IF(AT21=0,2)))))</f>
        <v/>
      </c>
      <c r="AC33" s="1220"/>
      <c r="AD33" s="1221"/>
      <c r="AE33" s="1219" t="str">
        <f>IF(AT23="","",IF(AT24="W",0,IF(AT23=2,1,IF(AT23=1,2,IF(AT23=0,2)))))</f>
        <v/>
      </c>
      <c r="AF33" s="1220"/>
      <c r="AG33" s="1221"/>
      <c r="AH33" s="1219" t="str">
        <f>IF(AT25="","",IF(AT26="W",0,IF(AT25=2,1,IF(AT25=1,2,IF(AT25=0,2)))))</f>
        <v/>
      </c>
      <c r="AI33" s="1220"/>
      <c r="AJ33" s="1221"/>
      <c r="AK33" s="1219" t="str">
        <f>IF(AT27="","",IF(AT28="W",0,IF(AT27=2,1,IF(AT27=1,2,IF(AT27=0,2)))))</f>
        <v/>
      </c>
      <c r="AL33" s="1220"/>
      <c r="AM33" s="1221"/>
      <c r="AN33" s="1219" t="str">
        <f>IF(AT29="","",IF(AT30="W",0,IF(AT29=2,1,IF(AT29=1,2,IF(AT29=0,2)))))</f>
        <v/>
      </c>
      <c r="AO33" s="1220"/>
      <c r="AP33" s="1221"/>
      <c r="AQ33" s="1219" t="str">
        <f>IF(AT31="","",IF(AT32="W",0,IF(AT31=2,1,IF(AT31=1,2,IF(AT31=0,2)))))</f>
        <v/>
      </c>
      <c r="AR33" s="1220"/>
      <c r="AS33" s="1221"/>
      <c r="AT33" s="1239"/>
      <c r="AU33" s="1215"/>
      <c r="AV33" s="1216"/>
      <c r="AW33" s="1219"/>
      <c r="AX33" s="1220"/>
      <c r="AY33" s="1221"/>
      <c r="AZ33" s="1222" t="str">
        <f t="shared" ref="AZ33" si="13">IF(B33="","",SUM(G33,J33,M33,P33,S33,V33,Y33,AB33,AE33,AH33,AK33,AN33,AQ33,AT33,AW33))</f>
        <v/>
      </c>
      <c r="BA33" s="1223"/>
      <c r="BB33" s="1226"/>
      <c r="BC33" s="1228" t="str">
        <f>IF(B33="","",RANK(AZ33,Ф1Оч))</f>
        <v/>
      </c>
    </row>
    <row r="34" spans="1:55" ht="15.75" customHeight="1" x14ac:dyDescent="0.25">
      <c r="A34" s="1241"/>
      <c r="B34" s="1214"/>
      <c r="C34" s="141" t="str">
        <f>IF(B33="","",VLOOKUP(B33,'Списки участников'!A:I,6,FALSE))</f>
        <v/>
      </c>
      <c r="D34" s="148" t="str">
        <f>IF(AT6="","",IF(AV6="l","W",AV6))</f>
        <v/>
      </c>
      <c r="E34" s="143" t="str">
        <f>IF(AU6="","",":")</f>
        <v/>
      </c>
      <c r="F34" s="149" t="str">
        <f>IF(AV6="","",IF(AT6="W","L",AT6))</f>
        <v/>
      </c>
      <c r="G34" s="148" t="str">
        <f>IF(AT8="","",IF(AV8="l","W",AV8))</f>
        <v/>
      </c>
      <c r="H34" s="143" t="str">
        <f>IF(AU8="","",":")</f>
        <v/>
      </c>
      <c r="I34" s="149" t="str">
        <f>IF(AV8="","",IF(AT8="W","L",AT8))</f>
        <v/>
      </c>
      <c r="J34" s="148" t="str">
        <f>IF(AT10="","",IF(AV10="l","W",AV10))</f>
        <v/>
      </c>
      <c r="K34" s="143" t="str">
        <f>IF(AU10="","",":")</f>
        <v/>
      </c>
      <c r="L34" s="149" t="str">
        <f>IF(AV10="","",IF(AT10="W","L",AT10))</f>
        <v/>
      </c>
      <c r="M34" s="148" t="str">
        <f>IF(AT12="","",IF(AV12="l","W",AV12))</f>
        <v/>
      </c>
      <c r="N34" s="143" t="str">
        <f>IF(AU12="","",":")</f>
        <v/>
      </c>
      <c r="O34" s="149" t="str">
        <f>IF(AV12="","",IF(AT12="W","L",AT12))</f>
        <v/>
      </c>
      <c r="P34" s="148" t="str">
        <f>IF(AT14="","",IF(AV14="l","W",AV14))</f>
        <v/>
      </c>
      <c r="Q34" s="143" t="str">
        <f>IF(AU14="","",":")</f>
        <v/>
      </c>
      <c r="R34" s="149" t="str">
        <f>IF(AV14="","",IF(AT14="W","L",AT14))</f>
        <v/>
      </c>
      <c r="S34" s="148" t="str">
        <f>IF(AT16="","",IF(AV16="l","W",AV16))</f>
        <v/>
      </c>
      <c r="T34" s="143" t="str">
        <f>IF(AU16="","",":")</f>
        <v/>
      </c>
      <c r="U34" s="149" t="str">
        <f>IF(AV16="","",IF(AT16="W","L",AT16))</f>
        <v/>
      </c>
      <c r="V34" s="148" t="str">
        <f>IF(AT18="","",IF(AV18="l","W",AV18))</f>
        <v/>
      </c>
      <c r="W34" s="143" t="str">
        <f>IF(AU18="","",":")</f>
        <v/>
      </c>
      <c r="X34" s="149" t="str">
        <f>IF(AV18="","",IF(AT18="W","L",AT18))</f>
        <v/>
      </c>
      <c r="Y34" s="148" t="str">
        <f>IF(AT20="","",IF(AV20="l","W",AV20))</f>
        <v/>
      </c>
      <c r="Z34" s="143" t="str">
        <f>IF(AU20="","",":")</f>
        <v/>
      </c>
      <c r="AA34" s="149" t="str">
        <f>IF(AV20="","",IF(AT20="W","L",AT20))</f>
        <v/>
      </c>
      <c r="AB34" s="148" t="str">
        <f>IF(AT22="","",IF(AV22="l","W",AV22))</f>
        <v/>
      </c>
      <c r="AC34" s="143" t="str">
        <f>IF(AU22="","",":")</f>
        <v/>
      </c>
      <c r="AD34" s="149" t="str">
        <f>IF(AV22="","",IF(AT22="W","L",AT22))</f>
        <v/>
      </c>
      <c r="AE34" s="148" t="str">
        <f>IF(AT24="","",IF(AV24="l","W",AV24))</f>
        <v/>
      </c>
      <c r="AF34" s="143" t="str">
        <f>IF(AU24="","",":")</f>
        <v/>
      </c>
      <c r="AG34" s="149" t="str">
        <f>IF(AV24="","",IF(AT24="W","L",AT24))</f>
        <v/>
      </c>
      <c r="AH34" s="148" t="str">
        <f>IF(AT26="","",IF(AV26="l","W",AV26))</f>
        <v/>
      </c>
      <c r="AI34" s="143" t="str">
        <f>IF(AU26="","",":")</f>
        <v/>
      </c>
      <c r="AJ34" s="149" t="str">
        <f>IF(AV26="","",IF(AT26="W","L",AT26))</f>
        <v/>
      </c>
      <c r="AK34" s="148" t="str">
        <f>IF(AT28="","",IF(AV28="l","W",AV28))</f>
        <v/>
      </c>
      <c r="AL34" s="143" t="str">
        <f>IF(AU28="","",":")</f>
        <v/>
      </c>
      <c r="AM34" s="149" t="str">
        <f>IF(AV28="","",IF(AT28="W","L",AT28))</f>
        <v/>
      </c>
      <c r="AN34" s="148" t="str">
        <f>IF(AT30="","",IF(AV30="l","W",AV30))</f>
        <v/>
      </c>
      <c r="AO34" s="143" t="str">
        <f>IF(AU30="","",":")</f>
        <v/>
      </c>
      <c r="AP34" s="149" t="str">
        <f>IF(AV30="","",IF(AT30="W","L",AT30))</f>
        <v/>
      </c>
      <c r="AQ34" s="148" t="str">
        <f>IF(AT32="","",IF(AV32="l","W",AV32))</f>
        <v/>
      </c>
      <c r="AR34" s="143" t="str">
        <f>IF(AU32="","",":")</f>
        <v/>
      </c>
      <c r="AS34" s="149" t="str">
        <f>IF(AV32="","",IF(AT32="W","L",AT32))</f>
        <v/>
      </c>
      <c r="AT34" s="1237"/>
      <c r="AU34" s="1217"/>
      <c r="AV34" s="1218"/>
      <c r="AW34" s="142"/>
      <c r="AX34" s="143" t="str">
        <f>IF(AW33="","",":")</f>
        <v/>
      </c>
      <c r="AY34" s="144"/>
      <c r="AZ34" s="1224"/>
      <c r="BA34" s="1225"/>
      <c r="BB34" s="1227"/>
      <c r="BC34" s="1228"/>
    </row>
    <row r="35" spans="1:55" ht="15.75" customHeight="1" x14ac:dyDescent="0.25">
      <c r="A35" s="1240">
        <v>16</v>
      </c>
      <c r="B35" s="1229"/>
      <c r="C35" s="140" t="str">
        <f>IF(B35="","",VLOOKUP(B35,'Списки участников'!A:I,3,FALSE))</f>
        <v/>
      </c>
      <c r="D35" s="1219" t="str">
        <f>IF(AW5="","",IF(AW6="W",0,IF(AW5=2,1,IF(AW5=1,2,IF(AW5=0,2)))))</f>
        <v/>
      </c>
      <c r="E35" s="1220"/>
      <c r="F35" s="1221"/>
      <c r="G35" s="1219" t="str">
        <f>IF(AW7="","",IF(AW8="W",0,IF(AW7=2,1,IF(AW7=1,2,IF(AW7=0,2)))))</f>
        <v/>
      </c>
      <c r="H35" s="1220"/>
      <c r="I35" s="1221"/>
      <c r="J35" s="1219" t="str">
        <f>IF(AW9="","",IF(AW10="W",0,IF(AW9=2,1,IF(AW9=1,2,IF(AW9=0,2)))))</f>
        <v/>
      </c>
      <c r="K35" s="1220"/>
      <c r="L35" s="1221"/>
      <c r="M35" s="1219" t="str">
        <f>IF(AW11="","",IF(AW12="W",0,IF(AW11=2,1,IF(AW11=1,2,IF(AW11=0,2)))))</f>
        <v/>
      </c>
      <c r="N35" s="1220"/>
      <c r="O35" s="1221"/>
      <c r="P35" s="1219" t="str">
        <f>IF(AW13="","",IF(AW14="W",0,IF(AW13=2,1,IF(AW13=1,2,IF(AW13=0,2)))))</f>
        <v/>
      </c>
      <c r="Q35" s="1220"/>
      <c r="R35" s="1221"/>
      <c r="S35" s="1219" t="str">
        <f>IF(AW15="","",IF(AW16="W",0,IF(AW15=2,1,IF(AW15=1,2,IF(AW15=0,2)))))</f>
        <v/>
      </c>
      <c r="T35" s="1220"/>
      <c r="U35" s="1221"/>
      <c r="V35" s="1219" t="str">
        <f>IF(AW17="","",IF(AW18="W",0,IF(AW17=2,1,IF(AW17=1,2,IF(AW17=0,2)))))</f>
        <v/>
      </c>
      <c r="W35" s="1220"/>
      <c r="X35" s="1221"/>
      <c r="Y35" s="1219" t="str">
        <f>IF(AW19="","",IF(AW20="W",0,IF(AW19=2,1,IF(AW19=1,2,IF(AW19=0,2)))))</f>
        <v/>
      </c>
      <c r="Z35" s="1220"/>
      <c r="AA35" s="1221"/>
      <c r="AB35" s="1219" t="str">
        <f>IF(AW21="","",IF(AW22="W",0,IF(AW21=2,1,IF(AW21=1,2,IF(AW21=0,2)))))</f>
        <v/>
      </c>
      <c r="AC35" s="1220"/>
      <c r="AD35" s="1221"/>
      <c r="AE35" s="1219" t="str">
        <f>IF(AW23="","",IF(AW24="W",0,IF(AW23=2,1,IF(AW23=1,2,IF(AW23=0,2)))))</f>
        <v/>
      </c>
      <c r="AF35" s="1220"/>
      <c r="AG35" s="1221"/>
      <c r="AH35" s="1219" t="str">
        <f>IF(AW25="","",IF(AW26="W",0,IF(AW25=2,1,IF(AW25=1,2,IF(AW25=0,2)))))</f>
        <v/>
      </c>
      <c r="AI35" s="1220"/>
      <c r="AJ35" s="1221"/>
      <c r="AK35" s="1219" t="str">
        <f>IF(AW27="","",IF(AW28="W",0,IF(AW27=2,1,IF(AW27=1,2,IF(AW27=0,2)))))</f>
        <v/>
      </c>
      <c r="AL35" s="1220"/>
      <c r="AM35" s="1221"/>
      <c r="AN35" s="1219" t="str">
        <f>IF(AW29="","",IF(AW30="W",0,IF(AW29=2,1,IF(AW29=1,2,IF(AW29=0,2)))))</f>
        <v/>
      </c>
      <c r="AO35" s="1220"/>
      <c r="AP35" s="1221"/>
      <c r="AQ35" s="1219" t="str">
        <f>IF(AW31="","",IF(AW32="W",0,IF(AW31=2,1,IF(AW31=1,2,IF(AW31=0,2)))))</f>
        <v/>
      </c>
      <c r="AR35" s="1220"/>
      <c r="AS35" s="1221"/>
      <c r="AT35" s="1219" t="str">
        <f>IF(AW33="","",IF(AW34="W",0,IF(AW33=2,1,IF(AW33=1,2,IF(AW33=0,2)))))</f>
        <v/>
      </c>
      <c r="AU35" s="1220"/>
      <c r="AV35" s="1221"/>
      <c r="AW35" s="1234"/>
      <c r="AX35" s="1235"/>
      <c r="AY35" s="1236"/>
      <c r="AZ35" s="1222" t="str">
        <f t="shared" ref="AZ35" si="14">IF(B35="","",SUM(G35,J35,M35,P35,S35,V35,Y35,AB35,AE35,AH35,AK35,AN35,AQ35,AT35,AW35))</f>
        <v/>
      </c>
      <c r="BA35" s="1223"/>
      <c r="BB35" s="1226"/>
      <c r="BC35" s="1228" t="str">
        <f>IF(B35="","",RANK(AZ35,Ф1Оч))</f>
        <v/>
      </c>
    </row>
    <row r="36" spans="1:55" ht="15.75" customHeight="1" x14ac:dyDescent="0.25">
      <c r="A36" s="1241"/>
      <c r="B36" s="1230"/>
      <c r="C36" s="141" t="str">
        <f>IF(B35="","",VLOOKUP(B35,'Списки участников'!A:I,6,FALSE))</f>
        <v/>
      </c>
      <c r="D36" s="148" t="str">
        <f>IF(AW6="","",IF(AY6="l","W",AY6))</f>
        <v/>
      </c>
      <c r="E36" s="143" t="str">
        <f>IF(AX6="","",":")</f>
        <v/>
      </c>
      <c r="F36" s="149" t="str">
        <f>IF(AY6="","",IF(AW6="W","L",AW6))</f>
        <v/>
      </c>
      <c r="G36" s="148" t="str">
        <f>IF(AW8="","",IF(AY8="l","W",AY8))</f>
        <v/>
      </c>
      <c r="H36" s="143" t="str">
        <f>IF(AX8="","",":")</f>
        <v/>
      </c>
      <c r="I36" s="149" t="str">
        <f>IF(AY8="","",IF(AW8="W","L",AW8))</f>
        <v/>
      </c>
      <c r="J36" s="148" t="str">
        <f>IF(AW10="","",IF(AY10="l","W",AY10))</f>
        <v/>
      </c>
      <c r="K36" s="143" t="str">
        <f>IF(AX10="","",":")</f>
        <v/>
      </c>
      <c r="L36" s="149" t="str">
        <f>IF(AY10="","",IF(AW10="W","L",AW10))</f>
        <v/>
      </c>
      <c r="M36" s="148" t="str">
        <f>IF(AW12="","",IF(AY12="l","W",AY12))</f>
        <v/>
      </c>
      <c r="N36" s="143" t="str">
        <f>IF(AX12="","",":")</f>
        <v/>
      </c>
      <c r="O36" s="149" t="str">
        <f>IF(AY12="","",IF(AW12="W","L",AW12))</f>
        <v/>
      </c>
      <c r="P36" s="148" t="str">
        <f>IF(AW14="","",IF(AY14="l","W",AY14))</f>
        <v/>
      </c>
      <c r="Q36" s="143" t="str">
        <f>IF(AX14="","",":")</f>
        <v/>
      </c>
      <c r="R36" s="149" t="str">
        <f>IF(AY14="","",IF(AW14="W","L",AW14))</f>
        <v/>
      </c>
      <c r="S36" s="148" t="str">
        <f>IF(AW16="","",IF(AY16="l","W",AY16))</f>
        <v/>
      </c>
      <c r="T36" s="143" t="str">
        <f>IF(AX16="","",":")</f>
        <v/>
      </c>
      <c r="U36" s="149" t="str">
        <f>IF(AY16="","",IF(AW16="W","L",AW16))</f>
        <v/>
      </c>
      <c r="V36" s="148" t="str">
        <f>IF(AW18="","",IF(AY18="l","W",AY18))</f>
        <v/>
      </c>
      <c r="W36" s="143" t="str">
        <f>IF(AX18="","",":")</f>
        <v/>
      </c>
      <c r="X36" s="149" t="str">
        <f>IF(AY18="","",IF(AW18="W","L",AW18))</f>
        <v/>
      </c>
      <c r="Y36" s="148" t="str">
        <f>IF(AW20="","",IF(AY20="l","W",AY20))</f>
        <v/>
      </c>
      <c r="Z36" s="143" t="str">
        <f>IF(AX20="","",":")</f>
        <v/>
      </c>
      <c r="AA36" s="149" t="str">
        <f>IF(AY20="","",IF(AW20="W","L",AW20))</f>
        <v/>
      </c>
      <c r="AB36" s="148" t="str">
        <f>IF(AW22="","",IF(AY22="l","W",AY22))</f>
        <v/>
      </c>
      <c r="AC36" s="143" t="str">
        <f>IF(AX22="","",":")</f>
        <v/>
      </c>
      <c r="AD36" s="149" t="str">
        <f>IF(AY22="","",IF(AW22="W","L",AW22))</f>
        <v/>
      </c>
      <c r="AE36" s="148" t="str">
        <f>IF(AW24="","",IF(AY24="l","W",AY24))</f>
        <v/>
      </c>
      <c r="AF36" s="143" t="str">
        <f>IF(AX24="","",":")</f>
        <v/>
      </c>
      <c r="AG36" s="149" t="str">
        <f>IF(AY24="","",IF(AW24="W","L",AW24))</f>
        <v/>
      </c>
      <c r="AH36" s="148" t="str">
        <f>IF(AW26="","",IF(AY26="l","W",AY26))</f>
        <v/>
      </c>
      <c r="AI36" s="143" t="str">
        <f>IF(AX26="","",":")</f>
        <v/>
      </c>
      <c r="AJ36" s="149" t="str">
        <f>IF(AY26="","",IF(AW26="W","L",AW26))</f>
        <v/>
      </c>
      <c r="AK36" s="148" t="str">
        <f>IF(AW28="","",IF(AY28="l","W",AY28))</f>
        <v/>
      </c>
      <c r="AL36" s="143" t="str">
        <f>IF(AX28="","",":")</f>
        <v/>
      </c>
      <c r="AM36" s="149" t="str">
        <f>IF(AY28="","",IF(AW28="W","L",AW28))</f>
        <v/>
      </c>
      <c r="AN36" s="148" t="str">
        <f>IF(AW30="","",IF(AY30="l","W",AY30))</f>
        <v/>
      </c>
      <c r="AO36" s="143" t="str">
        <f>IF(AX30="","",":")</f>
        <v/>
      </c>
      <c r="AP36" s="149" t="str">
        <f>IF(AY30="","",IF(AW30="W","L",AW30))</f>
        <v/>
      </c>
      <c r="AQ36" s="148" t="str">
        <f>IF(AW32="","",IF(AY32="l","W",AY32))</f>
        <v/>
      </c>
      <c r="AR36" s="143" t="str">
        <f>IF(AX32="","",":")</f>
        <v/>
      </c>
      <c r="AS36" s="149" t="str">
        <f>IF(AY32="","",IF(AW32="W","L",AW32))</f>
        <v/>
      </c>
      <c r="AT36" s="148" t="str">
        <f>IF(AW34="","",IF(AY34="l","W",AY34))</f>
        <v/>
      </c>
      <c r="AU36" s="143" t="str">
        <f>IF(AX34="","",":")</f>
        <v/>
      </c>
      <c r="AV36" s="149" t="str">
        <f>IF(AY34="","",IF(AW34="W","L",AW34))</f>
        <v/>
      </c>
      <c r="AW36" s="1237"/>
      <c r="AX36" s="1217"/>
      <c r="AY36" s="1218"/>
      <c r="AZ36" s="1224"/>
      <c r="BA36" s="1225"/>
      <c r="BB36" s="1227"/>
      <c r="BC36" s="1228"/>
    </row>
    <row r="38" spans="1:55" ht="18.75" x14ac:dyDescent="0.3">
      <c r="C38" s="150" t="s">
        <v>791</v>
      </c>
      <c r="D38" s="150"/>
      <c r="E38" s="1242" t="str">
        <f>'Списки участников'!I121</f>
        <v>В.А. Коваль</v>
      </c>
      <c r="F38" s="1242"/>
      <c r="G38" s="1242"/>
      <c r="H38" s="1242"/>
      <c r="I38" s="1242"/>
      <c r="J38" s="1242"/>
      <c r="K38" s="1242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243" t="s">
        <v>792</v>
      </c>
      <c r="X38" s="1243"/>
      <c r="Y38" s="1243"/>
      <c r="Z38" s="1243"/>
      <c r="AA38" s="1243"/>
      <c r="AB38" s="1243"/>
      <c r="AC38" s="1243"/>
      <c r="AD38" s="1243"/>
      <c r="AE38" s="1243"/>
      <c r="AF38" s="1243"/>
      <c r="AG38" s="1243"/>
      <c r="AH38" s="1243"/>
      <c r="AI38" s="150"/>
      <c r="AJ38" s="150"/>
      <c r="AK38" s="150"/>
      <c r="AL38" s="1243" t="str">
        <f>'Списки участников'!I122</f>
        <v>А.С. Рожкова</v>
      </c>
      <c r="AM38" s="1243"/>
      <c r="AN38" s="1243"/>
      <c r="AO38" s="1243"/>
      <c r="AP38" s="1243"/>
      <c r="AQ38" s="1243"/>
      <c r="AR38" s="1243"/>
      <c r="AS38" s="1243"/>
      <c r="AT38" s="1243"/>
      <c r="AU38" s="1243"/>
      <c r="AV38" s="1243"/>
      <c r="AW38" s="1243"/>
      <c r="AX38" s="1243"/>
      <c r="AY38" s="1243"/>
      <c r="AZ38" s="1243"/>
      <c r="BA38" s="1243"/>
      <c r="BB38" s="1243"/>
      <c r="BC38" s="150"/>
    </row>
  </sheetData>
  <mergeCells count="361">
    <mergeCell ref="A1:BA1"/>
    <mergeCell ref="B29:B30"/>
    <mergeCell ref="B31:B32"/>
    <mergeCell ref="B33:B34"/>
    <mergeCell ref="B35:B36"/>
    <mergeCell ref="AZ33:BA34"/>
    <mergeCell ref="AK33:AM33"/>
    <mergeCell ref="AN33:AP33"/>
    <mergeCell ref="AQ33:AS33"/>
    <mergeCell ref="AQ31:AS32"/>
    <mergeCell ref="AT31:AV31"/>
    <mergeCell ref="AW31:AY31"/>
    <mergeCell ref="AZ31:BA32"/>
    <mergeCell ref="A31:A32"/>
    <mergeCell ref="D31:F31"/>
    <mergeCell ref="G31:I31"/>
    <mergeCell ref="J31:L31"/>
    <mergeCell ref="M31:O31"/>
    <mergeCell ref="P31:R31"/>
    <mergeCell ref="S31:U31"/>
    <mergeCell ref="V31:X31"/>
    <mergeCell ref="S29:U29"/>
    <mergeCell ref="V29:X29"/>
    <mergeCell ref="AN23:AP23"/>
    <mergeCell ref="BC35:BC36"/>
    <mergeCell ref="AZ35:BA36"/>
    <mergeCell ref="AQ35:AS35"/>
    <mergeCell ref="AK35:AM35"/>
    <mergeCell ref="AN35:AP35"/>
    <mergeCell ref="E38:K38"/>
    <mergeCell ref="W38:AH38"/>
    <mergeCell ref="AL38:BB38"/>
    <mergeCell ref="AB35:AD35"/>
    <mergeCell ref="AE35:AG35"/>
    <mergeCell ref="AH35:AJ35"/>
    <mergeCell ref="AT35:AV35"/>
    <mergeCell ref="AW35:AY36"/>
    <mergeCell ref="V35:X35"/>
    <mergeCell ref="Y35:AA35"/>
    <mergeCell ref="BB33:BB34"/>
    <mergeCell ref="BC33:BC34"/>
    <mergeCell ref="A35:A36"/>
    <mergeCell ref="D35:F35"/>
    <mergeCell ref="G35:I35"/>
    <mergeCell ref="J35:L35"/>
    <mergeCell ref="M35:O35"/>
    <mergeCell ref="P35:R35"/>
    <mergeCell ref="S35:U35"/>
    <mergeCell ref="AH33:AJ33"/>
    <mergeCell ref="AW33:AY33"/>
    <mergeCell ref="P33:R33"/>
    <mergeCell ref="S33:U33"/>
    <mergeCell ref="V33:X33"/>
    <mergeCell ref="Y33:AA33"/>
    <mergeCell ref="AB33:AD33"/>
    <mergeCell ref="AE33:AG33"/>
    <mergeCell ref="A33:A34"/>
    <mergeCell ref="D33:F33"/>
    <mergeCell ref="G33:I33"/>
    <mergeCell ref="J33:L33"/>
    <mergeCell ref="M33:O33"/>
    <mergeCell ref="AT33:AV34"/>
    <mergeCell ref="BB35:BB36"/>
    <mergeCell ref="BB31:BB32"/>
    <mergeCell ref="BC31:BC32"/>
    <mergeCell ref="Y31:AA31"/>
    <mergeCell ref="AB31:AD31"/>
    <mergeCell ref="AE31:AG31"/>
    <mergeCell ref="AH31:AJ31"/>
    <mergeCell ref="AK31:AM31"/>
    <mergeCell ref="AN31:AP31"/>
    <mergeCell ref="BB29:BB30"/>
    <mergeCell ref="BC29:BC30"/>
    <mergeCell ref="AK29:AM29"/>
    <mergeCell ref="AN29:AP30"/>
    <mergeCell ref="AQ29:AS29"/>
    <mergeCell ref="AT29:AV29"/>
    <mergeCell ref="AW29:AY29"/>
    <mergeCell ref="AZ29:BA30"/>
    <mergeCell ref="Y29:AA29"/>
    <mergeCell ref="AB29:AD29"/>
    <mergeCell ref="AE29:AG29"/>
    <mergeCell ref="AH29:AJ29"/>
    <mergeCell ref="BC27:BC28"/>
    <mergeCell ref="Y27:AA27"/>
    <mergeCell ref="AB27:AD27"/>
    <mergeCell ref="AE27:AG27"/>
    <mergeCell ref="AH27:AJ27"/>
    <mergeCell ref="AK27:AM28"/>
    <mergeCell ref="AN27:AP27"/>
    <mergeCell ref="A29:A30"/>
    <mergeCell ref="D29:F29"/>
    <mergeCell ref="G29:I29"/>
    <mergeCell ref="J29:L29"/>
    <mergeCell ref="M29:O29"/>
    <mergeCell ref="P29:R29"/>
    <mergeCell ref="AQ27:AS27"/>
    <mergeCell ref="AT27:AV27"/>
    <mergeCell ref="AW27:AY27"/>
    <mergeCell ref="BC25:BC26"/>
    <mergeCell ref="A27:A28"/>
    <mergeCell ref="B27:B28"/>
    <mergeCell ref="D27:F27"/>
    <mergeCell ref="G27:I27"/>
    <mergeCell ref="J27:L27"/>
    <mergeCell ref="M27:O27"/>
    <mergeCell ref="P27:R27"/>
    <mergeCell ref="S27:U27"/>
    <mergeCell ref="V27:X27"/>
    <mergeCell ref="AN25:AP25"/>
    <mergeCell ref="AQ25:AS25"/>
    <mergeCell ref="AT25:AV25"/>
    <mergeCell ref="AW25:AY25"/>
    <mergeCell ref="AZ25:BA26"/>
    <mergeCell ref="BB25:BB26"/>
    <mergeCell ref="V25:X25"/>
    <mergeCell ref="Y25:AA25"/>
    <mergeCell ref="AB25:AD25"/>
    <mergeCell ref="AE25:AG25"/>
    <mergeCell ref="AH25:AJ26"/>
    <mergeCell ref="AK25:AM25"/>
    <mergeCell ref="AZ27:BA28"/>
    <mergeCell ref="BB27:BB28"/>
    <mergeCell ref="AQ23:AS23"/>
    <mergeCell ref="AT23:AV23"/>
    <mergeCell ref="AW23:AY23"/>
    <mergeCell ref="AZ23:BA24"/>
    <mergeCell ref="S23:U23"/>
    <mergeCell ref="V23:X23"/>
    <mergeCell ref="Y23:AA23"/>
    <mergeCell ref="AB23:AD23"/>
    <mergeCell ref="AE23:AG24"/>
    <mergeCell ref="AH23:AJ23"/>
    <mergeCell ref="A25:A26"/>
    <mergeCell ref="B25:B26"/>
    <mergeCell ref="D25:F25"/>
    <mergeCell ref="G25:I25"/>
    <mergeCell ref="J25:L25"/>
    <mergeCell ref="M25:O25"/>
    <mergeCell ref="P25:R25"/>
    <mergeCell ref="S25:U25"/>
    <mergeCell ref="AK23:AM23"/>
    <mergeCell ref="BC21:BC22"/>
    <mergeCell ref="A23:A24"/>
    <mergeCell ref="B23:B24"/>
    <mergeCell ref="D23:F23"/>
    <mergeCell ref="G23:I23"/>
    <mergeCell ref="J23:L23"/>
    <mergeCell ref="M23:O23"/>
    <mergeCell ref="P23:R23"/>
    <mergeCell ref="AH21:AJ21"/>
    <mergeCell ref="AK21:AM21"/>
    <mergeCell ref="AN21:AP21"/>
    <mergeCell ref="AQ21:AS21"/>
    <mergeCell ref="AT21:AV21"/>
    <mergeCell ref="AW21:AY21"/>
    <mergeCell ref="P21:R21"/>
    <mergeCell ref="S21:U21"/>
    <mergeCell ref="V21:X21"/>
    <mergeCell ref="Y21:AA21"/>
    <mergeCell ref="AB21:AD22"/>
    <mergeCell ref="AE21:AG21"/>
    <mergeCell ref="A21:A22"/>
    <mergeCell ref="B21:B22"/>
    <mergeCell ref="BB23:BB24"/>
    <mergeCell ref="BC23:BC24"/>
    <mergeCell ref="D21:F21"/>
    <mergeCell ref="G21:I21"/>
    <mergeCell ref="J21:L21"/>
    <mergeCell ref="M21:O21"/>
    <mergeCell ref="AQ19:AS19"/>
    <mergeCell ref="AT19:AV19"/>
    <mergeCell ref="AW19:AY19"/>
    <mergeCell ref="AZ19:BA20"/>
    <mergeCell ref="BB19:BB20"/>
    <mergeCell ref="AZ21:BA22"/>
    <mergeCell ref="BB21:BB22"/>
    <mergeCell ref="BC19:BC20"/>
    <mergeCell ref="Y19:AA20"/>
    <mergeCell ref="AB19:AD19"/>
    <mergeCell ref="AE19:AG19"/>
    <mergeCell ref="AH19:AJ19"/>
    <mergeCell ref="AK19:AM19"/>
    <mergeCell ref="AN19:AP19"/>
    <mergeCell ref="BC17:BC18"/>
    <mergeCell ref="A19:A20"/>
    <mergeCell ref="B19:B20"/>
    <mergeCell ref="D19:F19"/>
    <mergeCell ref="G19:I19"/>
    <mergeCell ref="J19:L19"/>
    <mergeCell ref="M19:O19"/>
    <mergeCell ref="P19:R19"/>
    <mergeCell ref="S19:U19"/>
    <mergeCell ref="V19:X19"/>
    <mergeCell ref="AN17:AP17"/>
    <mergeCell ref="AQ17:AS17"/>
    <mergeCell ref="AT17:AV17"/>
    <mergeCell ref="AW17:AY17"/>
    <mergeCell ref="AZ17:BA18"/>
    <mergeCell ref="BB17:BB18"/>
    <mergeCell ref="V17:X18"/>
    <mergeCell ref="BB15:BB16"/>
    <mergeCell ref="BC15:BC16"/>
    <mergeCell ref="A17:A18"/>
    <mergeCell ref="B17:B18"/>
    <mergeCell ref="D17:F17"/>
    <mergeCell ref="G17:I17"/>
    <mergeCell ref="J17:L17"/>
    <mergeCell ref="M17:O17"/>
    <mergeCell ref="P17:R17"/>
    <mergeCell ref="S17:U17"/>
    <mergeCell ref="AK15:AM15"/>
    <mergeCell ref="AN15:AP15"/>
    <mergeCell ref="AQ15:AS15"/>
    <mergeCell ref="AT15:AV15"/>
    <mergeCell ref="AW15:AY15"/>
    <mergeCell ref="AZ15:BA16"/>
    <mergeCell ref="S15:U16"/>
    <mergeCell ref="V15:X15"/>
    <mergeCell ref="Y15:AA15"/>
    <mergeCell ref="S13:U13"/>
    <mergeCell ref="V13:X13"/>
    <mergeCell ref="Y13:AA13"/>
    <mergeCell ref="AB13:AD13"/>
    <mergeCell ref="Y17:AA17"/>
    <mergeCell ref="AB17:AD17"/>
    <mergeCell ref="AE17:AG17"/>
    <mergeCell ref="AH17:AJ17"/>
    <mergeCell ref="AK17:AM17"/>
    <mergeCell ref="A13:A14"/>
    <mergeCell ref="B13:B14"/>
    <mergeCell ref="D13:F13"/>
    <mergeCell ref="G13:I13"/>
    <mergeCell ref="J13:L13"/>
    <mergeCell ref="M13:O13"/>
    <mergeCell ref="AQ11:AS11"/>
    <mergeCell ref="AT11:AV11"/>
    <mergeCell ref="AB15:AD15"/>
    <mergeCell ref="AE15:AG15"/>
    <mergeCell ref="AH15:AJ15"/>
    <mergeCell ref="A15:A16"/>
    <mergeCell ref="B15:B16"/>
    <mergeCell ref="D15:F15"/>
    <mergeCell ref="G15:I15"/>
    <mergeCell ref="J15:L15"/>
    <mergeCell ref="M15:O15"/>
    <mergeCell ref="P15:R15"/>
    <mergeCell ref="AH13:AJ13"/>
    <mergeCell ref="AK13:AM13"/>
    <mergeCell ref="AN13:AP13"/>
    <mergeCell ref="AQ13:AS13"/>
    <mergeCell ref="AT13:AV13"/>
    <mergeCell ref="P13:R14"/>
    <mergeCell ref="BB11:BB12"/>
    <mergeCell ref="BC11:BC12"/>
    <mergeCell ref="Y11:AA11"/>
    <mergeCell ref="AB11:AD11"/>
    <mergeCell ref="AE11:AG11"/>
    <mergeCell ref="AH11:AJ11"/>
    <mergeCell ref="AK11:AM11"/>
    <mergeCell ref="AN11:AP11"/>
    <mergeCell ref="AE13:AG13"/>
    <mergeCell ref="AZ13:BA14"/>
    <mergeCell ref="BB13:BB14"/>
    <mergeCell ref="BC13:BC14"/>
    <mergeCell ref="AW13:AY13"/>
    <mergeCell ref="BC9:BC10"/>
    <mergeCell ref="A11:A12"/>
    <mergeCell ref="B11:B12"/>
    <mergeCell ref="D11:F11"/>
    <mergeCell ref="G11:I11"/>
    <mergeCell ref="J11:L11"/>
    <mergeCell ref="M11:O12"/>
    <mergeCell ref="P11:R11"/>
    <mergeCell ref="S11:U11"/>
    <mergeCell ref="V11:X11"/>
    <mergeCell ref="AN9:AP9"/>
    <mergeCell ref="AQ9:AS9"/>
    <mergeCell ref="AT9:AV9"/>
    <mergeCell ref="AW9:AY9"/>
    <mergeCell ref="AZ9:BA10"/>
    <mergeCell ref="BB9:BB10"/>
    <mergeCell ref="V9:X9"/>
    <mergeCell ref="Y9:AA9"/>
    <mergeCell ref="AB9:AD9"/>
    <mergeCell ref="AE9:AG9"/>
    <mergeCell ref="AH9:AJ9"/>
    <mergeCell ref="AK9:AM9"/>
    <mergeCell ref="AW11:AY11"/>
    <mergeCell ref="AZ11:BA12"/>
    <mergeCell ref="AN7:AP7"/>
    <mergeCell ref="AQ7:AS7"/>
    <mergeCell ref="AT7:AV7"/>
    <mergeCell ref="AW7:AY7"/>
    <mergeCell ref="AZ7:BA8"/>
    <mergeCell ref="S7:U7"/>
    <mergeCell ref="V7:X7"/>
    <mergeCell ref="Y7:AA7"/>
    <mergeCell ref="AB7:AD7"/>
    <mergeCell ref="AE7:AG7"/>
    <mergeCell ref="AH7:AJ7"/>
    <mergeCell ref="A9:A10"/>
    <mergeCell ref="B9:B10"/>
    <mergeCell ref="D9:F9"/>
    <mergeCell ref="G9:I9"/>
    <mergeCell ref="J9:L10"/>
    <mergeCell ref="M9:O9"/>
    <mergeCell ref="P9:R9"/>
    <mergeCell ref="S9:U9"/>
    <mergeCell ref="AK7:AM7"/>
    <mergeCell ref="AZ5:BA6"/>
    <mergeCell ref="BB5:BB6"/>
    <mergeCell ref="BC5:BC6"/>
    <mergeCell ref="A7:A8"/>
    <mergeCell ref="B7:B8"/>
    <mergeCell ref="D7:F7"/>
    <mergeCell ref="G7:I8"/>
    <mergeCell ref="J7:L7"/>
    <mergeCell ref="M7:O7"/>
    <mergeCell ref="P7:R7"/>
    <mergeCell ref="AH5:AJ5"/>
    <mergeCell ref="AK5:AM5"/>
    <mergeCell ref="AN5:AP5"/>
    <mergeCell ref="AQ5:AS5"/>
    <mergeCell ref="AT5:AV5"/>
    <mergeCell ref="AW5:AY5"/>
    <mergeCell ref="P5:R5"/>
    <mergeCell ref="S5:U5"/>
    <mergeCell ref="V5:X5"/>
    <mergeCell ref="Y5:AA5"/>
    <mergeCell ref="AB5:AD5"/>
    <mergeCell ref="AE5:AG5"/>
    <mergeCell ref="BB7:BB8"/>
    <mergeCell ref="BC7:BC8"/>
    <mergeCell ref="A5:A6"/>
    <mergeCell ref="B5:B6"/>
    <mergeCell ref="D5:F6"/>
    <mergeCell ref="G5:I5"/>
    <mergeCell ref="J5:L5"/>
    <mergeCell ref="M5:O5"/>
    <mergeCell ref="Y4:AA4"/>
    <mergeCell ref="AB4:AD4"/>
    <mergeCell ref="AE4:AG4"/>
    <mergeCell ref="D3:O3"/>
    <mergeCell ref="C2:F2"/>
    <mergeCell ref="AK2:BB2"/>
    <mergeCell ref="D4:F4"/>
    <mergeCell ref="G4:I4"/>
    <mergeCell ref="J4:L4"/>
    <mergeCell ref="M4:O4"/>
    <mergeCell ref="P4:R4"/>
    <mergeCell ref="S4:U4"/>
    <mergeCell ref="V4:X4"/>
    <mergeCell ref="AQ4:AS4"/>
    <mergeCell ref="AT4:AV4"/>
    <mergeCell ref="AW4:AY4"/>
    <mergeCell ref="AZ4:BA4"/>
    <mergeCell ref="AH4:AJ4"/>
    <mergeCell ref="AK4:AM4"/>
    <mergeCell ref="AN4:AP4"/>
    <mergeCell ref="I2:AH2"/>
  </mergeCells>
  <pageMargins left="0.51181102362204722" right="0.51181102362204722" top="0.74803149606299213" bottom="0.74803149606299213" header="0.31496062992125984" footer="0.31496062992125984"/>
  <pageSetup paperSize="9" scale="7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0070C0"/>
  </sheetPr>
  <dimension ref="A1:BC38"/>
  <sheetViews>
    <sheetView view="pageBreakPreview" zoomScale="90" zoomScaleNormal="80" zoomScaleSheetLayoutView="90" workbookViewId="0">
      <selection activeCell="AZ7" sqref="AZ7:BA8"/>
    </sheetView>
  </sheetViews>
  <sheetFormatPr defaultColWidth="9.33203125" defaultRowHeight="15" outlineLevelCol="1" x14ac:dyDescent="0.25"/>
  <cols>
    <col min="1" max="1" width="4.83203125" style="135" customWidth="1"/>
    <col min="2" max="2" width="4.83203125" style="135" hidden="1" customWidth="1" outlineLevel="1"/>
    <col min="3" max="3" width="26.83203125" style="135" customWidth="1" collapsed="1"/>
    <col min="4" max="51" width="2.6640625" style="135" customWidth="1"/>
    <col min="52" max="52" width="5.33203125" style="135" customWidth="1"/>
    <col min="53" max="53" width="4.6640625" style="135" customWidth="1"/>
    <col min="54" max="54" width="9.1640625" style="135" customWidth="1"/>
    <col min="55" max="55" width="8.33203125" style="135" customWidth="1"/>
    <col min="56" max="56" width="8.1640625" style="135" customWidth="1"/>
    <col min="57" max="16384" width="9.33203125" style="135"/>
  </cols>
  <sheetData>
    <row r="1" spans="1:55" ht="18.75" x14ac:dyDescent="0.25">
      <c r="A1" s="1211" t="str">
        <f>'Списки участников'!A1</f>
        <v>IV Мемориал Заслуженного тренера России В.А.Воробьева</v>
      </c>
      <c r="B1" s="1244"/>
      <c r="C1" s="1244"/>
      <c r="D1" s="1244"/>
      <c r="E1" s="1244"/>
      <c r="F1" s="1244"/>
      <c r="G1" s="1244"/>
      <c r="H1" s="1244"/>
      <c r="I1" s="1244"/>
      <c r="J1" s="1244"/>
      <c r="K1" s="1244"/>
      <c r="L1" s="1244"/>
      <c r="M1" s="1244"/>
      <c r="N1" s="1244"/>
      <c r="O1" s="1244"/>
      <c r="P1" s="1244"/>
      <c r="Q1" s="1244"/>
      <c r="R1" s="1244"/>
      <c r="S1" s="1244"/>
      <c r="T1" s="1244"/>
      <c r="U1" s="1244"/>
      <c r="V1" s="1244"/>
      <c r="W1" s="1244"/>
      <c r="X1" s="1244"/>
      <c r="Y1" s="1244"/>
      <c r="Z1" s="1244"/>
      <c r="AA1" s="1244"/>
      <c r="AB1" s="1244"/>
      <c r="AC1" s="1244"/>
      <c r="AD1" s="1244"/>
      <c r="AE1" s="1244"/>
      <c r="AF1" s="1244"/>
      <c r="AG1" s="1244"/>
      <c r="AH1" s="1244"/>
      <c r="AI1" s="1244"/>
      <c r="AJ1" s="1244"/>
      <c r="AK1" s="1244"/>
      <c r="AL1" s="1244"/>
      <c r="AM1" s="1244"/>
      <c r="AN1" s="1244"/>
      <c r="AO1" s="1244"/>
      <c r="AP1" s="1244"/>
      <c r="AQ1" s="1244"/>
      <c r="AR1" s="1244"/>
      <c r="AS1" s="1244"/>
      <c r="AT1" s="1244"/>
      <c r="AU1" s="1244"/>
      <c r="AV1" s="1244"/>
      <c r="AW1" s="1244"/>
      <c r="AX1" s="1244"/>
      <c r="AY1" s="1244"/>
      <c r="AZ1" s="1244"/>
      <c r="BA1" s="1244"/>
    </row>
    <row r="2" spans="1:55" ht="18.75" x14ac:dyDescent="0.25">
      <c r="C2" s="1206" t="str">
        <f>'Списки участников'!C3</f>
        <v>26-29 мая 2016 г.</v>
      </c>
      <c r="D2" s="1206"/>
      <c r="E2" s="1206"/>
      <c r="F2" s="1206"/>
      <c r="G2" s="202"/>
      <c r="H2" s="202"/>
      <c r="I2" s="1211" t="str">
        <f>'Списки участников'!A2</f>
        <v>среди юношей и девушек 2002 г.р. и моложе</v>
      </c>
      <c r="J2" s="1212"/>
      <c r="K2" s="1212"/>
      <c r="L2" s="1212"/>
      <c r="M2" s="1212"/>
      <c r="N2" s="1212"/>
      <c r="O2" s="1212"/>
      <c r="P2" s="1212"/>
      <c r="Q2" s="1212"/>
      <c r="R2" s="1212"/>
      <c r="S2" s="1212"/>
      <c r="T2" s="1212"/>
      <c r="U2" s="1212"/>
      <c r="V2" s="1212"/>
      <c r="W2" s="1212"/>
      <c r="X2" s="1212"/>
      <c r="Y2" s="1212"/>
      <c r="Z2" s="1212"/>
      <c r="AA2" s="1212"/>
      <c r="AB2" s="1212"/>
      <c r="AC2" s="1212"/>
      <c r="AD2" s="1212"/>
      <c r="AE2" s="1212"/>
      <c r="AF2" s="1212"/>
      <c r="AG2" s="1212"/>
      <c r="AH2" s="1212"/>
      <c r="AI2" s="202"/>
      <c r="AJ2" s="202"/>
      <c r="AK2" s="1207" t="str">
        <f>'Списки участников'!I3</f>
        <v>г. Москва</v>
      </c>
      <c r="AL2" s="1207"/>
      <c r="AM2" s="1207"/>
      <c r="AN2" s="1207"/>
      <c r="AO2" s="1207"/>
      <c r="AP2" s="1207"/>
      <c r="AQ2" s="1207"/>
      <c r="AR2" s="1207"/>
      <c r="AS2" s="1207"/>
      <c r="AT2" s="1207"/>
      <c r="AU2" s="1207"/>
      <c r="AV2" s="1207"/>
      <c r="AW2" s="1207"/>
      <c r="AX2" s="1207"/>
      <c r="AY2" s="1207"/>
      <c r="AZ2" s="1207"/>
      <c r="BA2" s="1207"/>
      <c r="BB2" s="1207"/>
    </row>
    <row r="3" spans="1:55" ht="18.75" x14ac:dyDescent="0.3">
      <c r="C3" s="740" t="s">
        <v>1137</v>
      </c>
      <c r="D3" s="1204" t="str">
        <f>'Списки участников'!D6</f>
        <v>ЮНОШИ</v>
      </c>
      <c r="E3" s="1205"/>
      <c r="F3" s="1205"/>
      <c r="G3" s="1205"/>
      <c r="H3" s="1205"/>
      <c r="I3" s="1205"/>
      <c r="J3" s="1205"/>
      <c r="K3" s="1205"/>
      <c r="L3" s="1205"/>
      <c r="M3" s="1205"/>
      <c r="N3" s="1205"/>
      <c r="O3" s="1205"/>
    </row>
    <row r="4" spans="1:55" x14ac:dyDescent="0.25">
      <c r="A4" s="136" t="s">
        <v>3</v>
      </c>
      <c r="B4" s="137"/>
      <c r="C4" s="138" t="s">
        <v>788</v>
      </c>
      <c r="D4" s="1208">
        <v>1</v>
      </c>
      <c r="E4" s="1209"/>
      <c r="F4" s="1210"/>
      <c r="G4" s="1208">
        <v>2</v>
      </c>
      <c r="H4" s="1209"/>
      <c r="I4" s="1210"/>
      <c r="J4" s="1208">
        <v>3</v>
      </c>
      <c r="K4" s="1209"/>
      <c r="L4" s="1210"/>
      <c r="M4" s="1208">
        <v>4</v>
      </c>
      <c r="N4" s="1209"/>
      <c r="O4" s="1210"/>
      <c r="P4" s="1208">
        <v>5</v>
      </c>
      <c r="Q4" s="1209"/>
      <c r="R4" s="1210"/>
      <c r="S4" s="1208">
        <v>6</v>
      </c>
      <c r="T4" s="1209"/>
      <c r="U4" s="1210"/>
      <c r="V4" s="1208">
        <v>7</v>
      </c>
      <c r="W4" s="1209"/>
      <c r="X4" s="1210"/>
      <c r="Y4" s="1208">
        <v>8</v>
      </c>
      <c r="Z4" s="1209"/>
      <c r="AA4" s="1210"/>
      <c r="AB4" s="1208">
        <v>9</v>
      </c>
      <c r="AC4" s="1209"/>
      <c r="AD4" s="1210"/>
      <c r="AE4" s="1208">
        <v>10</v>
      </c>
      <c r="AF4" s="1209"/>
      <c r="AG4" s="1210"/>
      <c r="AH4" s="1208">
        <v>11</v>
      </c>
      <c r="AI4" s="1209"/>
      <c r="AJ4" s="1210"/>
      <c r="AK4" s="1208">
        <v>12</v>
      </c>
      <c r="AL4" s="1209"/>
      <c r="AM4" s="1210"/>
      <c r="AN4" s="1208">
        <v>13</v>
      </c>
      <c r="AO4" s="1209"/>
      <c r="AP4" s="1210"/>
      <c r="AQ4" s="1208">
        <v>14</v>
      </c>
      <c r="AR4" s="1209"/>
      <c r="AS4" s="1210"/>
      <c r="AT4" s="1208">
        <v>15</v>
      </c>
      <c r="AU4" s="1209"/>
      <c r="AV4" s="1210"/>
      <c r="AW4" s="1208">
        <v>16</v>
      </c>
      <c r="AX4" s="1209"/>
      <c r="AY4" s="1210"/>
      <c r="AZ4" s="1208" t="s">
        <v>789</v>
      </c>
      <c r="BA4" s="1210"/>
      <c r="BB4" s="201" t="s">
        <v>790</v>
      </c>
      <c r="BC4" s="139" t="s">
        <v>100</v>
      </c>
    </row>
    <row r="5" spans="1:55" ht="15.75" x14ac:dyDescent="0.25">
      <c r="A5" s="1163">
        <v>1</v>
      </c>
      <c r="B5" s="1213"/>
      <c r="C5" s="140" t="str">
        <f>IF(B5="","",VLOOKUP(B5,'Списки участников'!A:I,3,FALSE))</f>
        <v/>
      </c>
      <c r="D5" s="1215"/>
      <c r="E5" s="1215"/>
      <c r="F5" s="1216"/>
      <c r="G5" s="1219"/>
      <c r="H5" s="1220"/>
      <c r="I5" s="1221"/>
      <c r="J5" s="1219"/>
      <c r="K5" s="1220"/>
      <c r="L5" s="1221"/>
      <c r="M5" s="1219"/>
      <c r="N5" s="1220"/>
      <c r="O5" s="1221"/>
      <c r="P5" s="1219"/>
      <c r="Q5" s="1220"/>
      <c r="R5" s="1221"/>
      <c r="S5" s="1219"/>
      <c r="T5" s="1220"/>
      <c r="U5" s="1221"/>
      <c r="V5" s="1219"/>
      <c r="W5" s="1220"/>
      <c r="X5" s="1221"/>
      <c r="Y5" s="1219"/>
      <c r="Z5" s="1220"/>
      <c r="AA5" s="1221"/>
      <c r="AB5" s="1219"/>
      <c r="AC5" s="1220"/>
      <c r="AD5" s="1221"/>
      <c r="AE5" s="1219"/>
      <c r="AF5" s="1220"/>
      <c r="AG5" s="1221"/>
      <c r="AH5" s="1219"/>
      <c r="AI5" s="1220"/>
      <c r="AJ5" s="1221"/>
      <c r="AK5" s="1219"/>
      <c r="AL5" s="1220"/>
      <c r="AM5" s="1221"/>
      <c r="AN5" s="1219"/>
      <c r="AO5" s="1220"/>
      <c r="AP5" s="1221"/>
      <c r="AQ5" s="1219"/>
      <c r="AR5" s="1220"/>
      <c r="AS5" s="1221"/>
      <c r="AT5" s="1219"/>
      <c r="AU5" s="1220"/>
      <c r="AV5" s="1221"/>
      <c r="AW5" s="1219"/>
      <c r="AX5" s="1220"/>
      <c r="AY5" s="1221"/>
      <c r="AZ5" s="1222" t="str">
        <f>IF(B5="","",SUM(G5,J5,M5,P5,S5,V5,Y5,AB5,AE5,AH5,AK5,AN5,AQ5,AT5,AW5))</f>
        <v/>
      </c>
      <c r="BA5" s="1223"/>
      <c r="BB5" s="1226"/>
      <c r="BC5" s="1228" t="str">
        <f>IF(B5="","",RANK(AZ5,Ф2Оч)+16)</f>
        <v/>
      </c>
    </row>
    <row r="6" spans="1:55" ht="15.75" x14ac:dyDescent="0.25">
      <c r="A6" s="1164"/>
      <c r="B6" s="1214"/>
      <c r="C6" s="141" t="str">
        <f>IF(B5="","",VLOOKUP(B5,'Списки участников'!A:I,6,FALSE))</f>
        <v/>
      </c>
      <c r="D6" s="1217"/>
      <c r="E6" s="1217"/>
      <c r="F6" s="1218"/>
      <c r="G6" s="142"/>
      <c r="H6" s="143" t="str">
        <f>IF(G5="","",":")</f>
        <v/>
      </c>
      <c r="I6" s="144"/>
      <c r="J6" s="142"/>
      <c r="K6" s="143" t="str">
        <f>IF(J5="","",":")</f>
        <v/>
      </c>
      <c r="L6" s="144"/>
      <c r="M6" s="142"/>
      <c r="N6" s="143" t="str">
        <f>IF(M5="","",":")</f>
        <v/>
      </c>
      <c r="O6" s="144"/>
      <c r="P6" s="142"/>
      <c r="Q6" s="143" t="str">
        <f>IF(P5="","",":")</f>
        <v/>
      </c>
      <c r="R6" s="144"/>
      <c r="S6" s="142"/>
      <c r="T6" s="143" t="str">
        <f>IF(S5="","",":")</f>
        <v/>
      </c>
      <c r="U6" s="144"/>
      <c r="V6" s="142"/>
      <c r="W6" s="143" t="str">
        <f>IF(V5="","",":")</f>
        <v/>
      </c>
      <c r="X6" s="144"/>
      <c r="Y6" s="142"/>
      <c r="Z6" s="143" t="str">
        <f>IF(Y5="","",":")</f>
        <v/>
      </c>
      <c r="AA6" s="144"/>
      <c r="AB6" s="142"/>
      <c r="AC6" s="143" t="str">
        <f>IF(AB5="","",":")</f>
        <v/>
      </c>
      <c r="AD6" s="144"/>
      <c r="AE6" s="142"/>
      <c r="AF6" s="143" t="str">
        <f>IF(AE5="","",":")</f>
        <v/>
      </c>
      <c r="AG6" s="144"/>
      <c r="AH6" s="142"/>
      <c r="AI6" s="143" t="str">
        <f>IF(AH5="","",":")</f>
        <v/>
      </c>
      <c r="AJ6" s="144"/>
      <c r="AK6" s="142"/>
      <c r="AL6" s="143" t="str">
        <f>IF(AK5="","",":")</f>
        <v/>
      </c>
      <c r="AM6" s="144"/>
      <c r="AN6" s="142"/>
      <c r="AO6" s="143" t="str">
        <f>IF(AN5="","",":")</f>
        <v/>
      </c>
      <c r="AP6" s="144"/>
      <c r="AQ6" s="142"/>
      <c r="AR6" s="143" t="str">
        <f>IF(AQ5="","",":")</f>
        <v/>
      </c>
      <c r="AS6" s="144"/>
      <c r="AT6" s="142"/>
      <c r="AU6" s="143" t="str">
        <f>IF(AT5="","",":")</f>
        <v/>
      </c>
      <c r="AV6" s="144"/>
      <c r="AW6" s="142"/>
      <c r="AX6" s="143" t="str">
        <f>IF(AW5="","",":")</f>
        <v/>
      </c>
      <c r="AY6" s="144"/>
      <c r="AZ6" s="1224"/>
      <c r="BA6" s="1225"/>
      <c r="BB6" s="1227"/>
      <c r="BC6" s="1228"/>
    </row>
    <row r="7" spans="1:55" ht="15.75" customHeight="1" x14ac:dyDescent="0.25">
      <c r="A7" s="1163">
        <v>2</v>
      </c>
      <c r="B7" s="1229"/>
      <c r="C7" s="140" t="str">
        <f>IF(B7="","",VLOOKUP(B7,'Списки участников'!A:I,3,FALSE))</f>
        <v/>
      </c>
      <c r="D7" s="1231" t="str">
        <f>IF(G5="","",IF(G6="W",0,IF(G5=2,1,IF(G5=1,2,IF(G5=0,2)))))</f>
        <v/>
      </c>
      <c r="E7" s="1232"/>
      <c r="F7" s="1233"/>
      <c r="G7" s="1234"/>
      <c r="H7" s="1235"/>
      <c r="I7" s="1236"/>
      <c r="J7" s="1219"/>
      <c r="K7" s="1220"/>
      <c r="L7" s="1221"/>
      <c r="M7" s="1219"/>
      <c r="N7" s="1220"/>
      <c r="O7" s="1221"/>
      <c r="P7" s="1219"/>
      <c r="Q7" s="1220"/>
      <c r="R7" s="1221"/>
      <c r="S7" s="1219"/>
      <c r="T7" s="1220"/>
      <c r="U7" s="1221"/>
      <c r="V7" s="1219"/>
      <c r="W7" s="1220"/>
      <c r="X7" s="1221"/>
      <c r="Y7" s="1219"/>
      <c r="Z7" s="1220"/>
      <c r="AA7" s="1221"/>
      <c r="AB7" s="1219"/>
      <c r="AC7" s="1220"/>
      <c r="AD7" s="1221"/>
      <c r="AE7" s="1219"/>
      <c r="AF7" s="1220"/>
      <c r="AG7" s="1221"/>
      <c r="AH7" s="1219"/>
      <c r="AI7" s="1220"/>
      <c r="AJ7" s="1221"/>
      <c r="AK7" s="1219"/>
      <c r="AL7" s="1220"/>
      <c r="AM7" s="1221"/>
      <c r="AN7" s="1219"/>
      <c r="AO7" s="1220"/>
      <c r="AP7" s="1221"/>
      <c r="AQ7" s="1219"/>
      <c r="AR7" s="1220"/>
      <c r="AS7" s="1221"/>
      <c r="AT7" s="1219"/>
      <c r="AU7" s="1220"/>
      <c r="AV7" s="1221"/>
      <c r="AW7" s="1219"/>
      <c r="AX7" s="1220"/>
      <c r="AY7" s="1221"/>
      <c r="AZ7" s="1222" t="str">
        <f t="shared" ref="AZ7" si="0">IF(B7="","",SUM(G7,J7,M7,P7,S7,V7,Y7,AB7,AE7,AH7,AK7,AN7,AQ7,AT7,AW7))</f>
        <v/>
      </c>
      <c r="BA7" s="1223"/>
      <c r="BB7" s="1226"/>
      <c r="BC7" s="1228" t="str">
        <f>IF(B7="","",RANK(AZ7,Ф2Оч)+16)</f>
        <v/>
      </c>
    </row>
    <row r="8" spans="1:55" ht="15.75" customHeight="1" x14ac:dyDescent="0.25">
      <c r="A8" s="1164"/>
      <c r="B8" s="1230"/>
      <c r="C8" s="141" t="str">
        <f>IF(B7="","",VLOOKUP(B7,'Списки участников'!A:I,6,FALSE))</f>
        <v/>
      </c>
      <c r="D8" s="145" t="str">
        <f>IF(G6="","",IF(I6="l","W",I6))</f>
        <v/>
      </c>
      <c r="E8" s="146" t="str">
        <f>IF(G5="","",":")</f>
        <v/>
      </c>
      <c r="F8" s="147" t="str">
        <f>IF(I6="","",IF(G6="W","L",G6))</f>
        <v/>
      </c>
      <c r="G8" s="1237"/>
      <c r="H8" s="1217"/>
      <c r="I8" s="1218"/>
      <c r="J8" s="142"/>
      <c r="K8" s="143" t="str">
        <f>IF(J7="","",":")</f>
        <v/>
      </c>
      <c r="L8" s="144"/>
      <c r="M8" s="142"/>
      <c r="N8" s="143" t="str">
        <f>IF(M7="","",":")</f>
        <v/>
      </c>
      <c r="O8" s="144"/>
      <c r="P8" s="142"/>
      <c r="Q8" s="143" t="str">
        <f>IF(P7="","",":")</f>
        <v/>
      </c>
      <c r="R8" s="144"/>
      <c r="S8" s="142"/>
      <c r="T8" s="143" t="str">
        <f>IF(S7="","",":")</f>
        <v/>
      </c>
      <c r="U8" s="144"/>
      <c r="V8" s="142"/>
      <c r="W8" s="143" t="str">
        <f>IF(V7="","",":")</f>
        <v/>
      </c>
      <c r="X8" s="144"/>
      <c r="Y8" s="142"/>
      <c r="Z8" s="143" t="str">
        <f>IF(Y7="","",":")</f>
        <v/>
      </c>
      <c r="AA8" s="144"/>
      <c r="AB8" s="142"/>
      <c r="AC8" s="143" t="str">
        <f>IF(AB7="","",":")</f>
        <v/>
      </c>
      <c r="AD8" s="144"/>
      <c r="AE8" s="142"/>
      <c r="AF8" s="143" t="str">
        <f>IF(AE7="","",":")</f>
        <v/>
      </c>
      <c r="AG8" s="144"/>
      <c r="AH8" s="142"/>
      <c r="AI8" s="143" t="str">
        <f>IF(AH7="","",":")</f>
        <v/>
      </c>
      <c r="AJ8" s="144"/>
      <c r="AK8" s="142"/>
      <c r="AL8" s="143" t="str">
        <f>IF(AK7="","",":")</f>
        <v/>
      </c>
      <c r="AM8" s="144"/>
      <c r="AN8" s="142"/>
      <c r="AO8" s="143" t="str">
        <f>IF(AN7="","",":")</f>
        <v/>
      </c>
      <c r="AP8" s="144"/>
      <c r="AQ8" s="142"/>
      <c r="AR8" s="143" t="str">
        <f>IF(AQ7="","",":")</f>
        <v/>
      </c>
      <c r="AS8" s="144"/>
      <c r="AT8" s="142"/>
      <c r="AU8" s="143" t="str">
        <f>IF(AT7="","",":")</f>
        <v/>
      </c>
      <c r="AV8" s="144"/>
      <c r="AW8" s="142"/>
      <c r="AX8" s="143" t="str">
        <f>IF(AW7="","",":")</f>
        <v/>
      </c>
      <c r="AY8" s="144"/>
      <c r="AZ8" s="1224"/>
      <c r="BA8" s="1225"/>
      <c r="BB8" s="1227"/>
      <c r="BC8" s="1228"/>
    </row>
    <row r="9" spans="1:55" ht="15.75" customHeight="1" x14ac:dyDescent="0.25">
      <c r="A9" s="1163">
        <v>3</v>
      </c>
      <c r="B9" s="1213"/>
      <c r="C9" s="140" t="str">
        <f>IF(B9="","",VLOOKUP(B9,'Списки участников'!A:I,3,FALSE))</f>
        <v/>
      </c>
      <c r="D9" s="1231" t="str">
        <f>IF(J5="","",IF(J6="W",0,IF(J5=2,1,IF(J5=1,2,IF(J5=0,2)))))</f>
        <v/>
      </c>
      <c r="E9" s="1232"/>
      <c r="F9" s="1233"/>
      <c r="G9" s="1219" t="str">
        <f>IF(J7="","",IF(J8="W",0,IF(J7=2,1,IF(J7=1,2,IF(J7=0,2)))))</f>
        <v/>
      </c>
      <c r="H9" s="1220"/>
      <c r="I9" s="1221"/>
      <c r="J9" s="1234"/>
      <c r="K9" s="1235"/>
      <c r="L9" s="1236"/>
      <c r="M9" s="1219"/>
      <c r="N9" s="1220"/>
      <c r="O9" s="1221"/>
      <c r="P9" s="1219"/>
      <c r="Q9" s="1220"/>
      <c r="R9" s="1221"/>
      <c r="S9" s="1219"/>
      <c r="T9" s="1220"/>
      <c r="U9" s="1221"/>
      <c r="V9" s="1219"/>
      <c r="W9" s="1220"/>
      <c r="X9" s="1221"/>
      <c r="Y9" s="1219"/>
      <c r="Z9" s="1220"/>
      <c r="AA9" s="1221"/>
      <c r="AB9" s="1219"/>
      <c r="AC9" s="1220"/>
      <c r="AD9" s="1221"/>
      <c r="AE9" s="1219"/>
      <c r="AF9" s="1220"/>
      <c r="AG9" s="1221"/>
      <c r="AH9" s="1219"/>
      <c r="AI9" s="1220"/>
      <c r="AJ9" s="1221"/>
      <c r="AK9" s="1219"/>
      <c r="AL9" s="1220"/>
      <c r="AM9" s="1221"/>
      <c r="AN9" s="1219"/>
      <c r="AO9" s="1220"/>
      <c r="AP9" s="1221"/>
      <c r="AQ9" s="1219"/>
      <c r="AR9" s="1220"/>
      <c r="AS9" s="1221"/>
      <c r="AT9" s="1219"/>
      <c r="AU9" s="1220"/>
      <c r="AV9" s="1221"/>
      <c r="AW9" s="1219"/>
      <c r="AX9" s="1220"/>
      <c r="AY9" s="1221"/>
      <c r="AZ9" s="1222" t="str">
        <f t="shared" ref="AZ9" si="1">IF(B9="","",SUM(G9,J9,M9,P9,S9,V9,Y9,AB9,AE9,AH9,AK9,AN9,AQ9,AT9,AW9))</f>
        <v/>
      </c>
      <c r="BA9" s="1223"/>
      <c r="BB9" s="1226"/>
      <c r="BC9" s="1228" t="str">
        <f>IF(B9="","",RANK(AZ9,Ф2Оч)+16)</f>
        <v/>
      </c>
    </row>
    <row r="10" spans="1:55" ht="15.75" customHeight="1" x14ac:dyDescent="0.25">
      <c r="A10" s="1164"/>
      <c r="B10" s="1214"/>
      <c r="C10" s="141" t="str">
        <f>IF(B9="","",VLOOKUP(B9,'Списки участников'!A:I,6,FALSE))</f>
        <v/>
      </c>
      <c r="D10" s="148" t="str">
        <f>IF(J6="","",IF(L6="l","W",L6))</f>
        <v/>
      </c>
      <c r="E10" s="143" t="str">
        <f>IF(K6="","",":")</f>
        <v/>
      </c>
      <c r="F10" s="149" t="str">
        <f>IF(L6="","",IF(J6="W","L",J6))</f>
        <v/>
      </c>
      <c r="G10" s="148" t="str">
        <f>IF(J8="","",IF(L8="l","W",L8))</f>
        <v/>
      </c>
      <c r="H10" s="143" t="str">
        <f>IF(K8="","",":")</f>
        <v/>
      </c>
      <c r="I10" s="149" t="str">
        <f>IF(L8="","",IF(J8="W","L",J8))</f>
        <v/>
      </c>
      <c r="J10" s="1237"/>
      <c r="K10" s="1217"/>
      <c r="L10" s="1218"/>
      <c r="M10" s="142"/>
      <c r="N10" s="143" t="str">
        <f>IF(M9="","",":")</f>
        <v/>
      </c>
      <c r="O10" s="144"/>
      <c r="P10" s="142"/>
      <c r="Q10" s="143" t="str">
        <f>IF(P9="","",":")</f>
        <v/>
      </c>
      <c r="R10" s="144"/>
      <c r="S10" s="142"/>
      <c r="T10" s="143" t="str">
        <f>IF(S9="","",":")</f>
        <v/>
      </c>
      <c r="U10" s="144"/>
      <c r="V10" s="142"/>
      <c r="W10" s="143" t="str">
        <f>IF(V9="","",":")</f>
        <v/>
      </c>
      <c r="X10" s="144"/>
      <c r="Y10" s="142"/>
      <c r="Z10" s="143" t="str">
        <f>IF(Y9="","",":")</f>
        <v/>
      </c>
      <c r="AA10" s="144"/>
      <c r="AB10" s="142"/>
      <c r="AC10" s="143" t="str">
        <f>IF(AB9="","",":")</f>
        <v/>
      </c>
      <c r="AD10" s="144"/>
      <c r="AE10" s="142"/>
      <c r="AF10" s="143" t="str">
        <f>IF(AE9="","",":")</f>
        <v/>
      </c>
      <c r="AG10" s="144"/>
      <c r="AH10" s="142"/>
      <c r="AI10" s="143" t="str">
        <f>IF(AH9="","",":")</f>
        <v/>
      </c>
      <c r="AJ10" s="144"/>
      <c r="AK10" s="142"/>
      <c r="AL10" s="143" t="str">
        <f>IF(AK9="","",":")</f>
        <v/>
      </c>
      <c r="AM10" s="144"/>
      <c r="AN10" s="142"/>
      <c r="AO10" s="143" t="str">
        <f>IF(AN9="","",":")</f>
        <v/>
      </c>
      <c r="AP10" s="144"/>
      <c r="AQ10" s="142"/>
      <c r="AR10" s="143" t="str">
        <f>IF(AQ9="","",":")</f>
        <v/>
      </c>
      <c r="AS10" s="144"/>
      <c r="AT10" s="142"/>
      <c r="AU10" s="143" t="str">
        <f>IF(AT9="","",":")</f>
        <v/>
      </c>
      <c r="AV10" s="144"/>
      <c r="AW10" s="142"/>
      <c r="AX10" s="143" t="str">
        <f>IF(AW9="","",":")</f>
        <v/>
      </c>
      <c r="AY10" s="144"/>
      <c r="AZ10" s="1224"/>
      <c r="BA10" s="1225"/>
      <c r="BB10" s="1227"/>
      <c r="BC10" s="1228"/>
    </row>
    <row r="11" spans="1:55" ht="15.75" customHeight="1" x14ac:dyDescent="0.25">
      <c r="A11" s="1163">
        <v>4</v>
      </c>
      <c r="B11" s="1229"/>
      <c r="C11" s="140" t="str">
        <f>IF(B11="","",VLOOKUP(B11,'Списки участников'!A:I,3,FALSE))</f>
        <v/>
      </c>
      <c r="D11" s="1219" t="str">
        <f>IF(M5="","",IF(M6="W",0,IF(M5=2,1,IF(M5=1,2,IF(M5=0,2)))))</f>
        <v/>
      </c>
      <c r="E11" s="1220"/>
      <c r="F11" s="1221"/>
      <c r="G11" s="1219" t="str">
        <f>IF(M7="","",IF(M8="W",0,IF(M7=2,1,IF(M7=1,2,IF(M7=0,2)))))</f>
        <v/>
      </c>
      <c r="H11" s="1220"/>
      <c r="I11" s="1221"/>
      <c r="J11" s="1219" t="str">
        <f>IF(M9="","",IF(M10="W",0,IF(M9=2,1,IF(M9=1,2,IF(M9=0,2)))))</f>
        <v/>
      </c>
      <c r="K11" s="1220"/>
      <c r="L11" s="1221"/>
      <c r="M11" s="1235"/>
      <c r="N11" s="1235"/>
      <c r="O11" s="1235"/>
      <c r="P11" s="1219"/>
      <c r="Q11" s="1220"/>
      <c r="R11" s="1221"/>
      <c r="S11" s="1219"/>
      <c r="T11" s="1220"/>
      <c r="U11" s="1221"/>
      <c r="V11" s="1219"/>
      <c r="W11" s="1220"/>
      <c r="X11" s="1221"/>
      <c r="Y11" s="1219"/>
      <c r="Z11" s="1220"/>
      <c r="AA11" s="1221"/>
      <c r="AB11" s="1219"/>
      <c r="AC11" s="1220"/>
      <c r="AD11" s="1221"/>
      <c r="AE11" s="1219"/>
      <c r="AF11" s="1220"/>
      <c r="AG11" s="1221"/>
      <c r="AH11" s="1219"/>
      <c r="AI11" s="1220"/>
      <c r="AJ11" s="1221"/>
      <c r="AK11" s="1219"/>
      <c r="AL11" s="1220"/>
      <c r="AM11" s="1221"/>
      <c r="AN11" s="1219"/>
      <c r="AO11" s="1220"/>
      <c r="AP11" s="1221"/>
      <c r="AQ11" s="1219"/>
      <c r="AR11" s="1220"/>
      <c r="AS11" s="1221"/>
      <c r="AT11" s="1219"/>
      <c r="AU11" s="1220"/>
      <c r="AV11" s="1221"/>
      <c r="AW11" s="1219"/>
      <c r="AX11" s="1220"/>
      <c r="AY11" s="1221"/>
      <c r="AZ11" s="1222" t="str">
        <f t="shared" ref="AZ11" si="2">IF(B11="","",SUM(G11,J11,M11,P11,S11,V11,Y11,AB11,AE11,AH11,AK11,AN11,AQ11,AT11,AW11))</f>
        <v/>
      </c>
      <c r="BA11" s="1223"/>
      <c r="BB11" s="1226"/>
      <c r="BC11" s="1228" t="str">
        <f>IF(B11="","",RANK(AZ11,Ф2Оч)+16)</f>
        <v/>
      </c>
    </row>
    <row r="12" spans="1:55" ht="15.75" customHeight="1" x14ac:dyDescent="0.25">
      <c r="A12" s="1164"/>
      <c r="B12" s="1230"/>
      <c r="C12" s="141" t="str">
        <f>IF(B11="","",VLOOKUP(B11,'Списки участников'!A:I,6,FALSE))</f>
        <v/>
      </c>
      <c r="D12" s="148" t="str">
        <f>IF(M6="","",IF(O6="l","W",O6))</f>
        <v/>
      </c>
      <c r="E12" s="143" t="str">
        <f>IF(N6="","",":")</f>
        <v/>
      </c>
      <c r="F12" s="149" t="str">
        <f>IF(O6="","",IF(M6="W","L",M6))</f>
        <v/>
      </c>
      <c r="G12" s="148" t="str">
        <f>IF(M8="","",IF(O8="l","W",O8))</f>
        <v/>
      </c>
      <c r="H12" s="143" t="str">
        <f>IF(N8="","",":")</f>
        <v/>
      </c>
      <c r="I12" s="149" t="str">
        <f>IF(O8="","",IF(M8="W","L",M8))</f>
        <v/>
      </c>
      <c r="J12" s="148" t="str">
        <f>IF(M10="","",IF(O10="l","W",O10))</f>
        <v/>
      </c>
      <c r="K12" s="143" t="str">
        <f>IF(N10="","",":")</f>
        <v/>
      </c>
      <c r="L12" s="149" t="str">
        <f>IF(O10="","",IF(M10="W","L",M10))</f>
        <v/>
      </c>
      <c r="M12" s="1238"/>
      <c r="N12" s="1238"/>
      <c r="O12" s="1238"/>
      <c r="P12" s="142"/>
      <c r="Q12" s="143" t="str">
        <f>IF(P11="","",":")</f>
        <v/>
      </c>
      <c r="R12" s="144"/>
      <c r="S12" s="142"/>
      <c r="T12" s="143" t="str">
        <f>IF(S11="","",":")</f>
        <v/>
      </c>
      <c r="U12" s="144"/>
      <c r="V12" s="142"/>
      <c r="W12" s="143" t="str">
        <f>IF(V11="","",":")</f>
        <v/>
      </c>
      <c r="X12" s="144"/>
      <c r="Y12" s="142"/>
      <c r="Z12" s="143" t="str">
        <f>IF(Y11="","",":")</f>
        <v/>
      </c>
      <c r="AA12" s="144"/>
      <c r="AB12" s="142"/>
      <c r="AC12" s="143" t="str">
        <f>IF(AB11="","",":")</f>
        <v/>
      </c>
      <c r="AD12" s="144"/>
      <c r="AE12" s="142"/>
      <c r="AF12" s="143" t="str">
        <f>IF(AE11="","",":")</f>
        <v/>
      </c>
      <c r="AG12" s="144"/>
      <c r="AH12" s="142"/>
      <c r="AI12" s="143" t="str">
        <f>IF(AH11="","",":")</f>
        <v/>
      </c>
      <c r="AJ12" s="144"/>
      <c r="AK12" s="142"/>
      <c r="AL12" s="143" t="str">
        <f>IF(AK11="","",":")</f>
        <v/>
      </c>
      <c r="AM12" s="144"/>
      <c r="AN12" s="142"/>
      <c r="AO12" s="143" t="str">
        <f>IF(AN11="","",":")</f>
        <v/>
      </c>
      <c r="AP12" s="144"/>
      <c r="AQ12" s="142"/>
      <c r="AR12" s="143" t="str">
        <f>IF(AQ11="","",":")</f>
        <v/>
      </c>
      <c r="AS12" s="144"/>
      <c r="AT12" s="142"/>
      <c r="AU12" s="143" t="str">
        <f>IF(AT11="","",":")</f>
        <v/>
      </c>
      <c r="AV12" s="144"/>
      <c r="AW12" s="142"/>
      <c r="AX12" s="143" t="str">
        <f>IF(AW11="","",":")</f>
        <v/>
      </c>
      <c r="AY12" s="144"/>
      <c r="AZ12" s="1224"/>
      <c r="BA12" s="1225"/>
      <c r="BB12" s="1227"/>
      <c r="BC12" s="1228"/>
    </row>
    <row r="13" spans="1:55" ht="15.75" customHeight="1" x14ac:dyDescent="0.25">
      <c r="A13" s="1163">
        <v>5</v>
      </c>
      <c r="B13" s="1213"/>
      <c r="C13" s="140" t="str">
        <f>IF(B13="","",VLOOKUP(B13,'Списки участников'!A:I,3,FALSE))</f>
        <v/>
      </c>
      <c r="D13" s="1219" t="str">
        <f>IF(P5="","",IF(P6="W",0,IF(P5=2,1,IF(P5=1,2,IF(P5=0,2)))))</f>
        <v/>
      </c>
      <c r="E13" s="1220"/>
      <c r="F13" s="1221"/>
      <c r="G13" s="1219" t="str">
        <f>IF(P7="","",IF(P8="W",0,IF(P7=2,1,IF(P7=1,2,IF(P7=0,2)))))</f>
        <v/>
      </c>
      <c r="H13" s="1220"/>
      <c r="I13" s="1221"/>
      <c r="J13" s="1219" t="str">
        <f>IF(P9="","",IF(P10="W",0,IF(P9=2,1,IF(P9=1,2,IF(P9=0,2)))))</f>
        <v/>
      </c>
      <c r="K13" s="1220"/>
      <c r="L13" s="1221"/>
      <c r="M13" s="1219" t="str">
        <f>IF(P11="","",IF(P12="W",0,IF(P11=2,1,IF(P11=1,2,IF(P11=0,2)))))</f>
        <v/>
      </c>
      <c r="N13" s="1220"/>
      <c r="O13" s="1221"/>
      <c r="P13" s="1234"/>
      <c r="Q13" s="1235"/>
      <c r="R13" s="1236"/>
      <c r="S13" s="1219"/>
      <c r="T13" s="1220"/>
      <c r="U13" s="1221"/>
      <c r="V13" s="1219"/>
      <c r="W13" s="1220"/>
      <c r="X13" s="1221"/>
      <c r="Y13" s="1219"/>
      <c r="Z13" s="1220"/>
      <c r="AA13" s="1221"/>
      <c r="AB13" s="1219"/>
      <c r="AC13" s="1220"/>
      <c r="AD13" s="1221"/>
      <c r="AE13" s="1219"/>
      <c r="AF13" s="1220"/>
      <c r="AG13" s="1221"/>
      <c r="AH13" s="1219"/>
      <c r="AI13" s="1220"/>
      <c r="AJ13" s="1221"/>
      <c r="AK13" s="1219"/>
      <c r="AL13" s="1220"/>
      <c r="AM13" s="1221"/>
      <c r="AN13" s="1219"/>
      <c r="AO13" s="1220"/>
      <c r="AP13" s="1221"/>
      <c r="AQ13" s="1219"/>
      <c r="AR13" s="1220"/>
      <c r="AS13" s="1221"/>
      <c r="AT13" s="1219"/>
      <c r="AU13" s="1220"/>
      <c r="AV13" s="1221"/>
      <c r="AW13" s="1219"/>
      <c r="AX13" s="1220"/>
      <c r="AY13" s="1221"/>
      <c r="AZ13" s="1222" t="str">
        <f t="shared" ref="AZ13" si="3">IF(B13="","",SUM(G13,J13,M13,P13,S13,V13,Y13,AB13,AE13,AH13,AK13,AN13,AQ13,AT13,AW13))</f>
        <v/>
      </c>
      <c r="BA13" s="1223"/>
      <c r="BB13" s="1226"/>
      <c r="BC13" s="1228" t="str">
        <f>IF(B13="","",RANK(AZ13,Ф2Оч)+16)</f>
        <v/>
      </c>
    </row>
    <row r="14" spans="1:55" ht="15.75" customHeight="1" x14ac:dyDescent="0.25">
      <c r="A14" s="1164"/>
      <c r="B14" s="1214"/>
      <c r="C14" s="141" t="str">
        <f>IF(B13="","",VLOOKUP(B13,'Списки участников'!A:I,6,FALSE))</f>
        <v/>
      </c>
      <c r="D14" s="148" t="str">
        <f>IF(P6="","",IF(R6="l","W",R6))</f>
        <v/>
      </c>
      <c r="E14" s="143" t="str">
        <f>IF(Q6="","",":")</f>
        <v/>
      </c>
      <c r="F14" s="149" t="str">
        <f>IF(R6="","",IF(P6="W","L",P6))</f>
        <v/>
      </c>
      <c r="G14" s="148" t="str">
        <f>IF(P8="","",IF(R8="l","W",R8))</f>
        <v/>
      </c>
      <c r="H14" s="143" t="str">
        <f>IF(Q8="","",":")</f>
        <v/>
      </c>
      <c r="I14" s="149" t="str">
        <f>IF(R8="","",IF(P8="W","L",P8))</f>
        <v/>
      </c>
      <c r="J14" s="148" t="str">
        <f>IF(P10="","",IF(R10="l","W",R10))</f>
        <v/>
      </c>
      <c r="K14" s="143" t="str">
        <f>IF(Q10="","",":")</f>
        <v/>
      </c>
      <c r="L14" s="149" t="str">
        <f>IF(R10="","",IF(P10="W","L",P10))</f>
        <v/>
      </c>
      <c r="M14" s="148" t="str">
        <f>IF(P12="","",IF(R12="l","W",R12))</f>
        <v/>
      </c>
      <c r="N14" s="143" t="str">
        <f>IF(Q12="","",":")</f>
        <v/>
      </c>
      <c r="O14" s="149" t="str">
        <f>IF(R12="","",IF(P12="W","L",P12))</f>
        <v/>
      </c>
      <c r="P14" s="1237"/>
      <c r="Q14" s="1217"/>
      <c r="R14" s="1218"/>
      <c r="S14" s="142"/>
      <c r="T14" s="143" t="str">
        <f>IF(S13="","",":")</f>
        <v/>
      </c>
      <c r="U14" s="144"/>
      <c r="V14" s="142"/>
      <c r="W14" s="143" t="str">
        <f>IF(V13="","",":")</f>
        <v/>
      </c>
      <c r="X14" s="144"/>
      <c r="Y14" s="142"/>
      <c r="Z14" s="143" t="str">
        <f>IF(Y13="","",":")</f>
        <v/>
      </c>
      <c r="AA14" s="144"/>
      <c r="AB14" s="142"/>
      <c r="AC14" s="143" t="str">
        <f>IF(AB13="","",":")</f>
        <v/>
      </c>
      <c r="AD14" s="144"/>
      <c r="AE14" s="142"/>
      <c r="AF14" s="143" t="str">
        <f>IF(AE13="","",":")</f>
        <v/>
      </c>
      <c r="AG14" s="144"/>
      <c r="AH14" s="142"/>
      <c r="AI14" s="143" t="str">
        <f>IF(AH13="","",":")</f>
        <v/>
      </c>
      <c r="AJ14" s="144"/>
      <c r="AK14" s="142"/>
      <c r="AL14" s="143" t="str">
        <f>IF(AK13="","",":")</f>
        <v/>
      </c>
      <c r="AM14" s="144"/>
      <c r="AN14" s="142"/>
      <c r="AO14" s="143" t="str">
        <f>IF(AN13="","",":")</f>
        <v/>
      </c>
      <c r="AP14" s="144"/>
      <c r="AQ14" s="142"/>
      <c r="AR14" s="143" t="str">
        <f>IF(AQ13="","",":")</f>
        <v/>
      </c>
      <c r="AS14" s="144"/>
      <c r="AT14" s="142"/>
      <c r="AU14" s="143" t="str">
        <f>IF(AT13="","",":")</f>
        <v/>
      </c>
      <c r="AV14" s="144"/>
      <c r="AW14" s="142"/>
      <c r="AX14" s="143" t="str">
        <f>IF(AW13="","",":")</f>
        <v/>
      </c>
      <c r="AY14" s="144"/>
      <c r="AZ14" s="1224"/>
      <c r="BA14" s="1225"/>
      <c r="BB14" s="1227"/>
      <c r="BC14" s="1228"/>
    </row>
    <row r="15" spans="1:55" ht="15.75" customHeight="1" x14ac:dyDescent="0.25">
      <c r="A15" s="1163">
        <v>6</v>
      </c>
      <c r="B15" s="1229"/>
      <c r="C15" s="140" t="str">
        <f>IF(B15="","",VLOOKUP(B15,'Списки участников'!A:I,3,FALSE))</f>
        <v/>
      </c>
      <c r="D15" s="1219" t="str">
        <f>IF(S5="","",IF(S6="W",0,IF(S5=2,1,IF(S5=1,2,IF(S5=0,2)))))</f>
        <v/>
      </c>
      <c r="E15" s="1220"/>
      <c r="F15" s="1221"/>
      <c r="G15" s="1219" t="str">
        <f>IF(S7="","",IF(S8="W",0,IF(S7=2,1,IF(S7=1,2,IF(S7=0,2)))))</f>
        <v/>
      </c>
      <c r="H15" s="1220"/>
      <c r="I15" s="1221"/>
      <c r="J15" s="1219" t="str">
        <f>IF(S9="","",IF(S10="W",0,IF(S9=2,1,IF(S9=1,2,IF(S9=0,2)))))</f>
        <v/>
      </c>
      <c r="K15" s="1220"/>
      <c r="L15" s="1221"/>
      <c r="M15" s="1219" t="str">
        <f>IF(S11="","",IF(S12="W",0,IF(S11=2,1,IF(S11=1,2,IF(S11=0,2)))))</f>
        <v/>
      </c>
      <c r="N15" s="1220"/>
      <c r="O15" s="1221"/>
      <c r="P15" s="1219" t="str">
        <f>IF(S13="","",IF(S14="W",0,IF(S13=2,1,IF(S13=1,2,IF(S13=0,2)))))</f>
        <v/>
      </c>
      <c r="Q15" s="1220"/>
      <c r="R15" s="1221"/>
      <c r="S15" s="1234"/>
      <c r="T15" s="1235"/>
      <c r="U15" s="1236"/>
      <c r="V15" s="1219"/>
      <c r="W15" s="1220"/>
      <c r="X15" s="1221"/>
      <c r="Y15" s="1219"/>
      <c r="Z15" s="1220"/>
      <c r="AA15" s="1221"/>
      <c r="AB15" s="1219"/>
      <c r="AC15" s="1220"/>
      <c r="AD15" s="1221"/>
      <c r="AE15" s="1219"/>
      <c r="AF15" s="1220"/>
      <c r="AG15" s="1221"/>
      <c r="AH15" s="1219"/>
      <c r="AI15" s="1220"/>
      <c r="AJ15" s="1221"/>
      <c r="AK15" s="1219"/>
      <c r="AL15" s="1220"/>
      <c r="AM15" s="1221"/>
      <c r="AN15" s="1219"/>
      <c r="AO15" s="1220"/>
      <c r="AP15" s="1221"/>
      <c r="AQ15" s="1219"/>
      <c r="AR15" s="1220"/>
      <c r="AS15" s="1221"/>
      <c r="AT15" s="1219"/>
      <c r="AU15" s="1220"/>
      <c r="AV15" s="1221"/>
      <c r="AW15" s="1219"/>
      <c r="AX15" s="1220"/>
      <c r="AY15" s="1221"/>
      <c r="AZ15" s="1222" t="str">
        <f t="shared" ref="AZ15" si="4">IF(B15="","",SUM(G15,J15,M15,P15,S15,V15,Y15,AB15,AE15,AH15,AK15,AN15,AQ15,AT15,AW15))</f>
        <v/>
      </c>
      <c r="BA15" s="1223"/>
      <c r="BB15" s="1226"/>
      <c r="BC15" s="1228" t="str">
        <f>IF(B15="","",RANK(AZ15,Ф2Оч)+16)</f>
        <v/>
      </c>
    </row>
    <row r="16" spans="1:55" ht="15.75" customHeight="1" x14ac:dyDescent="0.25">
      <c r="A16" s="1164"/>
      <c r="B16" s="1230"/>
      <c r="C16" s="141" t="str">
        <f>IF(B15="","",VLOOKUP(B15,'Списки участников'!A:I,6,FALSE))</f>
        <v/>
      </c>
      <c r="D16" s="148" t="str">
        <f>IF(S6="","",IF(U6="l","W",U6))</f>
        <v/>
      </c>
      <c r="E16" s="143" t="str">
        <f>IF(T6="","",":")</f>
        <v/>
      </c>
      <c r="F16" s="149" t="str">
        <f>IF(U6="","",IF(S6="W","L",S6))</f>
        <v/>
      </c>
      <c r="G16" s="148" t="str">
        <f>IF(S8="","",IF(U8="l","W",U8))</f>
        <v/>
      </c>
      <c r="H16" s="143" t="str">
        <f>IF(T8="","",":")</f>
        <v/>
      </c>
      <c r="I16" s="149" t="str">
        <f>IF(U8="","",IF(S8="W","L",S8))</f>
        <v/>
      </c>
      <c r="J16" s="148" t="str">
        <f>IF(S10="","",IF(U10="l","W",U10))</f>
        <v/>
      </c>
      <c r="K16" s="143" t="str">
        <f>IF(T10="","",":")</f>
        <v/>
      </c>
      <c r="L16" s="149" t="str">
        <f>IF(U10="","",IF(S10="W","L",S10))</f>
        <v/>
      </c>
      <c r="M16" s="148" t="str">
        <f>IF(S12="","",IF(U12="l","W",U12))</f>
        <v/>
      </c>
      <c r="N16" s="143" t="str">
        <f>IF(T12="","",":")</f>
        <v/>
      </c>
      <c r="O16" s="149" t="str">
        <f>IF(U12="","",IF(S12="W","L",S12))</f>
        <v/>
      </c>
      <c r="P16" s="148" t="str">
        <f>IF(S14="","",IF(U14="l","W",U14))</f>
        <v/>
      </c>
      <c r="Q16" s="143" t="str">
        <f>IF(T14="","",":")</f>
        <v/>
      </c>
      <c r="R16" s="149" t="str">
        <f>IF(U14="","",IF(S14="W","L",S14))</f>
        <v/>
      </c>
      <c r="S16" s="1237"/>
      <c r="T16" s="1217"/>
      <c r="U16" s="1218"/>
      <c r="V16" s="142"/>
      <c r="W16" s="143" t="str">
        <f>IF(V15="","",":")</f>
        <v/>
      </c>
      <c r="X16" s="144"/>
      <c r="Y16" s="142"/>
      <c r="Z16" s="143" t="str">
        <f>IF(Y15="","",":")</f>
        <v/>
      </c>
      <c r="AA16" s="144"/>
      <c r="AB16" s="142"/>
      <c r="AC16" s="143" t="str">
        <f>IF(AB15="","",":")</f>
        <v/>
      </c>
      <c r="AD16" s="144"/>
      <c r="AE16" s="142"/>
      <c r="AF16" s="143" t="str">
        <f>IF(AE15="","",":")</f>
        <v/>
      </c>
      <c r="AG16" s="144"/>
      <c r="AH16" s="142"/>
      <c r="AI16" s="143" t="str">
        <f>IF(AH15="","",":")</f>
        <v/>
      </c>
      <c r="AJ16" s="144"/>
      <c r="AK16" s="142"/>
      <c r="AL16" s="143" t="str">
        <f>IF(AK15="","",":")</f>
        <v/>
      </c>
      <c r="AM16" s="144"/>
      <c r="AN16" s="142"/>
      <c r="AO16" s="143" t="str">
        <f>IF(AN15="","",":")</f>
        <v/>
      </c>
      <c r="AP16" s="144"/>
      <c r="AQ16" s="142"/>
      <c r="AR16" s="143" t="str">
        <f>IF(AQ15="","",":")</f>
        <v/>
      </c>
      <c r="AS16" s="144"/>
      <c r="AT16" s="142"/>
      <c r="AU16" s="143" t="str">
        <f>IF(AT15="","",":")</f>
        <v/>
      </c>
      <c r="AV16" s="144"/>
      <c r="AW16" s="142"/>
      <c r="AX16" s="143" t="str">
        <f>IF(AW15="","",":")</f>
        <v/>
      </c>
      <c r="AY16" s="144"/>
      <c r="AZ16" s="1224"/>
      <c r="BA16" s="1225"/>
      <c r="BB16" s="1227"/>
      <c r="BC16" s="1228"/>
    </row>
    <row r="17" spans="1:55" ht="15.75" customHeight="1" x14ac:dyDescent="0.25">
      <c r="A17" s="1163">
        <v>7</v>
      </c>
      <c r="B17" s="1213"/>
      <c r="C17" s="140" t="str">
        <f>IF(B17="","",VLOOKUP(B17,'Списки участников'!A:I,3,FALSE))</f>
        <v/>
      </c>
      <c r="D17" s="1219" t="str">
        <f>IF(V5="","",IF(V6="W",0,IF(V5=2,1,IF(V5=1,2,IF(V5=0,2)))))</f>
        <v/>
      </c>
      <c r="E17" s="1220"/>
      <c r="F17" s="1221"/>
      <c r="G17" s="1219" t="str">
        <f>IF(V7="","",IF(V8="W",0,IF(V7=2,1,IF(V7=1,2,IF(V7=0,2)))))</f>
        <v/>
      </c>
      <c r="H17" s="1220"/>
      <c r="I17" s="1221"/>
      <c r="J17" s="1219" t="str">
        <f>IF(V9="","",IF(V10="W",0,IF(V9=2,1,IF(V9=1,2,IF(V9=0,2)))))</f>
        <v/>
      </c>
      <c r="K17" s="1220"/>
      <c r="L17" s="1221"/>
      <c r="M17" s="1219" t="str">
        <f>IF(V11="","",IF(V12="W",0,IF(V11=2,1,IF(V11=1,2,IF(V11=0,2)))))</f>
        <v/>
      </c>
      <c r="N17" s="1220"/>
      <c r="O17" s="1221"/>
      <c r="P17" s="1219" t="str">
        <f>IF(V13="","",IF(V14="W",0,IF(V13=2,1,IF(V13=1,2,IF(V13=0,2)))))</f>
        <v/>
      </c>
      <c r="Q17" s="1220"/>
      <c r="R17" s="1221"/>
      <c r="S17" s="1219" t="str">
        <f>IF(V15="","",IF(V16="W",0,IF(V15=2,1,IF(V15=1,2,IF(V15=0,2)))))</f>
        <v/>
      </c>
      <c r="T17" s="1220"/>
      <c r="U17" s="1221"/>
      <c r="V17" s="1239"/>
      <c r="W17" s="1215"/>
      <c r="X17" s="1216"/>
      <c r="Y17" s="1219"/>
      <c r="Z17" s="1220"/>
      <c r="AA17" s="1221"/>
      <c r="AB17" s="1219"/>
      <c r="AC17" s="1220"/>
      <c r="AD17" s="1221"/>
      <c r="AE17" s="1219"/>
      <c r="AF17" s="1220"/>
      <c r="AG17" s="1221"/>
      <c r="AH17" s="1219"/>
      <c r="AI17" s="1220"/>
      <c r="AJ17" s="1221"/>
      <c r="AK17" s="1219"/>
      <c r="AL17" s="1220"/>
      <c r="AM17" s="1221"/>
      <c r="AN17" s="1219"/>
      <c r="AO17" s="1220"/>
      <c r="AP17" s="1221"/>
      <c r="AQ17" s="1219"/>
      <c r="AR17" s="1220"/>
      <c r="AS17" s="1221"/>
      <c r="AT17" s="1219"/>
      <c r="AU17" s="1220"/>
      <c r="AV17" s="1221"/>
      <c r="AW17" s="1219"/>
      <c r="AX17" s="1220"/>
      <c r="AY17" s="1221"/>
      <c r="AZ17" s="1222" t="str">
        <f t="shared" ref="AZ17" si="5">IF(B17="","",SUM(G17,J17,M17,P17,S17,V17,Y17,AB17,AE17,AH17,AK17,AN17,AQ17,AT17,AW17))</f>
        <v/>
      </c>
      <c r="BA17" s="1223"/>
      <c r="BB17" s="1226"/>
      <c r="BC17" s="1228" t="str">
        <f>IF(B17="","",RANK(AZ17,Ф2Оч)+16)</f>
        <v/>
      </c>
    </row>
    <row r="18" spans="1:55" ht="15.75" customHeight="1" x14ac:dyDescent="0.25">
      <c r="A18" s="1164"/>
      <c r="B18" s="1214"/>
      <c r="C18" s="141" t="str">
        <f>IF(B17="","",VLOOKUP(B17,'Списки участников'!A:I,6,FALSE))</f>
        <v/>
      </c>
      <c r="D18" s="148" t="str">
        <f>IF(V6="","",IF(X6="l","W",X6))</f>
        <v/>
      </c>
      <c r="E18" s="143" t="str">
        <f>IF(W6="","",":")</f>
        <v/>
      </c>
      <c r="F18" s="149" t="str">
        <f>IF(X6="","",IF(V6="W","L",V6))</f>
        <v/>
      </c>
      <c r="G18" s="148" t="str">
        <f>IF(V8="","",IF(X8="l","W",X8))</f>
        <v/>
      </c>
      <c r="H18" s="143" t="str">
        <f>IF(W8="","",":")</f>
        <v/>
      </c>
      <c r="I18" s="149" t="str">
        <f>IF(X8="","",IF(V8="W","L",V8))</f>
        <v/>
      </c>
      <c r="J18" s="148" t="str">
        <f>IF(V10="","",IF(X10="l","W",X10))</f>
        <v/>
      </c>
      <c r="K18" s="143" t="str">
        <f>IF(W10="","",":")</f>
        <v/>
      </c>
      <c r="L18" s="149" t="str">
        <f>IF(X10="","",IF(V10="W","L",V10))</f>
        <v/>
      </c>
      <c r="M18" s="148" t="str">
        <f>IF(V12="","",IF(X12="l","W",X12))</f>
        <v/>
      </c>
      <c r="N18" s="143" t="str">
        <f>IF(W12="","",":")</f>
        <v/>
      </c>
      <c r="O18" s="149" t="str">
        <f>IF(X12="","",IF(V12="W","L",V12))</f>
        <v/>
      </c>
      <c r="P18" s="148" t="str">
        <f>IF(V14="","",IF(X14="l","W",X14))</f>
        <v/>
      </c>
      <c r="Q18" s="143" t="str">
        <f>IF(W14="","",":")</f>
        <v/>
      </c>
      <c r="R18" s="149" t="str">
        <f>IF(X14="","",IF(V14="W","L",V14))</f>
        <v/>
      </c>
      <c r="S18" s="148" t="str">
        <f>IF(V16="","",IF(X16="l","W",X16))</f>
        <v/>
      </c>
      <c r="T18" s="143" t="str">
        <f>IF(W16="","",":")</f>
        <v/>
      </c>
      <c r="U18" s="149" t="str">
        <f>IF(X16="","",IF(V16="W","L",V16))</f>
        <v/>
      </c>
      <c r="V18" s="1237"/>
      <c r="W18" s="1217"/>
      <c r="X18" s="1218"/>
      <c r="Y18" s="142"/>
      <c r="Z18" s="143" t="str">
        <f>IF(Y17="","",":")</f>
        <v/>
      </c>
      <c r="AA18" s="144"/>
      <c r="AB18" s="142"/>
      <c r="AC18" s="143" t="str">
        <f>IF(AB17="","",":")</f>
        <v/>
      </c>
      <c r="AD18" s="144"/>
      <c r="AE18" s="142"/>
      <c r="AF18" s="143" t="str">
        <f>IF(AE17="","",":")</f>
        <v/>
      </c>
      <c r="AG18" s="144"/>
      <c r="AH18" s="142"/>
      <c r="AI18" s="143" t="str">
        <f>IF(AH17="","",":")</f>
        <v/>
      </c>
      <c r="AJ18" s="144"/>
      <c r="AK18" s="142"/>
      <c r="AL18" s="143" t="str">
        <f>IF(AK17="","",":")</f>
        <v/>
      </c>
      <c r="AM18" s="144"/>
      <c r="AN18" s="142"/>
      <c r="AO18" s="143" t="str">
        <f>IF(AN17="","",":")</f>
        <v/>
      </c>
      <c r="AP18" s="144"/>
      <c r="AQ18" s="142"/>
      <c r="AR18" s="143" t="str">
        <f>IF(AQ17="","",":")</f>
        <v/>
      </c>
      <c r="AS18" s="144"/>
      <c r="AT18" s="142"/>
      <c r="AU18" s="143" t="str">
        <f>IF(AT17="","",":")</f>
        <v/>
      </c>
      <c r="AV18" s="144"/>
      <c r="AW18" s="142"/>
      <c r="AX18" s="143" t="str">
        <f>IF(AW17="","",":")</f>
        <v/>
      </c>
      <c r="AY18" s="144"/>
      <c r="AZ18" s="1224"/>
      <c r="BA18" s="1225"/>
      <c r="BB18" s="1227"/>
      <c r="BC18" s="1228"/>
    </row>
    <row r="19" spans="1:55" ht="15.75" customHeight="1" x14ac:dyDescent="0.25">
      <c r="A19" s="1163">
        <v>8</v>
      </c>
      <c r="B19" s="1229"/>
      <c r="C19" s="140" t="str">
        <f>IF(B19="","",VLOOKUP(B19,'Списки участников'!A:I,3,FALSE))</f>
        <v/>
      </c>
      <c r="D19" s="1219" t="str">
        <f>IF(Y5="","",IF(Y6="W",0,IF(Y5=2,1,IF(Y5=1,2,IF(Y5=0,2)))))</f>
        <v/>
      </c>
      <c r="E19" s="1220"/>
      <c r="F19" s="1221"/>
      <c r="G19" s="1219" t="str">
        <f>IF(Y7="","",IF(Y8="W",0,IF(Y7=2,1,IF(Y7=1,2,IF(Y7=0,2)))))</f>
        <v/>
      </c>
      <c r="H19" s="1220"/>
      <c r="I19" s="1221"/>
      <c r="J19" s="1219" t="str">
        <f>IF(Y9="","",IF(Y10="W",0,IF(Y9=2,1,IF(Y9=1,2,IF(Y9=0,2)))))</f>
        <v/>
      </c>
      <c r="K19" s="1220"/>
      <c r="L19" s="1221"/>
      <c r="M19" s="1219" t="str">
        <f>IF(Y11="","",IF(Y12="W",0,IF(Y11=2,1,IF(Y11=1,2,IF(Y11=0,2)))))</f>
        <v/>
      </c>
      <c r="N19" s="1220"/>
      <c r="O19" s="1221"/>
      <c r="P19" s="1219" t="str">
        <f>IF(Y13="","",IF(Y14="W",0,IF(Y13=2,1,IF(Y13=1,2,IF(Y13=0,2)))))</f>
        <v/>
      </c>
      <c r="Q19" s="1220"/>
      <c r="R19" s="1221"/>
      <c r="S19" s="1219" t="str">
        <f>IF(Y15="","",IF(Y16="W",0,IF(Y15=2,1,IF(Y15=1,2,IF(Y15=0,2)))))</f>
        <v/>
      </c>
      <c r="T19" s="1220"/>
      <c r="U19" s="1221"/>
      <c r="V19" s="1219" t="str">
        <f>IF(Y17="","",IF(Y18="W",0,IF(Y17=2,1,IF(Y17=1,2,IF(Y17=0,2)))))</f>
        <v/>
      </c>
      <c r="W19" s="1220"/>
      <c r="X19" s="1221"/>
      <c r="Y19" s="1234"/>
      <c r="Z19" s="1235"/>
      <c r="AA19" s="1236"/>
      <c r="AB19" s="1219"/>
      <c r="AC19" s="1220"/>
      <c r="AD19" s="1221"/>
      <c r="AE19" s="1219"/>
      <c r="AF19" s="1220"/>
      <c r="AG19" s="1221"/>
      <c r="AH19" s="1219"/>
      <c r="AI19" s="1220"/>
      <c r="AJ19" s="1221"/>
      <c r="AK19" s="1219"/>
      <c r="AL19" s="1220"/>
      <c r="AM19" s="1221"/>
      <c r="AN19" s="1219"/>
      <c r="AO19" s="1220"/>
      <c r="AP19" s="1221"/>
      <c r="AQ19" s="1219"/>
      <c r="AR19" s="1220"/>
      <c r="AS19" s="1221"/>
      <c r="AT19" s="1219"/>
      <c r="AU19" s="1220"/>
      <c r="AV19" s="1221"/>
      <c r="AW19" s="1219"/>
      <c r="AX19" s="1220"/>
      <c r="AY19" s="1221"/>
      <c r="AZ19" s="1222" t="str">
        <f t="shared" ref="AZ19" si="6">IF(B19="","",SUM(G19,J19,M19,P19,S19,V19,Y19,AB19,AE19,AH19,AK19,AN19,AQ19,AT19,AW19))</f>
        <v/>
      </c>
      <c r="BA19" s="1223"/>
      <c r="BB19" s="1226"/>
      <c r="BC19" s="1228" t="str">
        <f>IF(B19="","",RANK(AZ19,Ф2Оч)+16)</f>
        <v/>
      </c>
    </row>
    <row r="20" spans="1:55" ht="15.75" customHeight="1" x14ac:dyDescent="0.25">
      <c r="A20" s="1164"/>
      <c r="B20" s="1230"/>
      <c r="C20" s="141" t="str">
        <f>IF(B19="","",VLOOKUP(B19,'Списки участников'!A:I,6,FALSE))</f>
        <v/>
      </c>
      <c r="D20" s="148" t="str">
        <f>IF(Y6="","",IF(AA6="l","W",AA6))</f>
        <v/>
      </c>
      <c r="E20" s="143" t="str">
        <f>IF(Z6="","",":")</f>
        <v/>
      </c>
      <c r="F20" s="149" t="str">
        <f>IF(AA6="","",IF(Y6="W","L",Y6))</f>
        <v/>
      </c>
      <c r="G20" s="148" t="str">
        <f>IF(Y8="","",IF(AA8="l","W",AA8))</f>
        <v/>
      </c>
      <c r="H20" s="143" t="str">
        <f>IF(Z8="","",":")</f>
        <v/>
      </c>
      <c r="I20" s="149" t="str">
        <f>IF(AA8="","",IF(Y8="W","L",Y8))</f>
        <v/>
      </c>
      <c r="J20" s="148" t="str">
        <f>IF(Y10="","",IF(AA10="l","W",AA10))</f>
        <v/>
      </c>
      <c r="K20" s="143" t="str">
        <f>IF(Z10="","",":")</f>
        <v/>
      </c>
      <c r="L20" s="149" t="str">
        <f>IF(AA10="","",IF(Y10="W","L",Y10))</f>
        <v/>
      </c>
      <c r="M20" s="148" t="str">
        <f>IF(Y12="","",IF(AA12="l","W",AA12))</f>
        <v/>
      </c>
      <c r="N20" s="143" t="str">
        <f>IF(Z12="","",":")</f>
        <v/>
      </c>
      <c r="O20" s="149" t="str">
        <f>IF(AA12="","",IF(Y12="W","L",Y12))</f>
        <v/>
      </c>
      <c r="P20" s="148" t="str">
        <f>IF(Y14="","",IF(AA14="l","W",AA14))</f>
        <v/>
      </c>
      <c r="Q20" s="143" t="str">
        <f>IF(Z14="","",":")</f>
        <v/>
      </c>
      <c r="R20" s="149" t="str">
        <f>IF(AA14="","",IF(Y14="W","L",Y14))</f>
        <v/>
      </c>
      <c r="S20" s="148" t="str">
        <f>IF(Y16="","",IF(AA16="l","W",AA16))</f>
        <v/>
      </c>
      <c r="T20" s="143" t="str">
        <f>IF(Z16="","",":")</f>
        <v/>
      </c>
      <c r="U20" s="149" t="str">
        <f>IF(AA16="","",IF(Y16="W","L",Y16))</f>
        <v/>
      </c>
      <c r="V20" s="148" t="str">
        <f>IF(Y18="","",IF(AA18="l","W",AA18))</f>
        <v/>
      </c>
      <c r="W20" s="143" t="str">
        <f>IF(Z18="","",":")</f>
        <v/>
      </c>
      <c r="X20" s="149" t="str">
        <f>IF(AA18="","",IF(Y18="W","L",Y18))</f>
        <v/>
      </c>
      <c r="Y20" s="1237"/>
      <c r="Z20" s="1217"/>
      <c r="AA20" s="1218"/>
      <c r="AB20" s="142"/>
      <c r="AC20" s="143" t="str">
        <f>IF(AB19="","",":")</f>
        <v/>
      </c>
      <c r="AD20" s="144"/>
      <c r="AE20" s="142"/>
      <c r="AF20" s="143" t="str">
        <f>IF(AE19="","",":")</f>
        <v/>
      </c>
      <c r="AG20" s="144"/>
      <c r="AH20" s="142"/>
      <c r="AI20" s="143" t="str">
        <f>IF(AH19="","",":")</f>
        <v/>
      </c>
      <c r="AJ20" s="144"/>
      <c r="AK20" s="142"/>
      <c r="AL20" s="143" t="str">
        <f>IF(AK19="","",":")</f>
        <v/>
      </c>
      <c r="AM20" s="144"/>
      <c r="AN20" s="142"/>
      <c r="AO20" s="143" t="str">
        <f>IF(AN19="","",":")</f>
        <v/>
      </c>
      <c r="AP20" s="144"/>
      <c r="AQ20" s="142"/>
      <c r="AR20" s="143" t="str">
        <f>IF(AQ19="","",":")</f>
        <v/>
      </c>
      <c r="AS20" s="144"/>
      <c r="AT20" s="142"/>
      <c r="AU20" s="143" t="str">
        <f>IF(AT19="","",":")</f>
        <v/>
      </c>
      <c r="AV20" s="144"/>
      <c r="AW20" s="142"/>
      <c r="AX20" s="143" t="str">
        <f>IF(AW19="","",":")</f>
        <v/>
      </c>
      <c r="AY20" s="144"/>
      <c r="AZ20" s="1224"/>
      <c r="BA20" s="1225"/>
      <c r="BB20" s="1227"/>
      <c r="BC20" s="1228"/>
    </row>
    <row r="21" spans="1:55" ht="15.75" customHeight="1" x14ac:dyDescent="0.25">
      <c r="A21" s="1163">
        <v>9</v>
      </c>
      <c r="B21" s="1213"/>
      <c r="C21" s="140" t="str">
        <f>IF(B21="","",VLOOKUP(B21,'Списки участников'!A:I,3,FALSE))</f>
        <v/>
      </c>
      <c r="D21" s="1219" t="str">
        <f>IF(AB5="","",IF(AB6="W",0,IF(AB5=2,1,IF(AB5=1,2,IF(AB5=0,2)))))</f>
        <v/>
      </c>
      <c r="E21" s="1220"/>
      <c r="F21" s="1221"/>
      <c r="G21" s="1219" t="str">
        <f>IF(AB7="","",IF(AB8="W",0,IF(AB7=2,1,IF(AB7=1,2,IF(AB7=0,2)))))</f>
        <v/>
      </c>
      <c r="H21" s="1220"/>
      <c r="I21" s="1221"/>
      <c r="J21" s="1219" t="str">
        <f>IF(AB9="","",IF(AB10="W",0,IF(AB9=2,1,IF(AB9=1,2,IF(AB9=0,2)))))</f>
        <v/>
      </c>
      <c r="K21" s="1220"/>
      <c r="L21" s="1221"/>
      <c r="M21" s="1219" t="str">
        <f>IF(AB11="","",IF(AB12="W",0,IF(AB11=2,1,IF(AB11=1,2,IF(AB11=0,2)))))</f>
        <v/>
      </c>
      <c r="N21" s="1220"/>
      <c r="O21" s="1221"/>
      <c r="P21" s="1219" t="str">
        <f>IF(AB13="","",IF(AB14="W",0,IF(AB13=2,1,IF(AB13=1,2,IF(AB13=0,2)))))</f>
        <v/>
      </c>
      <c r="Q21" s="1220"/>
      <c r="R21" s="1221"/>
      <c r="S21" s="1219" t="str">
        <f>IF(AB15="","",IF(AB16="W",0,IF(AB15=2,1,IF(AB15=1,2,IF(AB15=0,2)))))</f>
        <v/>
      </c>
      <c r="T21" s="1220"/>
      <c r="U21" s="1221"/>
      <c r="V21" s="1219" t="str">
        <f>IF(AB17="","",IF(AB18="W",0,IF(AB17=2,1,IF(AB17=1,2,IF(AB17=0,2)))))</f>
        <v/>
      </c>
      <c r="W21" s="1220"/>
      <c r="X21" s="1221"/>
      <c r="Y21" s="1219" t="str">
        <f>IF(AB19="","",IF(AB20="W",0,IF(AB19=2,1,IF(AB19=1,2,IF(AB19=0,2)))))</f>
        <v/>
      </c>
      <c r="Z21" s="1220"/>
      <c r="AA21" s="1221"/>
      <c r="AB21" s="1239"/>
      <c r="AC21" s="1215"/>
      <c r="AD21" s="1216"/>
      <c r="AE21" s="1219"/>
      <c r="AF21" s="1220"/>
      <c r="AG21" s="1221"/>
      <c r="AH21" s="1219"/>
      <c r="AI21" s="1220"/>
      <c r="AJ21" s="1221"/>
      <c r="AK21" s="1219"/>
      <c r="AL21" s="1220"/>
      <c r="AM21" s="1221"/>
      <c r="AN21" s="1219"/>
      <c r="AO21" s="1220"/>
      <c r="AP21" s="1221"/>
      <c r="AQ21" s="1219"/>
      <c r="AR21" s="1220"/>
      <c r="AS21" s="1221"/>
      <c r="AT21" s="1219"/>
      <c r="AU21" s="1220"/>
      <c r="AV21" s="1221"/>
      <c r="AW21" s="1219"/>
      <c r="AX21" s="1220"/>
      <c r="AY21" s="1221"/>
      <c r="AZ21" s="1222" t="str">
        <f t="shared" ref="AZ21" si="7">IF(B21="","",SUM(G21,J21,M21,P21,S21,V21,Y21,AB21,AE21,AH21,AK21,AN21,AQ21,AT21,AW21))</f>
        <v/>
      </c>
      <c r="BA21" s="1223"/>
      <c r="BB21" s="1226"/>
      <c r="BC21" s="1228" t="str">
        <f>IF(B21="","",RANK(AZ21,Ф2Оч)+16)</f>
        <v/>
      </c>
    </row>
    <row r="22" spans="1:55" ht="15.75" customHeight="1" x14ac:dyDescent="0.25">
      <c r="A22" s="1164"/>
      <c r="B22" s="1214"/>
      <c r="C22" s="141" t="str">
        <f>IF(B21="","",VLOOKUP(B21,'Списки участников'!A:I,6,FALSE))</f>
        <v/>
      </c>
      <c r="D22" s="148" t="str">
        <f>IF(AB6="","",IF(AD6="l","W",AD6))</f>
        <v/>
      </c>
      <c r="E22" s="143" t="str">
        <f>IF(AC6="","",":")</f>
        <v/>
      </c>
      <c r="F22" s="149" t="str">
        <f>IF(AD6="","",IF(AB6="W","L",AB6))</f>
        <v/>
      </c>
      <c r="G22" s="148" t="str">
        <f>IF(AB8="","",IF(AD8="l","W",AD8))</f>
        <v/>
      </c>
      <c r="H22" s="143" t="str">
        <f>IF(AC8="","",":")</f>
        <v/>
      </c>
      <c r="I22" s="149" t="str">
        <f>IF(AD8="","",IF(AB8="W","L",AB8))</f>
        <v/>
      </c>
      <c r="J22" s="148" t="str">
        <f>IF(AB10="","",IF(AD10="l","W",AD10))</f>
        <v/>
      </c>
      <c r="K22" s="143" t="str">
        <f>IF(AC10="","",":")</f>
        <v/>
      </c>
      <c r="L22" s="149" t="str">
        <f>IF(AD10="","",IF(AB10="W","L",AB10))</f>
        <v/>
      </c>
      <c r="M22" s="148" t="str">
        <f>IF(AB12="","",IF(AD12="l","W",AD12))</f>
        <v/>
      </c>
      <c r="N22" s="143" t="str">
        <f>IF(AC12="","",":")</f>
        <v/>
      </c>
      <c r="O22" s="149" t="str">
        <f>IF(AD12="","",IF(AB12="W","L",AB12))</f>
        <v/>
      </c>
      <c r="P22" s="148" t="str">
        <f>IF(AB14="","",IF(AD14="l","W",AD14))</f>
        <v/>
      </c>
      <c r="Q22" s="143" t="str">
        <f>IF(AC14="","",":")</f>
        <v/>
      </c>
      <c r="R22" s="149" t="str">
        <f>IF(AD14="","",IF(AB14="W","L",AB14))</f>
        <v/>
      </c>
      <c r="S22" s="148" t="str">
        <f>IF(AB16="","",IF(AD16="l","W",AD16))</f>
        <v/>
      </c>
      <c r="T22" s="143" t="str">
        <f>IF(AC16="","",":")</f>
        <v/>
      </c>
      <c r="U22" s="149" t="str">
        <f>IF(AD16="","",IF(AB16="W","L",AB16))</f>
        <v/>
      </c>
      <c r="V22" s="148" t="str">
        <f>IF(AB18="","",IF(AD18="l","W",AD18))</f>
        <v/>
      </c>
      <c r="W22" s="143" t="str">
        <f>IF(AC18="","",":")</f>
        <v/>
      </c>
      <c r="X22" s="149" t="str">
        <f>IF(AD18="","",IF(AB18="W","L",AB18))</f>
        <v/>
      </c>
      <c r="Y22" s="148" t="str">
        <f>IF(AB20="","",IF(AD20="l","W",AD20))</f>
        <v/>
      </c>
      <c r="Z22" s="143" t="str">
        <f>IF(AC20="","",":")</f>
        <v/>
      </c>
      <c r="AA22" s="149" t="str">
        <f>IF(AD20="","",IF(AB20="W","L",AB20))</f>
        <v/>
      </c>
      <c r="AB22" s="1237"/>
      <c r="AC22" s="1217"/>
      <c r="AD22" s="1218"/>
      <c r="AE22" s="142"/>
      <c r="AF22" s="143" t="str">
        <f>IF(AE21="","",":")</f>
        <v/>
      </c>
      <c r="AG22" s="144"/>
      <c r="AH22" s="142"/>
      <c r="AI22" s="143" t="str">
        <f>IF(AH21="","",":")</f>
        <v/>
      </c>
      <c r="AJ22" s="144"/>
      <c r="AK22" s="142"/>
      <c r="AL22" s="143" t="str">
        <f>IF(AK21="","",":")</f>
        <v/>
      </c>
      <c r="AM22" s="144"/>
      <c r="AN22" s="142"/>
      <c r="AO22" s="143" t="str">
        <f>IF(AN21="","",":")</f>
        <v/>
      </c>
      <c r="AP22" s="144"/>
      <c r="AQ22" s="142"/>
      <c r="AR22" s="143" t="str">
        <f>IF(AQ21="","",":")</f>
        <v/>
      </c>
      <c r="AS22" s="144"/>
      <c r="AT22" s="142"/>
      <c r="AU22" s="143" t="str">
        <f>IF(AT21="","",":")</f>
        <v/>
      </c>
      <c r="AV22" s="144"/>
      <c r="AW22" s="142"/>
      <c r="AX22" s="143" t="str">
        <f>IF(AW21="","",":")</f>
        <v/>
      </c>
      <c r="AY22" s="144"/>
      <c r="AZ22" s="1224"/>
      <c r="BA22" s="1225"/>
      <c r="BB22" s="1227"/>
      <c r="BC22" s="1228"/>
    </row>
    <row r="23" spans="1:55" ht="15.75" customHeight="1" x14ac:dyDescent="0.25">
      <c r="A23" s="1163">
        <v>10</v>
      </c>
      <c r="B23" s="1229"/>
      <c r="C23" s="140" t="str">
        <f>IF(B23="","",VLOOKUP(B23,'Списки участников'!A:I,3,FALSE))</f>
        <v/>
      </c>
      <c r="D23" s="1219" t="str">
        <f>IF(AE5="","",IF(AE6="W",0,IF(AE5=2,1,IF(AE5=1,2,IF(AE5=0,2)))))</f>
        <v/>
      </c>
      <c r="E23" s="1220"/>
      <c r="F23" s="1221"/>
      <c r="G23" s="1219" t="str">
        <f>IF(AE7="","",IF(AE8="W",0,IF(AE7=2,1,IF(AE7=1,2,IF(AE7=0,2)))))</f>
        <v/>
      </c>
      <c r="H23" s="1220"/>
      <c r="I23" s="1221"/>
      <c r="J23" s="1219" t="str">
        <f>IF(AE9="","",IF(AE10="W",0,IF(AE9=2,1,IF(AE9=1,2,IF(AE9=0,2)))))</f>
        <v/>
      </c>
      <c r="K23" s="1220"/>
      <c r="L23" s="1221"/>
      <c r="M23" s="1219" t="str">
        <f>IF(AE11="","",IF(AE12="W",0,IF(AE11=2,1,IF(AE11=1,2,IF(AE11=0,2)))))</f>
        <v/>
      </c>
      <c r="N23" s="1220"/>
      <c r="O23" s="1221"/>
      <c r="P23" s="1219" t="str">
        <f>IF(AE13="","",IF(AE14="W",0,IF(AE13=2,1,IF(AE13=1,2,IF(AE13=0,2)))))</f>
        <v/>
      </c>
      <c r="Q23" s="1220"/>
      <c r="R23" s="1221"/>
      <c r="S23" s="1219" t="str">
        <f>IF(AE15="","",IF(AE16="W",0,IF(AE15=2,1,IF(AE15=1,2,IF(AE15=0,2)))))</f>
        <v/>
      </c>
      <c r="T23" s="1220"/>
      <c r="U23" s="1221"/>
      <c r="V23" s="1219" t="str">
        <f>IF(AE17="","",IF(AE18="W",0,IF(AE17=2,1,IF(AE17=1,2,IF(AE17=0,2)))))</f>
        <v/>
      </c>
      <c r="W23" s="1220"/>
      <c r="X23" s="1221"/>
      <c r="Y23" s="1219" t="str">
        <f>IF(AE19="","",IF(AE20="W",0,IF(AE19=2,1,IF(AE19=1,2,IF(AE19=0,2)))))</f>
        <v/>
      </c>
      <c r="Z23" s="1220"/>
      <c r="AA23" s="1221"/>
      <c r="AB23" s="1219" t="str">
        <f>IF(AE21="","",IF(AE22="W",0,IF(AE21=2,1,IF(AE21=1,2,IF(AE21=0,2)))))</f>
        <v/>
      </c>
      <c r="AC23" s="1220"/>
      <c r="AD23" s="1221"/>
      <c r="AE23" s="1234"/>
      <c r="AF23" s="1235"/>
      <c r="AG23" s="1236"/>
      <c r="AH23" s="1219"/>
      <c r="AI23" s="1220"/>
      <c r="AJ23" s="1221"/>
      <c r="AK23" s="1219"/>
      <c r="AL23" s="1220"/>
      <c r="AM23" s="1221"/>
      <c r="AN23" s="1219"/>
      <c r="AO23" s="1220"/>
      <c r="AP23" s="1221"/>
      <c r="AQ23" s="1219"/>
      <c r="AR23" s="1220"/>
      <c r="AS23" s="1221"/>
      <c r="AT23" s="1219"/>
      <c r="AU23" s="1220"/>
      <c r="AV23" s="1221"/>
      <c r="AW23" s="1219"/>
      <c r="AX23" s="1220"/>
      <c r="AY23" s="1221"/>
      <c r="AZ23" s="1222" t="str">
        <f t="shared" ref="AZ23" si="8">IF(B23="","",SUM(G23,J23,M23,P23,S23,V23,Y23,AB23,AE23,AH23,AK23,AN23,AQ23,AT23,AW23))</f>
        <v/>
      </c>
      <c r="BA23" s="1223"/>
      <c r="BB23" s="1226"/>
      <c r="BC23" s="1228" t="str">
        <f>IF(B23="","",RANK(AZ23,Ф2Оч)+16)</f>
        <v/>
      </c>
    </row>
    <row r="24" spans="1:55" ht="15.75" customHeight="1" x14ac:dyDescent="0.25">
      <c r="A24" s="1164"/>
      <c r="B24" s="1230"/>
      <c r="C24" s="141" t="str">
        <f>IF(B23="","",VLOOKUP(B23,'Списки участников'!A:I,6,FALSE))</f>
        <v/>
      </c>
      <c r="D24" s="148" t="str">
        <f>IF(AE6="","",IF(AG6="l","W",AG6))</f>
        <v/>
      </c>
      <c r="E24" s="143" t="str">
        <f>IF(AF6="","",":")</f>
        <v/>
      </c>
      <c r="F24" s="149" t="str">
        <f>IF(AG6="","",IF(AE6="W","L",AE6))</f>
        <v/>
      </c>
      <c r="G24" s="148" t="str">
        <f>IF(AE8="","",IF(AG8="l","W",AG8))</f>
        <v/>
      </c>
      <c r="H24" s="143" t="str">
        <f>IF(AF8="","",":")</f>
        <v/>
      </c>
      <c r="I24" s="149" t="str">
        <f>IF(AG8="","",IF(AE8="W","L",AE8))</f>
        <v/>
      </c>
      <c r="J24" s="148" t="str">
        <f>IF(AE10="","",IF(AG10="l","W",AG10))</f>
        <v/>
      </c>
      <c r="K24" s="143" t="str">
        <f>IF(AF10="","",":")</f>
        <v/>
      </c>
      <c r="L24" s="149" t="str">
        <f>IF(AG10="","",IF(AE10="W","L",AE10))</f>
        <v/>
      </c>
      <c r="M24" s="148" t="str">
        <f>IF(AE12="","",IF(AG12="l","W",AG12))</f>
        <v/>
      </c>
      <c r="N24" s="143" t="str">
        <f>IF(AF12="","",":")</f>
        <v/>
      </c>
      <c r="O24" s="149" t="str">
        <f>IF(AG12="","",IF(AE12="W","L",AE12))</f>
        <v/>
      </c>
      <c r="P24" s="148" t="str">
        <f>IF(AE14="","",IF(AG14="l","W",AG14))</f>
        <v/>
      </c>
      <c r="Q24" s="143" t="str">
        <f>IF(AF14="","",":")</f>
        <v/>
      </c>
      <c r="R24" s="149" t="str">
        <f>IF(AG14="","",IF(AE14="W","L",AE14))</f>
        <v/>
      </c>
      <c r="S24" s="148" t="str">
        <f>IF(AE16="","",IF(AG16="l","W",AG16))</f>
        <v/>
      </c>
      <c r="T24" s="143" t="str">
        <f>IF(AF16="","",":")</f>
        <v/>
      </c>
      <c r="U24" s="149" t="str">
        <f>IF(AG16="","",IF(AE16="W","L",AE16))</f>
        <v/>
      </c>
      <c r="V24" s="148" t="str">
        <f>IF(AE18="","",IF(AG18="l","W",AG18))</f>
        <v/>
      </c>
      <c r="W24" s="143" t="str">
        <f>IF(AF18="","",":")</f>
        <v/>
      </c>
      <c r="X24" s="149" t="str">
        <f>IF(AG18="","",IF(AE18="W","L",AE18))</f>
        <v/>
      </c>
      <c r="Y24" s="148" t="str">
        <f>IF(AE20="","",IF(AG20="l","W",AG20))</f>
        <v/>
      </c>
      <c r="Z24" s="143" t="str">
        <f>IF(AF20="","",":")</f>
        <v/>
      </c>
      <c r="AA24" s="149" t="str">
        <f>IF(AG20="","",IF(AE20="W","L",AE20))</f>
        <v/>
      </c>
      <c r="AB24" s="148" t="str">
        <f>IF(AE22="","",IF(AG22="l","W",AG22))</f>
        <v/>
      </c>
      <c r="AC24" s="143" t="str">
        <f>IF(AE21="","",":")</f>
        <v/>
      </c>
      <c r="AD24" s="149" t="str">
        <f>IF(AG22="","",IF(AE22="W","L",AE22))</f>
        <v/>
      </c>
      <c r="AE24" s="1237"/>
      <c r="AF24" s="1217"/>
      <c r="AG24" s="1218"/>
      <c r="AH24" s="142"/>
      <c r="AI24" s="143" t="str">
        <f>IF(AH23="","",":")</f>
        <v/>
      </c>
      <c r="AJ24" s="144"/>
      <c r="AK24" s="142"/>
      <c r="AL24" s="143" t="str">
        <f>IF(AK23="","",":")</f>
        <v/>
      </c>
      <c r="AM24" s="144"/>
      <c r="AN24" s="142"/>
      <c r="AO24" s="143" t="str">
        <f>IF(AN23="","",":")</f>
        <v/>
      </c>
      <c r="AP24" s="144"/>
      <c r="AQ24" s="142"/>
      <c r="AR24" s="143" t="str">
        <f>IF(AQ23="","",":")</f>
        <v/>
      </c>
      <c r="AS24" s="144"/>
      <c r="AT24" s="142"/>
      <c r="AU24" s="143" t="str">
        <f>IF(AT23="","",":")</f>
        <v/>
      </c>
      <c r="AV24" s="144"/>
      <c r="AW24" s="142"/>
      <c r="AX24" s="143" t="str">
        <f>IF(AW23="","",":")</f>
        <v/>
      </c>
      <c r="AY24" s="144"/>
      <c r="AZ24" s="1224"/>
      <c r="BA24" s="1225"/>
      <c r="BB24" s="1227"/>
      <c r="BC24" s="1228"/>
    </row>
    <row r="25" spans="1:55" ht="15.75" customHeight="1" x14ac:dyDescent="0.25">
      <c r="A25" s="1163">
        <v>11</v>
      </c>
      <c r="B25" s="1213"/>
      <c r="C25" s="140" t="str">
        <f>IF(B25="","",VLOOKUP(B25,'Списки участников'!A:I,3,FALSE))</f>
        <v/>
      </c>
      <c r="D25" s="1219" t="str">
        <f>IF(AH5="","",IF(AH6="W",0,IF(AH5=2,1,IF(AH5=1,2,IF(AH5=0,2)))))</f>
        <v/>
      </c>
      <c r="E25" s="1220"/>
      <c r="F25" s="1221"/>
      <c r="G25" s="1219" t="str">
        <f>IF(AH7="","",IF(AH8="W",0,IF(AH7=2,1,IF(AH7=1,2,IF(AH7=0,2)))))</f>
        <v/>
      </c>
      <c r="H25" s="1220"/>
      <c r="I25" s="1221"/>
      <c r="J25" s="1219" t="str">
        <f>IF(AH9="","",IF(AH10="W",0,IF(AH9=2,1,IF(AH9=1,2,IF(AH9=0,2)))))</f>
        <v/>
      </c>
      <c r="K25" s="1220"/>
      <c r="L25" s="1221"/>
      <c r="M25" s="1219" t="str">
        <f>IF(AH11="","",IF(AH12="W",0,IF(AH11=2,1,IF(AH11=1,2,IF(AH11=0,2)))))</f>
        <v/>
      </c>
      <c r="N25" s="1220"/>
      <c r="O25" s="1221"/>
      <c r="P25" s="1219" t="str">
        <f>IF(AH13="","",IF(AH14="W",0,IF(AH13=2,1,IF(AH13=1,2,IF(AH13=0,2)))))</f>
        <v/>
      </c>
      <c r="Q25" s="1220"/>
      <c r="R25" s="1221"/>
      <c r="S25" s="1219" t="str">
        <f>IF(AH15="","",IF(AH16="W",0,IF(AH15=2,1,IF(AH15=1,2,IF(AH15=0,2)))))</f>
        <v/>
      </c>
      <c r="T25" s="1220"/>
      <c r="U25" s="1221"/>
      <c r="V25" s="1219" t="str">
        <f>IF(AH17="","",IF(AH18="W",0,IF(AH17=2,1,IF(AH17=1,2,IF(AH17=0,2)))))</f>
        <v/>
      </c>
      <c r="W25" s="1220"/>
      <c r="X25" s="1221"/>
      <c r="Y25" s="1219" t="str">
        <f>IF(AH19="","",IF(AH20="W",0,IF(AH19=2,1,IF(AH19=1,2,IF(AH19=0,2)))))</f>
        <v/>
      </c>
      <c r="Z25" s="1220"/>
      <c r="AA25" s="1221"/>
      <c r="AB25" s="1219" t="str">
        <f>IF(AH21="","",IF(AH22="W",0,IF(AH21=2,1,IF(AH21=1,2,IF(AH21=0,2)))))</f>
        <v/>
      </c>
      <c r="AC25" s="1220"/>
      <c r="AD25" s="1221"/>
      <c r="AE25" s="1219" t="str">
        <f>IF(AH23="","",IF(AH24="W",0,IF(AH23=2,1,IF(AH23=1,2,IF(AH23=0,2)))))</f>
        <v/>
      </c>
      <c r="AF25" s="1220"/>
      <c r="AG25" s="1221"/>
      <c r="AH25" s="1234"/>
      <c r="AI25" s="1235"/>
      <c r="AJ25" s="1236"/>
      <c r="AK25" s="1219"/>
      <c r="AL25" s="1220"/>
      <c r="AM25" s="1221"/>
      <c r="AN25" s="1219"/>
      <c r="AO25" s="1220"/>
      <c r="AP25" s="1221"/>
      <c r="AQ25" s="1219"/>
      <c r="AR25" s="1220"/>
      <c r="AS25" s="1221"/>
      <c r="AT25" s="1219"/>
      <c r="AU25" s="1220"/>
      <c r="AV25" s="1221"/>
      <c r="AW25" s="1219"/>
      <c r="AX25" s="1220"/>
      <c r="AY25" s="1221"/>
      <c r="AZ25" s="1222" t="str">
        <f t="shared" ref="AZ25" si="9">IF(B25="","",SUM(G25,J25,M25,P25,S25,V25,Y25,AB25,AE25,AH25,AK25,AN25,AQ25,AT25,AW25))</f>
        <v/>
      </c>
      <c r="BA25" s="1223"/>
      <c r="BB25" s="1226"/>
      <c r="BC25" s="1228" t="str">
        <f>IF(B25="","",RANK(AZ25,Ф2Оч)+16)</f>
        <v/>
      </c>
    </row>
    <row r="26" spans="1:55" ht="15.75" customHeight="1" x14ac:dyDescent="0.25">
      <c r="A26" s="1164"/>
      <c r="B26" s="1214"/>
      <c r="C26" s="141" t="str">
        <f>IF(B25="","",VLOOKUP(B25,'Списки участников'!A:I,6,FALSE))</f>
        <v/>
      </c>
      <c r="D26" s="148" t="str">
        <f>IF(AH6="","",IF(AJ6="l","W",AJ6))</f>
        <v/>
      </c>
      <c r="E26" s="143" t="str">
        <f>IF(AI6="","",":")</f>
        <v/>
      </c>
      <c r="F26" s="149" t="str">
        <f>IF(AJ6="","",IF(AH6="W","L",AH6))</f>
        <v/>
      </c>
      <c r="G26" s="148" t="str">
        <f>IF(AH8="","",IF(AJ8="l","W",AJ8))</f>
        <v/>
      </c>
      <c r="H26" s="143" t="str">
        <f>IF(AI8="","",":")</f>
        <v/>
      </c>
      <c r="I26" s="149" t="str">
        <f>IF(AJ8="","",IF(AH8="W","L",AH8))</f>
        <v/>
      </c>
      <c r="J26" s="148" t="str">
        <f>IF(AH10="","",IF(AJ10="l","W",AJ10))</f>
        <v/>
      </c>
      <c r="K26" s="143" t="str">
        <f>IF(AI10="","",":")</f>
        <v/>
      </c>
      <c r="L26" s="149" t="str">
        <f>IF(AJ10="","",IF(AH10="W","L",AH10))</f>
        <v/>
      </c>
      <c r="M26" s="148" t="str">
        <f>IF(AH12="","",IF(AJ12="l","W",AJ12))</f>
        <v/>
      </c>
      <c r="N26" s="143" t="str">
        <f>IF(AI12="","",":")</f>
        <v/>
      </c>
      <c r="O26" s="149" t="str">
        <f>IF(AJ12="","",IF(AH12="W","L",AH12))</f>
        <v/>
      </c>
      <c r="P26" s="148" t="str">
        <f>IF(AH14="","",IF(AJ14="l","W",AJ14))</f>
        <v/>
      </c>
      <c r="Q26" s="143" t="str">
        <f>IF(AI14="","",":")</f>
        <v/>
      </c>
      <c r="R26" s="149" t="str">
        <f>IF(AJ14="","",IF(AH14="W","L",AH14))</f>
        <v/>
      </c>
      <c r="S26" s="148" t="str">
        <f>IF(AH16="","",IF(AJ16="l","W",AJ16))</f>
        <v/>
      </c>
      <c r="T26" s="143" t="str">
        <f>IF(AI16="","",":")</f>
        <v/>
      </c>
      <c r="U26" s="149" t="str">
        <f>IF(AJ16="","",IF(AH16="W","L",AH16))</f>
        <v/>
      </c>
      <c r="V26" s="148" t="str">
        <f>IF(AH18="","",IF(AJ18="l","W",AJ18))</f>
        <v/>
      </c>
      <c r="W26" s="143" t="str">
        <f>IF(AI18="","",":")</f>
        <v/>
      </c>
      <c r="X26" s="149" t="str">
        <f>IF(AJ18="","",IF(AH18="W","L",AH18))</f>
        <v/>
      </c>
      <c r="Y26" s="148" t="str">
        <f>IF(AH20="","",IF(AJ20="l","W",AJ20))</f>
        <v/>
      </c>
      <c r="Z26" s="143" t="str">
        <f>IF(AI20="","",":")</f>
        <v/>
      </c>
      <c r="AA26" s="149" t="str">
        <f>IF(AJ20="","",IF(AH20="W","L",AH20))</f>
        <v/>
      </c>
      <c r="AB26" s="148" t="str">
        <f>IF(AH22="","",IF(AJ22="l","W",AJ22))</f>
        <v/>
      </c>
      <c r="AC26" s="143" t="str">
        <f>IF(AI22="","",":")</f>
        <v/>
      </c>
      <c r="AD26" s="149" t="str">
        <f>IF(AJ22="","",IF(AH22="W","L",AH22))</f>
        <v/>
      </c>
      <c r="AE26" s="148" t="str">
        <f>IF(AH24="","",IF(AJ24="l","W",AJ24))</f>
        <v/>
      </c>
      <c r="AF26" s="143" t="str">
        <f>IF(AI24="","",":")</f>
        <v/>
      </c>
      <c r="AG26" s="149" t="str">
        <f>IF(AJ24="","",IF(AH24="W","L",AH24))</f>
        <v/>
      </c>
      <c r="AH26" s="1237"/>
      <c r="AI26" s="1217"/>
      <c r="AJ26" s="1218"/>
      <c r="AK26" s="142"/>
      <c r="AL26" s="143" t="str">
        <f>IF(AK25="","",":")</f>
        <v/>
      </c>
      <c r="AM26" s="144"/>
      <c r="AN26" s="142"/>
      <c r="AO26" s="143" t="str">
        <f>IF(AN25="","",":")</f>
        <v/>
      </c>
      <c r="AP26" s="144"/>
      <c r="AQ26" s="142"/>
      <c r="AR26" s="143" t="str">
        <f>IF(AQ25="","",":")</f>
        <v/>
      </c>
      <c r="AS26" s="144"/>
      <c r="AT26" s="142"/>
      <c r="AU26" s="143" t="str">
        <f>IF(AT25="","",":")</f>
        <v/>
      </c>
      <c r="AV26" s="144"/>
      <c r="AW26" s="142"/>
      <c r="AX26" s="143" t="str">
        <f>IF(AW25="","",":")</f>
        <v/>
      </c>
      <c r="AY26" s="144"/>
      <c r="AZ26" s="1224"/>
      <c r="BA26" s="1225"/>
      <c r="BB26" s="1227"/>
      <c r="BC26" s="1228"/>
    </row>
    <row r="27" spans="1:55" ht="15.75" customHeight="1" x14ac:dyDescent="0.25">
      <c r="A27" s="1163">
        <v>12</v>
      </c>
      <c r="B27" s="1229"/>
      <c r="C27" s="140" t="str">
        <f>IF(B27="","",VLOOKUP(B27,'Списки участников'!A:I,3,FALSE))</f>
        <v/>
      </c>
      <c r="D27" s="1219" t="str">
        <f>IF(AK5="","",IF(AK6="W",0,IF(AK5=2,1,IF(AK5=1,2,IF(AK5=0,2)))))</f>
        <v/>
      </c>
      <c r="E27" s="1220"/>
      <c r="F27" s="1221"/>
      <c r="G27" s="1219" t="str">
        <f>IF(AK7="","",IF(AK8="W",0,IF(AK7=2,1,IF(AK7=1,2,IF(AK7=0,2)))))</f>
        <v/>
      </c>
      <c r="H27" s="1220"/>
      <c r="I27" s="1221"/>
      <c r="J27" s="1219" t="str">
        <f>IF(AK9="","",IF(AK10="W",0,IF(AK9=2,1,IF(AK9=1,2,IF(AK9=0,2)))))</f>
        <v/>
      </c>
      <c r="K27" s="1220"/>
      <c r="L27" s="1221"/>
      <c r="M27" s="1219" t="str">
        <f>IF(AK11="","",IF(AK12="W",0,IF(AK11=2,1,IF(AK11=1,2,IF(AK11=0,2)))))</f>
        <v/>
      </c>
      <c r="N27" s="1220"/>
      <c r="O27" s="1221"/>
      <c r="P27" s="1219" t="str">
        <f>IF(AK13="","",IF(AK14="W",0,IF(AK13=2,1,IF(AK13=1,2,IF(AK13=0,2)))))</f>
        <v/>
      </c>
      <c r="Q27" s="1220"/>
      <c r="R27" s="1221"/>
      <c r="S27" s="1219" t="str">
        <f>IF(AK15="","",IF(AK16="W",0,IF(AK15=2,1,IF(AK15=1,2,IF(AK15=0,2)))))</f>
        <v/>
      </c>
      <c r="T27" s="1220"/>
      <c r="U27" s="1221"/>
      <c r="V27" s="1219" t="str">
        <f>IF(AK17="","",IF(AK18="W",0,IF(AK17=2,1,IF(AK17=1,2,IF(AK17=0,2)))))</f>
        <v/>
      </c>
      <c r="W27" s="1220"/>
      <c r="X27" s="1221"/>
      <c r="Y27" s="1219" t="str">
        <f>IF(AK19="","",IF(AK20="W",0,IF(AK19=2,1,IF(AK19=1,2,IF(AK19=0,2)))))</f>
        <v/>
      </c>
      <c r="Z27" s="1220"/>
      <c r="AA27" s="1221"/>
      <c r="AB27" s="1219" t="str">
        <f>IF(AK21="","",IF(AK22="W",0,IF(AK21=2,1,IF(AK21=1,2,IF(AK21=0,2)))))</f>
        <v/>
      </c>
      <c r="AC27" s="1220"/>
      <c r="AD27" s="1221"/>
      <c r="AE27" s="1219" t="str">
        <f>IF(AK23="","",IF(AK24="W",0,IF(AK23=2,1,IF(AK23=1,2,IF(AK23=0,2)))))</f>
        <v/>
      </c>
      <c r="AF27" s="1220"/>
      <c r="AG27" s="1221"/>
      <c r="AH27" s="1219" t="str">
        <f>IF(AK25="","",IF(AK26="W",0,IF(AK25=2,1,IF(AK25=1,2,IF(AK25=0,2)))))</f>
        <v/>
      </c>
      <c r="AI27" s="1220"/>
      <c r="AJ27" s="1221"/>
      <c r="AK27" s="1234"/>
      <c r="AL27" s="1235"/>
      <c r="AM27" s="1236"/>
      <c r="AN27" s="1219"/>
      <c r="AO27" s="1220"/>
      <c r="AP27" s="1221"/>
      <c r="AQ27" s="1219"/>
      <c r="AR27" s="1220"/>
      <c r="AS27" s="1221"/>
      <c r="AT27" s="1219"/>
      <c r="AU27" s="1220"/>
      <c r="AV27" s="1221"/>
      <c r="AW27" s="1219"/>
      <c r="AX27" s="1220"/>
      <c r="AY27" s="1221"/>
      <c r="AZ27" s="1222" t="str">
        <f t="shared" ref="AZ27" si="10">IF(B27="","",SUM(G27,J27,M27,P27,S27,V27,Y27,AB27,AE27,AH27,AK27,AN27,AQ27,AT27,AW27))</f>
        <v/>
      </c>
      <c r="BA27" s="1223"/>
      <c r="BB27" s="1226"/>
      <c r="BC27" s="1228" t="str">
        <f>IF(B27="","",RANK(AZ27,Ф2Оч)+16)</f>
        <v/>
      </c>
    </row>
    <row r="28" spans="1:55" ht="15.75" customHeight="1" x14ac:dyDescent="0.25">
      <c r="A28" s="1164"/>
      <c r="B28" s="1230"/>
      <c r="C28" s="141" t="str">
        <f>IF(B27="","",VLOOKUP(B27,'Списки участников'!A:I,6,FALSE))</f>
        <v/>
      </c>
      <c r="D28" s="148" t="str">
        <f>IF(AK6="","",IF(AM6="l","W",AM6))</f>
        <v/>
      </c>
      <c r="E28" s="143" t="str">
        <f>IF(AL6="","",":")</f>
        <v/>
      </c>
      <c r="F28" s="149" t="str">
        <f>IF(AM6="","",IF(AK6="W","L",AK6))</f>
        <v/>
      </c>
      <c r="G28" s="148" t="str">
        <f>IF(AK8="","",IF(AM8="l","W",AM8))</f>
        <v/>
      </c>
      <c r="H28" s="143" t="str">
        <f>IF(AL8="","",":")</f>
        <v/>
      </c>
      <c r="I28" s="149" t="str">
        <f>IF(AM8="","",IF(AK8="W","L",AK8))</f>
        <v/>
      </c>
      <c r="J28" s="148" t="str">
        <f>IF(AK10="","",IF(AM10="l","W",AM10))</f>
        <v/>
      </c>
      <c r="K28" s="143" t="str">
        <f>IF(AL10="","",":")</f>
        <v/>
      </c>
      <c r="L28" s="149" t="str">
        <f>IF(AM10="","",IF(AK10="W","L",AK10))</f>
        <v/>
      </c>
      <c r="M28" s="148" t="str">
        <f>IF(AK12="","",IF(AM12="l","W",AM12))</f>
        <v/>
      </c>
      <c r="N28" s="143" t="str">
        <f>IF(AL12="","",":")</f>
        <v/>
      </c>
      <c r="O28" s="149" t="str">
        <f>IF(AM12="","",IF(AK12="W","L",AK12))</f>
        <v/>
      </c>
      <c r="P28" s="148" t="str">
        <f>IF(AK14="","",IF(AM14="l","W",AM14))</f>
        <v/>
      </c>
      <c r="Q28" s="143" t="str">
        <f>IF(AL14="","",":")</f>
        <v/>
      </c>
      <c r="R28" s="149" t="str">
        <f>IF(AM14="","",IF(AK14="W","L",AK14))</f>
        <v/>
      </c>
      <c r="S28" s="148" t="str">
        <f>IF(AK16="","",IF(AM16="l","W",AM16))</f>
        <v/>
      </c>
      <c r="T28" s="143" t="str">
        <f>IF(AL16="","",":")</f>
        <v/>
      </c>
      <c r="U28" s="149" t="str">
        <f>IF(AM16="","",IF(AK16="W","L",AK16))</f>
        <v/>
      </c>
      <c r="V28" s="148" t="str">
        <f>IF(AK18="","",IF(AM18="l","W",AM18))</f>
        <v/>
      </c>
      <c r="W28" s="143" t="str">
        <f>IF(AL18="","",":")</f>
        <v/>
      </c>
      <c r="X28" s="149" t="str">
        <f>IF(AM18="","",IF(AK18="W","L",AK18))</f>
        <v/>
      </c>
      <c r="Y28" s="148" t="str">
        <f>IF(AK20="","",IF(AM20="l","W",AM20))</f>
        <v/>
      </c>
      <c r="Z28" s="143" t="str">
        <f>IF(AL20="","",":")</f>
        <v/>
      </c>
      <c r="AA28" s="149" t="str">
        <f>IF(AM20="","",IF(AK20="W","L",AK20))</f>
        <v/>
      </c>
      <c r="AB28" s="148" t="str">
        <f>IF(AK22="","",IF(AM22="l","W",AM22))</f>
        <v/>
      </c>
      <c r="AC28" s="143" t="str">
        <f>IF(AL22="","",":")</f>
        <v/>
      </c>
      <c r="AD28" s="149" t="str">
        <f>IF(AM22="","",IF(AK22="W","L",AK22))</f>
        <v/>
      </c>
      <c r="AE28" s="148" t="str">
        <f>IF(AK24="","",IF(AM24="l","W",AM24))</f>
        <v/>
      </c>
      <c r="AF28" s="143" t="str">
        <f>IF(AL24="","",":")</f>
        <v/>
      </c>
      <c r="AG28" s="149" t="str">
        <f>IF(AM24="","",IF(AK24="W","L",AK24))</f>
        <v/>
      </c>
      <c r="AH28" s="148" t="str">
        <f>IF(AK26="","",IF(AM26="l","W",AM26))</f>
        <v/>
      </c>
      <c r="AI28" s="143" t="str">
        <f>IF(AL26="","",":")</f>
        <v/>
      </c>
      <c r="AJ28" s="149" t="str">
        <f>IF(AM26="","",IF(AK26="W","L",AK26))</f>
        <v/>
      </c>
      <c r="AK28" s="1237"/>
      <c r="AL28" s="1217"/>
      <c r="AM28" s="1218"/>
      <c r="AN28" s="142"/>
      <c r="AO28" s="143" t="str">
        <f>IF(AN27="","",":")</f>
        <v/>
      </c>
      <c r="AP28" s="144"/>
      <c r="AQ28" s="142"/>
      <c r="AR28" s="143" t="str">
        <f>IF(AQ27="","",":")</f>
        <v/>
      </c>
      <c r="AS28" s="144"/>
      <c r="AT28" s="142"/>
      <c r="AU28" s="143" t="str">
        <f>IF(AT27="","",":")</f>
        <v/>
      </c>
      <c r="AV28" s="144"/>
      <c r="AW28" s="142"/>
      <c r="AX28" s="143" t="str">
        <f>IF(AW27="","",":")</f>
        <v/>
      </c>
      <c r="AY28" s="144"/>
      <c r="AZ28" s="1224"/>
      <c r="BA28" s="1225"/>
      <c r="BB28" s="1227"/>
      <c r="BC28" s="1228"/>
    </row>
    <row r="29" spans="1:55" ht="15.75" customHeight="1" x14ac:dyDescent="0.25">
      <c r="A29" s="1163">
        <v>13</v>
      </c>
      <c r="B29" s="1213"/>
      <c r="C29" s="140" t="str">
        <f>IF(B29="","",VLOOKUP(B29,'Списки участников'!A:I,3,FALSE))</f>
        <v/>
      </c>
      <c r="D29" s="1219" t="str">
        <f>IF(AN5="","",IF(AN6="W",0,IF(AN5=2,1,IF(AN5=1,2,IF(AN5=0,2)))))</f>
        <v/>
      </c>
      <c r="E29" s="1220"/>
      <c r="F29" s="1221"/>
      <c r="G29" s="1219" t="str">
        <f>IF(AN7="","",IF(AN8="W",0,IF(AN7=2,1,IF(AN7=1,2,IF(AN7=0,2)))))</f>
        <v/>
      </c>
      <c r="H29" s="1220"/>
      <c r="I29" s="1221"/>
      <c r="J29" s="1219" t="str">
        <f>IF(AN9="","",IF(AN10="W",0,IF(AN9=2,1,IF(AN9=1,2,IF(AN9=0,2)))))</f>
        <v/>
      </c>
      <c r="K29" s="1220"/>
      <c r="L29" s="1221"/>
      <c r="M29" s="1219" t="str">
        <f>IF(AN11="","",IF(AN12="W",0,IF(AN11=2,1,IF(AN11=1,2,IF(AN11=0,2)))))</f>
        <v/>
      </c>
      <c r="N29" s="1220"/>
      <c r="O29" s="1221"/>
      <c r="P29" s="1219" t="str">
        <f>IF(AN13="","",IF(AN14="W",0,IF(AN13=2,1,IF(AN13=1,2,IF(AN13=0,2)))))</f>
        <v/>
      </c>
      <c r="Q29" s="1220"/>
      <c r="R29" s="1221"/>
      <c r="S29" s="1219" t="str">
        <f>IF(AN15="","",IF(AN16="W",0,IF(AN15=2,1,IF(AN15=1,2,IF(AN15=0,2)))))</f>
        <v/>
      </c>
      <c r="T29" s="1220"/>
      <c r="U29" s="1221"/>
      <c r="V29" s="1219" t="str">
        <f>IF(AN17="","",IF(AN18="W",0,IF(AN17=2,1,IF(AN17=1,2,IF(AN17=0,2)))))</f>
        <v/>
      </c>
      <c r="W29" s="1220"/>
      <c r="X29" s="1221"/>
      <c r="Y29" s="1219" t="str">
        <f>IF(AN19="","",IF(AN20="W",0,IF(AN19=2,1,IF(AN19=1,2,IF(AN19=0,2)))))</f>
        <v/>
      </c>
      <c r="Z29" s="1220"/>
      <c r="AA29" s="1221"/>
      <c r="AB29" s="1219" t="str">
        <f>IF(AN21="","",IF(AN22="W",0,IF(AN21=2,1,IF(AN21=1,2,IF(AN21=0,2)))))</f>
        <v/>
      </c>
      <c r="AC29" s="1220"/>
      <c r="AD29" s="1221"/>
      <c r="AE29" s="1219" t="str">
        <f>IF(AN23="","",IF(AN24="W",0,IF(AN23=2,1,IF(AN23=1,2,IF(AN23=0,2)))))</f>
        <v/>
      </c>
      <c r="AF29" s="1220"/>
      <c r="AG29" s="1221"/>
      <c r="AH29" s="1219" t="str">
        <f>IF(AN25="","",IF(AN26="W",0,IF(AN25=2,1,IF(AN25=1,2,IF(AN25=0,2)))))</f>
        <v/>
      </c>
      <c r="AI29" s="1220"/>
      <c r="AJ29" s="1221"/>
      <c r="AK29" s="1219" t="str">
        <f>IF(AN27="","",IF(AN28="W",0,IF(AN27=2,1,IF(AN27=1,2,IF(AN27=0,2)))))</f>
        <v/>
      </c>
      <c r="AL29" s="1220"/>
      <c r="AM29" s="1221"/>
      <c r="AN29" s="1234"/>
      <c r="AO29" s="1235"/>
      <c r="AP29" s="1236"/>
      <c r="AQ29" s="1219"/>
      <c r="AR29" s="1220"/>
      <c r="AS29" s="1221"/>
      <c r="AT29" s="1219"/>
      <c r="AU29" s="1220"/>
      <c r="AV29" s="1221"/>
      <c r="AW29" s="1219"/>
      <c r="AX29" s="1220"/>
      <c r="AY29" s="1221"/>
      <c r="AZ29" s="1222" t="str">
        <f t="shared" ref="AZ29" si="11">IF(B29="","",SUM(G29,J29,M29,P29,S29,V29,Y29,AB29,AE29,AH29,AK29,AN29,AQ29,AT29,AW29))</f>
        <v/>
      </c>
      <c r="BA29" s="1223"/>
      <c r="BB29" s="1226"/>
      <c r="BC29" s="1228" t="str">
        <f>IF(B29="","",RANK(AZ29,Ф2Оч)+16)</f>
        <v/>
      </c>
    </row>
    <row r="30" spans="1:55" ht="15.75" customHeight="1" x14ac:dyDescent="0.25">
      <c r="A30" s="1164"/>
      <c r="B30" s="1214"/>
      <c r="C30" s="141" t="str">
        <f>IF(B29="","",VLOOKUP(B29,'Списки участников'!A:I,6,FALSE))</f>
        <v/>
      </c>
      <c r="D30" s="148" t="str">
        <f>IF(AN6="","",IF(AP6="l","W",AP6))</f>
        <v/>
      </c>
      <c r="E30" s="143" t="str">
        <f>IF(AO6="","",":")</f>
        <v/>
      </c>
      <c r="F30" s="149" t="str">
        <f>IF(AP6="","",IF(AN6="W","L",AN6))</f>
        <v/>
      </c>
      <c r="G30" s="148" t="str">
        <f>IF(AN8="","",IF(AP8="l","W",AP8))</f>
        <v/>
      </c>
      <c r="H30" s="143" t="str">
        <f>IF(AO8="","",":")</f>
        <v/>
      </c>
      <c r="I30" s="149" t="str">
        <f>IF(AP8="","",IF(AN8="W","L",AN8))</f>
        <v/>
      </c>
      <c r="J30" s="148" t="str">
        <f>IF(AN10="","",IF(AP10="l","W",AP10))</f>
        <v/>
      </c>
      <c r="K30" s="143" t="str">
        <f>IF(AO10="","",":")</f>
        <v/>
      </c>
      <c r="L30" s="149" t="str">
        <f>IF(AP10="","",IF(AN10="W","L",AN10))</f>
        <v/>
      </c>
      <c r="M30" s="148" t="str">
        <f>IF(AN12="","",IF(AP12="l","W",AP12))</f>
        <v/>
      </c>
      <c r="N30" s="143" t="str">
        <f>IF(AO12="","",":")</f>
        <v/>
      </c>
      <c r="O30" s="149" t="str">
        <f>IF(AP12="","",IF(AN12="W","L",AN12))</f>
        <v/>
      </c>
      <c r="P30" s="148" t="str">
        <f>IF(AN14="","",IF(AP14="l","W",AP14))</f>
        <v/>
      </c>
      <c r="Q30" s="143" t="str">
        <f>IF(AO14="","",":")</f>
        <v/>
      </c>
      <c r="R30" s="149" t="str">
        <f>IF(AP14="","",IF(AN14="W","L",AN14))</f>
        <v/>
      </c>
      <c r="S30" s="148" t="str">
        <f>IF(AN16="","",IF(AP16="l","W",AP16))</f>
        <v/>
      </c>
      <c r="T30" s="143" t="str">
        <f>IF(AO16="","",":")</f>
        <v/>
      </c>
      <c r="U30" s="149" t="str">
        <f>IF(AP16="","",IF(AN16="W","L",AN16))</f>
        <v/>
      </c>
      <c r="V30" s="148" t="str">
        <f>IF(AN18="","",IF(AP18="l","W",AP18))</f>
        <v/>
      </c>
      <c r="W30" s="143" t="str">
        <f>IF(AO18="","",":")</f>
        <v/>
      </c>
      <c r="X30" s="149" t="str">
        <f>IF(AP18="","",IF(AN18="W","L",AN18))</f>
        <v/>
      </c>
      <c r="Y30" s="148" t="str">
        <f>IF(AN20="","",IF(AP20="l","W",AP20))</f>
        <v/>
      </c>
      <c r="Z30" s="143" t="str">
        <f>IF(AO20="","",":")</f>
        <v/>
      </c>
      <c r="AA30" s="149" t="str">
        <f>IF(AP20="","",IF(AN20="W","L",AN20))</f>
        <v/>
      </c>
      <c r="AB30" s="148" t="str">
        <f>IF(AN22="","",IF(AP22="l","W",AP22))</f>
        <v/>
      </c>
      <c r="AC30" s="143" t="str">
        <f>IF(AO22="","",":")</f>
        <v/>
      </c>
      <c r="AD30" s="149" t="str">
        <f>IF(AP22="","",IF(AN22="W","L",AN22))</f>
        <v/>
      </c>
      <c r="AE30" s="148" t="str">
        <f>IF(AN24="","",IF(AP24="l","W",AP24))</f>
        <v/>
      </c>
      <c r="AF30" s="143" t="str">
        <f>IF(AO24="","",":")</f>
        <v/>
      </c>
      <c r="AG30" s="149" t="str">
        <f>IF(AP24="","",IF(AN24="W","L",AN24))</f>
        <v/>
      </c>
      <c r="AH30" s="148" t="str">
        <f>IF(AN26="","",IF(AP26="l","W",AP26))</f>
        <v/>
      </c>
      <c r="AI30" s="143" t="str">
        <f>IF(AO26="","",":")</f>
        <v/>
      </c>
      <c r="AJ30" s="149" t="str">
        <f>IF(AP26="","",IF(AN26="W","L",AN26))</f>
        <v/>
      </c>
      <c r="AK30" s="148" t="str">
        <f>IF(AN28="","",IF(AP28="l","W",AP28))</f>
        <v/>
      </c>
      <c r="AL30" s="143" t="str">
        <f>IF(AO28="","",":")</f>
        <v/>
      </c>
      <c r="AM30" s="149" t="str">
        <f>IF(AP28="","",IF(AN28="W","L",AN28))</f>
        <v/>
      </c>
      <c r="AN30" s="1237"/>
      <c r="AO30" s="1217"/>
      <c r="AP30" s="1218"/>
      <c r="AQ30" s="142"/>
      <c r="AR30" s="143" t="str">
        <f>IF(AQ29="","",":")</f>
        <v/>
      </c>
      <c r="AS30" s="144"/>
      <c r="AT30" s="142"/>
      <c r="AU30" s="143" t="str">
        <f>IF(AT29="","",":")</f>
        <v/>
      </c>
      <c r="AV30" s="144"/>
      <c r="AW30" s="142"/>
      <c r="AX30" s="143" t="str">
        <f>IF(AW29="","",":")</f>
        <v/>
      </c>
      <c r="AY30" s="144"/>
      <c r="AZ30" s="1224"/>
      <c r="BA30" s="1225"/>
      <c r="BB30" s="1227"/>
      <c r="BC30" s="1228"/>
    </row>
    <row r="31" spans="1:55" ht="15.75" customHeight="1" x14ac:dyDescent="0.25">
      <c r="A31" s="1163">
        <v>14</v>
      </c>
      <c r="B31" s="1229"/>
      <c r="C31" s="140" t="str">
        <f>IF(B31="","",VLOOKUP(B31,'Списки участников'!A:I,3,FALSE))</f>
        <v/>
      </c>
      <c r="D31" s="1219" t="str">
        <f>IF(AQ5="","",IF(AQ6="W",0,IF(AQ5=2,1,IF(AQ5=1,2,IF(AQ5=0,2)))))</f>
        <v/>
      </c>
      <c r="E31" s="1220"/>
      <c r="F31" s="1221"/>
      <c r="G31" s="1219" t="str">
        <f>IF(AQ7="","",IF(AQ8="W",0,IF(AQ7=2,1,IF(AQ7=1,2,IF(AQ7=0,2)))))</f>
        <v/>
      </c>
      <c r="H31" s="1220"/>
      <c r="I31" s="1221"/>
      <c r="J31" s="1219" t="str">
        <f>IF(AQ9="","",IF(AQ10="W",0,IF(AQ9=2,1,IF(AQ9=1,2,IF(AQ9=0,2)))))</f>
        <v/>
      </c>
      <c r="K31" s="1220"/>
      <c r="L31" s="1221"/>
      <c r="M31" s="1219" t="str">
        <f>IF(AQ11="","",IF(AQ12="W",0,IF(AQ11=2,1,IF(AQ11=1,2,IF(AQ11=0,2)))))</f>
        <v/>
      </c>
      <c r="N31" s="1220"/>
      <c r="O31" s="1221"/>
      <c r="P31" s="1219" t="str">
        <f>IF(AQ13="","",IF(AQ14="W",0,IF(AQ13=2,1,IF(AQ13=1,2,IF(AQ13=0,2)))))</f>
        <v/>
      </c>
      <c r="Q31" s="1220"/>
      <c r="R31" s="1221"/>
      <c r="S31" s="1219" t="str">
        <f>IF(AQ15="","",IF(AQ16="W",0,IF(AQ15=2,1,IF(AQ15=1,2,IF(AQ15=0,2)))))</f>
        <v/>
      </c>
      <c r="T31" s="1220"/>
      <c r="U31" s="1221"/>
      <c r="V31" s="1219" t="str">
        <f>IF(AQ17="","",IF(AQ18="W",0,IF(AQ17=2,1,IF(AQ17=1,2,IF(AQ17=0,2)))))</f>
        <v/>
      </c>
      <c r="W31" s="1220"/>
      <c r="X31" s="1221"/>
      <c r="Y31" s="1219" t="str">
        <f>IF(AQ19="","",IF(AQ20="W",0,IF(AQ19=2,1,IF(AQ19=1,2,IF(AQ19=0,2)))))</f>
        <v/>
      </c>
      <c r="Z31" s="1220"/>
      <c r="AA31" s="1221"/>
      <c r="AB31" s="1219" t="str">
        <f>IF(AQ21="","",IF(AQ22="W",0,IF(AQ21=2,1,IF(AQ21=1,2,IF(AQ21=0,2)))))</f>
        <v/>
      </c>
      <c r="AC31" s="1220"/>
      <c r="AD31" s="1221"/>
      <c r="AE31" s="1219" t="str">
        <f>IF(AQ23="","",IF(AQ24="W",0,IF(AQ23=2,1,IF(AQ23=1,2,IF(AQ23=0,2)))))</f>
        <v/>
      </c>
      <c r="AF31" s="1220"/>
      <c r="AG31" s="1221"/>
      <c r="AH31" s="1219" t="str">
        <f>IF(AQ25="","",IF(AQ26="W",0,IF(AQ25=2,1,IF(AQ25=1,2,IF(AQ25=0,2)))))</f>
        <v/>
      </c>
      <c r="AI31" s="1220"/>
      <c r="AJ31" s="1221"/>
      <c r="AK31" s="1219" t="str">
        <f>IF(AQ27="","",IF(AQ28="W",0,IF(AQ27=2,1,IF(AQ27=1,2,IF(AQ27=0,2)))))</f>
        <v/>
      </c>
      <c r="AL31" s="1220"/>
      <c r="AM31" s="1221"/>
      <c r="AN31" s="1219" t="str">
        <f>IF(AQ29="","",IF(AQ30="W",0,IF(AQ29=2,1,IF(AQ29=1,2,IF(AQ29=0,2)))))</f>
        <v/>
      </c>
      <c r="AO31" s="1220"/>
      <c r="AP31" s="1221"/>
      <c r="AQ31" s="1234"/>
      <c r="AR31" s="1235"/>
      <c r="AS31" s="1236"/>
      <c r="AT31" s="1219"/>
      <c r="AU31" s="1220"/>
      <c r="AV31" s="1221"/>
      <c r="AW31" s="1219"/>
      <c r="AX31" s="1220"/>
      <c r="AY31" s="1221"/>
      <c r="AZ31" s="1222" t="str">
        <f t="shared" ref="AZ31" si="12">IF(B31="","",SUM(G31,J31,M31,P31,S31,V31,Y31,AB31,AE31,AH31,AK31,AN31,AQ31,AT31,AW31))</f>
        <v/>
      </c>
      <c r="BA31" s="1223"/>
      <c r="BB31" s="1226"/>
      <c r="BC31" s="1228" t="str">
        <f>IF(B31="","",RANK(AZ31,Ф2Оч)+16)</f>
        <v/>
      </c>
    </row>
    <row r="32" spans="1:55" ht="15.75" customHeight="1" x14ac:dyDescent="0.25">
      <c r="A32" s="1164"/>
      <c r="B32" s="1230"/>
      <c r="C32" s="141" t="str">
        <f>IF(B31="","",VLOOKUP(B31,'Списки участников'!A:I,6,FALSE))</f>
        <v/>
      </c>
      <c r="D32" s="148" t="str">
        <f>IF(AQ6="","",IF(AS6="l","W",AS6))</f>
        <v/>
      </c>
      <c r="E32" s="143" t="str">
        <f>IF(AR6="","",":")</f>
        <v/>
      </c>
      <c r="F32" s="149" t="str">
        <f>IF(AS6="","",IF(AQ6="W","L",AQ6))</f>
        <v/>
      </c>
      <c r="G32" s="148" t="str">
        <f>IF(AQ8="","",IF(AS8="l","W",AS8))</f>
        <v/>
      </c>
      <c r="H32" s="143" t="str">
        <f>IF(AR8="","",":")</f>
        <v/>
      </c>
      <c r="I32" s="149" t="str">
        <f>IF(AS8="","",IF(AQ8="W","L",AQ8))</f>
        <v/>
      </c>
      <c r="J32" s="148" t="str">
        <f>IF(AQ10="","",IF(AS10="l","W",AS10))</f>
        <v/>
      </c>
      <c r="K32" s="143" t="str">
        <f>IF(AR10="","",":")</f>
        <v/>
      </c>
      <c r="L32" s="149" t="str">
        <f>IF(AS10="","",IF(AQ10="W","L",AQ10))</f>
        <v/>
      </c>
      <c r="M32" s="148" t="str">
        <f>IF(AQ12="","",IF(AS12="l","W",AS12))</f>
        <v/>
      </c>
      <c r="N32" s="143" t="str">
        <f>IF(AR12="","",":")</f>
        <v/>
      </c>
      <c r="O32" s="149" t="str">
        <f>IF(AS12="","",IF(AQ12="W","L",AQ12))</f>
        <v/>
      </c>
      <c r="P32" s="148" t="str">
        <f>IF(AQ14="","",IF(AS14="l","W",AS14))</f>
        <v/>
      </c>
      <c r="Q32" s="143" t="str">
        <f>IF(AR14="","",":")</f>
        <v/>
      </c>
      <c r="R32" s="149" t="str">
        <f>IF(AS14="","",IF(AQ14="W","L",AQ14))</f>
        <v/>
      </c>
      <c r="S32" s="148" t="str">
        <f>IF(AQ16="","",IF(AS16="l","W",AS16))</f>
        <v/>
      </c>
      <c r="T32" s="143" t="str">
        <f>IF(AR16="","",":")</f>
        <v/>
      </c>
      <c r="U32" s="149" t="str">
        <f>IF(AS16="","",IF(AQ16="W","L",AQ16))</f>
        <v/>
      </c>
      <c r="V32" s="148" t="str">
        <f>IF(AQ18="","",IF(AS18="l","W",AS18))</f>
        <v/>
      </c>
      <c r="W32" s="143" t="str">
        <f>IF(AR18="","",":")</f>
        <v/>
      </c>
      <c r="X32" s="149" t="str">
        <f>IF(AS18="","",IF(AQ18="W","L",AQ18))</f>
        <v/>
      </c>
      <c r="Y32" s="148" t="str">
        <f>IF(AQ20="","",IF(AS20="l","W",AS20))</f>
        <v/>
      </c>
      <c r="Z32" s="143" t="str">
        <f>IF(AR20="","",":")</f>
        <v/>
      </c>
      <c r="AA32" s="149" t="str">
        <f>IF(AS20="","",IF(AQ20="W","L",AQ20))</f>
        <v/>
      </c>
      <c r="AB32" s="148" t="str">
        <f>IF(AQ22="","",IF(AS22="l","W",AS22))</f>
        <v/>
      </c>
      <c r="AC32" s="143" t="str">
        <f>IF(AR22="","",":")</f>
        <v/>
      </c>
      <c r="AD32" s="149" t="str">
        <f>IF(AS22="","",IF(AQ22="W","L",AQ22))</f>
        <v/>
      </c>
      <c r="AE32" s="148" t="str">
        <f>IF(AQ24="","",IF(AS24="l","W",AS24))</f>
        <v/>
      </c>
      <c r="AF32" s="143" t="str">
        <f>IF(AR24="","",":")</f>
        <v/>
      </c>
      <c r="AG32" s="149" t="str">
        <f>IF(AS24="","",IF(AQ24="W","L",AQ24))</f>
        <v/>
      </c>
      <c r="AH32" s="148" t="str">
        <f>IF(AQ26="","",IF(AS26="l","W",AS26))</f>
        <v/>
      </c>
      <c r="AI32" s="143" t="str">
        <f>IF(AR26="","",":")</f>
        <v/>
      </c>
      <c r="AJ32" s="149" t="str">
        <f>IF(AS26="","",IF(AQ26="W","L",AQ26))</f>
        <v/>
      </c>
      <c r="AK32" s="148" t="str">
        <f>IF(AQ28="","",IF(AS28="l","W",AS28))</f>
        <v/>
      </c>
      <c r="AL32" s="143" t="str">
        <f>IF(AR28="","",":")</f>
        <v/>
      </c>
      <c r="AM32" s="149" t="str">
        <f>IF(AS28="","",IF(AQ28="W","L",AQ28))</f>
        <v/>
      </c>
      <c r="AN32" s="148" t="str">
        <f>IF(AQ30="","",IF(AS30="l","W",AS30))</f>
        <v/>
      </c>
      <c r="AO32" s="143" t="str">
        <f>IF(AR30="","",":")</f>
        <v/>
      </c>
      <c r="AP32" s="149" t="str">
        <f>IF(AS30="","",IF(AQ30="W","L",AQ30))</f>
        <v/>
      </c>
      <c r="AQ32" s="1237"/>
      <c r="AR32" s="1217"/>
      <c r="AS32" s="1218"/>
      <c r="AT32" s="142"/>
      <c r="AU32" s="143" t="str">
        <f>IF(AT31="","",":")</f>
        <v/>
      </c>
      <c r="AV32" s="144"/>
      <c r="AW32" s="142"/>
      <c r="AX32" s="143" t="str">
        <f>IF(AW31="","",":")</f>
        <v/>
      </c>
      <c r="AY32" s="144"/>
      <c r="AZ32" s="1224"/>
      <c r="BA32" s="1225"/>
      <c r="BB32" s="1227"/>
      <c r="BC32" s="1228"/>
    </row>
    <row r="33" spans="1:55" ht="15.75" customHeight="1" x14ac:dyDescent="0.25">
      <c r="A33" s="1240">
        <v>15</v>
      </c>
      <c r="B33" s="1213"/>
      <c r="C33" s="140" t="str">
        <f>IF(B33="","",VLOOKUP(B33,'Списки участников'!A:I,3,FALSE))</f>
        <v/>
      </c>
      <c r="D33" s="1219" t="str">
        <f>IF(AT5="","",IF(AT6="W",0,IF(AT5=2,1,IF(AT5=1,2,IF(AT5=0,2)))))</f>
        <v/>
      </c>
      <c r="E33" s="1220"/>
      <c r="F33" s="1221"/>
      <c r="G33" s="1219" t="str">
        <f>IF(AT7="","",IF(AT8="W",0,IF(AT7=2,1,IF(AT7=1,2,IF(AT7=0,2)))))</f>
        <v/>
      </c>
      <c r="H33" s="1220"/>
      <c r="I33" s="1221"/>
      <c r="J33" s="1219" t="str">
        <f>IF(AT9="","",IF(AT10="W",0,IF(AT9=2,1,IF(AT9=1,2,IF(AT9=0,2)))))</f>
        <v/>
      </c>
      <c r="K33" s="1220"/>
      <c r="L33" s="1221"/>
      <c r="M33" s="1219" t="str">
        <f>IF(AT11="","",IF(AT12="W",0,IF(AT11=2,1,IF(AT11=1,2,IF(AT11=0,2)))))</f>
        <v/>
      </c>
      <c r="N33" s="1220"/>
      <c r="O33" s="1221"/>
      <c r="P33" s="1219" t="str">
        <f>IF(AT13="","",IF(AT14="W",0,IF(AT13=2,1,IF(AT13=1,2,IF(AT13=0,2)))))</f>
        <v/>
      </c>
      <c r="Q33" s="1220"/>
      <c r="R33" s="1221"/>
      <c r="S33" s="1219" t="str">
        <f>IF(AT15="","",IF(AT16="W",0,IF(AT15=2,1,IF(AT15=1,2,IF(AT15=0,2)))))</f>
        <v/>
      </c>
      <c r="T33" s="1220"/>
      <c r="U33" s="1221"/>
      <c r="V33" s="1219" t="str">
        <f>IF(AT17="","",IF(AT18="W",0,IF(AT17=2,1,IF(AT17=1,2,IF(AT17=0,2)))))</f>
        <v/>
      </c>
      <c r="W33" s="1220"/>
      <c r="X33" s="1221"/>
      <c r="Y33" s="1219" t="str">
        <f>IF(AT19="","",IF(AT20="W",0,IF(AT19=2,1,IF(AT19=1,2,IF(AT19=0,2)))))</f>
        <v/>
      </c>
      <c r="Z33" s="1220"/>
      <c r="AA33" s="1221"/>
      <c r="AB33" s="1219" t="str">
        <f>IF(AT21="","",IF(AT22="W",0,IF(AT21=2,1,IF(AT21=1,2,IF(AT21=0,2)))))</f>
        <v/>
      </c>
      <c r="AC33" s="1220"/>
      <c r="AD33" s="1221"/>
      <c r="AE33" s="1219" t="str">
        <f>IF(AT23="","",IF(AT24="W",0,IF(AT23=2,1,IF(AT23=1,2,IF(AT23=0,2)))))</f>
        <v/>
      </c>
      <c r="AF33" s="1220"/>
      <c r="AG33" s="1221"/>
      <c r="AH33" s="1219" t="str">
        <f>IF(AT25="","",IF(AT26="W",0,IF(AT25=2,1,IF(AT25=1,2,IF(AT25=0,2)))))</f>
        <v/>
      </c>
      <c r="AI33" s="1220"/>
      <c r="AJ33" s="1221"/>
      <c r="AK33" s="1219" t="str">
        <f>IF(AT27="","",IF(AT28="W",0,IF(AT27=2,1,IF(AT27=1,2,IF(AT27=0,2)))))</f>
        <v/>
      </c>
      <c r="AL33" s="1220"/>
      <c r="AM33" s="1221"/>
      <c r="AN33" s="1219" t="str">
        <f>IF(AT29="","",IF(AT30="W",0,IF(AT29=2,1,IF(AT29=1,2,IF(AT29=0,2)))))</f>
        <v/>
      </c>
      <c r="AO33" s="1220"/>
      <c r="AP33" s="1221"/>
      <c r="AQ33" s="1219" t="str">
        <f>IF(AT31="","",IF(AT32="W",0,IF(AT31=2,1,IF(AT31=1,2,IF(AT31=0,2)))))</f>
        <v/>
      </c>
      <c r="AR33" s="1220"/>
      <c r="AS33" s="1221"/>
      <c r="AT33" s="1239"/>
      <c r="AU33" s="1215"/>
      <c r="AV33" s="1216"/>
      <c r="AW33" s="1219"/>
      <c r="AX33" s="1220"/>
      <c r="AY33" s="1221"/>
      <c r="AZ33" s="1222" t="str">
        <f t="shared" ref="AZ33" si="13">IF(B33="","",SUM(G33,J33,M33,P33,S33,V33,Y33,AB33,AE33,AH33,AK33,AN33,AQ33,AT33,AW33))</f>
        <v/>
      </c>
      <c r="BA33" s="1223"/>
      <c r="BB33" s="1226"/>
      <c r="BC33" s="1228" t="str">
        <f>IF(B33="","",RANK(AZ33,Ф2Оч)+16)</f>
        <v/>
      </c>
    </row>
    <row r="34" spans="1:55" ht="15.75" customHeight="1" x14ac:dyDescent="0.25">
      <c r="A34" s="1241"/>
      <c r="B34" s="1214"/>
      <c r="C34" s="141" t="str">
        <f>IF(B33="","",VLOOKUP(B33,'Списки участников'!A:I,6,FALSE))</f>
        <v/>
      </c>
      <c r="D34" s="148" t="str">
        <f>IF(AT6="","",IF(AV6="l","W",AV6))</f>
        <v/>
      </c>
      <c r="E34" s="143" t="str">
        <f>IF(AU6="","",":")</f>
        <v/>
      </c>
      <c r="F34" s="149" t="str">
        <f>IF(AV6="","",IF(AT6="W","L",AT6))</f>
        <v/>
      </c>
      <c r="G34" s="148" t="str">
        <f>IF(AT8="","",IF(AV8="l","W",AV8))</f>
        <v/>
      </c>
      <c r="H34" s="143" t="str">
        <f>IF(AU8="","",":")</f>
        <v/>
      </c>
      <c r="I34" s="149" t="str">
        <f>IF(AV8="","",IF(AT8="W","L",AT8))</f>
        <v/>
      </c>
      <c r="J34" s="148" t="str">
        <f>IF(AT10="","",IF(AV10="l","W",AV10))</f>
        <v/>
      </c>
      <c r="K34" s="143" t="str">
        <f>IF(AU10="","",":")</f>
        <v/>
      </c>
      <c r="L34" s="149" t="str">
        <f>IF(AV10="","",IF(AT10="W","L",AT10))</f>
        <v/>
      </c>
      <c r="M34" s="148" t="str">
        <f>IF(AT12="","",IF(AV12="l","W",AV12))</f>
        <v/>
      </c>
      <c r="N34" s="143" t="str">
        <f>IF(AU12="","",":")</f>
        <v/>
      </c>
      <c r="O34" s="149" t="str">
        <f>IF(AV12="","",IF(AT12="W","L",AT12))</f>
        <v/>
      </c>
      <c r="P34" s="148" t="str">
        <f>IF(AT14="","",IF(AV14="l","W",AV14))</f>
        <v/>
      </c>
      <c r="Q34" s="143" t="str">
        <f>IF(AU14="","",":")</f>
        <v/>
      </c>
      <c r="R34" s="149" t="str">
        <f>IF(AV14="","",IF(AT14="W","L",AT14))</f>
        <v/>
      </c>
      <c r="S34" s="148" t="str">
        <f>IF(AT16="","",IF(AV16="l","W",AV16))</f>
        <v/>
      </c>
      <c r="T34" s="143" t="str">
        <f>IF(AU16="","",":")</f>
        <v/>
      </c>
      <c r="U34" s="149" t="str">
        <f>IF(AV16="","",IF(AT16="W","L",AT16))</f>
        <v/>
      </c>
      <c r="V34" s="148" t="str">
        <f>IF(AT18="","",IF(AV18="l","W",AV18))</f>
        <v/>
      </c>
      <c r="W34" s="143" t="str">
        <f>IF(AU18="","",":")</f>
        <v/>
      </c>
      <c r="X34" s="149" t="str">
        <f>IF(AV18="","",IF(AT18="W","L",AT18))</f>
        <v/>
      </c>
      <c r="Y34" s="148" t="str">
        <f>IF(AT20="","",IF(AV20="l","W",AV20))</f>
        <v/>
      </c>
      <c r="Z34" s="143" t="str">
        <f>IF(AU20="","",":")</f>
        <v/>
      </c>
      <c r="AA34" s="149" t="str">
        <f>IF(AV20="","",IF(AT20="W","L",AT20))</f>
        <v/>
      </c>
      <c r="AB34" s="148" t="str">
        <f>IF(AT22="","",IF(AV22="l","W",AV22))</f>
        <v/>
      </c>
      <c r="AC34" s="143" t="str">
        <f>IF(AU22="","",":")</f>
        <v/>
      </c>
      <c r="AD34" s="149" t="str">
        <f>IF(AV22="","",IF(AT22="W","L",AT22))</f>
        <v/>
      </c>
      <c r="AE34" s="148" t="str">
        <f>IF(AT24="","",IF(AV24="l","W",AV24))</f>
        <v/>
      </c>
      <c r="AF34" s="143" t="str">
        <f>IF(AU24="","",":")</f>
        <v/>
      </c>
      <c r="AG34" s="149" t="str">
        <f>IF(AV24="","",IF(AT24="W","L",AT24))</f>
        <v/>
      </c>
      <c r="AH34" s="148" t="str">
        <f>IF(AT26="","",IF(AV26="l","W",AV26))</f>
        <v/>
      </c>
      <c r="AI34" s="143" t="str">
        <f>IF(AU26="","",":")</f>
        <v/>
      </c>
      <c r="AJ34" s="149" t="str">
        <f>IF(AV26="","",IF(AT26="W","L",AT26))</f>
        <v/>
      </c>
      <c r="AK34" s="148" t="str">
        <f>IF(AT28="","",IF(AV28="l","W",AV28))</f>
        <v/>
      </c>
      <c r="AL34" s="143" t="str">
        <f>IF(AU28="","",":")</f>
        <v/>
      </c>
      <c r="AM34" s="149" t="str">
        <f>IF(AV28="","",IF(AT28="W","L",AT28))</f>
        <v/>
      </c>
      <c r="AN34" s="148" t="str">
        <f>IF(AT30="","",IF(AV30="l","W",AV30))</f>
        <v/>
      </c>
      <c r="AO34" s="143" t="str">
        <f>IF(AU30="","",":")</f>
        <v/>
      </c>
      <c r="AP34" s="149" t="str">
        <f>IF(AV30="","",IF(AT30="W","L",AT30))</f>
        <v/>
      </c>
      <c r="AQ34" s="148" t="str">
        <f>IF(AT32="","",IF(AV32="l","W",AV32))</f>
        <v/>
      </c>
      <c r="AR34" s="143" t="str">
        <f>IF(AU32="","",":")</f>
        <v/>
      </c>
      <c r="AS34" s="149" t="str">
        <f>IF(AV32="","",IF(AT32="W","L",AT32))</f>
        <v/>
      </c>
      <c r="AT34" s="1237"/>
      <c r="AU34" s="1217"/>
      <c r="AV34" s="1218"/>
      <c r="AW34" s="142"/>
      <c r="AX34" s="143" t="str">
        <f>IF(AW33="","",":")</f>
        <v/>
      </c>
      <c r="AY34" s="144"/>
      <c r="AZ34" s="1224"/>
      <c r="BA34" s="1225"/>
      <c r="BB34" s="1227"/>
      <c r="BC34" s="1228"/>
    </row>
    <row r="35" spans="1:55" ht="15.75" customHeight="1" x14ac:dyDescent="0.25">
      <c r="A35" s="1240">
        <v>16</v>
      </c>
      <c r="B35" s="1229"/>
      <c r="C35" s="140" t="str">
        <f>IF(B35="","",VLOOKUP(B35,'Списки участников'!A:I,3,FALSE))</f>
        <v/>
      </c>
      <c r="D35" s="1219" t="str">
        <f>IF(AW5="","",IF(AW6="W",0,IF(AW5=2,1,IF(AW5=1,2,IF(AW5=0,2)))))</f>
        <v/>
      </c>
      <c r="E35" s="1220"/>
      <c r="F35" s="1221"/>
      <c r="G35" s="1219" t="str">
        <f>IF(AW7="","",IF(AW8="W",0,IF(AW7=2,1,IF(AW7=1,2,IF(AW7=0,2)))))</f>
        <v/>
      </c>
      <c r="H35" s="1220"/>
      <c r="I35" s="1221"/>
      <c r="J35" s="1219" t="str">
        <f>IF(AW9="","",IF(AW10="W",0,IF(AW9=2,1,IF(AW9=1,2,IF(AW9=0,2)))))</f>
        <v/>
      </c>
      <c r="K35" s="1220"/>
      <c r="L35" s="1221"/>
      <c r="M35" s="1219" t="str">
        <f>IF(AW11="","",IF(AW12="W",0,IF(AW11=2,1,IF(AW11=1,2,IF(AW11=0,2)))))</f>
        <v/>
      </c>
      <c r="N35" s="1220"/>
      <c r="O35" s="1221"/>
      <c r="P35" s="1219" t="str">
        <f>IF(AW13="","",IF(AW14="W",0,IF(AW13=2,1,IF(AW13=1,2,IF(AW13=0,2)))))</f>
        <v/>
      </c>
      <c r="Q35" s="1220"/>
      <c r="R35" s="1221"/>
      <c r="S35" s="1219" t="str">
        <f>IF(AW15="","",IF(AW16="W",0,IF(AW15=2,1,IF(AW15=1,2,IF(AW15=0,2)))))</f>
        <v/>
      </c>
      <c r="T35" s="1220"/>
      <c r="U35" s="1221"/>
      <c r="V35" s="1219" t="str">
        <f>IF(AW17="","",IF(AW18="W",0,IF(AW17=2,1,IF(AW17=1,2,IF(AW17=0,2)))))</f>
        <v/>
      </c>
      <c r="W35" s="1220"/>
      <c r="X35" s="1221"/>
      <c r="Y35" s="1219" t="str">
        <f>IF(AW19="","",IF(AW20="W",0,IF(AW19=2,1,IF(AW19=1,2,IF(AW19=0,2)))))</f>
        <v/>
      </c>
      <c r="Z35" s="1220"/>
      <c r="AA35" s="1221"/>
      <c r="AB35" s="1219" t="str">
        <f>IF(AW21="","",IF(AW22="W",0,IF(AW21=2,1,IF(AW21=1,2,IF(AW21=0,2)))))</f>
        <v/>
      </c>
      <c r="AC35" s="1220"/>
      <c r="AD35" s="1221"/>
      <c r="AE35" s="1219" t="str">
        <f>IF(AW23="","",IF(AW24="W",0,IF(AW23=2,1,IF(AW23=1,2,IF(AW23=0,2)))))</f>
        <v/>
      </c>
      <c r="AF35" s="1220"/>
      <c r="AG35" s="1221"/>
      <c r="AH35" s="1219" t="str">
        <f>IF(AW25="","",IF(AW26="W",0,IF(AW25=2,1,IF(AW25=1,2,IF(AW25=0,2)))))</f>
        <v/>
      </c>
      <c r="AI35" s="1220"/>
      <c r="AJ35" s="1221"/>
      <c r="AK35" s="1219" t="str">
        <f>IF(AW27="","",IF(AW28="W",0,IF(AW27=2,1,IF(AW27=1,2,IF(AW27=0,2)))))</f>
        <v/>
      </c>
      <c r="AL35" s="1220"/>
      <c r="AM35" s="1221"/>
      <c r="AN35" s="1219" t="str">
        <f>IF(AW29="","",IF(AW30="W",0,IF(AW29=2,1,IF(AW29=1,2,IF(AW29=0,2)))))</f>
        <v/>
      </c>
      <c r="AO35" s="1220"/>
      <c r="AP35" s="1221"/>
      <c r="AQ35" s="1219" t="str">
        <f>IF(AW31="","",IF(AW32="W",0,IF(AW31=2,1,IF(AW31=1,2,IF(AW31=0,2)))))</f>
        <v/>
      </c>
      <c r="AR35" s="1220"/>
      <c r="AS35" s="1221"/>
      <c r="AT35" s="1219" t="str">
        <f>IF(AW33="","",IF(AW34="W",0,IF(AW33=2,1,IF(AW33=1,2,IF(AW33=0,2)))))</f>
        <v/>
      </c>
      <c r="AU35" s="1220"/>
      <c r="AV35" s="1221"/>
      <c r="AW35" s="1234"/>
      <c r="AX35" s="1235"/>
      <c r="AY35" s="1236"/>
      <c r="AZ35" s="1222" t="str">
        <f t="shared" ref="AZ35" si="14">IF(B35="","",SUM(G35,J35,M35,P35,S35,V35,Y35,AB35,AE35,AH35,AK35,AN35,AQ35,AT35,AW35))</f>
        <v/>
      </c>
      <c r="BA35" s="1223"/>
      <c r="BB35" s="1226"/>
      <c r="BC35" s="1228" t="str">
        <f>IF(B35="","",RANK(AZ35,Ф2Оч)+16)</f>
        <v/>
      </c>
    </row>
    <row r="36" spans="1:55" ht="15.75" customHeight="1" x14ac:dyDescent="0.25">
      <c r="A36" s="1241"/>
      <c r="B36" s="1230"/>
      <c r="C36" s="141" t="str">
        <f>IF(B35="","",VLOOKUP(B35,'Списки участников'!A:I,6,FALSE))</f>
        <v/>
      </c>
      <c r="D36" s="148" t="str">
        <f>IF(AW6="","",IF(AY6="l","W",AY6))</f>
        <v/>
      </c>
      <c r="E36" s="143" t="str">
        <f>IF(AX6="","",":")</f>
        <v/>
      </c>
      <c r="F36" s="149" t="str">
        <f>IF(AY6="","",IF(AW6="W","L",AW6))</f>
        <v/>
      </c>
      <c r="G36" s="148" t="str">
        <f>IF(AW8="","",IF(AY8="l","W",AY8))</f>
        <v/>
      </c>
      <c r="H36" s="143" t="str">
        <f>IF(AX8="","",":")</f>
        <v/>
      </c>
      <c r="I36" s="149" t="str">
        <f>IF(AY8="","",IF(AW8="W","L",AW8))</f>
        <v/>
      </c>
      <c r="J36" s="148" t="str">
        <f>IF(AW10="","",IF(AY10="l","W",AY10))</f>
        <v/>
      </c>
      <c r="K36" s="143" t="str">
        <f>IF(AX10="","",":")</f>
        <v/>
      </c>
      <c r="L36" s="149" t="str">
        <f>IF(AY10="","",IF(AW10="W","L",AW10))</f>
        <v/>
      </c>
      <c r="M36" s="148" t="str">
        <f>IF(AW12="","",IF(AY12="l","W",AY12))</f>
        <v/>
      </c>
      <c r="N36" s="143" t="str">
        <f>IF(AX12="","",":")</f>
        <v/>
      </c>
      <c r="O36" s="149" t="str">
        <f>IF(AY12="","",IF(AW12="W","L",AW12))</f>
        <v/>
      </c>
      <c r="P36" s="148" t="str">
        <f>IF(AW14="","",IF(AY14="l","W",AY14))</f>
        <v/>
      </c>
      <c r="Q36" s="143" t="str">
        <f>IF(AX14="","",":")</f>
        <v/>
      </c>
      <c r="R36" s="149" t="str">
        <f>IF(AY14="","",IF(AW14="W","L",AW14))</f>
        <v/>
      </c>
      <c r="S36" s="148" t="str">
        <f>IF(AW16="","",IF(AY16="l","W",AY16))</f>
        <v/>
      </c>
      <c r="T36" s="143" t="str">
        <f>IF(AX16="","",":")</f>
        <v/>
      </c>
      <c r="U36" s="149" t="str">
        <f>IF(AY16="","",IF(AW16="W","L",AW16))</f>
        <v/>
      </c>
      <c r="V36" s="148" t="str">
        <f>IF(AW18="","",IF(AY18="l","W",AY18))</f>
        <v/>
      </c>
      <c r="W36" s="143" t="str">
        <f>IF(AX18="","",":")</f>
        <v/>
      </c>
      <c r="X36" s="149" t="str">
        <f>IF(AY18="","",IF(AW18="W","L",AW18))</f>
        <v/>
      </c>
      <c r="Y36" s="148" t="str">
        <f>IF(AW20="","",IF(AY20="l","W",AY20))</f>
        <v/>
      </c>
      <c r="Z36" s="143" t="str">
        <f>IF(AX20="","",":")</f>
        <v/>
      </c>
      <c r="AA36" s="149" t="str">
        <f>IF(AY20="","",IF(AW20="W","L",AW20))</f>
        <v/>
      </c>
      <c r="AB36" s="148" t="str">
        <f>IF(AW22="","",IF(AY22="l","W",AY22))</f>
        <v/>
      </c>
      <c r="AC36" s="143" t="str">
        <f>IF(AX22="","",":")</f>
        <v/>
      </c>
      <c r="AD36" s="149" t="str">
        <f>IF(AY22="","",IF(AW22="W","L",AW22))</f>
        <v/>
      </c>
      <c r="AE36" s="148" t="str">
        <f>IF(AW24="","",IF(AY24="l","W",AY24))</f>
        <v/>
      </c>
      <c r="AF36" s="143" t="str">
        <f>IF(AX24="","",":")</f>
        <v/>
      </c>
      <c r="AG36" s="149" t="str">
        <f>IF(AY24="","",IF(AW24="W","L",AW24))</f>
        <v/>
      </c>
      <c r="AH36" s="148" t="str">
        <f>IF(AW26="","",IF(AY26="l","W",AY26))</f>
        <v/>
      </c>
      <c r="AI36" s="143" t="str">
        <f>IF(AX26="","",":")</f>
        <v/>
      </c>
      <c r="AJ36" s="149" t="str">
        <f>IF(AY26="","",IF(AW26="W","L",AW26))</f>
        <v/>
      </c>
      <c r="AK36" s="148" t="str">
        <f>IF(AW28="","",IF(AY28="l","W",AY28))</f>
        <v/>
      </c>
      <c r="AL36" s="143" t="str">
        <f>IF(AX28="","",":")</f>
        <v/>
      </c>
      <c r="AM36" s="149" t="str">
        <f>IF(AY28="","",IF(AW28="W","L",AW28))</f>
        <v/>
      </c>
      <c r="AN36" s="148" t="str">
        <f>IF(AW30="","",IF(AY30="l","W",AY30))</f>
        <v/>
      </c>
      <c r="AO36" s="143" t="str">
        <f>IF(AX30="","",":")</f>
        <v/>
      </c>
      <c r="AP36" s="149" t="str">
        <f>IF(AY30="","",IF(AW30="W","L",AW30))</f>
        <v/>
      </c>
      <c r="AQ36" s="148" t="str">
        <f>IF(AW32="","",IF(AY32="l","W",AY32))</f>
        <v/>
      </c>
      <c r="AR36" s="143" t="str">
        <f>IF(AX32="","",":")</f>
        <v/>
      </c>
      <c r="AS36" s="149" t="str">
        <f>IF(AY32="","",IF(AW32="W","L",AW32))</f>
        <v/>
      </c>
      <c r="AT36" s="148" t="str">
        <f>IF(AW34="","",IF(AY34="l","W",AY34))</f>
        <v/>
      </c>
      <c r="AU36" s="143" t="str">
        <f>IF(AX34="","",":")</f>
        <v/>
      </c>
      <c r="AV36" s="149" t="str">
        <f>IF(AY34="","",IF(AW34="W","L",AW34))</f>
        <v/>
      </c>
      <c r="AW36" s="1237"/>
      <c r="AX36" s="1217"/>
      <c r="AY36" s="1218"/>
      <c r="AZ36" s="1224"/>
      <c r="BA36" s="1225"/>
      <c r="BB36" s="1227"/>
      <c r="BC36" s="1228"/>
    </row>
    <row r="38" spans="1:55" ht="18.75" x14ac:dyDescent="0.3">
      <c r="C38" s="150" t="s">
        <v>791</v>
      </c>
      <c r="D38" s="150"/>
      <c r="E38" s="1242" t="str">
        <f>'Списки участников'!I121</f>
        <v>В.А. Коваль</v>
      </c>
      <c r="F38" s="1242"/>
      <c r="G38" s="1242"/>
      <c r="H38" s="1242"/>
      <c r="I38" s="1242"/>
      <c r="J38" s="1242"/>
      <c r="K38" s="1242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243" t="s">
        <v>792</v>
      </c>
      <c r="X38" s="1243"/>
      <c r="Y38" s="1243"/>
      <c r="Z38" s="1243"/>
      <c r="AA38" s="1243"/>
      <c r="AB38" s="1243"/>
      <c r="AC38" s="1243"/>
      <c r="AD38" s="1243"/>
      <c r="AE38" s="1243"/>
      <c r="AF38" s="1243"/>
      <c r="AG38" s="1243"/>
      <c r="AH38" s="1243"/>
      <c r="AI38" s="150"/>
      <c r="AJ38" s="150"/>
      <c r="AK38" s="150"/>
      <c r="AL38" s="1243" t="str">
        <f>'Списки участников'!I122</f>
        <v>А.С. Рожкова</v>
      </c>
      <c r="AM38" s="1243"/>
      <c r="AN38" s="1243"/>
      <c r="AO38" s="1243"/>
      <c r="AP38" s="1243"/>
      <c r="AQ38" s="1243"/>
      <c r="AR38" s="1243"/>
      <c r="AS38" s="1243"/>
      <c r="AT38" s="1243"/>
      <c r="AU38" s="1243"/>
      <c r="AV38" s="1243"/>
      <c r="AW38" s="1243"/>
      <c r="AX38" s="1243"/>
      <c r="AY38" s="1243"/>
      <c r="AZ38" s="1243"/>
      <c r="BA38" s="1243"/>
      <c r="BB38" s="1243"/>
      <c r="BC38" s="150"/>
    </row>
  </sheetData>
  <mergeCells count="361">
    <mergeCell ref="A1:BA1"/>
    <mergeCell ref="C2:F2"/>
    <mergeCell ref="I2:AH2"/>
    <mergeCell ref="AK2:BB2"/>
    <mergeCell ref="D4:F4"/>
    <mergeCell ref="G4:I4"/>
    <mergeCell ref="J4:L4"/>
    <mergeCell ref="M4:O4"/>
    <mergeCell ref="P4:R4"/>
    <mergeCell ref="S4:U4"/>
    <mergeCell ref="V4:X4"/>
    <mergeCell ref="Y4:AA4"/>
    <mergeCell ref="AB4:AD4"/>
    <mergeCell ref="AE4:AG4"/>
    <mergeCell ref="AH4:AJ4"/>
    <mergeCell ref="AK4:AM4"/>
    <mergeCell ref="AN4:AP4"/>
    <mergeCell ref="AQ4:AS4"/>
    <mergeCell ref="AT4:AV4"/>
    <mergeCell ref="AW4:AY4"/>
    <mergeCell ref="AZ4:BA4"/>
    <mergeCell ref="D3:O3"/>
    <mergeCell ref="A5:A6"/>
    <mergeCell ref="B5:B6"/>
    <mergeCell ref="D5:F6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S5"/>
    <mergeCell ref="AT5:AV5"/>
    <mergeCell ref="AW5:AY5"/>
    <mergeCell ref="AZ5:BA6"/>
    <mergeCell ref="BB5:BB6"/>
    <mergeCell ref="BC5:BC6"/>
    <mergeCell ref="A7:A8"/>
    <mergeCell ref="B7:B8"/>
    <mergeCell ref="D7:F7"/>
    <mergeCell ref="G7:I8"/>
    <mergeCell ref="J7:L7"/>
    <mergeCell ref="M7:O7"/>
    <mergeCell ref="P7:R7"/>
    <mergeCell ref="S7:U7"/>
    <mergeCell ref="V7:X7"/>
    <mergeCell ref="Y7:AA7"/>
    <mergeCell ref="AB7:AD7"/>
    <mergeCell ref="AE7:AG7"/>
    <mergeCell ref="AH7:AJ7"/>
    <mergeCell ref="AK7:AM7"/>
    <mergeCell ref="AN7:AP7"/>
    <mergeCell ref="AQ7:AS7"/>
    <mergeCell ref="AT7:AV7"/>
    <mergeCell ref="AW7:AY7"/>
    <mergeCell ref="AZ7:BA8"/>
    <mergeCell ref="BB7:BB8"/>
    <mergeCell ref="BC7:BC8"/>
    <mergeCell ref="A9:A10"/>
    <mergeCell ref="B9:B10"/>
    <mergeCell ref="D9:F9"/>
    <mergeCell ref="G9:I9"/>
    <mergeCell ref="J9:L10"/>
    <mergeCell ref="M9:O9"/>
    <mergeCell ref="P9:R9"/>
    <mergeCell ref="S9:U9"/>
    <mergeCell ref="V9:X9"/>
    <mergeCell ref="Y9:AA9"/>
    <mergeCell ref="AB9:AD9"/>
    <mergeCell ref="AE9:AG9"/>
    <mergeCell ref="AH9:AJ9"/>
    <mergeCell ref="AK9:AM9"/>
    <mergeCell ref="AN9:AP9"/>
    <mergeCell ref="AQ9:AS9"/>
    <mergeCell ref="AT9:AV9"/>
    <mergeCell ref="AW9:AY9"/>
    <mergeCell ref="AZ9:BA10"/>
    <mergeCell ref="BB9:BB10"/>
    <mergeCell ref="BC9:BC10"/>
    <mergeCell ref="A11:A12"/>
    <mergeCell ref="B11:B12"/>
    <mergeCell ref="D11:F11"/>
    <mergeCell ref="G11:I11"/>
    <mergeCell ref="J11:L11"/>
    <mergeCell ref="M11:O12"/>
    <mergeCell ref="P11:R11"/>
    <mergeCell ref="S11:U11"/>
    <mergeCell ref="V11:X11"/>
    <mergeCell ref="Y11:AA11"/>
    <mergeCell ref="AB11:AD11"/>
    <mergeCell ref="AE11:AG11"/>
    <mergeCell ref="AH11:AJ11"/>
    <mergeCell ref="AK11:AM11"/>
    <mergeCell ref="AN11:AP11"/>
    <mergeCell ref="AQ11:AS11"/>
    <mergeCell ref="AT11:AV11"/>
    <mergeCell ref="AW11:AY11"/>
    <mergeCell ref="AZ11:BA12"/>
    <mergeCell ref="BB11:BB12"/>
    <mergeCell ref="BC11:BC12"/>
    <mergeCell ref="A13:A14"/>
    <mergeCell ref="B13:B14"/>
    <mergeCell ref="D13:F13"/>
    <mergeCell ref="G13:I13"/>
    <mergeCell ref="J13:L13"/>
    <mergeCell ref="M13:O13"/>
    <mergeCell ref="P13:R14"/>
    <mergeCell ref="S13:U13"/>
    <mergeCell ref="V13:X13"/>
    <mergeCell ref="Y13:AA13"/>
    <mergeCell ref="AB13:AD13"/>
    <mergeCell ref="AE13:AG13"/>
    <mergeCell ref="AH13:AJ13"/>
    <mergeCell ref="AK13:AM13"/>
    <mergeCell ref="AN13:AP13"/>
    <mergeCell ref="AQ13:AS13"/>
    <mergeCell ref="AT13:AV13"/>
    <mergeCell ref="AW13:AY13"/>
    <mergeCell ref="AZ13:BA14"/>
    <mergeCell ref="BB13:BB14"/>
    <mergeCell ref="BC13:BC14"/>
    <mergeCell ref="A15:A16"/>
    <mergeCell ref="B15:B16"/>
    <mergeCell ref="D15:F15"/>
    <mergeCell ref="G15:I15"/>
    <mergeCell ref="J15:L15"/>
    <mergeCell ref="M15:O15"/>
    <mergeCell ref="P15:R15"/>
    <mergeCell ref="S15:U16"/>
    <mergeCell ref="V15:X15"/>
    <mergeCell ref="Y15:AA15"/>
    <mergeCell ref="AB15:AD15"/>
    <mergeCell ref="AE15:AG15"/>
    <mergeCell ref="AH15:AJ15"/>
    <mergeCell ref="AK15:AM15"/>
    <mergeCell ref="AN15:AP15"/>
    <mergeCell ref="AQ15:AS15"/>
    <mergeCell ref="AT15:AV15"/>
    <mergeCell ref="AW15:AY15"/>
    <mergeCell ref="AZ15:BA16"/>
    <mergeCell ref="BB15:BB16"/>
    <mergeCell ref="BC15:BC16"/>
    <mergeCell ref="A17:A18"/>
    <mergeCell ref="B17:B18"/>
    <mergeCell ref="D17:F17"/>
    <mergeCell ref="G17:I17"/>
    <mergeCell ref="J17:L17"/>
    <mergeCell ref="M17:O17"/>
    <mergeCell ref="P17:R17"/>
    <mergeCell ref="S17:U17"/>
    <mergeCell ref="V17:X18"/>
    <mergeCell ref="Y17:AA17"/>
    <mergeCell ref="AB17:AD17"/>
    <mergeCell ref="AE17:AG17"/>
    <mergeCell ref="AH17:AJ17"/>
    <mergeCell ref="AK17:AM17"/>
    <mergeCell ref="AN17:AP17"/>
    <mergeCell ref="AQ17:AS17"/>
    <mergeCell ref="AT17:AV17"/>
    <mergeCell ref="AW17:AY17"/>
    <mergeCell ref="AZ17:BA18"/>
    <mergeCell ref="BB17:BB18"/>
    <mergeCell ref="BC17:BC18"/>
    <mergeCell ref="A19:A20"/>
    <mergeCell ref="B19:B20"/>
    <mergeCell ref="D19:F19"/>
    <mergeCell ref="G19:I19"/>
    <mergeCell ref="J19:L19"/>
    <mergeCell ref="M19:O19"/>
    <mergeCell ref="P19:R19"/>
    <mergeCell ref="S19:U19"/>
    <mergeCell ref="V19:X19"/>
    <mergeCell ref="Y19:AA20"/>
    <mergeCell ref="AB19:AD19"/>
    <mergeCell ref="AE19:AG19"/>
    <mergeCell ref="AH19:AJ19"/>
    <mergeCell ref="AK19:AM19"/>
    <mergeCell ref="AN19:AP19"/>
    <mergeCell ref="AQ19:AS19"/>
    <mergeCell ref="AT19:AV19"/>
    <mergeCell ref="AW19:AY19"/>
    <mergeCell ref="AZ19:BA20"/>
    <mergeCell ref="BB19:BB20"/>
    <mergeCell ref="BC19:BC20"/>
    <mergeCell ref="A21:A22"/>
    <mergeCell ref="B21:B22"/>
    <mergeCell ref="D21:F21"/>
    <mergeCell ref="G21:I21"/>
    <mergeCell ref="J21:L21"/>
    <mergeCell ref="M21:O21"/>
    <mergeCell ref="P21:R21"/>
    <mergeCell ref="S21:U21"/>
    <mergeCell ref="V21:X21"/>
    <mergeCell ref="Y21:AA21"/>
    <mergeCell ref="AB21:AD22"/>
    <mergeCell ref="AE21:AG21"/>
    <mergeCell ref="AH21:AJ21"/>
    <mergeCell ref="AK21:AM21"/>
    <mergeCell ref="AN21:AP21"/>
    <mergeCell ref="AQ21:AS21"/>
    <mergeCell ref="AT21:AV21"/>
    <mergeCell ref="AW21:AY21"/>
    <mergeCell ref="AZ21:BA22"/>
    <mergeCell ref="BB21:BB22"/>
    <mergeCell ref="BC21:BC22"/>
    <mergeCell ref="A23:A24"/>
    <mergeCell ref="B23:B24"/>
    <mergeCell ref="D23:F23"/>
    <mergeCell ref="G23:I23"/>
    <mergeCell ref="J23:L23"/>
    <mergeCell ref="M23:O23"/>
    <mergeCell ref="P23:R23"/>
    <mergeCell ref="S23:U23"/>
    <mergeCell ref="V23:X23"/>
    <mergeCell ref="Y23:AA23"/>
    <mergeCell ref="AB23:AD23"/>
    <mergeCell ref="AE23:AG24"/>
    <mergeCell ref="AH23:AJ23"/>
    <mergeCell ref="AK23:AM23"/>
    <mergeCell ref="AN23:AP23"/>
    <mergeCell ref="AQ23:AS23"/>
    <mergeCell ref="AT23:AV23"/>
    <mergeCell ref="AW23:AY23"/>
    <mergeCell ref="AZ23:BA24"/>
    <mergeCell ref="BB23:BB24"/>
    <mergeCell ref="BC23:BC24"/>
    <mergeCell ref="A25:A26"/>
    <mergeCell ref="B25:B26"/>
    <mergeCell ref="D25:F25"/>
    <mergeCell ref="G25:I25"/>
    <mergeCell ref="J25:L25"/>
    <mergeCell ref="M25:O25"/>
    <mergeCell ref="P25:R25"/>
    <mergeCell ref="S25:U25"/>
    <mergeCell ref="V25:X25"/>
    <mergeCell ref="Y25:AA25"/>
    <mergeCell ref="AB25:AD25"/>
    <mergeCell ref="AE25:AG25"/>
    <mergeCell ref="AH25:AJ26"/>
    <mergeCell ref="AK25:AM25"/>
    <mergeCell ref="AN25:AP25"/>
    <mergeCell ref="AQ25:AS25"/>
    <mergeCell ref="AT25:AV25"/>
    <mergeCell ref="AW25:AY25"/>
    <mergeCell ref="AZ25:BA26"/>
    <mergeCell ref="BB25:BB26"/>
    <mergeCell ref="BC25:BC26"/>
    <mergeCell ref="A27:A28"/>
    <mergeCell ref="B27:B28"/>
    <mergeCell ref="D27:F27"/>
    <mergeCell ref="G27:I27"/>
    <mergeCell ref="J27:L27"/>
    <mergeCell ref="M27:O27"/>
    <mergeCell ref="P27:R27"/>
    <mergeCell ref="S27:U27"/>
    <mergeCell ref="V27:X27"/>
    <mergeCell ref="Y27:AA27"/>
    <mergeCell ref="AB27:AD27"/>
    <mergeCell ref="AE27:AG27"/>
    <mergeCell ref="AH27:AJ27"/>
    <mergeCell ref="AK27:AM28"/>
    <mergeCell ref="AN27:AP27"/>
    <mergeCell ref="AQ27:AS27"/>
    <mergeCell ref="AT27:AV27"/>
    <mergeCell ref="AW27:AY27"/>
    <mergeCell ref="AZ27:BA28"/>
    <mergeCell ref="BB27:BB28"/>
    <mergeCell ref="BC27:BC28"/>
    <mergeCell ref="A29:A30"/>
    <mergeCell ref="B29:B30"/>
    <mergeCell ref="D29:F29"/>
    <mergeCell ref="G29:I29"/>
    <mergeCell ref="J29:L29"/>
    <mergeCell ref="M29:O29"/>
    <mergeCell ref="P29:R29"/>
    <mergeCell ref="S29:U29"/>
    <mergeCell ref="V29:X29"/>
    <mergeCell ref="Y29:AA29"/>
    <mergeCell ref="AB29:AD29"/>
    <mergeCell ref="AE29:AG29"/>
    <mergeCell ref="AH29:AJ29"/>
    <mergeCell ref="AK29:AM29"/>
    <mergeCell ref="AN29:AP30"/>
    <mergeCell ref="AQ29:AS29"/>
    <mergeCell ref="AT29:AV29"/>
    <mergeCell ref="AW29:AY29"/>
    <mergeCell ref="AZ29:BA30"/>
    <mergeCell ref="BB29:BB30"/>
    <mergeCell ref="BC29:BC30"/>
    <mergeCell ref="A31:A32"/>
    <mergeCell ref="B31:B32"/>
    <mergeCell ref="D31:F31"/>
    <mergeCell ref="G31:I31"/>
    <mergeCell ref="J31:L31"/>
    <mergeCell ref="M31:O31"/>
    <mergeCell ref="P31:R31"/>
    <mergeCell ref="S31:U31"/>
    <mergeCell ref="V31:X31"/>
    <mergeCell ref="Y31:AA31"/>
    <mergeCell ref="AB31:AD31"/>
    <mergeCell ref="AE31:AG31"/>
    <mergeCell ref="AH31:AJ31"/>
    <mergeCell ref="AK31:AM31"/>
    <mergeCell ref="AN31:AP31"/>
    <mergeCell ref="AQ31:AS32"/>
    <mergeCell ref="AT31:AV31"/>
    <mergeCell ref="AW31:AY31"/>
    <mergeCell ref="AZ31:BA32"/>
    <mergeCell ref="BB31:BB32"/>
    <mergeCell ref="BC31:BC32"/>
    <mergeCell ref="A33:A34"/>
    <mergeCell ref="B33:B34"/>
    <mergeCell ref="D33:F33"/>
    <mergeCell ref="G33:I33"/>
    <mergeCell ref="J33:L33"/>
    <mergeCell ref="M33:O33"/>
    <mergeCell ref="P33:R33"/>
    <mergeCell ref="S33:U33"/>
    <mergeCell ref="V33:X33"/>
    <mergeCell ref="BC33:BC34"/>
    <mergeCell ref="A35:A36"/>
    <mergeCell ref="B35:B36"/>
    <mergeCell ref="D35:F35"/>
    <mergeCell ref="G35:I35"/>
    <mergeCell ref="J35:L35"/>
    <mergeCell ref="M35:O35"/>
    <mergeCell ref="P35:R35"/>
    <mergeCell ref="S35:U35"/>
    <mergeCell ref="BB35:BB36"/>
    <mergeCell ref="V35:X35"/>
    <mergeCell ref="Y35:AA35"/>
    <mergeCell ref="AB35:AD35"/>
    <mergeCell ref="AE35:AG35"/>
    <mergeCell ref="AH35:AJ35"/>
    <mergeCell ref="AK35:AM35"/>
    <mergeCell ref="BC35:BC36"/>
    <mergeCell ref="Y33:AA33"/>
    <mergeCell ref="AB33:AD33"/>
    <mergeCell ref="AE33:AG33"/>
    <mergeCell ref="AH33:AJ33"/>
    <mergeCell ref="AK33:AM33"/>
    <mergeCell ref="AN33:AP33"/>
    <mergeCell ref="AQ33:AS33"/>
    <mergeCell ref="E38:K38"/>
    <mergeCell ref="W38:AH38"/>
    <mergeCell ref="AL38:BB38"/>
    <mergeCell ref="AN35:AP35"/>
    <mergeCell ref="AQ35:AS35"/>
    <mergeCell ref="AT35:AV35"/>
    <mergeCell ref="AW35:AY36"/>
    <mergeCell ref="AZ35:BA36"/>
    <mergeCell ref="AZ33:BA34"/>
    <mergeCell ref="BB33:BB34"/>
    <mergeCell ref="AT33:AV34"/>
    <mergeCell ref="AW33:AY33"/>
  </mergeCells>
  <pageMargins left="0.51181102362204722" right="0.51181102362204722" top="0.55118110236220474" bottom="0.55118110236220474" header="0.31496062992125984" footer="0.31496062992125984"/>
  <pageSetup paperSize="9" scale="8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70C0"/>
  </sheetPr>
  <dimension ref="A1:BC38"/>
  <sheetViews>
    <sheetView view="pageBreakPreview" zoomScale="90" zoomScaleNormal="80" zoomScaleSheetLayoutView="90" workbookViewId="0">
      <selection activeCell="AZ5" sqref="AZ5:BA36"/>
    </sheetView>
  </sheetViews>
  <sheetFormatPr defaultColWidth="9.33203125" defaultRowHeight="15" outlineLevelCol="1" x14ac:dyDescent="0.25"/>
  <cols>
    <col min="1" max="1" width="4.83203125" style="135" customWidth="1"/>
    <col min="2" max="2" width="4.83203125" style="135" hidden="1" customWidth="1" outlineLevel="1"/>
    <col min="3" max="3" width="26.83203125" style="135" customWidth="1" collapsed="1"/>
    <col min="4" max="51" width="2.6640625" style="135" customWidth="1"/>
    <col min="52" max="52" width="5.33203125" style="135" customWidth="1"/>
    <col min="53" max="53" width="4.6640625" style="135" customWidth="1"/>
    <col min="54" max="54" width="9.1640625" style="135" customWidth="1"/>
    <col min="55" max="55" width="8.33203125" style="135" customWidth="1"/>
    <col min="56" max="56" width="8.1640625" style="135" customWidth="1"/>
    <col min="57" max="16384" width="9.33203125" style="135"/>
  </cols>
  <sheetData>
    <row r="1" spans="1:55" ht="18.75" x14ac:dyDescent="0.25">
      <c r="A1" s="1211" t="str">
        <f>'Списки участников'!A1</f>
        <v>IV Мемориал Заслуженного тренера России В.А.Воробьева</v>
      </c>
      <c r="B1" s="1244"/>
      <c r="C1" s="1244"/>
      <c r="D1" s="1244"/>
      <c r="E1" s="1244"/>
      <c r="F1" s="1244"/>
      <c r="G1" s="1244"/>
      <c r="H1" s="1244"/>
      <c r="I1" s="1244"/>
      <c r="J1" s="1244"/>
      <c r="K1" s="1244"/>
      <c r="L1" s="1244"/>
      <c r="M1" s="1244"/>
      <c r="N1" s="1244"/>
      <c r="O1" s="1244"/>
      <c r="P1" s="1244"/>
      <c r="Q1" s="1244"/>
      <c r="R1" s="1244"/>
      <c r="S1" s="1244"/>
      <c r="T1" s="1244"/>
      <c r="U1" s="1244"/>
      <c r="V1" s="1244"/>
      <c r="W1" s="1244"/>
      <c r="X1" s="1244"/>
      <c r="Y1" s="1244"/>
      <c r="Z1" s="1244"/>
      <c r="AA1" s="1244"/>
      <c r="AB1" s="1244"/>
      <c r="AC1" s="1244"/>
      <c r="AD1" s="1244"/>
      <c r="AE1" s="1244"/>
      <c r="AF1" s="1244"/>
      <c r="AG1" s="1244"/>
      <c r="AH1" s="1244"/>
      <c r="AI1" s="1244"/>
      <c r="AJ1" s="1244"/>
      <c r="AK1" s="1244"/>
      <c r="AL1" s="1244"/>
      <c r="AM1" s="1244"/>
      <c r="AN1" s="1244"/>
      <c r="AO1" s="1244"/>
      <c r="AP1" s="1244"/>
      <c r="AQ1" s="1244"/>
      <c r="AR1" s="1244"/>
      <c r="AS1" s="1244"/>
      <c r="AT1" s="1244"/>
      <c r="AU1" s="1244"/>
      <c r="AV1" s="1244"/>
      <c r="AW1" s="1244"/>
      <c r="AX1" s="1244"/>
      <c r="AY1" s="1244"/>
      <c r="AZ1" s="1244"/>
      <c r="BA1" s="1244"/>
    </row>
    <row r="2" spans="1:55" ht="18.75" x14ac:dyDescent="0.25">
      <c r="C2" s="1245" t="str">
        <f>'Списки участников'!C3</f>
        <v>26-29 мая 2016 г.</v>
      </c>
      <c r="D2" s="1245"/>
      <c r="E2" s="1245"/>
      <c r="F2" s="1245"/>
      <c r="G2" s="202"/>
      <c r="H2" s="202"/>
      <c r="I2" s="1211" t="str">
        <f>'Списки участников'!A2</f>
        <v>среди юношей и девушек 2002 г.р. и моложе</v>
      </c>
      <c r="J2" s="1212"/>
      <c r="K2" s="1212"/>
      <c r="L2" s="1212"/>
      <c r="M2" s="1212"/>
      <c r="N2" s="1212"/>
      <c r="O2" s="1212"/>
      <c r="P2" s="1212"/>
      <c r="Q2" s="1212"/>
      <c r="R2" s="1212"/>
      <c r="S2" s="1212"/>
      <c r="T2" s="1212"/>
      <c r="U2" s="1212"/>
      <c r="V2" s="1212"/>
      <c r="W2" s="1212"/>
      <c r="X2" s="1212"/>
      <c r="Y2" s="1212"/>
      <c r="Z2" s="1212"/>
      <c r="AA2" s="1212"/>
      <c r="AB2" s="1212"/>
      <c r="AC2" s="1212"/>
      <c r="AD2" s="1212"/>
      <c r="AE2" s="1212"/>
      <c r="AF2" s="1212"/>
      <c r="AG2" s="1212"/>
      <c r="AH2" s="1212"/>
      <c r="AI2" s="202"/>
      <c r="AJ2" s="202"/>
      <c r="AK2" s="1246" t="str">
        <f>'Списки участников'!I3</f>
        <v>г. Москва</v>
      </c>
      <c r="AL2" s="1246"/>
      <c r="AM2" s="1246"/>
      <c r="AN2" s="1246"/>
      <c r="AO2" s="1246"/>
      <c r="AP2" s="1246"/>
      <c r="AQ2" s="1246"/>
      <c r="AR2" s="1246"/>
      <c r="AS2" s="1246"/>
      <c r="AT2" s="1246"/>
      <c r="AU2" s="1246"/>
      <c r="AV2" s="1246"/>
      <c r="AW2" s="1246"/>
      <c r="AX2" s="1246"/>
      <c r="AY2" s="1246"/>
      <c r="AZ2" s="1246"/>
      <c r="BA2" s="1246"/>
      <c r="BB2" s="1246"/>
    </row>
    <row r="3" spans="1:55" ht="18.75" x14ac:dyDescent="0.3">
      <c r="C3" s="740" t="s">
        <v>1138</v>
      </c>
      <c r="D3" s="1204" t="str">
        <f>'Списки участников'!D6</f>
        <v>ЮНОШИ</v>
      </c>
      <c r="E3" s="1205"/>
      <c r="F3" s="1205"/>
      <c r="G3" s="1205"/>
      <c r="H3" s="1205"/>
      <c r="I3" s="1205"/>
      <c r="J3" s="1205"/>
      <c r="K3" s="1205"/>
      <c r="L3" s="1205"/>
      <c r="M3" s="1205"/>
      <c r="N3" s="1205"/>
      <c r="O3" s="1205"/>
    </row>
    <row r="4" spans="1:55" x14ac:dyDescent="0.25">
      <c r="A4" s="136" t="s">
        <v>3</v>
      </c>
      <c r="B4" s="137"/>
      <c r="C4" s="138" t="s">
        <v>788</v>
      </c>
      <c r="D4" s="1208">
        <v>1</v>
      </c>
      <c r="E4" s="1209"/>
      <c r="F4" s="1210"/>
      <c r="G4" s="1208">
        <v>2</v>
      </c>
      <c r="H4" s="1209"/>
      <c r="I4" s="1210"/>
      <c r="J4" s="1208">
        <v>3</v>
      </c>
      <c r="K4" s="1209"/>
      <c r="L4" s="1210"/>
      <c r="M4" s="1208">
        <v>4</v>
      </c>
      <c r="N4" s="1209"/>
      <c r="O4" s="1210"/>
      <c r="P4" s="1208">
        <v>5</v>
      </c>
      <c r="Q4" s="1209"/>
      <c r="R4" s="1210"/>
      <c r="S4" s="1208">
        <v>6</v>
      </c>
      <c r="T4" s="1209"/>
      <c r="U4" s="1210"/>
      <c r="V4" s="1208">
        <v>7</v>
      </c>
      <c r="W4" s="1209"/>
      <c r="X4" s="1210"/>
      <c r="Y4" s="1208">
        <v>8</v>
      </c>
      <c r="Z4" s="1209"/>
      <c r="AA4" s="1210"/>
      <c r="AB4" s="1208">
        <v>9</v>
      </c>
      <c r="AC4" s="1209"/>
      <c r="AD4" s="1210"/>
      <c r="AE4" s="1208">
        <v>10</v>
      </c>
      <c r="AF4" s="1209"/>
      <c r="AG4" s="1210"/>
      <c r="AH4" s="1208">
        <v>11</v>
      </c>
      <c r="AI4" s="1209"/>
      <c r="AJ4" s="1210"/>
      <c r="AK4" s="1208">
        <v>12</v>
      </c>
      <c r="AL4" s="1209"/>
      <c r="AM4" s="1210"/>
      <c r="AN4" s="1208">
        <v>13</v>
      </c>
      <c r="AO4" s="1209"/>
      <c r="AP4" s="1210"/>
      <c r="AQ4" s="1208">
        <v>14</v>
      </c>
      <c r="AR4" s="1209"/>
      <c r="AS4" s="1210"/>
      <c r="AT4" s="1208">
        <v>15</v>
      </c>
      <c r="AU4" s="1209"/>
      <c r="AV4" s="1210"/>
      <c r="AW4" s="1208">
        <v>16</v>
      </c>
      <c r="AX4" s="1209"/>
      <c r="AY4" s="1210"/>
      <c r="AZ4" s="1208" t="s">
        <v>789</v>
      </c>
      <c r="BA4" s="1210"/>
      <c r="BB4" s="201" t="s">
        <v>790</v>
      </c>
      <c r="BC4" s="139" t="s">
        <v>100</v>
      </c>
    </row>
    <row r="5" spans="1:55" ht="15.75" x14ac:dyDescent="0.25">
      <c r="A5" s="1163">
        <v>1</v>
      </c>
      <c r="B5" s="1213"/>
      <c r="C5" s="140" t="str">
        <f>IF(B5="","",VLOOKUP(B5,'Списки участников'!A:I,3,FALSE))</f>
        <v/>
      </c>
      <c r="D5" s="1215"/>
      <c r="E5" s="1215"/>
      <c r="F5" s="1216"/>
      <c r="G5" s="1219"/>
      <c r="H5" s="1220"/>
      <c r="I5" s="1221"/>
      <c r="J5" s="1219"/>
      <c r="K5" s="1220"/>
      <c r="L5" s="1221"/>
      <c r="M5" s="1219"/>
      <c r="N5" s="1220"/>
      <c r="O5" s="1221"/>
      <c r="P5" s="1219"/>
      <c r="Q5" s="1220"/>
      <c r="R5" s="1221"/>
      <c r="S5" s="1219"/>
      <c r="T5" s="1220"/>
      <c r="U5" s="1221"/>
      <c r="V5" s="1219"/>
      <c r="W5" s="1220"/>
      <c r="X5" s="1221"/>
      <c r="Y5" s="1219"/>
      <c r="Z5" s="1220"/>
      <c r="AA5" s="1221"/>
      <c r="AB5" s="1219"/>
      <c r="AC5" s="1220"/>
      <c r="AD5" s="1221"/>
      <c r="AE5" s="1219"/>
      <c r="AF5" s="1220"/>
      <c r="AG5" s="1221"/>
      <c r="AH5" s="1219"/>
      <c r="AI5" s="1220"/>
      <c r="AJ5" s="1221"/>
      <c r="AK5" s="1219"/>
      <c r="AL5" s="1220"/>
      <c r="AM5" s="1221"/>
      <c r="AN5" s="1219"/>
      <c r="AO5" s="1220"/>
      <c r="AP5" s="1221"/>
      <c r="AQ5" s="1219"/>
      <c r="AR5" s="1220"/>
      <c r="AS5" s="1221"/>
      <c r="AT5" s="1219"/>
      <c r="AU5" s="1220"/>
      <c r="AV5" s="1221"/>
      <c r="AW5" s="1219"/>
      <c r="AX5" s="1220"/>
      <c r="AY5" s="1221"/>
      <c r="AZ5" s="1222" t="str">
        <f>IF(B5="","",SUM(G5,J5,M5,P5,S5,V5,Y5,AB5,AE5,AH5,AK5,AN5,AQ5,AT5,AW5))</f>
        <v/>
      </c>
      <c r="BA5" s="1223"/>
      <c r="BB5" s="1226"/>
      <c r="BC5" s="1228" t="str">
        <f>IF(B5="","",RANK(AZ5,Ф3Оч)+32)</f>
        <v/>
      </c>
    </row>
    <row r="6" spans="1:55" ht="15.75" x14ac:dyDescent="0.25">
      <c r="A6" s="1164"/>
      <c r="B6" s="1214"/>
      <c r="C6" s="141" t="str">
        <f>IF(B5="","",VLOOKUP(B5,'Списки участников'!A:I,6,FALSE))</f>
        <v/>
      </c>
      <c r="D6" s="1217"/>
      <c r="E6" s="1217"/>
      <c r="F6" s="1218"/>
      <c r="G6" s="142"/>
      <c r="H6" s="143" t="str">
        <f>IF(G5="","",":")</f>
        <v/>
      </c>
      <c r="I6" s="144"/>
      <c r="J6" s="142"/>
      <c r="K6" s="143" t="str">
        <f>IF(J5="","",":")</f>
        <v/>
      </c>
      <c r="L6" s="144"/>
      <c r="M6" s="142"/>
      <c r="N6" s="143" t="str">
        <f>IF(M5="","",":")</f>
        <v/>
      </c>
      <c r="O6" s="144"/>
      <c r="P6" s="142"/>
      <c r="Q6" s="143" t="str">
        <f>IF(P5="","",":")</f>
        <v/>
      </c>
      <c r="R6" s="144"/>
      <c r="S6" s="142"/>
      <c r="T6" s="143" t="str">
        <f>IF(S5="","",":")</f>
        <v/>
      </c>
      <c r="U6" s="144"/>
      <c r="V6" s="142"/>
      <c r="W6" s="143" t="str">
        <f>IF(V5="","",":")</f>
        <v/>
      </c>
      <c r="X6" s="144"/>
      <c r="Y6" s="142"/>
      <c r="Z6" s="143" t="str">
        <f>IF(Y5="","",":")</f>
        <v/>
      </c>
      <c r="AA6" s="144"/>
      <c r="AB6" s="142"/>
      <c r="AC6" s="143" t="str">
        <f>IF(AB5="","",":")</f>
        <v/>
      </c>
      <c r="AD6" s="144"/>
      <c r="AE6" s="142"/>
      <c r="AF6" s="143" t="str">
        <f>IF(AE5="","",":")</f>
        <v/>
      </c>
      <c r="AG6" s="144"/>
      <c r="AH6" s="142"/>
      <c r="AI6" s="143" t="str">
        <f>IF(AH5="","",":")</f>
        <v/>
      </c>
      <c r="AJ6" s="144"/>
      <c r="AK6" s="142"/>
      <c r="AL6" s="143" t="str">
        <f>IF(AK5="","",":")</f>
        <v/>
      </c>
      <c r="AM6" s="144"/>
      <c r="AN6" s="142"/>
      <c r="AO6" s="143" t="str">
        <f>IF(AN5="","",":")</f>
        <v/>
      </c>
      <c r="AP6" s="144"/>
      <c r="AQ6" s="142"/>
      <c r="AR6" s="143" t="str">
        <f>IF(AQ5="","",":")</f>
        <v/>
      </c>
      <c r="AS6" s="144"/>
      <c r="AT6" s="142"/>
      <c r="AU6" s="143" t="str">
        <f>IF(AT5="","",":")</f>
        <v/>
      </c>
      <c r="AV6" s="144"/>
      <c r="AW6" s="142"/>
      <c r="AX6" s="143" t="str">
        <f>IF(AW5="","",":")</f>
        <v/>
      </c>
      <c r="AY6" s="144"/>
      <c r="AZ6" s="1224"/>
      <c r="BA6" s="1225"/>
      <c r="BB6" s="1227"/>
      <c r="BC6" s="1228"/>
    </row>
    <row r="7" spans="1:55" ht="15.75" customHeight="1" x14ac:dyDescent="0.25">
      <c r="A7" s="1163">
        <v>2</v>
      </c>
      <c r="B7" s="1229"/>
      <c r="C7" s="140" t="str">
        <f>IF(B7="","",VLOOKUP(B7,'Списки участников'!A:I,3,FALSE))</f>
        <v/>
      </c>
      <c r="D7" s="1231" t="str">
        <f>IF(G5="","",IF(G6="W",0,IF(G5=2,1,IF(G5=1,2,IF(G5=0,2)))))</f>
        <v/>
      </c>
      <c r="E7" s="1232"/>
      <c r="F7" s="1233"/>
      <c r="G7" s="1234"/>
      <c r="H7" s="1235"/>
      <c r="I7" s="1236"/>
      <c r="J7" s="1219"/>
      <c r="K7" s="1220"/>
      <c r="L7" s="1221"/>
      <c r="M7" s="1219"/>
      <c r="N7" s="1220"/>
      <c r="O7" s="1221"/>
      <c r="P7" s="1219"/>
      <c r="Q7" s="1220"/>
      <c r="R7" s="1221"/>
      <c r="S7" s="1219"/>
      <c r="T7" s="1220"/>
      <c r="U7" s="1221"/>
      <c r="V7" s="1219"/>
      <c r="W7" s="1220"/>
      <c r="X7" s="1221"/>
      <c r="Y7" s="1219"/>
      <c r="Z7" s="1220"/>
      <c r="AA7" s="1221"/>
      <c r="AB7" s="1219"/>
      <c r="AC7" s="1220"/>
      <c r="AD7" s="1221"/>
      <c r="AE7" s="1219"/>
      <c r="AF7" s="1220"/>
      <c r="AG7" s="1221"/>
      <c r="AH7" s="1219"/>
      <c r="AI7" s="1220"/>
      <c r="AJ7" s="1221"/>
      <c r="AK7" s="1219"/>
      <c r="AL7" s="1220"/>
      <c r="AM7" s="1221"/>
      <c r="AN7" s="1219"/>
      <c r="AO7" s="1220"/>
      <c r="AP7" s="1221"/>
      <c r="AQ7" s="1219"/>
      <c r="AR7" s="1220"/>
      <c r="AS7" s="1221"/>
      <c r="AT7" s="1219"/>
      <c r="AU7" s="1220"/>
      <c r="AV7" s="1221"/>
      <c r="AW7" s="1219"/>
      <c r="AX7" s="1220"/>
      <c r="AY7" s="1221"/>
      <c r="AZ7" s="1222" t="str">
        <f t="shared" ref="AZ7" si="0">IF(B7="","",SUM(G7,J7,M7,P7,S7,V7,Y7,AB7,AE7,AH7,AK7,AN7,AQ7,AT7,AW7))</f>
        <v/>
      </c>
      <c r="BA7" s="1223"/>
      <c r="BB7" s="1226"/>
      <c r="BC7" s="1228" t="str">
        <f>IF(B7="","",RANK(AZ7,Ф3Оч)+32)</f>
        <v/>
      </c>
    </row>
    <row r="8" spans="1:55" ht="15.75" customHeight="1" x14ac:dyDescent="0.25">
      <c r="A8" s="1164"/>
      <c r="B8" s="1230"/>
      <c r="C8" s="141" t="str">
        <f>IF(B7="","",VLOOKUP(B7,'Списки участников'!A:I,6,FALSE))</f>
        <v/>
      </c>
      <c r="D8" s="145" t="str">
        <f>IF(G6="","",IF(I6="l","W",I6))</f>
        <v/>
      </c>
      <c r="E8" s="146" t="str">
        <f>IF(G5="","",":")</f>
        <v/>
      </c>
      <c r="F8" s="147" t="str">
        <f>IF(I6="","",IF(G6="W","L",G6))</f>
        <v/>
      </c>
      <c r="G8" s="1237"/>
      <c r="H8" s="1217"/>
      <c r="I8" s="1218"/>
      <c r="J8" s="142"/>
      <c r="K8" s="143" t="str">
        <f>IF(J7="","",":")</f>
        <v/>
      </c>
      <c r="L8" s="144"/>
      <c r="M8" s="142"/>
      <c r="N8" s="143" t="str">
        <f>IF(M7="","",":")</f>
        <v/>
      </c>
      <c r="O8" s="144"/>
      <c r="P8" s="142"/>
      <c r="Q8" s="143" t="str">
        <f>IF(P7="","",":")</f>
        <v/>
      </c>
      <c r="R8" s="144"/>
      <c r="S8" s="142"/>
      <c r="T8" s="143" t="str">
        <f>IF(S7="","",":")</f>
        <v/>
      </c>
      <c r="U8" s="144"/>
      <c r="V8" s="142"/>
      <c r="W8" s="143" t="str">
        <f>IF(V7="","",":")</f>
        <v/>
      </c>
      <c r="X8" s="144"/>
      <c r="Y8" s="142"/>
      <c r="Z8" s="143" t="str">
        <f>IF(Y7="","",":")</f>
        <v/>
      </c>
      <c r="AA8" s="144"/>
      <c r="AB8" s="142"/>
      <c r="AC8" s="143" t="str">
        <f>IF(AB7="","",":")</f>
        <v/>
      </c>
      <c r="AD8" s="144"/>
      <c r="AE8" s="142"/>
      <c r="AF8" s="143" t="str">
        <f>IF(AE7="","",":")</f>
        <v/>
      </c>
      <c r="AG8" s="144"/>
      <c r="AH8" s="142"/>
      <c r="AI8" s="143" t="str">
        <f>IF(AH7="","",":")</f>
        <v/>
      </c>
      <c r="AJ8" s="144"/>
      <c r="AK8" s="142"/>
      <c r="AL8" s="143" t="str">
        <f>IF(AK7="","",":")</f>
        <v/>
      </c>
      <c r="AM8" s="144"/>
      <c r="AN8" s="142"/>
      <c r="AO8" s="143" t="str">
        <f>IF(AN7="","",":")</f>
        <v/>
      </c>
      <c r="AP8" s="144"/>
      <c r="AQ8" s="142"/>
      <c r="AR8" s="143" t="str">
        <f>IF(AQ7="","",":")</f>
        <v/>
      </c>
      <c r="AS8" s="144"/>
      <c r="AT8" s="142"/>
      <c r="AU8" s="143" t="str">
        <f>IF(AT7="","",":")</f>
        <v/>
      </c>
      <c r="AV8" s="144"/>
      <c r="AW8" s="142"/>
      <c r="AX8" s="143" t="str">
        <f>IF(AW7="","",":")</f>
        <v/>
      </c>
      <c r="AY8" s="144"/>
      <c r="AZ8" s="1224"/>
      <c r="BA8" s="1225"/>
      <c r="BB8" s="1227"/>
      <c r="BC8" s="1228"/>
    </row>
    <row r="9" spans="1:55" ht="15.75" customHeight="1" x14ac:dyDescent="0.25">
      <c r="A9" s="1163">
        <v>3</v>
      </c>
      <c r="B9" s="1229"/>
      <c r="C9" s="140" t="str">
        <f>IF(B9="","",VLOOKUP(B9,'Списки участников'!A:I,3,FALSE))</f>
        <v/>
      </c>
      <c r="D9" s="1231" t="str">
        <f>IF(J5="","",IF(J6="W",0,IF(J5=2,1,IF(J5=1,2,IF(J5=0,2)))))</f>
        <v/>
      </c>
      <c r="E9" s="1232"/>
      <c r="F9" s="1233"/>
      <c r="G9" s="1219" t="str">
        <f>IF(J7="","",IF(J8="W",0,IF(J7=2,1,IF(J7=1,2,IF(J7=0,2)))))</f>
        <v/>
      </c>
      <c r="H9" s="1220"/>
      <c r="I9" s="1221"/>
      <c r="J9" s="1234"/>
      <c r="K9" s="1235"/>
      <c r="L9" s="1236"/>
      <c r="M9" s="1219"/>
      <c r="N9" s="1220"/>
      <c r="O9" s="1221"/>
      <c r="P9" s="1219"/>
      <c r="Q9" s="1220"/>
      <c r="R9" s="1221"/>
      <c r="S9" s="1219"/>
      <c r="T9" s="1220"/>
      <c r="U9" s="1221"/>
      <c r="V9" s="1219"/>
      <c r="W9" s="1220"/>
      <c r="X9" s="1221"/>
      <c r="Y9" s="1219"/>
      <c r="Z9" s="1220"/>
      <c r="AA9" s="1221"/>
      <c r="AB9" s="1219"/>
      <c r="AC9" s="1220"/>
      <c r="AD9" s="1221"/>
      <c r="AE9" s="1219"/>
      <c r="AF9" s="1220"/>
      <c r="AG9" s="1221"/>
      <c r="AH9" s="1219"/>
      <c r="AI9" s="1220"/>
      <c r="AJ9" s="1221"/>
      <c r="AK9" s="1219"/>
      <c r="AL9" s="1220"/>
      <c r="AM9" s="1221"/>
      <c r="AN9" s="1219"/>
      <c r="AO9" s="1220"/>
      <c r="AP9" s="1221"/>
      <c r="AQ9" s="1219"/>
      <c r="AR9" s="1220"/>
      <c r="AS9" s="1221"/>
      <c r="AT9" s="1219"/>
      <c r="AU9" s="1220"/>
      <c r="AV9" s="1221"/>
      <c r="AW9" s="1219"/>
      <c r="AX9" s="1220"/>
      <c r="AY9" s="1221"/>
      <c r="AZ9" s="1222" t="str">
        <f t="shared" ref="AZ9" si="1">IF(B9="","",SUM(G9,J9,M9,P9,S9,V9,Y9,AB9,AE9,AH9,AK9,AN9,AQ9,AT9,AW9))</f>
        <v/>
      </c>
      <c r="BA9" s="1223"/>
      <c r="BB9" s="1226"/>
      <c r="BC9" s="1228" t="str">
        <f>IF(B9="","",RANK(AZ9,Ф3Оч)+32)</f>
        <v/>
      </c>
    </row>
    <row r="10" spans="1:55" ht="15.75" customHeight="1" x14ac:dyDescent="0.25">
      <c r="A10" s="1164"/>
      <c r="B10" s="1230"/>
      <c r="C10" s="141" t="str">
        <f>IF(B9="","",VLOOKUP(B9,'Списки участников'!A:I,6,FALSE))</f>
        <v/>
      </c>
      <c r="D10" s="148" t="str">
        <f>IF(J6="","",IF(L6="l","W",L6))</f>
        <v/>
      </c>
      <c r="E10" s="143" t="str">
        <f>IF(K6="","",":")</f>
        <v/>
      </c>
      <c r="F10" s="149" t="str">
        <f>IF(L6="","",IF(J6="W","L",J6))</f>
        <v/>
      </c>
      <c r="G10" s="148" t="str">
        <f>IF(J8="","",IF(L8="l","W",L8))</f>
        <v/>
      </c>
      <c r="H10" s="143" t="str">
        <f>IF(K8="","",":")</f>
        <v/>
      </c>
      <c r="I10" s="149" t="str">
        <f>IF(L8="","",IF(J8="W","L",J8))</f>
        <v/>
      </c>
      <c r="J10" s="1237"/>
      <c r="K10" s="1217"/>
      <c r="L10" s="1218"/>
      <c r="M10" s="142"/>
      <c r="N10" s="143" t="str">
        <f>IF(M9="","",":")</f>
        <v/>
      </c>
      <c r="O10" s="144"/>
      <c r="P10" s="142"/>
      <c r="Q10" s="143" t="str">
        <f>IF(P9="","",":")</f>
        <v/>
      </c>
      <c r="R10" s="144"/>
      <c r="S10" s="142"/>
      <c r="T10" s="143" t="str">
        <f>IF(S9="","",":")</f>
        <v/>
      </c>
      <c r="U10" s="144"/>
      <c r="V10" s="142"/>
      <c r="W10" s="143" t="str">
        <f>IF(V9="","",":")</f>
        <v/>
      </c>
      <c r="X10" s="144"/>
      <c r="Y10" s="142"/>
      <c r="Z10" s="143" t="str">
        <f>IF(Y9="","",":")</f>
        <v/>
      </c>
      <c r="AA10" s="144"/>
      <c r="AB10" s="142"/>
      <c r="AC10" s="143" t="str">
        <f>IF(AB9="","",":")</f>
        <v/>
      </c>
      <c r="AD10" s="144"/>
      <c r="AE10" s="142"/>
      <c r="AF10" s="143" t="str">
        <f>IF(AE9="","",":")</f>
        <v/>
      </c>
      <c r="AG10" s="144"/>
      <c r="AH10" s="142"/>
      <c r="AI10" s="143" t="str">
        <f>IF(AH9="","",":")</f>
        <v/>
      </c>
      <c r="AJ10" s="144"/>
      <c r="AK10" s="142"/>
      <c r="AL10" s="143" t="str">
        <f>IF(AK9="","",":")</f>
        <v/>
      </c>
      <c r="AM10" s="144"/>
      <c r="AN10" s="142"/>
      <c r="AO10" s="143" t="str">
        <f>IF(AN9="","",":")</f>
        <v/>
      </c>
      <c r="AP10" s="144"/>
      <c r="AQ10" s="142"/>
      <c r="AR10" s="143" t="str">
        <f>IF(AQ9="","",":")</f>
        <v/>
      </c>
      <c r="AS10" s="144"/>
      <c r="AT10" s="142"/>
      <c r="AU10" s="143" t="str">
        <f>IF(AT9="","",":")</f>
        <v/>
      </c>
      <c r="AV10" s="144"/>
      <c r="AW10" s="142"/>
      <c r="AX10" s="143" t="str">
        <f>IF(AW9="","",":")</f>
        <v/>
      </c>
      <c r="AY10" s="144"/>
      <c r="AZ10" s="1224"/>
      <c r="BA10" s="1225"/>
      <c r="BB10" s="1227"/>
      <c r="BC10" s="1228"/>
    </row>
    <row r="11" spans="1:55" ht="15.75" customHeight="1" x14ac:dyDescent="0.25">
      <c r="A11" s="1163">
        <v>4</v>
      </c>
      <c r="B11" s="1229"/>
      <c r="C11" s="140" t="str">
        <f>IF(B11="","",VLOOKUP(B11,'Списки участников'!A:I,3,FALSE))</f>
        <v/>
      </c>
      <c r="D11" s="1219" t="str">
        <f>IF(M5="","",IF(M6="W",0,IF(M5=2,1,IF(M5=1,2,IF(M5=0,2)))))</f>
        <v/>
      </c>
      <c r="E11" s="1220"/>
      <c r="F11" s="1221"/>
      <c r="G11" s="1219" t="str">
        <f>IF(M7="","",IF(M8="W",0,IF(M7=2,1,IF(M7=1,2,IF(M7=0,2)))))</f>
        <v/>
      </c>
      <c r="H11" s="1220"/>
      <c r="I11" s="1221"/>
      <c r="J11" s="1219" t="str">
        <f>IF(M9="","",IF(M10="W",0,IF(M9=2,1,IF(M9=1,2,IF(M9=0,2)))))</f>
        <v/>
      </c>
      <c r="K11" s="1220"/>
      <c r="L11" s="1221"/>
      <c r="M11" s="1235"/>
      <c r="N11" s="1235"/>
      <c r="O11" s="1235"/>
      <c r="P11" s="1219"/>
      <c r="Q11" s="1220"/>
      <c r="R11" s="1221"/>
      <c r="S11" s="1219"/>
      <c r="T11" s="1220"/>
      <c r="U11" s="1221"/>
      <c r="V11" s="1219"/>
      <c r="W11" s="1220"/>
      <c r="X11" s="1221"/>
      <c r="Y11" s="1219"/>
      <c r="Z11" s="1220"/>
      <c r="AA11" s="1221"/>
      <c r="AB11" s="1219"/>
      <c r="AC11" s="1220"/>
      <c r="AD11" s="1221"/>
      <c r="AE11" s="1219"/>
      <c r="AF11" s="1220"/>
      <c r="AG11" s="1221"/>
      <c r="AH11" s="1219"/>
      <c r="AI11" s="1220"/>
      <c r="AJ11" s="1221"/>
      <c r="AK11" s="1219"/>
      <c r="AL11" s="1220"/>
      <c r="AM11" s="1221"/>
      <c r="AN11" s="1219"/>
      <c r="AO11" s="1220"/>
      <c r="AP11" s="1221"/>
      <c r="AQ11" s="1219"/>
      <c r="AR11" s="1220"/>
      <c r="AS11" s="1221"/>
      <c r="AT11" s="1219"/>
      <c r="AU11" s="1220"/>
      <c r="AV11" s="1221"/>
      <c r="AW11" s="1219"/>
      <c r="AX11" s="1220"/>
      <c r="AY11" s="1221"/>
      <c r="AZ11" s="1222" t="str">
        <f t="shared" ref="AZ11" si="2">IF(B11="","",SUM(G11,J11,M11,P11,S11,V11,Y11,AB11,AE11,AH11,AK11,AN11,AQ11,AT11,AW11))</f>
        <v/>
      </c>
      <c r="BA11" s="1223"/>
      <c r="BB11" s="1226"/>
      <c r="BC11" s="1228" t="str">
        <f>IF(B11="","",RANK(AZ11,Ф3Оч)+32)</f>
        <v/>
      </c>
    </row>
    <row r="12" spans="1:55" ht="15.75" customHeight="1" x14ac:dyDescent="0.25">
      <c r="A12" s="1164"/>
      <c r="B12" s="1230"/>
      <c r="C12" s="141" t="str">
        <f>IF(B11="","",VLOOKUP(B11,'Списки участников'!A:I,6,FALSE))</f>
        <v/>
      </c>
      <c r="D12" s="148" t="str">
        <f>IF(M6="","",IF(O6="l","W",O6))</f>
        <v/>
      </c>
      <c r="E12" s="143" t="str">
        <f>IF(N6="","",":")</f>
        <v/>
      </c>
      <c r="F12" s="149" t="str">
        <f>IF(O6="","",IF(M6="W","L",M6))</f>
        <v/>
      </c>
      <c r="G12" s="148" t="str">
        <f>IF(M8="","",IF(O8="l","W",O8))</f>
        <v/>
      </c>
      <c r="H12" s="143" t="str">
        <f>IF(N8="","",":")</f>
        <v/>
      </c>
      <c r="I12" s="149" t="str">
        <f>IF(O8="","",IF(M8="W","L",M8))</f>
        <v/>
      </c>
      <c r="J12" s="148" t="str">
        <f>IF(M10="","",IF(O10="l","W",O10))</f>
        <v/>
      </c>
      <c r="K12" s="143" t="str">
        <f>IF(N10="","",":")</f>
        <v/>
      </c>
      <c r="L12" s="149" t="str">
        <f>IF(O10="","",IF(M10="W","L",M10))</f>
        <v/>
      </c>
      <c r="M12" s="1238"/>
      <c r="N12" s="1238"/>
      <c r="O12" s="1238"/>
      <c r="P12" s="142"/>
      <c r="Q12" s="143" t="str">
        <f>IF(P11="","",":")</f>
        <v/>
      </c>
      <c r="R12" s="144"/>
      <c r="S12" s="142"/>
      <c r="T12" s="143" t="str">
        <f>IF(S11="","",":")</f>
        <v/>
      </c>
      <c r="U12" s="144"/>
      <c r="V12" s="142"/>
      <c r="W12" s="143" t="str">
        <f>IF(V11="","",":")</f>
        <v/>
      </c>
      <c r="X12" s="144"/>
      <c r="Y12" s="142"/>
      <c r="Z12" s="143" t="str">
        <f>IF(Y11="","",":")</f>
        <v/>
      </c>
      <c r="AA12" s="144"/>
      <c r="AB12" s="142"/>
      <c r="AC12" s="143" t="str">
        <f>IF(AB11="","",":")</f>
        <v/>
      </c>
      <c r="AD12" s="144"/>
      <c r="AE12" s="142"/>
      <c r="AF12" s="143" t="str">
        <f>IF(AE11="","",":")</f>
        <v/>
      </c>
      <c r="AG12" s="144"/>
      <c r="AH12" s="142"/>
      <c r="AI12" s="143" t="str">
        <f>IF(AH11="","",":")</f>
        <v/>
      </c>
      <c r="AJ12" s="144"/>
      <c r="AK12" s="142"/>
      <c r="AL12" s="143" t="str">
        <f>IF(AK11="","",":")</f>
        <v/>
      </c>
      <c r="AM12" s="144"/>
      <c r="AN12" s="142"/>
      <c r="AO12" s="143" t="str">
        <f>IF(AN11="","",":")</f>
        <v/>
      </c>
      <c r="AP12" s="144"/>
      <c r="AQ12" s="142"/>
      <c r="AR12" s="143" t="str">
        <f>IF(AQ11="","",":")</f>
        <v/>
      </c>
      <c r="AS12" s="144"/>
      <c r="AT12" s="142"/>
      <c r="AU12" s="143" t="str">
        <f>IF(AT11="","",":")</f>
        <v/>
      </c>
      <c r="AV12" s="144"/>
      <c r="AW12" s="142"/>
      <c r="AX12" s="143" t="str">
        <f>IF(AW11="","",":")</f>
        <v/>
      </c>
      <c r="AY12" s="144"/>
      <c r="AZ12" s="1224"/>
      <c r="BA12" s="1225"/>
      <c r="BB12" s="1227"/>
      <c r="BC12" s="1228"/>
    </row>
    <row r="13" spans="1:55" ht="15.75" customHeight="1" x14ac:dyDescent="0.25">
      <c r="A13" s="1163">
        <v>5</v>
      </c>
      <c r="B13" s="1229"/>
      <c r="C13" s="140" t="str">
        <f>IF(B13="","",VLOOKUP(B13,'Списки участников'!A:I,3,FALSE))</f>
        <v/>
      </c>
      <c r="D13" s="1219" t="str">
        <f>IF(P5="","",IF(P6="W",0,IF(P5=2,1,IF(P5=1,2,IF(P5=0,2)))))</f>
        <v/>
      </c>
      <c r="E13" s="1220"/>
      <c r="F13" s="1221"/>
      <c r="G13" s="1219" t="str">
        <f>IF(P7="","",IF(P8="W",0,IF(P7=2,1,IF(P7=1,2,IF(P7=0,2)))))</f>
        <v/>
      </c>
      <c r="H13" s="1220"/>
      <c r="I13" s="1221"/>
      <c r="J13" s="1219" t="str">
        <f>IF(P9="","",IF(P10="W",0,IF(P9=2,1,IF(P9=1,2,IF(P9=0,2)))))</f>
        <v/>
      </c>
      <c r="K13" s="1220"/>
      <c r="L13" s="1221"/>
      <c r="M13" s="1219" t="str">
        <f>IF(P11="","",IF(P12="W",0,IF(P11=2,1,IF(P11=1,2,IF(P11=0,2)))))</f>
        <v/>
      </c>
      <c r="N13" s="1220"/>
      <c r="O13" s="1221"/>
      <c r="P13" s="1234"/>
      <c r="Q13" s="1235"/>
      <c r="R13" s="1236"/>
      <c r="S13" s="1219"/>
      <c r="T13" s="1220"/>
      <c r="U13" s="1221"/>
      <c r="V13" s="1219"/>
      <c r="W13" s="1220"/>
      <c r="X13" s="1221"/>
      <c r="Y13" s="1219"/>
      <c r="Z13" s="1220"/>
      <c r="AA13" s="1221"/>
      <c r="AB13" s="1219"/>
      <c r="AC13" s="1220"/>
      <c r="AD13" s="1221"/>
      <c r="AE13" s="1219"/>
      <c r="AF13" s="1220"/>
      <c r="AG13" s="1221"/>
      <c r="AH13" s="1219"/>
      <c r="AI13" s="1220"/>
      <c r="AJ13" s="1221"/>
      <c r="AK13" s="1219"/>
      <c r="AL13" s="1220"/>
      <c r="AM13" s="1221"/>
      <c r="AN13" s="1219"/>
      <c r="AO13" s="1220"/>
      <c r="AP13" s="1221"/>
      <c r="AQ13" s="1219"/>
      <c r="AR13" s="1220"/>
      <c r="AS13" s="1221"/>
      <c r="AT13" s="1219"/>
      <c r="AU13" s="1220"/>
      <c r="AV13" s="1221"/>
      <c r="AW13" s="1219"/>
      <c r="AX13" s="1220"/>
      <c r="AY13" s="1221"/>
      <c r="AZ13" s="1222" t="str">
        <f t="shared" ref="AZ13" si="3">IF(B13="","",SUM(G13,J13,M13,P13,S13,V13,Y13,AB13,AE13,AH13,AK13,AN13,AQ13,AT13,AW13))</f>
        <v/>
      </c>
      <c r="BA13" s="1223"/>
      <c r="BB13" s="1226"/>
      <c r="BC13" s="1228" t="str">
        <f>IF(B13="","",RANK(AZ13,Ф3Оч)+32)</f>
        <v/>
      </c>
    </row>
    <row r="14" spans="1:55" ht="15.75" customHeight="1" x14ac:dyDescent="0.25">
      <c r="A14" s="1164"/>
      <c r="B14" s="1230"/>
      <c r="C14" s="141" t="str">
        <f>IF(B13="","",VLOOKUP(B13,'Списки участников'!A:I,6,FALSE))</f>
        <v/>
      </c>
      <c r="D14" s="148" t="str">
        <f>IF(P6="","",IF(R6="l","W",R6))</f>
        <v/>
      </c>
      <c r="E14" s="143" t="str">
        <f>IF(Q6="","",":")</f>
        <v/>
      </c>
      <c r="F14" s="149" t="str">
        <f>IF(R6="","",IF(P6="W","L",P6))</f>
        <v/>
      </c>
      <c r="G14" s="148" t="str">
        <f>IF(P8="","",IF(R8="l","W",R8))</f>
        <v/>
      </c>
      <c r="H14" s="143" t="str">
        <f>IF(Q8="","",":")</f>
        <v/>
      </c>
      <c r="I14" s="149" t="str">
        <f>IF(R8="","",IF(P8="W","L",P8))</f>
        <v/>
      </c>
      <c r="J14" s="148" t="str">
        <f>IF(P10="","",IF(R10="l","W",R10))</f>
        <v/>
      </c>
      <c r="K14" s="143" t="str">
        <f>IF(Q10="","",":")</f>
        <v/>
      </c>
      <c r="L14" s="149" t="str">
        <f>IF(R10="","",IF(P10="W","L",P10))</f>
        <v/>
      </c>
      <c r="M14" s="148" t="str">
        <f>IF(P12="","",IF(R12="l","W",R12))</f>
        <v/>
      </c>
      <c r="N14" s="143" t="str">
        <f>IF(Q12="","",":")</f>
        <v/>
      </c>
      <c r="O14" s="149" t="str">
        <f>IF(R12="","",IF(P12="W","L",P12))</f>
        <v/>
      </c>
      <c r="P14" s="1237"/>
      <c r="Q14" s="1217"/>
      <c r="R14" s="1218"/>
      <c r="S14" s="142"/>
      <c r="T14" s="143" t="str">
        <f>IF(S13="","",":")</f>
        <v/>
      </c>
      <c r="U14" s="144"/>
      <c r="V14" s="142"/>
      <c r="W14" s="143" t="str">
        <f>IF(V13="","",":")</f>
        <v/>
      </c>
      <c r="X14" s="144"/>
      <c r="Y14" s="142"/>
      <c r="Z14" s="143" t="str">
        <f>IF(Y13="","",":")</f>
        <v/>
      </c>
      <c r="AA14" s="144"/>
      <c r="AB14" s="142"/>
      <c r="AC14" s="143" t="str">
        <f>IF(AB13="","",":")</f>
        <v/>
      </c>
      <c r="AD14" s="144"/>
      <c r="AE14" s="142"/>
      <c r="AF14" s="143" t="str">
        <f>IF(AE13="","",":")</f>
        <v/>
      </c>
      <c r="AG14" s="144"/>
      <c r="AH14" s="142"/>
      <c r="AI14" s="143" t="str">
        <f>IF(AH13="","",":")</f>
        <v/>
      </c>
      <c r="AJ14" s="144"/>
      <c r="AK14" s="142"/>
      <c r="AL14" s="143" t="str">
        <f>IF(AK13="","",":")</f>
        <v/>
      </c>
      <c r="AM14" s="144"/>
      <c r="AN14" s="142"/>
      <c r="AO14" s="143" t="str">
        <f>IF(AN13="","",":")</f>
        <v/>
      </c>
      <c r="AP14" s="144"/>
      <c r="AQ14" s="142"/>
      <c r="AR14" s="143" t="str">
        <f>IF(AQ13="","",":")</f>
        <v/>
      </c>
      <c r="AS14" s="144"/>
      <c r="AT14" s="142"/>
      <c r="AU14" s="143" t="str">
        <f>IF(AT13="","",":")</f>
        <v/>
      </c>
      <c r="AV14" s="144"/>
      <c r="AW14" s="142"/>
      <c r="AX14" s="143" t="str">
        <f>IF(AW13="","",":")</f>
        <v/>
      </c>
      <c r="AY14" s="144"/>
      <c r="AZ14" s="1224"/>
      <c r="BA14" s="1225"/>
      <c r="BB14" s="1227"/>
      <c r="BC14" s="1228"/>
    </row>
    <row r="15" spans="1:55" ht="15.75" customHeight="1" x14ac:dyDescent="0.25">
      <c r="A15" s="1163">
        <v>6</v>
      </c>
      <c r="B15" s="1229"/>
      <c r="C15" s="140" t="str">
        <f>IF(B15="","",VLOOKUP(B15,'Списки участников'!A:I,3,FALSE))</f>
        <v/>
      </c>
      <c r="D15" s="1219" t="str">
        <f>IF(S5="","",IF(S6="W",0,IF(S5=2,1,IF(S5=1,2,IF(S5=0,2)))))</f>
        <v/>
      </c>
      <c r="E15" s="1220"/>
      <c r="F15" s="1221"/>
      <c r="G15" s="1219" t="str">
        <f>IF(S7="","",IF(S8="W",0,IF(S7=2,1,IF(S7=1,2,IF(S7=0,2)))))</f>
        <v/>
      </c>
      <c r="H15" s="1220"/>
      <c r="I15" s="1221"/>
      <c r="J15" s="1219" t="str">
        <f>IF(S9="","",IF(S10="W",0,IF(S9=2,1,IF(S9=1,2,IF(S9=0,2)))))</f>
        <v/>
      </c>
      <c r="K15" s="1220"/>
      <c r="L15" s="1221"/>
      <c r="M15" s="1219" t="str">
        <f>IF(S11="","",IF(S12="W",0,IF(S11=2,1,IF(S11=1,2,IF(S11=0,2)))))</f>
        <v/>
      </c>
      <c r="N15" s="1220"/>
      <c r="O15" s="1221"/>
      <c r="P15" s="1219" t="str">
        <f>IF(S13="","",IF(S14="W",0,IF(S13=2,1,IF(S13=1,2,IF(S13=0,2)))))</f>
        <v/>
      </c>
      <c r="Q15" s="1220"/>
      <c r="R15" s="1221"/>
      <c r="S15" s="1234"/>
      <c r="T15" s="1235"/>
      <c r="U15" s="1236"/>
      <c r="V15" s="1219"/>
      <c r="W15" s="1220"/>
      <c r="X15" s="1221"/>
      <c r="Y15" s="1219"/>
      <c r="Z15" s="1220"/>
      <c r="AA15" s="1221"/>
      <c r="AB15" s="1219"/>
      <c r="AC15" s="1220"/>
      <c r="AD15" s="1221"/>
      <c r="AE15" s="1219"/>
      <c r="AF15" s="1220"/>
      <c r="AG15" s="1221"/>
      <c r="AH15" s="1219"/>
      <c r="AI15" s="1220"/>
      <c r="AJ15" s="1221"/>
      <c r="AK15" s="1219"/>
      <c r="AL15" s="1220"/>
      <c r="AM15" s="1221"/>
      <c r="AN15" s="1219"/>
      <c r="AO15" s="1220"/>
      <c r="AP15" s="1221"/>
      <c r="AQ15" s="1219"/>
      <c r="AR15" s="1220"/>
      <c r="AS15" s="1221"/>
      <c r="AT15" s="1219"/>
      <c r="AU15" s="1220"/>
      <c r="AV15" s="1221"/>
      <c r="AW15" s="1219"/>
      <c r="AX15" s="1220"/>
      <c r="AY15" s="1221"/>
      <c r="AZ15" s="1222" t="str">
        <f t="shared" ref="AZ15" si="4">IF(B15="","",SUM(G15,J15,M15,P15,S15,V15,Y15,AB15,AE15,AH15,AK15,AN15,AQ15,AT15,AW15))</f>
        <v/>
      </c>
      <c r="BA15" s="1223"/>
      <c r="BB15" s="1226"/>
      <c r="BC15" s="1228" t="str">
        <f>IF(B15="","",RANK(AZ15,Ф3Оч)+32)</f>
        <v/>
      </c>
    </row>
    <row r="16" spans="1:55" ht="15.75" customHeight="1" x14ac:dyDescent="0.25">
      <c r="A16" s="1164"/>
      <c r="B16" s="1230"/>
      <c r="C16" s="141" t="str">
        <f>IF(B15="","",VLOOKUP(B15,'Списки участников'!A:I,6,FALSE))</f>
        <v/>
      </c>
      <c r="D16" s="148" t="str">
        <f>IF(S6="","",IF(U6="l","W",U6))</f>
        <v/>
      </c>
      <c r="E16" s="143" t="str">
        <f>IF(T6="","",":")</f>
        <v/>
      </c>
      <c r="F16" s="149" t="str">
        <f>IF(U6="","",IF(S6="W","L",S6))</f>
        <v/>
      </c>
      <c r="G16" s="148" t="str">
        <f>IF(S8="","",IF(U8="l","W",U8))</f>
        <v/>
      </c>
      <c r="H16" s="143" t="str">
        <f>IF(T8="","",":")</f>
        <v/>
      </c>
      <c r="I16" s="149" t="str">
        <f>IF(U8="","",IF(S8="W","L",S8))</f>
        <v/>
      </c>
      <c r="J16" s="148" t="str">
        <f>IF(S10="","",IF(U10="l","W",U10))</f>
        <v/>
      </c>
      <c r="K16" s="143" t="str">
        <f>IF(T10="","",":")</f>
        <v/>
      </c>
      <c r="L16" s="149" t="str">
        <f>IF(U10="","",IF(S10="W","L",S10))</f>
        <v/>
      </c>
      <c r="M16" s="148" t="str">
        <f>IF(S12="","",IF(U12="l","W",U12))</f>
        <v/>
      </c>
      <c r="N16" s="143" t="str">
        <f>IF(T12="","",":")</f>
        <v/>
      </c>
      <c r="O16" s="149" t="str">
        <f>IF(U12="","",IF(S12="W","L",S12))</f>
        <v/>
      </c>
      <c r="P16" s="148" t="str">
        <f>IF(S14="","",IF(U14="l","W",U14))</f>
        <v/>
      </c>
      <c r="Q16" s="143" t="str">
        <f>IF(T14="","",":")</f>
        <v/>
      </c>
      <c r="R16" s="149" t="str">
        <f>IF(U14="","",IF(S14="W","L",S14))</f>
        <v/>
      </c>
      <c r="S16" s="1237"/>
      <c r="T16" s="1217"/>
      <c r="U16" s="1218"/>
      <c r="V16" s="142"/>
      <c r="W16" s="143" t="str">
        <f>IF(V15="","",":")</f>
        <v/>
      </c>
      <c r="X16" s="144"/>
      <c r="Y16" s="142"/>
      <c r="Z16" s="143" t="str">
        <f>IF(Y15="","",":")</f>
        <v/>
      </c>
      <c r="AA16" s="144"/>
      <c r="AB16" s="142"/>
      <c r="AC16" s="143" t="str">
        <f>IF(AB15="","",":")</f>
        <v/>
      </c>
      <c r="AD16" s="144"/>
      <c r="AE16" s="142"/>
      <c r="AF16" s="143" t="str">
        <f>IF(AE15="","",":")</f>
        <v/>
      </c>
      <c r="AG16" s="144"/>
      <c r="AH16" s="142"/>
      <c r="AI16" s="143" t="str">
        <f>IF(AH15="","",":")</f>
        <v/>
      </c>
      <c r="AJ16" s="144"/>
      <c r="AK16" s="142"/>
      <c r="AL16" s="143" t="str">
        <f>IF(AK15="","",":")</f>
        <v/>
      </c>
      <c r="AM16" s="144"/>
      <c r="AN16" s="142"/>
      <c r="AO16" s="143" t="str">
        <f>IF(AN15="","",":")</f>
        <v/>
      </c>
      <c r="AP16" s="144"/>
      <c r="AQ16" s="142"/>
      <c r="AR16" s="143" t="str">
        <f>IF(AQ15="","",":")</f>
        <v/>
      </c>
      <c r="AS16" s="144"/>
      <c r="AT16" s="142"/>
      <c r="AU16" s="143" t="str">
        <f>IF(AT15="","",":")</f>
        <v/>
      </c>
      <c r="AV16" s="144"/>
      <c r="AW16" s="142"/>
      <c r="AX16" s="143" t="str">
        <f>IF(AW15="","",":")</f>
        <v/>
      </c>
      <c r="AY16" s="144"/>
      <c r="AZ16" s="1224"/>
      <c r="BA16" s="1225"/>
      <c r="BB16" s="1227"/>
      <c r="BC16" s="1228"/>
    </row>
    <row r="17" spans="1:55" ht="15.75" customHeight="1" x14ac:dyDescent="0.25">
      <c r="A17" s="1163">
        <v>7</v>
      </c>
      <c r="B17" s="1229"/>
      <c r="C17" s="140" t="str">
        <f>IF(B17="","",VLOOKUP(B17,'Списки участников'!A:I,3,FALSE))</f>
        <v/>
      </c>
      <c r="D17" s="1219" t="str">
        <f>IF(V5="","",IF(V6="W",0,IF(V5=2,1,IF(V5=1,2,IF(V5=0,2)))))</f>
        <v/>
      </c>
      <c r="E17" s="1220"/>
      <c r="F17" s="1221"/>
      <c r="G17" s="1219" t="str">
        <f>IF(V7="","",IF(V8="W",0,IF(V7=2,1,IF(V7=1,2,IF(V7=0,2)))))</f>
        <v/>
      </c>
      <c r="H17" s="1220"/>
      <c r="I17" s="1221"/>
      <c r="J17" s="1219" t="str">
        <f>IF(V9="","",IF(V10="W",0,IF(V9=2,1,IF(V9=1,2,IF(V9=0,2)))))</f>
        <v/>
      </c>
      <c r="K17" s="1220"/>
      <c r="L17" s="1221"/>
      <c r="M17" s="1219" t="str">
        <f>IF(V11="","",IF(V12="W",0,IF(V11=2,1,IF(V11=1,2,IF(V11=0,2)))))</f>
        <v/>
      </c>
      <c r="N17" s="1220"/>
      <c r="O17" s="1221"/>
      <c r="P17" s="1219" t="str">
        <f>IF(V13="","",IF(V14="W",0,IF(V13=2,1,IF(V13=1,2,IF(V13=0,2)))))</f>
        <v/>
      </c>
      <c r="Q17" s="1220"/>
      <c r="R17" s="1221"/>
      <c r="S17" s="1219" t="str">
        <f>IF(V15="","",IF(V16="W",0,IF(V15=2,1,IF(V15=1,2,IF(V15=0,2)))))</f>
        <v/>
      </c>
      <c r="T17" s="1220"/>
      <c r="U17" s="1221"/>
      <c r="V17" s="1239"/>
      <c r="W17" s="1215"/>
      <c r="X17" s="1216"/>
      <c r="Y17" s="1219"/>
      <c r="Z17" s="1220"/>
      <c r="AA17" s="1221"/>
      <c r="AB17" s="1219"/>
      <c r="AC17" s="1220"/>
      <c r="AD17" s="1221"/>
      <c r="AE17" s="1219"/>
      <c r="AF17" s="1220"/>
      <c r="AG17" s="1221"/>
      <c r="AH17" s="1219"/>
      <c r="AI17" s="1220"/>
      <c r="AJ17" s="1221"/>
      <c r="AK17" s="1219"/>
      <c r="AL17" s="1220"/>
      <c r="AM17" s="1221"/>
      <c r="AN17" s="1219"/>
      <c r="AO17" s="1220"/>
      <c r="AP17" s="1221"/>
      <c r="AQ17" s="1219"/>
      <c r="AR17" s="1220"/>
      <c r="AS17" s="1221"/>
      <c r="AT17" s="1219"/>
      <c r="AU17" s="1220"/>
      <c r="AV17" s="1221"/>
      <c r="AW17" s="1219"/>
      <c r="AX17" s="1220"/>
      <c r="AY17" s="1221"/>
      <c r="AZ17" s="1222" t="str">
        <f t="shared" ref="AZ17" si="5">IF(B17="","",SUM(G17,J17,M17,P17,S17,V17,Y17,AB17,AE17,AH17,AK17,AN17,AQ17,AT17,AW17))</f>
        <v/>
      </c>
      <c r="BA17" s="1223"/>
      <c r="BB17" s="1226"/>
      <c r="BC17" s="1228" t="str">
        <f>IF(B17="","",RANK(AZ17,Ф3Оч)+32)</f>
        <v/>
      </c>
    </row>
    <row r="18" spans="1:55" ht="15.75" customHeight="1" x14ac:dyDescent="0.25">
      <c r="A18" s="1164"/>
      <c r="B18" s="1230"/>
      <c r="C18" s="141" t="str">
        <f>IF(B17="","",VLOOKUP(B17,'Списки участников'!A:I,6,FALSE))</f>
        <v/>
      </c>
      <c r="D18" s="148" t="str">
        <f>IF(V6="","",IF(X6="l","W",X6))</f>
        <v/>
      </c>
      <c r="E18" s="143" t="str">
        <f>IF(W6="","",":")</f>
        <v/>
      </c>
      <c r="F18" s="149" t="str">
        <f>IF(X6="","",IF(V6="W","L",V6))</f>
        <v/>
      </c>
      <c r="G18" s="148" t="str">
        <f>IF(V8="","",IF(X8="l","W",X8))</f>
        <v/>
      </c>
      <c r="H18" s="143" t="str">
        <f>IF(W8="","",":")</f>
        <v/>
      </c>
      <c r="I18" s="149" t="str">
        <f>IF(X8="","",IF(V8="W","L",V8))</f>
        <v/>
      </c>
      <c r="J18" s="148" t="str">
        <f>IF(V10="","",IF(X10="l","W",X10))</f>
        <v/>
      </c>
      <c r="K18" s="143" t="str">
        <f>IF(W10="","",":")</f>
        <v/>
      </c>
      <c r="L18" s="149" t="str">
        <f>IF(X10="","",IF(V10="W","L",V10))</f>
        <v/>
      </c>
      <c r="M18" s="148" t="str">
        <f>IF(V12="","",IF(X12="l","W",X12))</f>
        <v/>
      </c>
      <c r="N18" s="143" t="str">
        <f>IF(W12="","",":")</f>
        <v/>
      </c>
      <c r="O18" s="149" t="str">
        <f>IF(X12="","",IF(V12="W","L",V12))</f>
        <v/>
      </c>
      <c r="P18" s="148" t="str">
        <f>IF(V14="","",IF(X14="l","W",X14))</f>
        <v/>
      </c>
      <c r="Q18" s="143" t="str">
        <f>IF(W14="","",":")</f>
        <v/>
      </c>
      <c r="R18" s="149" t="str">
        <f>IF(X14="","",IF(V14="W","L",V14))</f>
        <v/>
      </c>
      <c r="S18" s="148" t="str">
        <f>IF(V16="","",IF(X16="l","W",X16))</f>
        <v/>
      </c>
      <c r="T18" s="143" t="str">
        <f>IF(W16="","",":")</f>
        <v/>
      </c>
      <c r="U18" s="149" t="str">
        <f>IF(X16="","",IF(V16="W","L",V16))</f>
        <v/>
      </c>
      <c r="V18" s="1237"/>
      <c r="W18" s="1217"/>
      <c r="X18" s="1218"/>
      <c r="Y18" s="142"/>
      <c r="Z18" s="143" t="str">
        <f>IF(Y17="","",":")</f>
        <v/>
      </c>
      <c r="AA18" s="144"/>
      <c r="AB18" s="142"/>
      <c r="AC18" s="143" t="str">
        <f>IF(AB17="","",":")</f>
        <v/>
      </c>
      <c r="AD18" s="144"/>
      <c r="AE18" s="142"/>
      <c r="AF18" s="143" t="str">
        <f>IF(AE17="","",":")</f>
        <v/>
      </c>
      <c r="AG18" s="144"/>
      <c r="AH18" s="142"/>
      <c r="AI18" s="143" t="str">
        <f>IF(AH17="","",":")</f>
        <v/>
      </c>
      <c r="AJ18" s="144"/>
      <c r="AK18" s="142"/>
      <c r="AL18" s="143" t="str">
        <f>IF(AK17="","",":")</f>
        <v/>
      </c>
      <c r="AM18" s="144"/>
      <c r="AN18" s="142"/>
      <c r="AO18" s="143" t="str">
        <f>IF(AN17="","",":")</f>
        <v/>
      </c>
      <c r="AP18" s="144"/>
      <c r="AQ18" s="142"/>
      <c r="AR18" s="143" t="str">
        <f>IF(AQ17="","",":")</f>
        <v/>
      </c>
      <c r="AS18" s="144"/>
      <c r="AT18" s="142"/>
      <c r="AU18" s="143" t="str">
        <f>IF(AT17="","",":")</f>
        <v/>
      </c>
      <c r="AV18" s="144"/>
      <c r="AW18" s="142"/>
      <c r="AX18" s="143" t="str">
        <f>IF(AW17="","",":")</f>
        <v/>
      </c>
      <c r="AY18" s="144"/>
      <c r="AZ18" s="1224"/>
      <c r="BA18" s="1225"/>
      <c r="BB18" s="1227"/>
      <c r="BC18" s="1228"/>
    </row>
    <row r="19" spans="1:55" ht="15.75" customHeight="1" x14ac:dyDescent="0.25">
      <c r="A19" s="1163">
        <v>8</v>
      </c>
      <c r="B19" s="1229"/>
      <c r="C19" s="140" t="str">
        <f>IF(B19="","",VLOOKUP(B19,'Списки участников'!A:I,3,FALSE))</f>
        <v/>
      </c>
      <c r="D19" s="1219" t="str">
        <f>IF(Y5="","",IF(Y6="W",0,IF(Y5=2,1,IF(Y5=1,2,IF(Y5=0,2)))))</f>
        <v/>
      </c>
      <c r="E19" s="1220"/>
      <c r="F19" s="1221"/>
      <c r="G19" s="1219" t="str">
        <f>IF(Y7="","",IF(Y8="W",0,IF(Y7=2,1,IF(Y7=1,2,IF(Y7=0,2)))))</f>
        <v/>
      </c>
      <c r="H19" s="1220"/>
      <c r="I19" s="1221"/>
      <c r="J19" s="1219" t="str">
        <f>IF(Y9="","",IF(Y10="W",0,IF(Y9=2,1,IF(Y9=1,2,IF(Y9=0,2)))))</f>
        <v/>
      </c>
      <c r="K19" s="1220"/>
      <c r="L19" s="1221"/>
      <c r="M19" s="1219" t="str">
        <f>IF(Y11="","",IF(Y12="W",0,IF(Y11=2,1,IF(Y11=1,2,IF(Y11=0,2)))))</f>
        <v/>
      </c>
      <c r="N19" s="1220"/>
      <c r="O19" s="1221"/>
      <c r="P19" s="1219" t="str">
        <f>IF(Y13="","",IF(Y14="W",0,IF(Y13=2,1,IF(Y13=1,2,IF(Y13=0,2)))))</f>
        <v/>
      </c>
      <c r="Q19" s="1220"/>
      <c r="R19" s="1221"/>
      <c r="S19" s="1219" t="str">
        <f>IF(Y15="","",IF(Y16="W",0,IF(Y15=2,1,IF(Y15=1,2,IF(Y15=0,2)))))</f>
        <v/>
      </c>
      <c r="T19" s="1220"/>
      <c r="U19" s="1221"/>
      <c r="V19" s="1219" t="str">
        <f>IF(Y17="","",IF(Y18="W",0,IF(Y17=2,1,IF(Y17=1,2,IF(Y17=0,2)))))</f>
        <v/>
      </c>
      <c r="W19" s="1220"/>
      <c r="X19" s="1221"/>
      <c r="Y19" s="1234"/>
      <c r="Z19" s="1235"/>
      <c r="AA19" s="1236"/>
      <c r="AB19" s="1219"/>
      <c r="AC19" s="1220"/>
      <c r="AD19" s="1221"/>
      <c r="AE19" s="1219"/>
      <c r="AF19" s="1220"/>
      <c r="AG19" s="1221"/>
      <c r="AH19" s="1219"/>
      <c r="AI19" s="1220"/>
      <c r="AJ19" s="1221"/>
      <c r="AK19" s="1219"/>
      <c r="AL19" s="1220"/>
      <c r="AM19" s="1221"/>
      <c r="AN19" s="1219"/>
      <c r="AO19" s="1220"/>
      <c r="AP19" s="1221"/>
      <c r="AQ19" s="1219"/>
      <c r="AR19" s="1220"/>
      <c r="AS19" s="1221"/>
      <c r="AT19" s="1219"/>
      <c r="AU19" s="1220"/>
      <c r="AV19" s="1221"/>
      <c r="AW19" s="1219"/>
      <c r="AX19" s="1220"/>
      <c r="AY19" s="1221"/>
      <c r="AZ19" s="1222" t="str">
        <f t="shared" ref="AZ19" si="6">IF(B19="","",SUM(G19,J19,M19,P19,S19,V19,Y19,AB19,AE19,AH19,AK19,AN19,AQ19,AT19,AW19))</f>
        <v/>
      </c>
      <c r="BA19" s="1223"/>
      <c r="BB19" s="1226"/>
      <c r="BC19" s="1228" t="str">
        <f>IF(B19="","",RANK(AZ19,Ф3Оч)+32)</f>
        <v/>
      </c>
    </row>
    <row r="20" spans="1:55" ht="15.75" customHeight="1" x14ac:dyDescent="0.25">
      <c r="A20" s="1164"/>
      <c r="B20" s="1230"/>
      <c r="C20" s="141" t="str">
        <f>IF(B19="","",VLOOKUP(B19,'Списки участников'!A:I,6,FALSE))</f>
        <v/>
      </c>
      <c r="D20" s="148" t="str">
        <f>IF(Y6="","",IF(AA6="l","W",AA6))</f>
        <v/>
      </c>
      <c r="E20" s="143" t="str">
        <f>IF(Z6="","",":")</f>
        <v/>
      </c>
      <c r="F20" s="149" t="str">
        <f>IF(AA6="","",IF(Y6="W","L",Y6))</f>
        <v/>
      </c>
      <c r="G20" s="148" t="str">
        <f>IF(Y8="","",IF(AA8="l","W",AA8))</f>
        <v/>
      </c>
      <c r="H20" s="143" t="str">
        <f>IF(Z8="","",":")</f>
        <v/>
      </c>
      <c r="I20" s="149" t="str">
        <f>IF(AA8="","",IF(Y8="W","L",Y8))</f>
        <v/>
      </c>
      <c r="J20" s="148" t="str">
        <f>IF(Y10="","",IF(AA10="l","W",AA10))</f>
        <v/>
      </c>
      <c r="K20" s="143" t="str">
        <f>IF(Z10="","",":")</f>
        <v/>
      </c>
      <c r="L20" s="149" t="str">
        <f>IF(AA10="","",IF(Y10="W","L",Y10))</f>
        <v/>
      </c>
      <c r="M20" s="148" t="str">
        <f>IF(Y12="","",IF(AA12="l","W",AA12))</f>
        <v/>
      </c>
      <c r="N20" s="143" t="str">
        <f>IF(Z12="","",":")</f>
        <v/>
      </c>
      <c r="O20" s="149" t="str">
        <f>IF(AA12="","",IF(Y12="W","L",Y12))</f>
        <v/>
      </c>
      <c r="P20" s="148" t="str">
        <f>IF(Y14="","",IF(AA14="l","W",AA14))</f>
        <v/>
      </c>
      <c r="Q20" s="143" t="str">
        <f>IF(Z14="","",":")</f>
        <v/>
      </c>
      <c r="R20" s="149" t="str">
        <f>IF(AA14="","",IF(Y14="W","L",Y14))</f>
        <v/>
      </c>
      <c r="S20" s="148" t="str">
        <f>IF(Y16="","",IF(AA16="l","W",AA16))</f>
        <v/>
      </c>
      <c r="T20" s="143" t="str">
        <f>IF(Z16="","",":")</f>
        <v/>
      </c>
      <c r="U20" s="149" t="str">
        <f>IF(AA16="","",IF(Y16="W","L",Y16))</f>
        <v/>
      </c>
      <c r="V20" s="148" t="str">
        <f>IF(Y18="","",IF(AA18="l","W",AA18))</f>
        <v/>
      </c>
      <c r="W20" s="143" t="str">
        <f>IF(Z18="","",":")</f>
        <v/>
      </c>
      <c r="X20" s="149" t="str">
        <f>IF(AA18="","",IF(Y18="W","L",Y18))</f>
        <v/>
      </c>
      <c r="Y20" s="1237"/>
      <c r="Z20" s="1217"/>
      <c r="AA20" s="1218"/>
      <c r="AB20" s="142"/>
      <c r="AC20" s="143" t="str">
        <f>IF(AB19="","",":")</f>
        <v/>
      </c>
      <c r="AD20" s="144"/>
      <c r="AE20" s="142"/>
      <c r="AF20" s="143" t="str">
        <f>IF(AE19="","",":")</f>
        <v/>
      </c>
      <c r="AG20" s="144"/>
      <c r="AH20" s="142"/>
      <c r="AI20" s="143" t="str">
        <f>IF(AH19="","",":")</f>
        <v/>
      </c>
      <c r="AJ20" s="144"/>
      <c r="AK20" s="142"/>
      <c r="AL20" s="143" t="str">
        <f>IF(AK19="","",":")</f>
        <v/>
      </c>
      <c r="AM20" s="144"/>
      <c r="AN20" s="142"/>
      <c r="AO20" s="143" t="str">
        <f>IF(AN19="","",":")</f>
        <v/>
      </c>
      <c r="AP20" s="144"/>
      <c r="AQ20" s="142"/>
      <c r="AR20" s="143" t="str">
        <f>IF(AQ19="","",":")</f>
        <v/>
      </c>
      <c r="AS20" s="144"/>
      <c r="AT20" s="142"/>
      <c r="AU20" s="143" t="str">
        <f>IF(AT19="","",":")</f>
        <v/>
      </c>
      <c r="AV20" s="144"/>
      <c r="AW20" s="142"/>
      <c r="AX20" s="143" t="str">
        <f>IF(AW19="","",":")</f>
        <v/>
      </c>
      <c r="AY20" s="144"/>
      <c r="AZ20" s="1224"/>
      <c r="BA20" s="1225"/>
      <c r="BB20" s="1227"/>
      <c r="BC20" s="1228"/>
    </row>
    <row r="21" spans="1:55" ht="15.75" customHeight="1" x14ac:dyDescent="0.25">
      <c r="A21" s="1163">
        <v>9</v>
      </c>
      <c r="B21" s="1229"/>
      <c r="C21" s="140" t="str">
        <f>IF(B21="","",VLOOKUP(B21,'Списки участников'!A:I,3,FALSE))</f>
        <v/>
      </c>
      <c r="D21" s="1219" t="str">
        <f>IF(AB5="","",IF(AB6="W",0,IF(AB5=2,1,IF(AB5=1,2,IF(AB5=0,2)))))</f>
        <v/>
      </c>
      <c r="E21" s="1220"/>
      <c r="F21" s="1221"/>
      <c r="G21" s="1219" t="str">
        <f>IF(AB7="","",IF(AB8="W",0,IF(AB7=2,1,IF(AB7=1,2,IF(AB7=0,2)))))</f>
        <v/>
      </c>
      <c r="H21" s="1220"/>
      <c r="I21" s="1221"/>
      <c r="J21" s="1219" t="str">
        <f>IF(AB9="","",IF(AB10="W",0,IF(AB9=2,1,IF(AB9=1,2,IF(AB9=0,2)))))</f>
        <v/>
      </c>
      <c r="K21" s="1220"/>
      <c r="L21" s="1221"/>
      <c r="M21" s="1219" t="str">
        <f>IF(AB11="","",IF(AB12="W",0,IF(AB11=2,1,IF(AB11=1,2,IF(AB11=0,2)))))</f>
        <v/>
      </c>
      <c r="N21" s="1220"/>
      <c r="O21" s="1221"/>
      <c r="P21" s="1219" t="str">
        <f>IF(AB13="","",IF(AB14="W",0,IF(AB13=2,1,IF(AB13=1,2,IF(AB13=0,2)))))</f>
        <v/>
      </c>
      <c r="Q21" s="1220"/>
      <c r="R21" s="1221"/>
      <c r="S21" s="1219" t="str">
        <f>IF(AB15="","",IF(AB16="W",0,IF(AB15=2,1,IF(AB15=1,2,IF(AB15=0,2)))))</f>
        <v/>
      </c>
      <c r="T21" s="1220"/>
      <c r="U21" s="1221"/>
      <c r="V21" s="1219" t="str">
        <f>IF(AB17="","",IF(AB18="W",0,IF(AB17=2,1,IF(AB17=1,2,IF(AB17=0,2)))))</f>
        <v/>
      </c>
      <c r="W21" s="1220"/>
      <c r="X21" s="1221"/>
      <c r="Y21" s="1219" t="str">
        <f>IF(AB19="","",IF(AB20="W",0,IF(AB19=2,1,IF(AB19=1,2,IF(AB19=0,2)))))</f>
        <v/>
      </c>
      <c r="Z21" s="1220"/>
      <c r="AA21" s="1221"/>
      <c r="AB21" s="1239"/>
      <c r="AC21" s="1215"/>
      <c r="AD21" s="1216"/>
      <c r="AE21" s="1219"/>
      <c r="AF21" s="1220"/>
      <c r="AG21" s="1221"/>
      <c r="AH21" s="1219"/>
      <c r="AI21" s="1220"/>
      <c r="AJ21" s="1221"/>
      <c r="AK21" s="1219"/>
      <c r="AL21" s="1220"/>
      <c r="AM21" s="1221"/>
      <c r="AN21" s="1219"/>
      <c r="AO21" s="1220"/>
      <c r="AP21" s="1221"/>
      <c r="AQ21" s="1219"/>
      <c r="AR21" s="1220"/>
      <c r="AS21" s="1221"/>
      <c r="AT21" s="1219"/>
      <c r="AU21" s="1220"/>
      <c r="AV21" s="1221"/>
      <c r="AW21" s="1219"/>
      <c r="AX21" s="1220"/>
      <c r="AY21" s="1221"/>
      <c r="AZ21" s="1222" t="str">
        <f t="shared" ref="AZ21" si="7">IF(B21="","",SUM(G21,J21,M21,P21,S21,V21,Y21,AB21,AE21,AH21,AK21,AN21,AQ21,AT21,AW21))</f>
        <v/>
      </c>
      <c r="BA21" s="1223"/>
      <c r="BB21" s="1226"/>
      <c r="BC21" s="1228" t="str">
        <f>IF(B21="","",RANK(AZ21,Ф3Оч)+32)</f>
        <v/>
      </c>
    </row>
    <row r="22" spans="1:55" ht="15.75" customHeight="1" x14ac:dyDescent="0.25">
      <c r="A22" s="1164"/>
      <c r="B22" s="1230"/>
      <c r="C22" s="141" t="str">
        <f>IF(B21="","",VLOOKUP(B21,'Списки участников'!A:I,6,FALSE))</f>
        <v/>
      </c>
      <c r="D22" s="148" t="str">
        <f>IF(AB6="","",IF(AD6="l","W",AD6))</f>
        <v/>
      </c>
      <c r="E22" s="143" t="str">
        <f>IF(AC6="","",":")</f>
        <v/>
      </c>
      <c r="F22" s="149" t="str">
        <f>IF(AD6="","",IF(AB6="W","L",AB6))</f>
        <v/>
      </c>
      <c r="G22" s="148" t="str">
        <f>IF(AB8="","",IF(AD8="l","W",AD8))</f>
        <v/>
      </c>
      <c r="H22" s="143" t="str">
        <f>IF(AC8="","",":")</f>
        <v/>
      </c>
      <c r="I22" s="149" t="str">
        <f>IF(AD8="","",IF(AB8="W","L",AB8))</f>
        <v/>
      </c>
      <c r="J22" s="148" t="str">
        <f>IF(AB10="","",IF(AD10="l","W",AD10))</f>
        <v/>
      </c>
      <c r="K22" s="143" t="str">
        <f>IF(AC10="","",":")</f>
        <v/>
      </c>
      <c r="L22" s="149" t="str">
        <f>IF(AD10="","",IF(AB10="W","L",AB10))</f>
        <v/>
      </c>
      <c r="M22" s="148" t="str">
        <f>IF(AB12="","",IF(AD12="l","W",AD12))</f>
        <v/>
      </c>
      <c r="N22" s="143" t="str">
        <f>IF(AC12="","",":")</f>
        <v/>
      </c>
      <c r="O22" s="149" t="str">
        <f>IF(AD12="","",IF(AB12="W","L",AB12))</f>
        <v/>
      </c>
      <c r="P22" s="148" t="str">
        <f>IF(AB14="","",IF(AD14="l","W",AD14))</f>
        <v/>
      </c>
      <c r="Q22" s="143" t="str">
        <f>IF(AC14="","",":")</f>
        <v/>
      </c>
      <c r="R22" s="149" t="str">
        <f>IF(AD14="","",IF(AB14="W","L",AB14))</f>
        <v/>
      </c>
      <c r="S22" s="148" t="str">
        <f>IF(AB16="","",IF(AD16="l","W",AD16))</f>
        <v/>
      </c>
      <c r="T22" s="143" t="str">
        <f>IF(AC16="","",":")</f>
        <v/>
      </c>
      <c r="U22" s="149" t="str">
        <f>IF(AD16="","",IF(AB16="W","L",AB16))</f>
        <v/>
      </c>
      <c r="V22" s="148" t="str">
        <f>IF(AB18="","",IF(AD18="l","W",AD18))</f>
        <v/>
      </c>
      <c r="W22" s="143" t="str">
        <f>IF(AC18="","",":")</f>
        <v/>
      </c>
      <c r="X22" s="149" t="str">
        <f>IF(AD18="","",IF(AB18="W","L",AB18))</f>
        <v/>
      </c>
      <c r="Y22" s="148" t="str">
        <f>IF(AB20="","",IF(AD20="l","W",AD20))</f>
        <v/>
      </c>
      <c r="Z22" s="143" t="str">
        <f>IF(AC20="","",":")</f>
        <v/>
      </c>
      <c r="AA22" s="149" t="str">
        <f>IF(AD20="","",IF(AB20="W","L",AB20))</f>
        <v/>
      </c>
      <c r="AB22" s="1237"/>
      <c r="AC22" s="1217"/>
      <c r="AD22" s="1218"/>
      <c r="AE22" s="142"/>
      <c r="AF22" s="143" t="str">
        <f>IF(AE21="","",":")</f>
        <v/>
      </c>
      <c r="AG22" s="144"/>
      <c r="AH22" s="142"/>
      <c r="AI22" s="143" t="str">
        <f>IF(AH21="","",":")</f>
        <v/>
      </c>
      <c r="AJ22" s="144"/>
      <c r="AK22" s="142"/>
      <c r="AL22" s="143" t="str">
        <f>IF(AK21="","",":")</f>
        <v/>
      </c>
      <c r="AM22" s="144"/>
      <c r="AN22" s="142"/>
      <c r="AO22" s="143" t="str">
        <f>IF(AN21="","",":")</f>
        <v/>
      </c>
      <c r="AP22" s="144"/>
      <c r="AQ22" s="142"/>
      <c r="AR22" s="143" t="str">
        <f>IF(AQ21="","",":")</f>
        <v/>
      </c>
      <c r="AS22" s="144"/>
      <c r="AT22" s="142"/>
      <c r="AU22" s="143" t="str">
        <f>IF(AT21="","",":")</f>
        <v/>
      </c>
      <c r="AV22" s="144"/>
      <c r="AW22" s="142"/>
      <c r="AX22" s="143" t="str">
        <f>IF(AW21="","",":")</f>
        <v/>
      </c>
      <c r="AY22" s="144"/>
      <c r="AZ22" s="1224"/>
      <c r="BA22" s="1225"/>
      <c r="BB22" s="1227"/>
      <c r="BC22" s="1228"/>
    </row>
    <row r="23" spans="1:55" ht="15.75" customHeight="1" x14ac:dyDescent="0.25">
      <c r="A23" s="1163">
        <v>10</v>
      </c>
      <c r="B23" s="1229"/>
      <c r="C23" s="140" t="str">
        <f>IF(B23="","",VLOOKUP(B23,'Списки участников'!A:I,3,FALSE))</f>
        <v/>
      </c>
      <c r="D23" s="1219" t="str">
        <f>IF(AE5="","",IF(AE6="W",0,IF(AE5=2,1,IF(AE5=1,2,IF(AE5=0,2)))))</f>
        <v/>
      </c>
      <c r="E23" s="1220"/>
      <c r="F23" s="1221"/>
      <c r="G23" s="1219" t="str">
        <f>IF(AE7="","",IF(AE8="W",0,IF(AE7=2,1,IF(AE7=1,2,IF(AE7=0,2)))))</f>
        <v/>
      </c>
      <c r="H23" s="1220"/>
      <c r="I23" s="1221"/>
      <c r="J23" s="1219" t="str">
        <f>IF(AE9="","",IF(AE10="W",0,IF(AE9=2,1,IF(AE9=1,2,IF(AE9=0,2)))))</f>
        <v/>
      </c>
      <c r="K23" s="1220"/>
      <c r="L23" s="1221"/>
      <c r="M23" s="1219" t="str">
        <f>IF(AE11="","",IF(AE12="W",0,IF(AE11=2,1,IF(AE11=1,2,IF(AE11=0,2)))))</f>
        <v/>
      </c>
      <c r="N23" s="1220"/>
      <c r="O23" s="1221"/>
      <c r="P23" s="1219" t="str">
        <f>IF(AE13="","",IF(AE14="W",0,IF(AE13=2,1,IF(AE13=1,2,IF(AE13=0,2)))))</f>
        <v/>
      </c>
      <c r="Q23" s="1220"/>
      <c r="R23" s="1221"/>
      <c r="S23" s="1219" t="str">
        <f>IF(AE15="","",IF(AE16="W",0,IF(AE15=2,1,IF(AE15=1,2,IF(AE15=0,2)))))</f>
        <v/>
      </c>
      <c r="T23" s="1220"/>
      <c r="U23" s="1221"/>
      <c r="V23" s="1219" t="str">
        <f>IF(AE17="","",IF(AE18="W",0,IF(AE17=2,1,IF(AE17=1,2,IF(AE17=0,2)))))</f>
        <v/>
      </c>
      <c r="W23" s="1220"/>
      <c r="X23" s="1221"/>
      <c r="Y23" s="1219" t="str">
        <f>IF(AE19="","",IF(AE20="W",0,IF(AE19=2,1,IF(AE19=1,2,IF(AE19=0,2)))))</f>
        <v/>
      </c>
      <c r="Z23" s="1220"/>
      <c r="AA23" s="1221"/>
      <c r="AB23" s="1219" t="str">
        <f>IF(AE21="","",IF(AE22="W",0,IF(AE21=2,1,IF(AE21=1,2,IF(AE21=0,2)))))</f>
        <v/>
      </c>
      <c r="AC23" s="1220"/>
      <c r="AD23" s="1221"/>
      <c r="AE23" s="1234"/>
      <c r="AF23" s="1235"/>
      <c r="AG23" s="1236"/>
      <c r="AH23" s="1219"/>
      <c r="AI23" s="1220"/>
      <c r="AJ23" s="1221"/>
      <c r="AK23" s="1219"/>
      <c r="AL23" s="1220"/>
      <c r="AM23" s="1221"/>
      <c r="AN23" s="1219"/>
      <c r="AO23" s="1220"/>
      <c r="AP23" s="1221"/>
      <c r="AQ23" s="1219"/>
      <c r="AR23" s="1220"/>
      <c r="AS23" s="1221"/>
      <c r="AT23" s="1219"/>
      <c r="AU23" s="1220"/>
      <c r="AV23" s="1221"/>
      <c r="AW23" s="1219"/>
      <c r="AX23" s="1220"/>
      <c r="AY23" s="1221"/>
      <c r="AZ23" s="1222" t="str">
        <f t="shared" ref="AZ23" si="8">IF(B23="","",SUM(G23,J23,M23,P23,S23,V23,Y23,AB23,AE23,AH23,AK23,AN23,AQ23,AT23,AW23))</f>
        <v/>
      </c>
      <c r="BA23" s="1223"/>
      <c r="BB23" s="1226"/>
      <c r="BC23" s="1228" t="str">
        <f>IF(B23="","",RANK(AZ23,Ф3Оч)+32)</f>
        <v/>
      </c>
    </row>
    <row r="24" spans="1:55" ht="15.75" customHeight="1" x14ac:dyDescent="0.25">
      <c r="A24" s="1164"/>
      <c r="B24" s="1230"/>
      <c r="C24" s="141" t="str">
        <f>IF(B23="","",VLOOKUP(B23,'Списки участников'!A:I,6,FALSE))</f>
        <v/>
      </c>
      <c r="D24" s="148" t="str">
        <f>IF(AE6="","",IF(AG6="l","W",AG6))</f>
        <v/>
      </c>
      <c r="E24" s="143" t="str">
        <f>IF(AF6="","",":")</f>
        <v/>
      </c>
      <c r="F24" s="149" t="str">
        <f>IF(AG6="","",IF(AE6="W","L",AE6))</f>
        <v/>
      </c>
      <c r="G24" s="148" t="str">
        <f>IF(AE8="","",IF(AG8="l","W",AG8))</f>
        <v/>
      </c>
      <c r="H24" s="143" t="str">
        <f>IF(AF8="","",":")</f>
        <v/>
      </c>
      <c r="I24" s="149" t="str">
        <f>IF(AG8="","",IF(AE8="W","L",AE8))</f>
        <v/>
      </c>
      <c r="J24" s="148" t="str">
        <f>IF(AE10="","",IF(AG10="l","W",AG10))</f>
        <v/>
      </c>
      <c r="K24" s="143" t="str">
        <f>IF(AF10="","",":")</f>
        <v/>
      </c>
      <c r="L24" s="149" t="str">
        <f>IF(AG10="","",IF(AE10="W","L",AE10))</f>
        <v/>
      </c>
      <c r="M24" s="148" t="str">
        <f>IF(AE12="","",IF(AG12="l","W",AG12))</f>
        <v/>
      </c>
      <c r="N24" s="143" t="str">
        <f>IF(AF12="","",":")</f>
        <v/>
      </c>
      <c r="O24" s="149" t="str">
        <f>IF(AG12="","",IF(AE12="W","L",AE12))</f>
        <v/>
      </c>
      <c r="P24" s="148" t="str">
        <f>IF(AE14="","",IF(AG14="l","W",AG14))</f>
        <v/>
      </c>
      <c r="Q24" s="143" t="str">
        <f>IF(AF14="","",":")</f>
        <v/>
      </c>
      <c r="R24" s="149" t="str">
        <f>IF(AG14="","",IF(AE14="W","L",AE14))</f>
        <v/>
      </c>
      <c r="S24" s="148" t="str">
        <f>IF(AE16="","",IF(AG16="l","W",AG16))</f>
        <v/>
      </c>
      <c r="T24" s="143" t="str">
        <f>IF(AF16="","",":")</f>
        <v/>
      </c>
      <c r="U24" s="149" t="str">
        <f>IF(AG16="","",IF(AE16="W","L",AE16))</f>
        <v/>
      </c>
      <c r="V24" s="148" t="str">
        <f>IF(AE18="","",IF(AG18="l","W",AG18))</f>
        <v/>
      </c>
      <c r="W24" s="143" t="str">
        <f>IF(AF18="","",":")</f>
        <v/>
      </c>
      <c r="X24" s="149" t="str">
        <f>IF(AG18="","",IF(AE18="W","L",AE18))</f>
        <v/>
      </c>
      <c r="Y24" s="148" t="str">
        <f>IF(AE20="","",IF(AG20="l","W",AG20))</f>
        <v/>
      </c>
      <c r="Z24" s="143" t="str">
        <f>IF(AF20="","",":")</f>
        <v/>
      </c>
      <c r="AA24" s="149" t="str">
        <f>IF(AG20="","",IF(AE20="W","L",AE20))</f>
        <v/>
      </c>
      <c r="AB24" s="148" t="str">
        <f>IF(AE22="","",IF(AG22="l","W",AG22))</f>
        <v/>
      </c>
      <c r="AC24" s="143" t="str">
        <f>IF(AE21="","",":")</f>
        <v/>
      </c>
      <c r="AD24" s="149" t="str">
        <f>IF(AG22="","",IF(AE22="W","L",AE22))</f>
        <v/>
      </c>
      <c r="AE24" s="1237"/>
      <c r="AF24" s="1217"/>
      <c r="AG24" s="1218"/>
      <c r="AH24" s="142"/>
      <c r="AI24" s="143" t="str">
        <f>IF(AH23="","",":")</f>
        <v/>
      </c>
      <c r="AJ24" s="144"/>
      <c r="AK24" s="142"/>
      <c r="AL24" s="143" t="str">
        <f>IF(AK23="","",":")</f>
        <v/>
      </c>
      <c r="AM24" s="144"/>
      <c r="AN24" s="142"/>
      <c r="AO24" s="143" t="str">
        <f>IF(AN23="","",":")</f>
        <v/>
      </c>
      <c r="AP24" s="144"/>
      <c r="AQ24" s="142"/>
      <c r="AR24" s="143" t="str">
        <f>IF(AQ23="","",":")</f>
        <v/>
      </c>
      <c r="AS24" s="144"/>
      <c r="AT24" s="142"/>
      <c r="AU24" s="143" t="str">
        <f>IF(AT23="","",":")</f>
        <v/>
      </c>
      <c r="AV24" s="144"/>
      <c r="AW24" s="142"/>
      <c r="AX24" s="143" t="str">
        <f>IF(AW23="","",":")</f>
        <v/>
      </c>
      <c r="AY24" s="144"/>
      <c r="AZ24" s="1224"/>
      <c r="BA24" s="1225"/>
      <c r="BB24" s="1227"/>
      <c r="BC24" s="1228"/>
    </row>
    <row r="25" spans="1:55" ht="15.75" customHeight="1" x14ac:dyDescent="0.25">
      <c r="A25" s="1163">
        <v>11</v>
      </c>
      <c r="B25" s="1229"/>
      <c r="C25" s="140" t="str">
        <f>IF(B25="","",VLOOKUP(B25,'Списки участников'!A:I,3,FALSE))</f>
        <v/>
      </c>
      <c r="D25" s="1219" t="str">
        <f>IF(AH5="","",IF(AH6="W",0,IF(AH5=2,1,IF(AH5=1,2,IF(AH5=0,2)))))</f>
        <v/>
      </c>
      <c r="E25" s="1220"/>
      <c r="F25" s="1221"/>
      <c r="G25" s="1219" t="str">
        <f>IF(AH7="","",IF(AH8="W",0,IF(AH7=2,1,IF(AH7=1,2,IF(AH7=0,2)))))</f>
        <v/>
      </c>
      <c r="H25" s="1220"/>
      <c r="I25" s="1221"/>
      <c r="J25" s="1219" t="str">
        <f>IF(AH9="","",IF(AH10="W",0,IF(AH9=2,1,IF(AH9=1,2,IF(AH9=0,2)))))</f>
        <v/>
      </c>
      <c r="K25" s="1220"/>
      <c r="L25" s="1221"/>
      <c r="M25" s="1219" t="str">
        <f>IF(AH11="","",IF(AH12="W",0,IF(AH11=2,1,IF(AH11=1,2,IF(AH11=0,2)))))</f>
        <v/>
      </c>
      <c r="N25" s="1220"/>
      <c r="O25" s="1221"/>
      <c r="P25" s="1219" t="str">
        <f>IF(AH13="","",IF(AH14="W",0,IF(AH13=2,1,IF(AH13=1,2,IF(AH13=0,2)))))</f>
        <v/>
      </c>
      <c r="Q25" s="1220"/>
      <c r="R25" s="1221"/>
      <c r="S25" s="1219" t="str">
        <f>IF(AH15="","",IF(AH16="W",0,IF(AH15=2,1,IF(AH15=1,2,IF(AH15=0,2)))))</f>
        <v/>
      </c>
      <c r="T25" s="1220"/>
      <c r="U25" s="1221"/>
      <c r="V25" s="1219" t="str">
        <f>IF(AH17="","",IF(AH18="W",0,IF(AH17=2,1,IF(AH17=1,2,IF(AH17=0,2)))))</f>
        <v/>
      </c>
      <c r="W25" s="1220"/>
      <c r="X25" s="1221"/>
      <c r="Y25" s="1219" t="str">
        <f>IF(AH19="","",IF(AH20="W",0,IF(AH19=2,1,IF(AH19=1,2,IF(AH19=0,2)))))</f>
        <v/>
      </c>
      <c r="Z25" s="1220"/>
      <c r="AA25" s="1221"/>
      <c r="AB25" s="1219" t="str">
        <f>IF(AH21="","",IF(AH22="W",0,IF(AH21=2,1,IF(AH21=1,2,IF(AH21=0,2)))))</f>
        <v/>
      </c>
      <c r="AC25" s="1220"/>
      <c r="AD25" s="1221"/>
      <c r="AE25" s="1219" t="str">
        <f>IF(AH23="","",IF(AH24="W",0,IF(AH23=2,1,IF(AH23=1,2,IF(AH23=0,2)))))</f>
        <v/>
      </c>
      <c r="AF25" s="1220"/>
      <c r="AG25" s="1221"/>
      <c r="AH25" s="1234"/>
      <c r="AI25" s="1235"/>
      <c r="AJ25" s="1236"/>
      <c r="AK25" s="1219"/>
      <c r="AL25" s="1220"/>
      <c r="AM25" s="1221"/>
      <c r="AN25" s="1219"/>
      <c r="AO25" s="1220"/>
      <c r="AP25" s="1221"/>
      <c r="AQ25" s="1219"/>
      <c r="AR25" s="1220"/>
      <c r="AS25" s="1221"/>
      <c r="AT25" s="1219"/>
      <c r="AU25" s="1220"/>
      <c r="AV25" s="1221"/>
      <c r="AW25" s="1219"/>
      <c r="AX25" s="1220"/>
      <c r="AY25" s="1221"/>
      <c r="AZ25" s="1222" t="str">
        <f t="shared" ref="AZ25" si="9">IF(B25="","",SUM(G25,J25,M25,P25,S25,V25,Y25,AB25,AE25,AH25,AK25,AN25,AQ25,AT25,AW25))</f>
        <v/>
      </c>
      <c r="BA25" s="1223"/>
      <c r="BB25" s="1226"/>
      <c r="BC25" s="1228" t="str">
        <f>IF(B25="","",RANK(AZ25,Ф3Оч)+32)</f>
        <v/>
      </c>
    </row>
    <row r="26" spans="1:55" ht="15.75" customHeight="1" x14ac:dyDescent="0.25">
      <c r="A26" s="1164"/>
      <c r="B26" s="1230"/>
      <c r="C26" s="141" t="str">
        <f>IF(B25="","",VLOOKUP(B25,'Списки участников'!A:I,6,FALSE))</f>
        <v/>
      </c>
      <c r="D26" s="148" t="str">
        <f>IF(AH6="","",IF(AJ6="l","W",AJ6))</f>
        <v/>
      </c>
      <c r="E26" s="143" t="str">
        <f>IF(AI6="","",":")</f>
        <v/>
      </c>
      <c r="F26" s="149" t="str">
        <f>IF(AJ6="","",IF(AH6="W","L",AH6))</f>
        <v/>
      </c>
      <c r="G26" s="148" t="str">
        <f>IF(AH8="","",IF(AJ8="l","W",AJ8))</f>
        <v/>
      </c>
      <c r="H26" s="143" t="str">
        <f>IF(AI8="","",":")</f>
        <v/>
      </c>
      <c r="I26" s="149" t="str">
        <f>IF(AJ8="","",IF(AH8="W","L",AH8))</f>
        <v/>
      </c>
      <c r="J26" s="148" t="str">
        <f>IF(AH10="","",IF(AJ10="l","W",AJ10))</f>
        <v/>
      </c>
      <c r="K26" s="143" t="str">
        <f>IF(AI10="","",":")</f>
        <v/>
      </c>
      <c r="L26" s="149" t="str">
        <f>IF(AJ10="","",IF(AH10="W","L",AH10))</f>
        <v/>
      </c>
      <c r="M26" s="148" t="str">
        <f>IF(AH12="","",IF(AJ12="l","W",AJ12))</f>
        <v/>
      </c>
      <c r="N26" s="143" t="str">
        <f>IF(AI12="","",":")</f>
        <v/>
      </c>
      <c r="O26" s="149" t="str">
        <f>IF(AJ12="","",IF(AH12="W","L",AH12))</f>
        <v/>
      </c>
      <c r="P26" s="148" t="str">
        <f>IF(AH14="","",IF(AJ14="l","W",AJ14))</f>
        <v/>
      </c>
      <c r="Q26" s="143" t="str">
        <f>IF(AI14="","",":")</f>
        <v/>
      </c>
      <c r="R26" s="149" t="str">
        <f>IF(AJ14="","",IF(AH14="W","L",AH14))</f>
        <v/>
      </c>
      <c r="S26" s="148" t="str">
        <f>IF(AH16="","",IF(AJ16="l","W",AJ16))</f>
        <v/>
      </c>
      <c r="T26" s="143" t="str">
        <f>IF(AI16="","",":")</f>
        <v/>
      </c>
      <c r="U26" s="149" t="str">
        <f>IF(AJ16="","",IF(AH16="W","L",AH16))</f>
        <v/>
      </c>
      <c r="V26" s="148" t="str">
        <f>IF(AH18="","",IF(AJ18="l","W",AJ18))</f>
        <v/>
      </c>
      <c r="W26" s="143" t="str">
        <f>IF(AI18="","",":")</f>
        <v/>
      </c>
      <c r="X26" s="149" t="str">
        <f>IF(AJ18="","",IF(AH18="W","L",AH18))</f>
        <v/>
      </c>
      <c r="Y26" s="148" t="str">
        <f>IF(AH20="","",IF(AJ20="l","W",AJ20))</f>
        <v/>
      </c>
      <c r="Z26" s="143" t="str">
        <f>IF(AI20="","",":")</f>
        <v/>
      </c>
      <c r="AA26" s="149" t="str">
        <f>IF(AJ20="","",IF(AH20="W","L",AH20))</f>
        <v/>
      </c>
      <c r="AB26" s="148" t="str">
        <f>IF(AH22="","",IF(AJ22="l","W",AJ22))</f>
        <v/>
      </c>
      <c r="AC26" s="143" t="str">
        <f>IF(AI22="","",":")</f>
        <v/>
      </c>
      <c r="AD26" s="149" t="str">
        <f>IF(AJ22="","",IF(AH22="W","L",AH22))</f>
        <v/>
      </c>
      <c r="AE26" s="148" t="str">
        <f>IF(AH24="","",IF(AJ24="l","W",AJ24))</f>
        <v/>
      </c>
      <c r="AF26" s="143" t="str">
        <f>IF(AI24="","",":")</f>
        <v/>
      </c>
      <c r="AG26" s="149" t="str">
        <f>IF(AJ24="","",IF(AH24="W","L",AH24))</f>
        <v/>
      </c>
      <c r="AH26" s="1237"/>
      <c r="AI26" s="1217"/>
      <c r="AJ26" s="1218"/>
      <c r="AK26" s="142"/>
      <c r="AL26" s="143" t="str">
        <f>IF(AK25="","",":")</f>
        <v/>
      </c>
      <c r="AM26" s="144"/>
      <c r="AN26" s="142"/>
      <c r="AO26" s="143" t="str">
        <f>IF(AN25="","",":")</f>
        <v/>
      </c>
      <c r="AP26" s="144"/>
      <c r="AQ26" s="142"/>
      <c r="AR26" s="143" t="str">
        <f>IF(AQ25="","",":")</f>
        <v/>
      </c>
      <c r="AS26" s="144"/>
      <c r="AT26" s="142"/>
      <c r="AU26" s="143" t="str">
        <f>IF(AT25="","",":")</f>
        <v/>
      </c>
      <c r="AV26" s="144"/>
      <c r="AW26" s="142"/>
      <c r="AX26" s="143" t="str">
        <f>IF(AW25="","",":")</f>
        <v/>
      </c>
      <c r="AY26" s="144"/>
      <c r="AZ26" s="1224"/>
      <c r="BA26" s="1225"/>
      <c r="BB26" s="1227"/>
      <c r="BC26" s="1228"/>
    </row>
    <row r="27" spans="1:55" ht="15.75" customHeight="1" x14ac:dyDescent="0.25">
      <c r="A27" s="1163">
        <v>12</v>
      </c>
      <c r="B27" s="1229"/>
      <c r="C27" s="140" t="str">
        <f>IF(B27="","",VLOOKUP(B27,'Списки участников'!A:I,3,FALSE))</f>
        <v/>
      </c>
      <c r="D27" s="1219" t="str">
        <f>IF(AK5="","",IF(AK6="W",0,IF(AK5=2,1,IF(AK5=1,2,IF(AK5=0,2)))))</f>
        <v/>
      </c>
      <c r="E27" s="1220"/>
      <c r="F27" s="1221"/>
      <c r="G27" s="1219" t="str">
        <f>IF(AK7="","",IF(AK8="W",0,IF(AK7=2,1,IF(AK7=1,2,IF(AK7=0,2)))))</f>
        <v/>
      </c>
      <c r="H27" s="1220"/>
      <c r="I27" s="1221"/>
      <c r="J27" s="1219" t="str">
        <f>IF(AK9="","",IF(AK10="W",0,IF(AK9=2,1,IF(AK9=1,2,IF(AK9=0,2)))))</f>
        <v/>
      </c>
      <c r="K27" s="1220"/>
      <c r="L27" s="1221"/>
      <c r="M27" s="1219" t="str">
        <f>IF(AK11="","",IF(AK12="W",0,IF(AK11=2,1,IF(AK11=1,2,IF(AK11=0,2)))))</f>
        <v/>
      </c>
      <c r="N27" s="1220"/>
      <c r="O27" s="1221"/>
      <c r="P27" s="1219" t="str">
        <f>IF(AK13="","",IF(AK14="W",0,IF(AK13=2,1,IF(AK13=1,2,IF(AK13=0,2)))))</f>
        <v/>
      </c>
      <c r="Q27" s="1220"/>
      <c r="R27" s="1221"/>
      <c r="S27" s="1219" t="str">
        <f>IF(AK15="","",IF(AK16="W",0,IF(AK15=2,1,IF(AK15=1,2,IF(AK15=0,2)))))</f>
        <v/>
      </c>
      <c r="T27" s="1220"/>
      <c r="U27" s="1221"/>
      <c r="V27" s="1219" t="str">
        <f>IF(AK17="","",IF(AK18="W",0,IF(AK17=2,1,IF(AK17=1,2,IF(AK17=0,2)))))</f>
        <v/>
      </c>
      <c r="W27" s="1220"/>
      <c r="X27" s="1221"/>
      <c r="Y27" s="1219" t="str">
        <f>IF(AK19="","",IF(AK20="W",0,IF(AK19=2,1,IF(AK19=1,2,IF(AK19=0,2)))))</f>
        <v/>
      </c>
      <c r="Z27" s="1220"/>
      <c r="AA27" s="1221"/>
      <c r="AB27" s="1219" t="str">
        <f>IF(AK21="","",IF(AK22="W",0,IF(AK21=2,1,IF(AK21=1,2,IF(AK21=0,2)))))</f>
        <v/>
      </c>
      <c r="AC27" s="1220"/>
      <c r="AD27" s="1221"/>
      <c r="AE27" s="1219" t="str">
        <f>IF(AK23="","",IF(AK24="W",0,IF(AK23=2,1,IF(AK23=1,2,IF(AK23=0,2)))))</f>
        <v/>
      </c>
      <c r="AF27" s="1220"/>
      <c r="AG27" s="1221"/>
      <c r="AH27" s="1219" t="str">
        <f>IF(AK25="","",IF(AK26="W",0,IF(AK25=2,1,IF(AK25=1,2,IF(AK25=0,2)))))</f>
        <v/>
      </c>
      <c r="AI27" s="1220"/>
      <c r="AJ27" s="1221"/>
      <c r="AK27" s="1234"/>
      <c r="AL27" s="1235"/>
      <c r="AM27" s="1236"/>
      <c r="AN27" s="1219"/>
      <c r="AO27" s="1220"/>
      <c r="AP27" s="1221"/>
      <c r="AQ27" s="1219"/>
      <c r="AR27" s="1220"/>
      <c r="AS27" s="1221"/>
      <c r="AT27" s="1219"/>
      <c r="AU27" s="1220"/>
      <c r="AV27" s="1221"/>
      <c r="AW27" s="1219"/>
      <c r="AX27" s="1220"/>
      <c r="AY27" s="1221"/>
      <c r="AZ27" s="1222" t="str">
        <f t="shared" ref="AZ27" si="10">IF(B27="","",SUM(G27,J27,M27,P27,S27,V27,Y27,AB27,AE27,AH27,AK27,AN27,AQ27,AT27,AW27))</f>
        <v/>
      </c>
      <c r="BA27" s="1223"/>
      <c r="BB27" s="1226"/>
      <c r="BC27" s="1228" t="str">
        <f>IF(B27="","",RANK(AZ27,Ф3Оч)+32)</f>
        <v/>
      </c>
    </row>
    <row r="28" spans="1:55" ht="15.75" customHeight="1" x14ac:dyDescent="0.25">
      <c r="A28" s="1164"/>
      <c r="B28" s="1230"/>
      <c r="C28" s="141" t="str">
        <f>IF(B27="","",VLOOKUP(B27,'Списки участников'!A:I,6,FALSE))</f>
        <v/>
      </c>
      <c r="D28" s="148" t="str">
        <f>IF(AK6="","",IF(AM6="l","W",AM6))</f>
        <v/>
      </c>
      <c r="E28" s="143" t="str">
        <f>IF(AL6="","",":")</f>
        <v/>
      </c>
      <c r="F28" s="149" t="str">
        <f>IF(AM6="","",IF(AK6="W","L",AK6))</f>
        <v/>
      </c>
      <c r="G28" s="148" t="str">
        <f>IF(AK8="","",IF(AM8="l","W",AM8))</f>
        <v/>
      </c>
      <c r="H28" s="143" t="str">
        <f>IF(AL8="","",":")</f>
        <v/>
      </c>
      <c r="I28" s="149" t="str">
        <f>IF(AM8="","",IF(AK8="W","L",AK8))</f>
        <v/>
      </c>
      <c r="J28" s="148" t="str">
        <f>IF(AK10="","",IF(AM10="l","W",AM10))</f>
        <v/>
      </c>
      <c r="K28" s="143" t="str">
        <f>IF(AL10="","",":")</f>
        <v/>
      </c>
      <c r="L28" s="149" t="str">
        <f>IF(AM10="","",IF(AK10="W","L",AK10))</f>
        <v/>
      </c>
      <c r="M28" s="148" t="str">
        <f>IF(AK12="","",IF(AM12="l","W",AM12))</f>
        <v/>
      </c>
      <c r="N28" s="143" t="str">
        <f>IF(AL12="","",":")</f>
        <v/>
      </c>
      <c r="O28" s="149" t="str">
        <f>IF(AM12="","",IF(AK12="W","L",AK12))</f>
        <v/>
      </c>
      <c r="P28" s="148" t="str">
        <f>IF(AK14="","",IF(AM14="l","W",AM14))</f>
        <v/>
      </c>
      <c r="Q28" s="143" t="str">
        <f>IF(AL14="","",":")</f>
        <v/>
      </c>
      <c r="R28" s="149" t="str">
        <f>IF(AM14="","",IF(AK14="W","L",AK14))</f>
        <v/>
      </c>
      <c r="S28" s="148" t="str">
        <f>IF(AK16="","",IF(AM16="l","W",AM16))</f>
        <v/>
      </c>
      <c r="T28" s="143" t="str">
        <f>IF(AL16="","",":")</f>
        <v/>
      </c>
      <c r="U28" s="149" t="str">
        <f>IF(AM16="","",IF(AK16="W","L",AK16))</f>
        <v/>
      </c>
      <c r="V28" s="148" t="str">
        <f>IF(AK18="","",IF(AM18="l","W",AM18))</f>
        <v/>
      </c>
      <c r="W28" s="143" t="str">
        <f>IF(AL18="","",":")</f>
        <v/>
      </c>
      <c r="X28" s="149" t="str">
        <f>IF(AM18="","",IF(AK18="W","L",AK18))</f>
        <v/>
      </c>
      <c r="Y28" s="148" t="str">
        <f>IF(AK20="","",IF(AM20="l","W",AM20))</f>
        <v/>
      </c>
      <c r="Z28" s="143" t="str">
        <f>IF(AL20="","",":")</f>
        <v/>
      </c>
      <c r="AA28" s="149" t="str">
        <f>IF(AM20="","",IF(AK20="W","L",AK20))</f>
        <v/>
      </c>
      <c r="AB28" s="148" t="str">
        <f>IF(AK22="","",IF(AM22="l","W",AM22))</f>
        <v/>
      </c>
      <c r="AC28" s="143" t="str">
        <f>IF(AL22="","",":")</f>
        <v/>
      </c>
      <c r="AD28" s="149" t="str">
        <f>IF(AM22="","",IF(AK22="W","L",AK22))</f>
        <v/>
      </c>
      <c r="AE28" s="148" t="str">
        <f>IF(AK24="","",IF(AM24="l","W",AM24))</f>
        <v/>
      </c>
      <c r="AF28" s="143" t="str">
        <f>IF(AL24="","",":")</f>
        <v/>
      </c>
      <c r="AG28" s="149" t="str">
        <f>IF(AM24="","",IF(AK24="W","L",AK24))</f>
        <v/>
      </c>
      <c r="AH28" s="148" t="str">
        <f>IF(AK26="","",IF(AM26="l","W",AM26))</f>
        <v/>
      </c>
      <c r="AI28" s="143" t="str">
        <f>IF(AL26="","",":")</f>
        <v/>
      </c>
      <c r="AJ28" s="149" t="str">
        <f>IF(AM26="","",IF(AK26="W","L",AK26))</f>
        <v/>
      </c>
      <c r="AK28" s="1237"/>
      <c r="AL28" s="1217"/>
      <c r="AM28" s="1218"/>
      <c r="AN28" s="142"/>
      <c r="AO28" s="143" t="str">
        <f>IF(AN27="","",":")</f>
        <v/>
      </c>
      <c r="AP28" s="144"/>
      <c r="AQ28" s="142"/>
      <c r="AR28" s="143" t="str">
        <f>IF(AQ27="","",":")</f>
        <v/>
      </c>
      <c r="AS28" s="144"/>
      <c r="AT28" s="142"/>
      <c r="AU28" s="143" t="str">
        <f>IF(AT27="","",":")</f>
        <v/>
      </c>
      <c r="AV28" s="144"/>
      <c r="AW28" s="142"/>
      <c r="AX28" s="143" t="str">
        <f>IF(AW27="","",":")</f>
        <v/>
      </c>
      <c r="AY28" s="144"/>
      <c r="AZ28" s="1224"/>
      <c r="BA28" s="1225"/>
      <c r="BB28" s="1227"/>
      <c r="BC28" s="1228"/>
    </row>
    <row r="29" spans="1:55" ht="15.75" customHeight="1" x14ac:dyDescent="0.25">
      <c r="A29" s="1163">
        <v>13</v>
      </c>
      <c r="B29" s="1229"/>
      <c r="C29" s="140" t="str">
        <f>IF(B29="","",VLOOKUP(B29,'Списки участников'!A:I,3,FALSE))</f>
        <v/>
      </c>
      <c r="D29" s="1219" t="str">
        <f>IF(AN5="","",IF(AN6="W",0,IF(AN5=2,1,IF(AN5=1,2,IF(AN5=0,2)))))</f>
        <v/>
      </c>
      <c r="E29" s="1220"/>
      <c r="F29" s="1221"/>
      <c r="G29" s="1219" t="str">
        <f>IF(AN7="","",IF(AN8="W",0,IF(AN7=2,1,IF(AN7=1,2,IF(AN7=0,2)))))</f>
        <v/>
      </c>
      <c r="H29" s="1220"/>
      <c r="I29" s="1221"/>
      <c r="J29" s="1219" t="str">
        <f>IF(AN9="","",IF(AN10="W",0,IF(AN9=2,1,IF(AN9=1,2,IF(AN9=0,2)))))</f>
        <v/>
      </c>
      <c r="K29" s="1220"/>
      <c r="L29" s="1221"/>
      <c r="M29" s="1219" t="str">
        <f>IF(AN11="","",IF(AN12="W",0,IF(AN11=2,1,IF(AN11=1,2,IF(AN11=0,2)))))</f>
        <v/>
      </c>
      <c r="N29" s="1220"/>
      <c r="O29" s="1221"/>
      <c r="P29" s="1219" t="str">
        <f>IF(AN13="","",IF(AN14="W",0,IF(AN13=2,1,IF(AN13=1,2,IF(AN13=0,2)))))</f>
        <v/>
      </c>
      <c r="Q29" s="1220"/>
      <c r="R29" s="1221"/>
      <c r="S29" s="1219" t="str">
        <f>IF(AN15="","",IF(AN16="W",0,IF(AN15=2,1,IF(AN15=1,2,IF(AN15=0,2)))))</f>
        <v/>
      </c>
      <c r="T29" s="1220"/>
      <c r="U29" s="1221"/>
      <c r="V29" s="1219" t="str">
        <f>IF(AN17="","",IF(AN18="W",0,IF(AN17=2,1,IF(AN17=1,2,IF(AN17=0,2)))))</f>
        <v/>
      </c>
      <c r="W29" s="1220"/>
      <c r="X29" s="1221"/>
      <c r="Y29" s="1219" t="str">
        <f>IF(AN19="","",IF(AN20="W",0,IF(AN19=2,1,IF(AN19=1,2,IF(AN19=0,2)))))</f>
        <v/>
      </c>
      <c r="Z29" s="1220"/>
      <c r="AA29" s="1221"/>
      <c r="AB29" s="1219" t="str">
        <f>IF(AN21="","",IF(AN22="W",0,IF(AN21=2,1,IF(AN21=1,2,IF(AN21=0,2)))))</f>
        <v/>
      </c>
      <c r="AC29" s="1220"/>
      <c r="AD29" s="1221"/>
      <c r="AE29" s="1219" t="str">
        <f>IF(AN23="","",IF(AN24="W",0,IF(AN23=2,1,IF(AN23=1,2,IF(AN23=0,2)))))</f>
        <v/>
      </c>
      <c r="AF29" s="1220"/>
      <c r="AG29" s="1221"/>
      <c r="AH29" s="1219" t="str">
        <f>IF(AN25="","",IF(AN26="W",0,IF(AN25=2,1,IF(AN25=1,2,IF(AN25=0,2)))))</f>
        <v/>
      </c>
      <c r="AI29" s="1220"/>
      <c r="AJ29" s="1221"/>
      <c r="AK29" s="1219" t="str">
        <f>IF(AN27="","",IF(AN28="W",0,IF(AN27=2,1,IF(AN27=1,2,IF(AN27=0,2)))))</f>
        <v/>
      </c>
      <c r="AL29" s="1220"/>
      <c r="AM29" s="1221"/>
      <c r="AN29" s="1234"/>
      <c r="AO29" s="1235"/>
      <c r="AP29" s="1236"/>
      <c r="AQ29" s="1219"/>
      <c r="AR29" s="1220"/>
      <c r="AS29" s="1221"/>
      <c r="AT29" s="1219"/>
      <c r="AU29" s="1220"/>
      <c r="AV29" s="1221"/>
      <c r="AW29" s="1219"/>
      <c r="AX29" s="1220"/>
      <c r="AY29" s="1221"/>
      <c r="AZ29" s="1222" t="str">
        <f t="shared" ref="AZ29" si="11">IF(B29="","",SUM(G29,J29,M29,P29,S29,V29,Y29,AB29,AE29,AH29,AK29,AN29,AQ29,AT29,AW29))</f>
        <v/>
      </c>
      <c r="BA29" s="1223"/>
      <c r="BB29" s="1226"/>
      <c r="BC29" s="1228" t="str">
        <f>IF(B29="","",RANK(AZ29,Ф3Оч)+32)</f>
        <v/>
      </c>
    </row>
    <row r="30" spans="1:55" ht="15.75" customHeight="1" x14ac:dyDescent="0.25">
      <c r="A30" s="1164"/>
      <c r="B30" s="1230"/>
      <c r="C30" s="141" t="str">
        <f>IF(B29="","",VLOOKUP(B29,'Списки участников'!A:I,6,FALSE))</f>
        <v/>
      </c>
      <c r="D30" s="148" t="str">
        <f>IF(AN6="","",IF(AP6="l","W",AP6))</f>
        <v/>
      </c>
      <c r="E30" s="143" t="str">
        <f>IF(AO6="","",":")</f>
        <v/>
      </c>
      <c r="F30" s="149" t="str">
        <f>IF(AP6="","",IF(AN6="W","L",AN6))</f>
        <v/>
      </c>
      <c r="G30" s="148" t="str">
        <f>IF(AN8="","",IF(AP8="l","W",AP8))</f>
        <v/>
      </c>
      <c r="H30" s="143" t="str">
        <f>IF(AO8="","",":")</f>
        <v/>
      </c>
      <c r="I30" s="149" t="str">
        <f>IF(AP8="","",IF(AN8="W","L",AN8))</f>
        <v/>
      </c>
      <c r="J30" s="148" t="str">
        <f>IF(AN10="","",IF(AP10="l","W",AP10))</f>
        <v/>
      </c>
      <c r="K30" s="143" t="str">
        <f>IF(AO10="","",":")</f>
        <v/>
      </c>
      <c r="L30" s="149" t="str">
        <f>IF(AP10="","",IF(AN10="W","L",AN10))</f>
        <v/>
      </c>
      <c r="M30" s="148" t="str">
        <f>IF(AN12="","",IF(AP12="l","W",AP12))</f>
        <v/>
      </c>
      <c r="N30" s="143" t="str">
        <f>IF(AO12="","",":")</f>
        <v/>
      </c>
      <c r="O30" s="149" t="str">
        <f>IF(AP12="","",IF(AN12="W","L",AN12))</f>
        <v/>
      </c>
      <c r="P30" s="148" t="str">
        <f>IF(AN14="","",IF(AP14="l","W",AP14))</f>
        <v/>
      </c>
      <c r="Q30" s="143" t="str">
        <f>IF(AO14="","",":")</f>
        <v/>
      </c>
      <c r="R30" s="149" t="str">
        <f>IF(AP14="","",IF(AN14="W","L",AN14))</f>
        <v/>
      </c>
      <c r="S30" s="148" t="str">
        <f>IF(AN16="","",IF(AP16="l","W",AP16))</f>
        <v/>
      </c>
      <c r="T30" s="143" t="str">
        <f>IF(AO16="","",":")</f>
        <v/>
      </c>
      <c r="U30" s="149" t="str">
        <f>IF(AP16="","",IF(AN16="W","L",AN16))</f>
        <v/>
      </c>
      <c r="V30" s="148" t="str">
        <f>IF(AN18="","",IF(AP18="l","W",AP18))</f>
        <v/>
      </c>
      <c r="W30" s="143" t="str">
        <f>IF(AO18="","",":")</f>
        <v/>
      </c>
      <c r="X30" s="149" t="str">
        <f>IF(AP18="","",IF(AN18="W","L",AN18))</f>
        <v/>
      </c>
      <c r="Y30" s="148" t="str">
        <f>IF(AN20="","",IF(AP20="l","W",AP20))</f>
        <v/>
      </c>
      <c r="Z30" s="143" t="str">
        <f>IF(AO20="","",":")</f>
        <v/>
      </c>
      <c r="AA30" s="149" t="str">
        <f>IF(AP20="","",IF(AN20="W","L",AN20))</f>
        <v/>
      </c>
      <c r="AB30" s="148" t="str">
        <f>IF(AN22="","",IF(AP22="l","W",AP22))</f>
        <v/>
      </c>
      <c r="AC30" s="143" t="str">
        <f>IF(AO22="","",":")</f>
        <v/>
      </c>
      <c r="AD30" s="149" t="str">
        <f>IF(AP22="","",IF(AN22="W","L",AN22))</f>
        <v/>
      </c>
      <c r="AE30" s="148" t="str">
        <f>IF(AN24="","",IF(AP24="l","W",AP24))</f>
        <v/>
      </c>
      <c r="AF30" s="143" t="str">
        <f>IF(AO24="","",":")</f>
        <v/>
      </c>
      <c r="AG30" s="149" t="str">
        <f>IF(AP24="","",IF(AN24="W","L",AN24))</f>
        <v/>
      </c>
      <c r="AH30" s="148" t="str">
        <f>IF(AN26="","",IF(AP26="l","W",AP26))</f>
        <v/>
      </c>
      <c r="AI30" s="143" t="str">
        <f>IF(AO26="","",":")</f>
        <v/>
      </c>
      <c r="AJ30" s="149" t="str">
        <f>IF(AP26="","",IF(AN26="W","L",AN26))</f>
        <v/>
      </c>
      <c r="AK30" s="148" t="str">
        <f>IF(AN28="","",IF(AP28="l","W",AP28))</f>
        <v/>
      </c>
      <c r="AL30" s="143" t="str">
        <f>IF(AO28="","",":")</f>
        <v/>
      </c>
      <c r="AM30" s="149" t="str">
        <f>IF(AP28="","",IF(AN28="W","L",AN28))</f>
        <v/>
      </c>
      <c r="AN30" s="1237"/>
      <c r="AO30" s="1217"/>
      <c r="AP30" s="1218"/>
      <c r="AQ30" s="142"/>
      <c r="AR30" s="143" t="str">
        <f>IF(AQ29="","",":")</f>
        <v/>
      </c>
      <c r="AS30" s="144"/>
      <c r="AT30" s="142"/>
      <c r="AU30" s="143" t="str">
        <f>IF(AT29="","",":")</f>
        <v/>
      </c>
      <c r="AV30" s="144"/>
      <c r="AW30" s="142"/>
      <c r="AX30" s="143" t="str">
        <f>IF(AW29="","",":")</f>
        <v/>
      </c>
      <c r="AY30" s="144"/>
      <c r="AZ30" s="1224"/>
      <c r="BA30" s="1225"/>
      <c r="BB30" s="1227"/>
      <c r="BC30" s="1228"/>
    </row>
    <row r="31" spans="1:55" ht="15.75" customHeight="1" x14ac:dyDescent="0.25">
      <c r="A31" s="1163">
        <v>14</v>
      </c>
      <c r="B31" s="1229"/>
      <c r="C31" s="140" t="str">
        <f>IF(B31="","",VLOOKUP(B31,'Списки участников'!A:I,3,FALSE))</f>
        <v/>
      </c>
      <c r="D31" s="1219" t="str">
        <f>IF(AQ5="","",IF(AQ6="W",0,IF(AQ5=2,1,IF(AQ5=1,2,IF(AQ5=0,2)))))</f>
        <v/>
      </c>
      <c r="E31" s="1220"/>
      <c r="F31" s="1221"/>
      <c r="G31" s="1219" t="str">
        <f>IF(AQ7="","",IF(AQ8="W",0,IF(AQ7=2,1,IF(AQ7=1,2,IF(AQ7=0,2)))))</f>
        <v/>
      </c>
      <c r="H31" s="1220"/>
      <c r="I31" s="1221"/>
      <c r="J31" s="1219" t="str">
        <f>IF(AQ9="","",IF(AQ10="W",0,IF(AQ9=2,1,IF(AQ9=1,2,IF(AQ9=0,2)))))</f>
        <v/>
      </c>
      <c r="K31" s="1220"/>
      <c r="L31" s="1221"/>
      <c r="M31" s="1219" t="str">
        <f>IF(AQ11="","",IF(AQ12="W",0,IF(AQ11=2,1,IF(AQ11=1,2,IF(AQ11=0,2)))))</f>
        <v/>
      </c>
      <c r="N31" s="1220"/>
      <c r="O31" s="1221"/>
      <c r="P31" s="1219" t="str">
        <f>IF(AQ13="","",IF(AQ14="W",0,IF(AQ13=2,1,IF(AQ13=1,2,IF(AQ13=0,2)))))</f>
        <v/>
      </c>
      <c r="Q31" s="1220"/>
      <c r="R31" s="1221"/>
      <c r="S31" s="1219" t="str">
        <f>IF(AQ15="","",IF(AQ16="W",0,IF(AQ15=2,1,IF(AQ15=1,2,IF(AQ15=0,2)))))</f>
        <v/>
      </c>
      <c r="T31" s="1220"/>
      <c r="U31" s="1221"/>
      <c r="V31" s="1219" t="str">
        <f>IF(AQ17="","",IF(AQ18="W",0,IF(AQ17=2,1,IF(AQ17=1,2,IF(AQ17=0,2)))))</f>
        <v/>
      </c>
      <c r="W31" s="1220"/>
      <c r="X31" s="1221"/>
      <c r="Y31" s="1219" t="str">
        <f>IF(AQ19="","",IF(AQ20="W",0,IF(AQ19=2,1,IF(AQ19=1,2,IF(AQ19=0,2)))))</f>
        <v/>
      </c>
      <c r="Z31" s="1220"/>
      <c r="AA31" s="1221"/>
      <c r="AB31" s="1219" t="str">
        <f>IF(AQ21="","",IF(AQ22="W",0,IF(AQ21=2,1,IF(AQ21=1,2,IF(AQ21=0,2)))))</f>
        <v/>
      </c>
      <c r="AC31" s="1220"/>
      <c r="AD31" s="1221"/>
      <c r="AE31" s="1219" t="str">
        <f>IF(AQ23="","",IF(AQ24="W",0,IF(AQ23=2,1,IF(AQ23=1,2,IF(AQ23=0,2)))))</f>
        <v/>
      </c>
      <c r="AF31" s="1220"/>
      <c r="AG31" s="1221"/>
      <c r="AH31" s="1219" t="str">
        <f>IF(AQ25="","",IF(AQ26="W",0,IF(AQ25=2,1,IF(AQ25=1,2,IF(AQ25=0,2)))))</f>
        <v/>
      </c>
      <c r="AI31" s="1220"/>
      <c r="AJ31" s="1221"/>
      <c r="AK31" s="1219" t="str">
        <f>IF(AQ27="","",IF(AQ28="W",0,IF(AQ27=2,1,IF(AQ27=1,2,IF(AQ27=0,2)))))</f>
        <v/>
      </c>
      <c r="AL31" s="1220"/>
      <c r="AM31" s="1221"/>
      <c r="AN31" s="1219" t="str">
        <f>IF(AQ29="","",IF(AQ30="W",0,IF(AQ29=2,1,IF(AQ29=1,2,IF(AQ29=0,2)))))</f>
        <v/>
      </c>
      <c r="AO31" s="1220"/>
      <c r="AP31" s="1221"/>
      <c r="AQ31" s="1234"/>
      <c r="AR31" s="1235"/>
      <c r="AS31" s="1236"/>
      <c r="AT31" s="1219"/>
      <c r="AU31" s="1220"/>
      <c r="AV31" s="1221"/>
      <c r="AW31" s="1219"/>
      <c r="AX31" s="1220"/>
      <c r="AY31" s="1221"/>
      <c r="AZ31" s="1222" t="str">
        <f t="shared" ref="AZ31" si="12">IF(B31="","",SUM(G31,J31,M31,P31,S31,V31,Y31,AB31,AE31,AH31,AK31,AN31,AQ31,AT31,AW31))</f>
        <v/>
      </c>
      <c r="BA31" s="1223"/>
      <c r="BB31" s="1226"/>
      <c r="BC31" s="1228" t="str">
        <f>IF(B31="","",RANK(AZ31,Ф3Оч)+32)</f>
        <v/>
      </c>
    </row>
    <row r="32" spans="1:55" ht="15.75" customHeight="1" x14ac:dyDescent="0.25">
      <c r="A32" s="1164"/>
      <c r="B32" s="1230"/>
      <c r="C32" s="141" t="str">
        <f>IF(B31="","",VLOOKUP(B31,'Списки участников'!A:I,6,FALSE))</f>
        <v/>
      </c>
      <c r="D32" s="148" t="str">
        <f>IF(AQ6="","",IF(AS6="l","W",AS6))</f>
        <v/>
      </c>
      <c r="E32" s="143" t="str">
        <f>IF(AR6="","",":")</f>
        <v/>
      </c>
      <c r="F32" s="149" t="str">
        <f>IF(AS6="","",IF(AQ6="W","L",AQ6))</f>
        <v/>
      </c>
      <c r="G32" s="148" t="str">
        <f>IF(AQ8="","",IF(AS8="l","W",AS8))</f>
        <v/>
      </c>
      <c r="H32" s="143" t="str">
        <f>IF(AR8="","",":")</f>
        <v/>
      </c>
      <c r="I32" s="149" t="str">
        <f>IF(AS8="","",IF(AQ8="W","L",AQ8))</f>
        <v/>
      </c>
      <c r="J32" s="148" t="str">
        <f>IF(AQ10="","",IF(AS10="l","W",AS10))</f>
        <v/>
      </c>
      <c r="K32" s="143" t="str">
        <f>IF(AR10="","",":")</f>
        <v/>
      </c>
      <c r="L32" s="149" t="str">
        <f>IF(AS10="","",IF(AQ10="W","L",AQ10))</f>
        <v/>
      </c>
      <c r="M32" s="148" t="str">
        <f>IF(AQ12="","",IF(AS12="l","W",AS12))</f>
        <v/>
      </c>
      <c r="N32" s="143" t="str">
        <f>IF(AR12="","",":")</f>
        <v/>
      </c>
      <c r="O32" s="149" t="str">
        <f>IF(AS12="","",IF(AQ12="W","L",AQ12))</f>
        <v/>
      </c>
      <c r="P32" s="148" t="str">
        <f>IF(AQ14="","",IF(AS14="l","W",AS14))</f>
        <v/>
      </c>
      <c r="Q32" s="143" t="str">
        <f>IF(AR14="","",":")</f>
        <v/>
      </c>
      <c r="R32" s="149" t="str">
        <f>IF(AS14="","",IF(AQ14="W","L",AQ14))</f>
        <v/>
      </c>
      <c r="S32" s="148" t="str">
        <f>IF(AQ16="","",IF(AS16="l","W",AS16))</f>
        <v/>
      </c>
      <c r="T32" s="143" t="str">
        <f>IF(AR16="","",":")</f>
        <v/>
      </c>
      <c r="U32" s="149" t="str">
        <f>IF(AS16="","",IF(AQ16="W","L",AQ16))</f>
        <v/>
      </c>
      <c r="V32" s="148" t="str">
        <f>IF(AQ18="","",IF(AS18="l","W",AS18))</f>
        <v/>
      </c>
      <c r="W32" s="143" t="str">
        <f>IF(AR18="","",":")</f>
        <v/>
      </c>
      <c r="X32" s="149" t="str">
        <f>IF(AS18="","",IF(AQ18="W","L",AQ18))</f>
        <v/>
      </c>
      <c r="Y32" s="148" t="str">
        <f>IF(AT18="","",IF(AV18="l","W",AV18))</f>
        <v/>
      </c>
      <c r="Z32" s="143" t="str">
        <f>IF(AR20="","",":")</f>
        <v/>
      </c>
      <c r="AA32" s="149" t="str">
        <f>IF(AV18="","",IF(AT18="W","L",AT18))</f>
        <v/>
      </c>
      <c r="AB32" s="148" t="str">
        <f>IF(AQ22="","",IF(AS22="l","W",AS22))</f>
        <v/>
      </c>
      <c r="AC32" s="143" t="str">
        <f>IF(AR22="","",":")</f>
        <v/>
      </c>
      <c r="AD32" s="149" t="str">
        <f>IF(AS22="","",IF(AQ22="W","L",AQ22))</f>
        <v/>
      </c>
      <c r="AE32" s="148" t="str">
        <f>IF(AQ24="","",IF(AS24="l","W",AS24))</f>
        <v/>
      </c>
      <c r="AF32" s="143" t="str">
        <f>IF(AR24="","",":")</f>
        <v/>
      </c>
      <c r="AG32" s="149" t="str">
        <f>IF(AS24="","",IF(AQ24="W","L",AQ24))</f>
        <v/>
      </c>
      <c r="AH32" s="148" t="str">
        <f>IF(AQ26="","",IF(AS26="l","W",AS26))</f>
        <v/>
      </c>
      <c r="AI32" s="143" t="str">
        <f>IF(AR26="","",":")</f>
        <v/>
      </c>
      <c r="AJ32" s="149" t="str">
        <f>IF(AS26="","",IF(AQ26="W","L",AQ26))</f>
        <v/>
      </c>
      <c r="AK32" s="148" t="str">
        <f>IF(AQ28="","",IF(AS28="l","W",AS28))</f>
        <v/>
      </c>
      <c r="AL32" s="143" t="str">
        <f>IF(AR28="","",":")</f>
        <v/>
      </c>
      <c r="AM32" s="149" t="str">
        <f>IF(AS28="","",IF(AQ28="W","L",AQ28))</f>
        <v/>
      </c>
      <c r="AN32" s="148" t="str">
        <f>IF(AQ30="","",IF(AS30="l","W",AS30))</f>
        <v/>
      </c>
      <c r="AO32" s="143" t="str">
        <f>IF(AR30="","",":")</f>
        <v/>
      </c>
      <c r="AP32" s="149" t="str">
        <f>IF(AS30="","",IF(AQ30="W","L",AQ30))</f>
        <v/>
      </c>
      <c r="AQ32" s="1237"/>
      <c r="AR32" s="1217"/>
      <c r="AS32" s="1218"/>
      <c r="AT32" s="142"/>
      <c r="AU32" s="143" t="str">
        <f>IF(AT31="","",":")</f>
        <v/>
      </c>
      <c r="AV32" s="144"/>
      <c r="AW32" s="142"/>
      <c r="AX32" s="143" t="str">
        <f>IF(AW31="","",":")</f>
        <v/>
      </c>
      <c r="AY32" s="144"/>
      <c r="AZ32" s="1224"/>
      <c r="BA32" s="1225"/>
      <c r="BB32" s="1227"/>
      <c r="BC32" s="1228"/>
    </row>
    <row r="33" spans="1:55" ht="15.75" customHeight="1" x14ac:dyDescent="0.25">
      <c r="A33" s="1240">
        <v>15</v>
      </c>
      <c r="B33" s="1229"/>
      <c r="C33" s="140" t="str">
        <f>IF(B33="","",VLOOKUP(B33,'Списки участников'!A:I,3,FALSE))</f>
        <v/>
      </c>
      <c r="D33" s="1219" t="str">
        <f>IF(AT5="","",IF(AT6="W",0,IF(AT5=2,1,IF(AT5=1,2,IF(AT5=0,2)))))</f>
        <v/>
      </c>
      <c r="E33" s="1220"/>
      <c r="F33" s="1221"/>
      <c r="G33" s="1219" t="str">
        <f>IF(AT7="","",IF(AT8="W",0,IF(AT7=2,1,IF(AT7=1,2,IF(AT7=0,2)))))</f>
        <v/>
      </c>
      <c r="H33" s="1220"/>
      <c r="I33" s="1221"/>
      <c r="J33" s="1219" t="str">
        <f>IF(AT9="","",IF(AT10="W",0,IF(AT9=2,1,IF(AT9=1,2,IF(AT9=0,2)))))</f>
        <v/>
      </c>
      <c r="K33" s="1220"/>
      <c r="L33" s="1221"/>
      <c r="M33" s="1219" t="str">
        <f>IF(AT11="","",IF(AT12="W",0,IF(AT11=2,1,IF(AT11=1,2,IF(AT11=0,2)))))</f>
        <v/>
      </c>
      <c r="N33" s="1220"/>
      <c r="O33" s="1221"/>
      <c r="P33" s="1219" t="str">
        <f>IF(AT13="","",IF(AT14="W",0,IF(AT13=2,1,IF(AT13=1,2,IF(AT13=0,2)))))</f>
        <v/>
      </c>
      <c r="Q33" s="1220"/>
      <c r="R33" s="1221"/>
      <c r="S33" s="1219" t="str">
        <f>IF(AT15="","",IF(AT16="W",0,IF(AT15=2,1,IF(AT15=1,2,IF(AT15=0,2)))))</f>
        <v/>
      </c>
      <c r="T33" s="1220"/>
      <c r="U33" s="1221"/>
      <c r="V33" s="1219" t="str">
        <f>IF(AT17="","",IF(AT18="W",0,IF(AT17=2,1,IF(AT17=1,2,IF(AT17=0,2)))))</f>
        <v/>
      </c>
      <c r="W33" s="1220"/>
      <c r="X33" s="1221"/>
      <c r="Y33" s="1219" t="str">
        <f>IF(AT19="","",IF(AT20="W",0,IF(AT19=2,1,IF(AT19=1,2,IF(AT19=0,2)))))</f>
        <v/>
      </c>
      <c r="Z33" s="1220"/>
      <c r="AA33" s="1221"/>
      <c r="AB33" s="1219" t="str">
        <f>IF(AT21="","",IF(AT22="W",0,IF(AT21=2,1,IF(AT21=1,2,IF(AT21=0,2)))))</f>
        <v/>
      </c>
      <c r="AC33" s="1220"/>
      <c r="AD33" s="1221"/>
      <c r="AE33" s="1219" t="str">
        <f>IF(AT23="","",IF(AT24="W",0,IF(AT23=2,1,IF(AT23=1,2,IF(AT23=0,2)))))</f>
        <v/>
      </c>
      <c r="AF33" s="1220"/>
      <c r="AG33" s="1221"/>
      <c r="AH33" s="1219" t="str">
        <f>IF(AT25="","",IF(AT26="W",0,IF(AT25=2,1,IF(AT25=1,2,IF(AT25=0,2)))))</f>
        <v/>
      </c>
      <c r="AI33" s="1220"/>
      <c r="AJ33" s="1221"/>
      <c r="AK33" s="1219" t="str">
        <f>IF(AT27="","",IF(AT28="W",0,IF(AT27=2,1,IF(AT27=1,2,IF(AT27=0,2)))))</f>
        <v/>
      </c>
      <c r="AL33" s="1220"/>
      <c r="AM33" s="1221"/>
      <c r="AN33" s="1219" t="str">
        <f>IF(AT29="","",IF(AT30="W",0,IF(AT29=2,1,IF(AT29=1,2,IF(AT29=0,2)))))</f>
        <v/>
      </c>
      <c r="AO33" s="1220"/>
      <c r="AP33" s="1221"/>
      <c r="AQ33" s="1219" t="str">
        <f>IF(AT31="","",IF(AT32="W",0,IF(AT31=2,1,IF(AT31=1,2,IF(AT31=0,2)))))</f>
        <v/>
      </c>
      <c r="AR33" s="1220"/>
      <c r="AS33" s="1221"/>
      <c r="AT33" s="1239"/>
      <c r="AU33" s="1215"/>
      <c r="AV33" s="1216"/>
      <c r="AW33" s="1219"/>
      <c r="AX33" s="1220"/>
      <c r="AY33" s="1221"/>
      <c r="AZ33" s="1222" t="str">
        <f t="shared" ref="AZ33" si="13">IF(B33="","",SUM(G33,J33,M33,P33,S33,V33,Y33,AB33,AE33,AH33,AK33,AN33,AQ33,AT33,AW33))</f>
        <v/>
      </c>
      <c r="BA33" s="1223"/>
      <c r="BB33" s="1226"/>
      <c r="BC33" s="1228" t="str">
        <f>IF(B33="","",RANK(AZ33,Ф3Оч)+32)</f>
        <v/>
      </c>
    </row>
    <row r="34" spans="1:55" ht="15.75" customHeight="1" x14ac:dyDescent="0.25">
      <c r="A34" s="1241"/>
      <c r="B34" s="1230"/>
      <c r="C34" s="141" t="str">
        <f>IF(B33="","",VLOOKUP(B33,'Списки участников'!A:I,6,FALSE))</f>
        <v/>
      </c>
      <c r="D34" s="148" t="str">
        <f>IF(AT6="","",IF(AV6="l","W",AV6))</f>
        <v/>
      </c>
      <c r="E34" s="143" t="str">
        <f>IF(AU6="","",":")</f>
        <v/>
      </c>
      <c r="F34" s="149" t="str">
        <f>IF(AV6="","",IF(AT6="W","L",AT6))</f>
        <v/>
      </c>
      <c r="G34" s="148" t="str">
        <f>IF(AT8="","",IF(AV8="l","W",AV8))</f>
        <v/>
      </c>
      <c r="H34" s="143" t="str">
        <f>IF(AU8="","",":")</f>
        <v/>
      </c>
      <c r="I34" s="149" t="str">
        <f>IF(AV8="","",IF(AT8="W","L",AT8))</f>
        <v/>
      </c>
      <c r="J34" s="148" t="str">
        <f>IF(AT10="","",IF(AV10="l","W",AV10))</f>
        <v/>
      </c>
      <c r="K34" s="143" t="str">
        <f>IF(AU10="","",":")</f>
        <v/>
      </c>
      <c r="L34" s="149" t="str">
        <f>IF(AV10="","",IF(AT10="W","L",AT10))</f>
        <v/>
      </c>
      <c r="M34" s="148" t="str">
        <f>IF(AT12="","",IF(AV12="l","W",AV12))</f>
        <v/>
      </c>
      <c r="N34" s="143" t="str">
        <f>IF(AU12="","",":")</f>
        <v/>
      </c>
      <c r="O34" s="149" t="str">
        <f>IF(AV12="","",IF(AT12="W","L",AT12))</f>
        <v/>
      </c>
      <c r="P34" s="148" t="str">
        <f>IF(AT14="","",IF(AV14="l","W",AV14))</f>
        <v/>
      </c>
      <c r="Q34" s="143" t="str">
        <f>IF(AU14="","",":")</f>
        <v/>
      </c>
      <c r="R34" s="149" t="str">
        <f>IF(AV14="","",IF(AT14="W","L",AT14))</f>
        <v/>
      </c>
      <c r="S34" s="148" t="str">
        <f>IF(AT16="","",IF(AV16="l","W",AV16))</f>
        <v/>
      </c>
      <c r="T34" s="143" t="str">
        <f>IF(AU16="","",":")</f>
        <v/>
      </c>
      <c r="U34" s="149" t="str">
        <f>IF(AV16="","",IF(AT16="W","L",AT16))</f>
        <v/>
      </c>
      <c r="V34" s="148" t="str">
        <f>IF(AT18="","",IF(AV18="l","W",AV18))</f>
        <v/>
      </c>
      <c r="W34" s="143" t="str">
        <f>IF(AU18="","",":")</f>
        <v/>
      </c>
      <c r="X34" s="149" t="str">
        <f>IF(AV18="","",IF(AT18="W","L",AT18))</f>
        <v/>
      </c>
      <c r="Y34" s="148" t="str">
        <f>IF(AT20="","",IF(AV20="l","W",AV20))</f>
        <v/>
      </c>
      <c r="Z34" s="143" t="str">
        <f>IF(AU20="","",":")</f>
        <v/>
      </c>
      <c r="AA34" s="149" t="str">
        <f>IF(AV20="","",IF(AT20="W","L",AT20))</f>
        <v/>
      </c>
      <c r="AB34" s="148" t="str">
        <f>IF(AT22="","",IF(AV22="l","W",AV22))</f>
        <v/>
      </c>
      <c r="AC34" s="143" t="str">
        <f>IF(AU22="","",":")</f>
        <v/>
      </c>
      <c r="AD34" s="149" t="str">
        <f>IF(AV22="","",IF(AT22="W","L",AT22))</f>
        <v/>
      </c>
      <c r="AE34" s="148" t="str">
        <f>IF(AT24="","",IF(AV24="l","W",AV24))</f>
        <v/>
      </c>
      <c r="AF34" s="143" t="str">
        <f>IF(AU24="","",":")</f>
        <v/>
      </c>
      <c r="AG34" s="149" t="str">
        <f>IF(AV24="","",IF(AT24="W","L",AT24))</f>
        <v/>
      </c>
      <c r="AH34" s="148" t="str">
        <f>IF(AT26="","",IF(AV26="l","W",AV26))</f>
        <v/>
      </c>
      <c r="AI34" s="143" t="str">
        <f>IF(AU26="","",":")</f>
        <v/>
      </c>
      <c r="AJ34" s="149" t="str">
        <f>IF(AV26="","",IF(AT26="W","L",AT26))</f>
        <v/>
      </c>
      <c r="AK34" s="148" t="str">
        <f>IF(AT28="","",IF(AV28="l","W",AV28))</f>
        <v/>
      </c>
      <c r="AL34" s="143" t="str">
        <f>IF(AU28="","",":")</f>
        <v/>
      </c>
      <c r="AM34" s="149" t="str">
        <f>IF(AV28="","",IF(AT28="W","L",AT28))</f>
        <v/>
      </c>
      <c r="AN34" s="148" t="str">
        <f>IF(AT30="","",IF(AV30="l","W",AV30))</f>
        <v/>
      </c>
      <c r="AO34" s="143" t="str">
        <f>IF(AU30="","",":")</f>
        <v/>
      </c>
      <c r="AP34" s="149" t="str">
        <f>IF(AV30="","",IF(AT30="W","L",AT30))</f>
        <v/>
      </c>
      <c r="AQ34" s="148" t="str">
        <f>IF(AT32="","",IF(AV32="l","W",AV32))</f>
        <v/>
      </c>
      <c r="AR34" s="143" t="str">
        <f>IF(AU32="","",":")</f>
        <v/>
      </c>
      <c r="AS34" s="149" t="str">
        <f>IF(AV32="","",IF(AT32="W","L",AT32))</f>
        <v/>
      </c>
      <c r="AT34" s="1237"/>
      <c r="AU34" s="1217"/>
      <c r="AV34" s="1218"/>
      <c r="AW34" s="142"/>
      <c r="AX34" s="143" t="str">
        <f>IF(AW33="","",":")</f>
        <v/>
      </c>
      <c r="AY34" s="144"/>
      <c r="AZ34" s="1224"/>
      <c r="BA34" s="1225"/>
      <c r="BB34" s="1227"/>
      <c r="BC34" s="1228"/>
    </row>
    <row r="35" spans="1:55" ht="15.75" customHeight="1" x14ac:dyDescent="0.25">
      <c r="A35" s="1240">
        <v>16</v>
      </c>
      <c r="B35" s="1229"/>
      <c r="C35" s="140" t="str">
        <f>IF(B35="","",VLOOKUP(B35,'Списки участников'!A:I,3,FALSE))</f>
        <v/>
      </c>
      <c r="D35" s="1219" t="str">
        <f>IF(AW5="","",IF(AW6="W",0,IF(AW5=2,1,IF(AW5=1,2,IF(AW5=0,2)))))</f>
        <v/>
      </c>
      <c r="E35" s="1220"/>
      <c r="F35" s="1221"/>
      <c r="G35" s="1219" t="str">
        <f>IF(AW7="","",IF(AW8="W",0,IF(AW7=2,1,IF(AW7=1,2,IF(AW7=0,2)))))</f>
        <v/>
      </c>
      <c r="H35" s="1220"/>
      <c r="I35" s="1221"/>
      <c r="J35" s="1219" t="str">
        <f>IF(AW9="","",IF(AW10="W",0,IF(AW9=2,1,IF(AW9=1,2,IF(AW9=0,2)))))</f>
        <v/>
      </c>
      <c r="K35" s="1220"/>
      <c r="L35" s="1221"/>
      <c r="M35" s="1219" t="str">
        <f>IF(AW11="","",IF(AW12="W",0,IF(AW11=2,1,IF(AW11=1,2,IF(AW11=0,2)))))</f>
        <v/>
      </c>
      <c r="N35" s="1220"/>
      <c r="O35" s="1221"/>
      <c r="P35" s="1219" t="str">
        <f>IF(AW13="","",IF(AW14="W",0,IF(AW13=2,1,IF(AW13=1,2,IF(AW13=0,2)))))</f>
        <v/>
      </c>
      <c r="Q35" s="1220"/>
      <c r="R35" s="1221"/>
      <c r="S35" s="1219" t="str">
        <f>IF(AW15="","",IF(AW16="W",0,IF(AW15=2,1,IF(AW15=1,2,IF(AW15=0,2)))))</f>
        <v/>
      </c>
      <c r="T35" s="1220"/>
      <c r="U35" s="1221"/>
      <c r="V35" s="1219" t="str">
        <f>IF(AW17="","",IF(AW18="W",0,IF(AW17=2,1,IF(AW17=1,2,IF(AW17=0,2)))))</f>
        <v/>
      </c>
      <c r="W35" s="1220"/>
      <c r="X35" s="1221"/>
      <c r="Y35" s="1219" t="str">
        <f>IF(AW19="","",IF(AW20="W",0,IF(AW19=2,1,IF(AW19=1,2,IF(AW19=0,2)))))</f>
        <v/>
      </c>
      <c r="Z35" s="1220"/>
      <c r="AA35" s="1221"/>
      <c r="AB35" s="1219" t="str">
        <f>IF(AW21="","",IF(AW22="W",0,IF(AW21=2,1,IF(AW21=1,2,IF(AW21=0,2)))))</f>
        <v/>
      </c>
      <c r="AC35" s="1220"/>
      <c r="AD35" s="1221"/>
      <c r="AE35" s="1219" t="str">
        <f>IF(AW23="","",IF(AW24="W",0,IF(AW23=2,1,IF(AW23=1,2,IF(AW23=0,2)))))</f>
        <v/>
      </c>
      <c r="AF35" s="1220"/>
      <c r="AG35" s="1221"/>
      <c r="AH35" s="1219" t="str">
        <f>IF(AW25="","",IF(AW26="W",0,IF(AW25=2,1,IF(AW25=1,2,IF(AW25=0,2)))))</f>
        <v/>
      </c>
      <c r="AI35" s="1220"/>
      <c r="AJ35" s="1221"/>
      <c r="AK35" s="1219" t="str">
        <f>IF(AW27="","",IF(AW28="W",0,IF(AW27=2,1,IF(AW27=1,2,IF(AW27=0,2)))))</f>
        <v/>
      </c>
      <c r="AL35" s="1220"/>
      <c r="AM35" s="1221"/>
      <c r="AN35" s="1219" t="str">
        <f>IF(AW29="","",IF(AW30="W",0,IF(AW29=2,1,IF(AW29=1,2,IF(AW29=0,2)))))</f>
        <v/>
      </c>
      <c r="AO35" s="1220"/>
      <c r="AP35" s="1221"/>
      <c r="AQ35" s="1219" t="str">
        <f>IF(AW31="","",IF(AW32="W",0,IF(AW31=2,1,IF(AW31=1,2,IF(AW31=0,2)))))</f>
        <v/>
      </c>
      <c r="AR35" s="1220"/>
      <c r="AS35" s="1221"/>
      <c r="AT35" s="1219" t="str">
        <f>IF(AW33="","",IF(AW34="W",0,IF(AW33=2,1,IF(AW33=1,2,IF(AW33=0,2)))))</f>
        <v/>
      </c>
      <c r="AU35" s="1220"/>
      <c r="AV35" s="1221"/>
      <c r="AW35" s="1234"/>
      <c r="AX35" s="1235"/>
      <c r="AY35" s="1236"/>
      <c r="AZ35" s="1222" t="str">
        <f t="shared" ref="AZ35" si="14">IF(B35="","",SUM(G35,J35,M35,P35,S35,V35,Y35,AB35,AE35,AH35,AK35,AN35,AQ35,AT35,AW35))</f>
        <v/>
      </c>
      <c r="BA35" s="1223"/>
      <c r="BB35" s="1226"/>
      <c r="BC35" s="1228" t="str">
        <f>IF(B35="","",RANK(AZ35,Ф3Оч)+32)</f>
        <v/>
      </c>
    </row>
    <row r="36" spans="1:55" ht="15.75" customHeight="1" x14ac:dyDescent="0.25">
      <c r="A36" s="1241"/>
      <c r="B36" s="1230"/>
      <c r="C36" s="141" t="str">
        <f>IF(B35="","",VLOOKUP(B35,'Списки участников'!A:I,6,FALSE))</f>
        <v/>
      </c>
      <c r="D36" s="148" t="str">
        <f>IF(AW6="","",IF(AY6="l","W",AY6))</f>
        <v/>
      </c>
      <c r="E36" s="143" t="str">
        <f>IF(AX6="","",":")</f>
        <v/>
      </c>
      <c r="F36" s="149" t="str">
        <f>IF(AY6="","",IF(AW6="W","L",AW6))</f>
        <v/>
      </c>
      <c r="G36" s="148" t="str">
        <f>IF(AW8="","",IF(AY8="l","W",AY8))</f>
        <v/>
      </c>
      <c r="H36" s="143" t="str">
        <f>IF(AX8="","",":")</f>
        <v/>
      </c>
      <c r="I36" s="149" t="str">
        <f>IF(AY8="","",IF(AW8="W","L",AW8))</f>
        <v/>
      </c>
      <c r="J36" s="148" t="str">
        <f>IF(AW10="","",IF(AY10="l","W",AY10))</f>
        <v/>
      </c>
      <c r="K36" s="143" t="str">
        <f>IF(AX10="","",":")</f>
        <v/>
      </c>
      <c r="L36" s="149" t="str">
        <f>IF(AY10="","",IF(AW10="W","L",AW10))</f>
        <v/>
      </c>
      <c r="M36" s="148" t="str">
        <f>IF(AW12="","",IF(AY12="l","W",AY12))</f>
        <v/>
      </c>
      <c r="N36" s="143" t="str">
        <f>IF(AX12="","",":")</f>
        <v/>
      </c>
      <c r="O36" s="149" t="str">
        <f>IF(AY12="","",IF(AW12="W","L",AW12))</f>
        <v/>
      </c>
      <c r="P36" s="148" t="str">
        <f>IF(AW14="","",IF(AY14="l","W",AY14))</f>
        <v/>
      </c>
      <c r="Q36" s="143" t="str">
        <f>IF(AX14="","",":")</f>
        <v/>
      </c>
      <c r="R36" s="149" t="str">
        <f>IF(AY14="","",IF(AW14="W","L",AW14))</f>
        <v/>
      </c>
      <c r="S36" s="148" t="str">
        <f>IF(AW16="","",IF(AY16="l","W",AY16))</f>
        <v/>
      </c>
      <c r="T36" s="143" t="str">
        <f>IF(AX16="","",":")</f>
        <v/>
      </c>
      <c r="U36" s="149" t="str">
        <f>IF(AY16="","",IF(AW16="W","L",AW16))</f>
        <v/>
      </c>
      <c r="V36" s="148" t="str">
        <f>IF(AW18="","",IF(AY18="l","W",AY18))</f>
        <v/>
      </c>
      <c r="W36" s="143" t="str">
        <f>IF(AX18="","",":")</f>
        <v/>
      </c>
      <c r="X36" s="149" t="str">
        <f>IF(AY18="","",IF(AW18="W","L",AW18))</f>
        <v/>
      </c>
      <c r="Y36" s="148" t="str">
        <f>IF(AW20="","",IF(AY20="l","W",AY20))</f>
        <v/>
      </c>
      <c r="Z36" s="143" t="str">
        <f>IF(AX20="","",":")</f>
        <v/>
      </c>
      <c r="AA36" s="149" t="str">
        <f>IF(AY20="","",IF(AW20="W","L",AW20))</f>
        <v/>
      </c>
      <c r="AB36" s="148" t="str">
        <f>IF(AW22="","",IF(AY22="l","W",AY22))</f>
        <v/>
      </c>
      <c r="AC36" s="143" t="str">
        <f>IF(AX22="","",":")</f>
        <v/>
      </c>
      <c r="AD36" s="149" t="str">
        <f>IF(AY22="","",IF(AW22="W","L",AW22))</f>
        <v/>
      </c>
      <c r="AE36" s="148" t="str">
        <f>IF(AW24="","",IF(AY24="l","W",AY24))</f>
        <v/>
      </c>
      <c r="AF36" s="143" t="str">
        <f>IF(AX24="","",":")</f>
        <v/>
      </c>
      <c r="AG36" s="149" t="str">
        <f>IF(AY24="","",IF(AW24="W","L",AW24))</f>
        <v/>
      </c>
      <c r="AH36" s="148" t="str">
        <f>IF(AW26="","",IF(AY26="l","W",AY26))</f>
        <v/>
      </c>
      <c r="AI36" s="143" t="str">
        <f>IF(AX26="","",":")</f>
        <v/>
      </c>
      <c r="AJ36" s="149" t="str">
        <f>IF(AY26="","",IF(AW26="W","L",AW26))</f>
        <v/>
      </c>
      <c r="AK36" s="148" t="str">
        <f>IF(AW28="","",IF(AY28="l","W",AY28))</f>
        <v/>
      </c>
      <c r="AL36" s="143" t="str">
        <f>IF(AX28="","",":")</f>
        <v/>
      </c>
      <c r="AM36" s="149" t="str">
        <f>IF(AY28="","",IF(AW28="W","L",AW28))</f>
        <v/>
      </c>
      <c r="AN36" s="148" t="str">
        <f>IF(AW30="","",IF(AY30="l","W",AY30))</f>
        <v/>
      </c>
      <c r="AO36" s="143" t="str">
        <f>IF(AX30="","",":")</f>
        <v/>
      </c>
      <c r="AP36" s="149" t="str">
        <f>IF(AY30="","",IF(AW30="W","L",AW30))</f>
        <v/>
      </c>
      <c r="AQ36" s="148" t="str">
        <f>IF(AW32="","",IF(AY32="l","W",AY32))</f>
        <v/>
      </c>
      <c r="AR36" s="143" t="str">
        <f>IF(AX32="","",":")</f>
        <v/>
      </c>
      <c r="AS36" s="149" t="str">
        <f>IF(AY32="","",IF(AW32="W","L",AW32))</f>
        <v/>
      </c>
      <c r="AT36" s="148" t="str">
        <f>IF(AW34="","",IF(AY34="l","W",AY34))</f>
        <v/>
      </c>
      <c r="AU36" s="143" t="str">
        <f>IF(AX34="","",":")</f>
        <v/>
      </c>
      <c r="AV36" s="149" t="str">
        <f>IF(AY34="","",IF(AW34="W","L",AW34))</f>
        <v/>
      </c>
      <c r="AW36" s="1237"/>
      <c r="AX36" s="1217"/>
      <c r="AY36" s="1218"/>
      <c r="AZ36" s="1224"/>
      <c r="BA36" s="1225"/>
      <c r="BB36" s="1227"/>
      <c r="BC36" s="1228"/>
    </row>
    <row r="38" spans="1:55" ht="18.75" x14ac:dyDescent="0.3">
      <c r="C38" s="150" t="s">
        <v>791</v>
      </c>
      <c r="D38" s="150"/>
      <c r="E38" s="1242" t="str">
        <f>'Списки участников'!I121</f>
        <v>В.А. Коваль</v>
      </c>
      <c r="F38" s="1242"/>
      <c r="G38" s="1242"/>
      <c r="H38" s="1242"/>
      <c r="I38" s="1242"/>
      <c r="J38" s="1242"/>
      <c r="K38" s="1242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243" t="s">
        <v>792</v>
      </c>
      <c r="X38" s="1243"/>
      <c r="Y38" s="1243"/>
      <c r="Z38" s="1243"/>
      <c r="AA38" s="1243"/>
      <c r="AB38" s="1243"/>
      <c r="AC38" s="1243"/>
      <c r="AD38" s="1243"/>
      <c r="AE38" s="1243"/>
      <c r="AF38" s="1243"/>
      <c r="AG38" s="1243"/>
      <c r="AH38" s="1243"/>
      <c r="AI38" s="150"/>
      <c r="AJ38" s="150"/>
      <c r="AK38" s="150"/>
      <c r="AL38" s="1243" t="str">
        <f>'Списки участников'!I122</f>
        <v>А.С. Рожкова</v>
      </c>
      <c r="AM38" s="1243"/>
      <c r="AN38" s="1243"/>
      <c r="AO38" s="1243"/>
      <c r="AP38" s="1243"/>
      <c r="AQ38" s="1243"/>
      <c r="AR38" s="1243"/>
      <c r="AS38" s="1243"/>
      <c r="AT38" s="1243"/>
      <c r="AU38" s="1243"/>
      <c r="AV38" s="1243"/>
      <c r="AW38" s="1243"/>
      <c r="AX38" s="1243"/>
      <c r="AY38" s="1243"/>
      <c r="AZ38" s="1243"/>
      <c r="BA38" s="1243"/>
      <c r="BB38" s="1243"/>
      <c r="BC38" s="150"/>
    </row>
  </sheetData>
  <mergeCells count="361">
    <mergeCell ref="A1:BA1"/>
    <mergeCell ref="C2:F2"/>
    <mergeCell ref="I2:AH2"/>
    <mergeCell ref="AK2:BB2"/>
    <mergeCell ref="D4:F4"/>
    <mergeCell ref="G4:I4"/>
    <mergeCell ref="J4:L4"/>
    <mergeCell ref="M4:O4"/>
    <mergeCell ref="P4:R4"/>
    <mergeCell ref="S4:U4"/>
    <mergeCell ref="V4:X4"/>
    <mergeCell ref="Y4:AA4"/>
    <mergeCell ref="AB4:AD4"/>
    <mergeCell ref="AE4:AG4"/>
    <mergeCell ref="AH4:AJ4"/>
    <mergeCell ref="AK4:AM4"/>
    <mergeCell ref="AN4:AP4"/>
    <mergeCell ref="AQ4:AS4"/>
    <mergeCell ref="AT4:AV4"/>
    <mergeCell ref="AW4:AY4"/>
    <mergeCell ref="AZ4:BA4"/>
    <mergeCell ref="D3:O3"/>
    <mergeCell ref="A5:A6"/>
    <mergeCell ref="B5:B6"/>
    <mergeCell ref="D5:F6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S5"/>
    <mergeCell ref="AT5:AV5"/>
    <mergeCell ref="AW5:AY5"/>
    <mergeCell ref="AZ5:BA6"/>
    <mergeCell ref="BB5:BB6"/>
    <mergeCell ref="BC5:BC6"/>
    <mergeCell ref="A7:A8"/>
    <mergeCell ref="B7:B8"/>
    <mergeCell ref="D7:F7"/>
    <mergeCell ref="G7:I8"/>
    <mergeCell ref="J7:L7"/>
    <mergeCell ref="M7:O7"/>
    <mergeCell ref="P7:R7"/>
    <mergeCell ref="S7:U7"/>
    <mergeCell ref="V7:X7"/>
    <mergeCell ref="Y7:AA7"/>
    <mergeCell ref="AB7:AD7"/>
    <mergeCell ref="AE7:AG7"/>
    <mergeCell ref="AH7:AJ7"/>
    <mergeCell ref="AK7:AM7"/>
    <mergeCell ref="AN7:AP7"/>
    <mergeCell ref="AQ7:AS7"/>
    <mergeCell ref="AT7:AV7"/>
    <mergeCell ref="AW7:AY7"/>
    <mergeCell ref="AZ7:BA8"/>
    <mergeCell ref="BB7:BB8"/>
    <mergeCell ref="BC7:BC8"/>
    <mergeCell ref="A9:A10"/>
    <mergeCell ref="B9:B10"/>
    <mergeCell ref="D9:F9"/>
    <mergeCell ref="G9:I9"/>
    <mergeCell ref="J9:L10"/>
    <mergeCell ref="M9:O9"/>
    <mergeCell ref="P9:R9"/>
    <mergeCell ref="S9:U9"/>
    <mergeCell ref="V9:X9"/>
    <mergeCell ref="Y9:AA9"/>
    <mergeCell ref="AB9:AD9"/>
    <mergeCell ref="AE9:AG9"/>
    <mergeCell ref="AH9:AJ9"/>
    <mergeCell ref="AK9:AM9"/>
    <mergeCell ref="AN9:AP9"/>
    <mergeCell ref="AQ9:AS9"/>
    <mergeCell ref="AT9:AV9"/>
    <mergeCell ref="AW9:AY9"/>
    <mergeCell ref="AZ9:BA10"/>
    <mergeCell ref="BB9:BB10"/>
    <mergeCell ref="BC9:BC10"/>
    <mergeCell ref="A11:A12"/>
    <mergeCell ref="B11:B12"/>
    <mergeCell ref="D11:F11"/>
    <mergeCell ref="G11:I11"/>
    <mergeCell ref="J11:L11"/>
    <mergeCell ref="M11:O12"/>
    <mergeCell ref="P11:R11"/>
    <mergeCell ref="S11:U11"/>
    <mergeCell ref="V11:X11"/>
    <mergeCell ref="Y11:AA11"/>
    <mergeCell ref="AB11:AD11"/>
    <mergeCell ref="AE11:AG11"/>
    <mergeCell ref="AH11:AJ11"/>
    <mergeCell ref="AK11:AM11"/>
    <mergeCell ref="AN11:AP11"/>
    <mergeCell ref="AQ11:AS11"/>
    <mergeCell ref="AT11:AV11"/>
    <mergeCell ref="AW11:AY11"/>
    <mergeCell ref="AZ11:BA12"/>
    <mergeCell ref="BB11:BB12"/>
    <mergeCell ref="BC11:BC12"/>
    <mergeCell ref="A13:A14"/>
    <mergeCell ref="B13:B14"/>
    <mergeCell ref="D13:F13"/>
    <mergeCell ref="G13:I13"/>
    <mergeCell ref="J13:L13"/>
    <mergeCell ref="M13:O13"/>
    <mergeCell ref="P13:R14"/>
    <mergeCell ref="S13:U13"/>
    <mergeCell ref="V13:X13"/>
    <mergeCell ref="Y13:AA13"/>
    <mergeCell ref="AB13:AD13"/>
    <mergeCell ref="AE13:AG13"/>
    <mergeCell ref="AH13:AJ13"/>
    <mergeCell ref="AK13:AM13"/>
    <mergeCell ref="AN13:AP13"/>
    <mergeCell ref="AQ13:AS13"/>
    <mergeCell ref="AT13:AV13"/>
    <mergeCell ref="AW13:AY13"/>
    <mergeCell ref="AZ13:BA14"/>
    <mergeCell ref="BB13:BB14"/>
    <mergeCell ref="BC13:BC14"/>
    <mergeCell ref="A15:A16"/>
    <mergeCell ref="B15:B16"/>
    <mergeCell ref="D15:F15"/>
    <mergeCell ref="G15:I15"/>
    <mergeCell ref="J15:L15"/>
    <mergeCell ref="M15:O15"/>
    <mergeCell ref="P15:R15"/>
    <mergeCell ref="S15:U16"/>
    <mergeCell ref="V15:X15"/>
    <mergeCell ref="Y15:AA15"/>
    <mergeCell ref="AB15:AD15"/>
    <mergeCell ref="AE15:AG15"/>
    <mergeCell ref="AH15:AJ15"/>
    <mergeCell ref="AK15:AM15"/>
    <mergeCell ref="AN15:AP15"/>
    <mergeCell ref="AQ15:AS15"/>
    <mergeCell ref="AT15:AV15"/>
    <mergeCell ref="AW15:AY15"/>
    <mergeCell ref="AZ15:BA16"/>
    <mergeCell ref="BB15:BB16"/>
    <mergeCell ref="BC15:BC16"/>
    <mergeCell ref="A17:A18"/>
    <mergeCell ref="B17:B18"/>
    <mergeCell ref="D17:F17"/>
    <mergeCell ref="G17:I17"/>
    <mergeCell ref="J17:L17"/>
    <mergeCell ref="M17:O17"/>
    <mergeCell ref="P17:R17"/>
    <mergeCell ref="S17:U17"/>
    <mergeCell ref="V17:X18"/>
    <mergeCell ref="Y17:AA17"/>
    <mergeCell ref="AB17:AD17"/>
    <mergeCell ref="AE17:AG17"/>
    <mergeCell ref="AH17:AJ17"/>
    <mergeCell ref="AK17:AM17"/>
    <mergeCell ref="AN17:AP17"/>
    <mergeCell ref="AQ17:AS17"/>
    <mergeCell ref="AT17:AV17"/>
    <mergeCell ref="AW17:AY17"/>
    <mergeCell ref="AZ17:BA18"/>
    <mergeCell ref="BB17:BB18"/>
    <mergeCell ref="BC17:BC18"/>
    <mergeCell ref="A19:A20"/>
    <mergeCell ref="B19:B20"/>
    <mergeCell ref="D19:F19"/>
    <mergeCell ref="G19:I19"/>
    <mergeCell ref="J19:L19"/>
    <mergeCell ref="M19:O19"/>
    <mergeCell ref="P19:R19"/>
    <mergeCell ref="S19:U19"/>
    <mergeCell ref="V19:X19"/>
    <mergeCell ref="Y19:AA20"/>
    <mergeCell ref="AB19:AD19"/>
    <mergeCell ref="AE19:AG19"/>
    <mergeCell ref="AH19:AJ19"/>
    <mergeCell ref="AK19:AM19"/>
    <mergeCell ref="AN19:AP19"/>
    <mergeCell ref="AQ19:AS19"/>
    <mergeCell ref="AT19:AV19"/>
    <mergeCell ref="AW19:AY19"/>
    <mergeCell ref="AZ19:BA20"/>
    <mergeCell ref="BB19:BB20"/>
    <mergeCell ref="BC19:BC20"/>
    <mergeCell ref="A21:A22"/>
    <mergeCell ref="B21:B22"/>
    <mergeCell ref="D21:F21"/>
    <mergeCell ref="G21:I21"/>
    <mergeCell ref="J21:L21"/>
    <mergeCell ref="M21:O21"/>
    <mergeCell ref="P21:R21"/>
    <mergeCell ref="S21:U21"/>
    <mergeCell ref="V21:X21"/>
    <mergeCell ref="Y21:AA21"/>
    <mergeCell ref="AB21:AD22"/>
    <mergeCell ref="AE21:AG21"/>
    <mergeCell ref="AH21:AJ21"/>
    <mergeCell ref="AK21:AM21"/>
    <mergeCell ref="AN21:AP21"/>
    <mergeCell ref="AQ21:AS21"/>
    <mergeCell ref="AT21:AV21"/>
    <mergeCell ref="AW21:AY21"/>
    <mergeCell ref="AZ21:BA22"/>
    <mergeCell ref="BB21:BB22"/>
    <mergeCell ref="BC21:BC22"/>
    <mergeCell ref="A23:A24"/>
    <mergeCell ref="B23:B24"/>
    <mergeCell ref="D23:F23"/>
    <mergeCell ref="G23:I23"/>
    <mergeCell ref="J23:L23"/>
    <mergeCell ref="M23:O23"/>
    <mergeCell ref="P23:R23"/>
    <mergeCell ref="S23:U23"/>
    <mergeCell ref="V23:X23"/>
    <mergeCell ref="Y23:AA23"/>
    <mergeCell ref="AB23:AD23"/>
    <mergeCell ref="AE23:AG24"/>
    <mergeCell ref="AH23:AJ23"/>
    <mergeCell ref="AK23:AM23"/>
    <mergeCell ref="AN23:AP23"/>
    <mergeCell ref="AQ23:AS23"/>
    <mergeCell ref="AT23:AV23"/>
    <mergeCell ref="AW23:AY23"/>
    <mergeCell ref="AZ23:BA24"/>
    <mergeCell ref="BB23:BB24"/>
    <mergeCell ref="BC23:BC24"/>
    <mergeCell ref="A25:A26"/>
    <mergeCell ref="B25:B26"/>
    <mergeCell ref="D25:F25"/>
    <mergeCell ref="G25:I25"/>
    <mergeCell ref="J25:L25"/>
    <mergeCell ref="M25:O25"/>
    <mergeCell ref="P25:R25"/>
    <mergeCell ref="S25:U25"/>
    <mergeCell ref="V25:X25"/>
    <mergeCell ref="Y25:AA25"/>
    <mergeCell ref="AB25:AD25"/>
    <mergeCell ref="AE25:AG25"/>
    <mergeCell ref="AH25:AJ26"/>
    <mergeCell ref="AK25:AM25"/>
    <mergeCell ref="AN25:AP25"/>
    <mergeCell ref="AQ25:AS25"/>
    <mergeCell ref="AT25:AV25"/>
    <mergeCell ref="AW25:AY25"/>
    <mergeCell ref="AZ25:BA26"/>
    <mergeCell ref="BB25:BB26"/>
    <mergeCell ref="BC25:BC26"/>
    <mergeCell ref="A27:A28"/>
    <mergeCell ref="B27:B28"/>
    <mergeCell ref="D27:F27"/>
    <mergeCell ref="G27:I27"/>
    <mergeCell ref="J27:L27"/>
    <mergeCell ref="M27:O27"/>
    <mergeCell ref="P27:R27"/>
    <mergeCell ref="S27:U27"/>
    <mergeCell ref="V27:X27"/>
    <mergeCell ref="Y27:AA27"/>
    <mergeCell ref="AB27:AD27"/>
    <mergeCell ref="AE27:AG27"/>
    <mergeCell ref="AH27:AJ27"/>
    <mergeCell ref="AK27:AM28"/>
    <mergeCell ref="AN27:AP27"/>
    <mergeCell ref="AQ27:AS27"/>
    <mergeCell ref="AT27:AV27"/>
    <mergeCell ref="AW27:AY27"/>
    <mergeCell ref="AZ27:BA28"/>
    <mergeCell ref="BB27:BB28"/>
    <mergeCell ref="BC27:BC28"/>
    <mergeCell ref="A29:A30"/>
    <mergeCell ref="B29:B30"/>
    <mergeCell ref="D29:F29"/>
    <mergeCell ref="G29:I29"/>
    <mergeCell ref="J29:L29"/>
    <mergeCell ref="M29:O29"/>
    <mergeCell ref="P29:R29"/>
    <mergeCell ref="S29:U29"/>
    <mergeCell ref="V29:X29"/>
    <mergeCell ref="Y29:AA29"/>
    <mergeCell ref="AB29:AD29"/>
    <mergeCell ref="AE29:AG29"/>
    <mergeCell ref="AH29:AJ29"/>
    <mergeCell ref="AK29:AM29"/>
    <mergeCell ref="AN29:AP30"/>
    <mergeCell ref="AQ29:AS29"/>
    <mergeCell ref="AT29:AV29"/>
    <mergeCell ref="AW29:AY29"/>
    <mergeCell ref="AZ29:BA30"/>
    <mergeCell ref="BB29:BB30"/>
    <mergeCell ref="BC29:BC30"/>
    <mergeCell ref="A31:A32"/>
    <mergeCell ref="B31:B32"/>
    <mergeCell ref="D31:F31"/>
    <mergeCell ref="G31:I31"/>
    <mergeCell ref="J31:L31"/>
    <mergeCell ref="M31:O31"/>
    <mergeCell ref="P31:R31"/>
    <mergeCell ref="S31:U31"/>
    <mergeCell ref="V31:X31"/>
    <mergeCell ref="Y31:AA31"/>
    <mergeCell ref="AB31:AD31"/>
    <mergeCell ref="AE31:AG31"/>
    <mergeCell ref="AH31:AJ31"/>
    <mergeCell ref="AK31:AM31"/>
    <mergeCell ref="AN31:AP31"/>
    <mergeCell ref="AQ31:AS32"/>
    <mergeCell ref="AT31:AV31"/>
    <mergeCell ref="AW31:AY31"/>
    <mergeCell ref="AZ31:BA32"/>
    <mergeCell ref="BB31:BB32"/>
    <mergeCell ref="BC31:BC32"/>
    <mergeCell ref="A33:A34"/>
    <mergeCell ref="B33:B34"/>
    <mergeCell ref="D33:F33"/>
    <mergeCell ref="G33:I33"/>
    <mergeCell ref="J33:L33"/>
    <mergeCell ref="M33:O33"/>
    <mergeCell ref="P33:R33"/>
    <mergeCell ref="S33:U33"/>
    <mergeCell ref="V33:X33"/>
    <mergeCell ref="BC33:BC34"/>
    <mergeCell ref="A35:A36"/>
    <mergeCell ref="B35:B36"/>
    <mergeCell ref="D35:F35"/>
    <mergeCell ref="G35:I35"/>
    <mergeCell ref="J35:L35"/>
    <mergeCell ref="M35:O35"/>
    <mergeCell ref="P35:R35"/>
    <mergeCell ref="S35:U35"/>
    <mergeCell ref="BB35:BB36"/>
    <mergeCell ref="V35:X35"/>
    <mergeCell ref="Y35:AA35"/>
    <mergeCell ref="AB35:AD35"/>
    <mergeCell ref="AE35:AG35"/>
    <mergeCell ref="AH35:AJ35"/>
    <mergeCell ref="AK35:AM35"/>
    <mergeCell ref="BC35:BC36"/>
    <mergeCell ref="Y33:AA33"/>
    <mergeCell ref="AB33:AD33"/>
    <mergeCell ref="AE33:AG33"/>
    <mergeCell ref="AH33:AJ33"/>
    <mergeCell ref="AK33:AM33"/>
    <mergeCell ref="AN33:AP33"/>
    <mergeCell ref="AQ33:AS33"/>
    <mergeCell ref="E38:K38"/>
    <mergeCell ref="W38:AH38"/>
    <mergeCell ref="AL38:BB38"/>
    <mergeCell ref="AN35:AP35"/>
    <mergeCell ref="AQ35:AS35"/>
    <mergeCell ref="AT35:AV35"/>
    <mergeCell ref="AW35:AY36"/>
    <mergeCell ref="AZ35:BA36"/>
    <mergeCell ref="AZ33:BA34"/>
    <mergeCell ref="BB33:BB34"/>
    <mergeCell ref="AT33:AV34"/>
    <mergeCell ref="AW33:AY33"/>
  </mergeCells>
  <pageMargins left="0.51181102362204722" right="0.51181102362204722" top="0.74803149606299213" bottom="0.74803149606299213" header="0.31496062992125984" footer="0.31496062992125984"/>
  <pageSetup paperSize="9" scale="7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70C0"/>
  </sheetPr>
  <dimension ref="A1:BC38"/>
  <sheetViews>
    <sheetView view="pageBreakPreview" zoomScaleNormal="80" zoomScaleSheetLayoutView="100" workbookViewId="0">
      <selection activeCell="BE10" sqref="BE10"/>
    </sheetView>
  </sheetViews>
  <sheetFormatPr defaultColWidth="9.33203125" defaultRowHeight="15" outlineLevelCol="1" x14ac:dyDescent="0.25"/>
  <cols>
    <col min="1" max="1" width="4.83203125" style="135" customWidth="1"/>
    <col min="2" max="2" width="4.83203125" style="135" hidden="1" customWidth="1" outlineLevel="1"/>
    <col min="3" max="3" width="26.83203125" style="135" customWidth="1" collapsed="1"/>
    <col min="4" max="51" width="2.6640625" style="135" customWidth="1"/>
    <col min="52" max="52" width="5.33203125" style="135" customWidth="1"/>
    <col min="53" max="53" width="4.6640625" style="135" customWidth="1"/>
    <col min="54" max="54" width="9.1640625" style="135" customWidth="1"/>
    <col min="55" max="55" width="8.33203125" style="135" customWidth="1"/>
    <col min="56" max="56" width="8.1640625" style="135" customWidth="1"/>
    <col min="57" max="16384" width="9.33203125" style="135"/>
  </cols>
  <sheetData>
    <row r="1" spans="1:55" ht="18.75" x14ac:dyDescent="0.25">
      <c r="A1" s="1211" t="str">
        <f>'Списки участников'!A1</f>
        <v>IV Мемориал Заслуженного тренера России В.А.Воробьева</v>
      </c>
      <c r="B1" s="1244"/>
      <c r="C1" s="1244"/>
      <c r="D1" s="1244"/>
      <c r="E1" s="1244"/>
      <c r="F1" s="1244"/>
      <c r="G1" s="1244"/>
      <c r="H1" s="1244"/>
      <c r="I1" s="1244"/>
      <c r="J1" s="1244"/>
      <c r="K1" s="1244"/>
      <c r="L1" s="1244"/>
      <c r="M1" s="1244"/>
      <c r="N1" s="1244"/>
      <c r="O1" s="1244"/>
      <c r="P1" s="1244"/>
      <c r="Q1" s="1244"/>
      <c r="R1" s="1244"/>
      <c r="S1" s="1244"/>
      <c r="T1" s="1244"/>
      <c r="U1" s="1244"/>
      <c r="V1" s="1244"/>
      <c r="W1" s="1244"/>
      <c r="X1" s="1244"/>
      <c r="Y1" s="1244"/>
      <c r="Z1" s="1244"/>
      <c r="AA1" s="1244"/>
      <c r="AB1" s="1244"/>
      <c r="AC1" s="1244"/>
      <c r="AD1" s="1244"/>
      <c r="AE1" s="1244"/>
      <c r="AF1" s="1244"/>
      <c r="AG1" s="1244"/>
      <c r="AH1" s="1244"/>
      <c r="AI1" s="1244"/>
      <c r="AJ1" s="1244"/>
      <c r="AK1" s="1244"/>
      <c r="AL1" s="1244"/>
      <c r="AM1" s="1244"/>
      <c r="AN1" s="1244"/>
      <c r="AO1" s="1244"/>
      <c r="AP1" s="1244"/>
      <c r="AQ1" s="1244"/>
      <c r="AR1" s="1244"/>
      <c r="AS1" s="1244"/>
      <c r="AT1" s="1244"/>
      <c r="AU1" s="1244"/>
      <c r="AV1" s="1244"/>
      <c r="AW1" s="1244"/>
      <c r="AX1" s="1244"/>
      <c r="AY1" s="1244"/>
      <c r="AZ1" s="1244"/>
      <c r="BA1" s="1244"/>
    </row>
    <row r="2" spans="1:55" ht="18.75" x14ac:dyDescent="0.25">
      <c r="C2" s="1245" t="str">
        <f>'Списки участников'!C3</f>
        <v>26-29 мая 2016 г.</v>
      </c>
      <c r="D2" s="1245"/>
      <c r="E2" s="1245"/>
      <c r="F2" s="1245"/>
      <c r="G2" s="202"/>
      <c r="H2" s="202"/>
      <c r="I2" s="1211" t="str">
        <f>'Списки участников'!A2</f>
        <v>среди юношей и девушек 2002 г.р. и моложе</v>
      </c>
      <c r="J2" s="1212"/>
      <c r="K2" s="1212"/>
      <c r="L2" s="1212"/>
      <c r="M2" s="1212"/>
      <c r="N2" s="1212"/>
      <c r="O2" s="1212"/>
      <c r="P2" s="1212"/>
      <c r="Q2" s="1212"/>
      <c r="R2" s="1212"/>
      <c r="S2" s="1212"/>
      <c r="T2" s="1212"/>
      <c r="U2" s="1212"/>
      <c r="V2" s="1212"/>
      <c r="W2" s="1212"/>
      <c r="X2" s="1212"/>
      <c r="Y2" s="1212"/>
      <c r="Z2" s="1212"/>
      <c r="AA2" s="1212"/>
      <c r="AB2" s="1212"/>
      <c r="AC2" s="1212"/>
      <c r="AD2" s="1212"/>
      <c r="AE2" s="1212"/>
      <c r="AF2" s="1212"/>
      <c r="AG2" s="1212"/>
      <c r="AH2" s="1212"/>
      <c r="AI2" s="202"/>
      <c r="AJ2" s="202"/>
      <c r="AK2" s="1246" t="str">
        <f>'Списки участников'!I3</f>
        <v>г. Москва</v>
      </c>
      <c r="AL2" s="1246"/>
      <c r="AM2" s="1246"/>
      <c r="AN2" s="1246"/>
      <c r="AO2" s="1246"/>
      <c r="AP2" s="1246"/>
      <c r="AQ2" s="1246"/>
      <c r="AR2" s="1246"/>
      <c r="AS2" s="1246"/>
      <c r="AT2" s="1246"/>
      <c r="AU2" s="1246"/>
      <c r="AV2" s="1246"/>
      <c r="AW2" s="1246"/>
      <c r="AX2" s="1246"/>
      <c r="AY2" s="1246"/>
      <c r="AZ2" s="1246"/>
      <c r="BA2" s="1246"/>
      <c r="BB2" s="1246"/>
    </row>
    <row r="3" spans="1:55" ht="18.75" x14ac:dyDescent="0.3">
      <c r="C3" s="740" t="s">
        <v>1139</v>
      </c>
      <c r="D3" s="1204" t="str">
        <f>'Списки участников'!D6</f>
        <v>ЮНОШИ</v>
      </c>
      <c r="E3" s="1205"/>
      <c r="F3" s="1205"/>
      <c r="G3" s="1205"/>
      <c r="H3" s="1205"/>
      <c r="I3" s="1205"/>
      <c r="J3" s="1205"/>
      <c r="K3" s="1205"/>
      <c r="L3" s="1205"/>
      <c r="M3" s="1205"/>
      <c r="N3" s="1205"/>
      <c r="O3" s="1205"/>
    </row>
    <row r="4" spans="1:55" x14ac:dyDescent="0.25">
      <c r="A4" s="136" t="s">
        <v>3</v>
      </c>
      <c r="B4" s="137"/>
      <c r="C4" s="138" t="s">
        <v>788</v>
      </c>
      <c r="D4" s="1208">
        <v>1</v>
      </c>
      <c r="E4" s="1209"/>
      <c r="F4" s="1210"/>
      <c r="G4" s="1208">
        <v>2</v>
      </c>
      <c r="H4" s="1209"/>
      <c r="I4" s="1210"/>
      <c r="J4" s="1208">
        <v>3</v>
      </c>
      <c r="K4" s="1209"/>
      <c r="L4" s="1210"/>
      <c r="M4" s="1208">
        <v>4</v>
      </c>
      <c r="N4" s="1209"/>
      <c r="O4" s="1210"/>
      <c r="P4" s="1208">
        <v>5</v>
      </c>
      <c r="Q4" s="1209"/>
      <c r="R4" s="1210"/>
      <c r="S4" s="1208">
        <v>6</v>
      </c>
      <c r="T4" s="1209"/>
      <c r="U4" s="1210"/>
      <c r="V4" s="1208">
        <v>7</v>
      </c>
      <c r="W4" s="1209"/>
      <c r="X4" s="1210"/>
      <c r="Y4" s="1208">
        <v>8</v>
      </c>
      <c r="Z4" s="1209"/>
      <c r="AA4" s="1210"/>
      <c r="AB4" s="1208">
        <v>9</v>
      </c>
      <c r="AC4" s="1209"/>
      <c r="AD4" s="1210"/>
      <c r="AE4" s="1208">
        <v>10</v>
      </c>
      <c r="AF4" s="1209"/>
      <c r="AG4" s="1210"/>
      <c r="AH4" s="1208">
        <v>11</v>
      </c>
      <c r="AI4" s="1209"/>
      <c r="AJ4" s="1210"/>
      <c r="AK4" s="1208">
        <v>12</v>
      </c>
      <c r="AL4" s="1209"/>
      <c r="AM4" s="1210"/>
      <c r="AN4" s="1208">
        <v>13</v>
      </c>
      <c r="AO4" s="1209"/>
      <c r="AP4" s="1210"/>
      <c r="AQ4" s="1208">
        <v>14</v>
      </c>
      <c r="AR4" s="1209"/>
      <c r="AS4" s="1210"/>
      <c r="AT4" s="1208">
        <v>15</v>
      </c>
      <c r="AU4" s="1209"/>
      <c r="AV4" s="1210"/>
      <c r="AW4" s="1208">
        <v>16</v>
      </c>
      <c r="AX4" s="1209"/>
      <c r="AY4" s="1210"/>
      <c r="AZ4" s="1208" t="s">
        <v>789</v>
      </c>
      <c r="BA4" s="1210"/>
      <c r="BB4" s="201" t="s">
        <v>790</v>
      </c>
      <c r="BC4" s="139" t="s">
        <v>100</v>
      </c>
    </row>
    <row r="5" spans="1:55" ht="15.75" x14ac:dyDescent="0.25">
      <c r="A5" s="1163">
        <v>1</v>
      </c>
      <c r="B5" s="1213"/>
      <c r="C5" s="140" t="str">
        <f>IF(B5="","",VLOOKUP(B5,'Списки участников'!A:I,3,FALSE))</f>
        <v/>
      </c>
      <c r="D5" s="1215"/>
      <c r="E5" s="1215"/>
      <c r="F5" s="1216"/>
      <c r="G5" s="1219"/>
      <c r="H5" s="1220"/>
      <c r="I5" s="1221"/>
      <c r="J5" s="1219"/>
      <c r="K5" s="1220"/>
      <c r="L5" s="1221"/>
      <c r="M5" s="1219"/>
      <c r="N5" s="1220"/>
      <c r="O5" s="1221"/>
      <c r="P5" s="1219"/>
      <c r="Q5" s="1220"/>
      <c r="R5" s="1221"/>
      <c r="S5" s="1219"/>
      <c r="T5" s="1220"/>
      <c r="U5" s="1221"/>
      <c r="V5" s="1219"/>
      <c r="W5" s="1220"/>
      <c r="X5" s="1221"/>
      <c r="Y5" s="1219"/>
      <c r="Z5" s="1220"/>
      <c r="AA5" s="1221"/>
      <c r="AB5" s="1219"/>
      <c r="AC5" s="1220"/>
      <c r="AD5" s="1221"/>
      <c r="AE5" s="1219"/>
      <c r="AF5" s="1220"/>
      <c r="AG5" s="1221"/>
      <c r="AH5" s="1219"/>
      <c r="AI5" s="1220"/>
      <c r="AJ5" s="1221"/>
      <c r="AK5" s="1219"/>
      <c r="AL5" s="1220"/>
      <c r="AM5" s="1221"/>
      <c r="AN5" s="1219"/>
      <c r="AO5" s="1220"/>
      <c r="AP5" s="1221"/>
      <c r="AQ5" s="1219"/>
      <c r="AR5" s="1220"/>
      <c r="AS5" s="1221"/>
      <c r="AT5" s="1219"/>
      <c r="AU5" s="1220"/>
      <c r="AV5" s="1221"/>
      <c r="AW5" s="1219"/>
      <c r="AX5" s="1220"/>
      <c r="AY5" s="1221"/>
      <c r="AZ5" s="1222" t="str">
        <f>IF(B5="","",SUM(G5,J5,M5,P5,S5,V5,Y5,AB5,AE5,AH5,AK5,AN5,AQ5,AT5,AW5))</f>
        <v/>
      </c>
      <c r="BA5" s="1223"/>
      <c r="BB5" s="1226"/>
      <c r="BC5" s="1228" t="str">
        <f>IF(B5="","",RANK(AZ5,Ф4Оч)+48)</f>
        <v/>
      </c>
    </row>
    <row r="6" spans="1:55" ht="15.75" x14ac:dyDescent="0.25">
      <c r="A6" s="1164"/>
      <c r="B6" s="1214"/>
      <c r="C6" s="141" t="str">
        <f>IF(B5="","",VLOOKUP(B5,'Списки участников'!A:I,6,FALSE))</f>
        <v/>
      </c>
      <c r="D6" s="1217"/>
      <c r="E6" s="1217"/>
      <c r="F6" s="1218"/>
      <c r="G6" s="142"/>
      <c r="H6" s="143" t="str">
        <f>IF(G5="","",":")</f>
        <v/>
      </c>
      <c r="I6" s="144"/>
      <c r="J6" s="142"/>
      <c r="K6" s="143" t="str">
        <f>IF(J5="","",":")</f>
        <v/>
      </c>
      <c r="L6" s="144"/>
      <c r="M6" s="142"/>
      <c r="N6" s="143" t="str">
        <f>IF(M5="","",":")</f>
        <v/>
      </c>
      <c r="O6" s="144"/>
      <c r="P6" s="142"/>
      <c r="Q6" s="143" t="str">
        <f>IF(P5="","",":")</f>
        <v/>
      </c>
      <c r="R6" s="144"/>
      <c r="S6" s="142"/>
      <c r="T6" s="143" t="str">
        <f>IF(S5="","",":")</f>
        <v/>
      </c>
      <c r="U6" s="144"/>
      <c r="V6" s="142"/>
      <c r="W6" s="143" t="str">
        <f>IF(V5="","",":")</f>
        <v/>
      </c>
      <c r="X6" s="144"/>
      <c r="Y6" s="142"/>
      <c r="Z6" s="143" t="str">
        <f>IF(Y5="","",":")</f>
        <v/>
      </c>
      <c r="AA6" s="144"/>
      <c r="AB6" s="142"/>
      <c r="AC6" s="143" t="str">
        <f>IF(AB5="","",":")</f>
        <v/>
      </c>
      <c r="AD6" s="144"/>
      <c r="AE6" s="142"/>
      <c r="AF6" s="143" t="str">
        <f>IF(AE5="","",":")</f>
        <v/>
      </c>
      <c r="AG6" s="144"/>
      <c r="AH6" s="142"/>
      <c r="AI6" s="143" t="str">
        <f>IF(AH5="","",":")</f>
        <v/>
      </c>
      <c r="AJ6" s="144"/>
      <c r="AK6" s="142"/>
      <c r="AL6" s="143" t="str">
        <f>IF(AK5="","",":")</f>
        <v/>
      </c>
      <c r="AM6" s="144"/>
      <c r="AN6" s="142"/>
      <c r="AO6" s="143" t="str">
        <f>IF(AN5="","",":")</f>
        <v/>
      </c>
      <c r="AP6" s="144"/>
      <c r="AQ6" s="142"/>
      <c r="AR6" s="143" t="str">
        <f>IF(AQ5="","",":")</f>
        <v/>
      </c>
      <c r="AS6" s="144"/>
      <c r="AT6" s="142"/>
      <c r="AU6" s="143" t="str">
        <f>IF(AT5="","",":")</f>
        <v/>
      </c>
      <c r="AV6" s="144"/>
      <c r="AW6" s="142"/>
      <c r="AX6" s="143" t="str">
        <f>IF(AW5="","",":")</f>
        <v/>
      </c>
      <c r="AY6" s="144"/>
      <c r="AZ6" s="1224"/>
      <c r="BA6" s="1225"/>
      <c r="BB6" s="1227"/>
      <c r="BC6" s="1228"/>
    </row>
    <row r="7" spans="1:55" ht="15.75" customHeight="1" x14ac:dyDescent="0.25">
      <c r="A7" s="1163">
        <v>2</v>
      </c>
      <c r="B7" s="1229"/>
      <c r="C7" s="140" t="str">
        <f>IF(B7="","",VLOOKUP(B7,'Списки участников'!A:I,3,FALSE))</f>
        <v/>
      </c>
      <c r="D7" s="1231" t="str">
        <f>IF(G5="","",IF(G6="W",0,IF(G5=2,1,IF(G5=1,2,IF(G5=0,2)))))</f>
        <v/>
      </c>
      <c r="E7" s="1232"/>
      <c r="F7" s="1233"/>
      <c r="G7" s="1234"/>
      <c r="H7" s="1235"/>
      <c r="I7" s="1236"/>
      <c r="J7" s="1219"/>
      <c r="K7" s="1220"/>
      <c r="L7" s="1221"/>
      <c r="M7" s="1219"/>
      <c r="N7" s="1220"/>
      <c r="O7" s="1221"/>
      <c r="P7" s="1219"/>
      <c r="Q7" s="1220"/>
      <c r="R7" s="1221"/>
      <c r="S7" s="1219"/>
      <c r="T7" s="1220"/>
      <c r="U7" s="1221"/>
      <c r="V7" s="1219"/>
      <c r="W7" s="1220"/>
      <c r="X7" s="1221"/>
      <c r="Y7" s="1219"/>
      <c r="Z7" s="1220"/>
      <c r="AA7" s="1221"/>
      <c r="AB7" s="1219"/>
      <c r="AC7" s="1220"/>
      <c r="AD7" s="1221"/>
      <c r="AE7" s="1219"/>
      <c r="AF7" s="1220"/>
      <c r="AG7" s="1221"/>
      <c r="AH7" s="1219"/>
      <c r="AI7" s="1220"/>
      <c r="AJ7" s="1221"/>
      <c r="AK7" s="1219"/>
      <c r="AL7" s="1220"/>
      <c r="AM7" s="1221"/>
      <c r="AN7" s="1219"/>
      <c r="AO7" s="1220"/>
      <c r="AP7" s="1221"/>
      <c r="AQ7" s="1219"/>
      <c r="AR7" s="1220"/>
      <c r="AS7" s="1221"/>
      <c r="AT7" s="1219"/>
      <c r="AU7" s="1220"/>
      <c r="AV7" s="1221"/>
      <c r="AW7" s="1219"/>
      <c r="AX7" s="1220"/>
      <c r="AY7" s="1221"/>
      <c r="AZ7" s="1222" t="str">
        <f t="shared" ref="AZ7" si="0">IF(B7="","",SUM(G7,J7,M7,P7,S7,V7,Y7,AB7,AE7,AH7,AK7,AN7,AQ7,AT7,AW7))</f>
        <v/>
      </c>
      <c r="BA7" s="1223"/>
      <c r="BB7" s="1226"/>
      <c r="BC7" s="1228" t="str">
        <f>IF(B7="","",RANK(AZ7,Ф4Оч)+48)</f>
        <v/>
      </c>
    </row>
    <row r="8" spans="1:55" ht="15.75" customHeight="1" x14ac:dyDescent="0.25">
      <c r="A8" s="1164"/>
      <c r="B8" s="1230"/>
      <c r="C8" s="141" t="str">
        <f>IF(B7="","",VLOOKUP(B7,'Списки участников'!A:I,6,FALSE))</f>
        <v/>
      </c>
      <c r="D8" s="145" t="str">
        <f>IF(G6="","",IF(I6="l","W",I6))</f>
        <v/>
      </c>
      <c r="E8" s="146" t="str">
        <f>IF(G5="","",":")</f>
        <v/>
      </c>
      <c r="F8" s="147" t="str">
        <f>IF(I6="","",IF(G6="W","L",G6))</f>
        <v/>
      </c>
      <c r="G8" s="1237"/>
      <c r="H8" s="1217"/>
      <c r="I8" s="1218"/>
      <c r="J8" s="142"/>
      <c r="K8" s="143" t="str">
        <f>IF(J7="","",":")</f>
        <v/>
      </c>
      <c r="L8" s="144"/>
      <c r="M8" s="142"/>
      <c r="N8" s="143" t="str">
        <f>IF(M7="","",":")</f>
        <v/>
      </c>
      <c r="O8" s="144"/>
      <c r="P8" s="142"/>
      <c r="Q8" s="143" t="str">
        <f>IF(P7="","",":")</f>
        <v/>
      </c>
      <c r="R8" s="144"/>
      <c r="S8" s="142"/>
      <c r="T8" s="143" t="str">
        <f>IF(S7="","",":")</f>
        <v/>
      </c>
      <c r="U8" s="144"/>
      <c r="V8" s="142"/>
      <c r="W8" s="143" t="str">
        <f>IF(V7="","",":")</f>
        <v/>
      </c>
      <c r="X8" s="144"/>
      <c r="Y8" s="142"/>
      <c r="Z8" s="143" t="str">
        <f>IF(Y7="","",":")</f>
        <v/>
      </c>
      <c r="AA8" s="144"/>
      <c r="AB8" s="142"/>
      <c r="AC8" s="143" t="str">
        <f>IF(AB7="","",":")</f>
        <v/>
      </c>
      <c r="AD8" s="144"/>
      <c r="AE8" s="142"/>
      <c r="AF8" s="143" t="str">
        <f>IF(AE7="","",":")</f>
        <v/>
      </c>
      <c r="AG8" s="144"/>
      <c r="AH8" s="142"/>
      <c r="AI8" s="143" t="str">
        <f>IF(AH7="","",":")</f>
        <v/>
      </c>
      <c r="AJ8" s="144"/>
      <c r="AK8" s="142"/>
      <c r="AL8" s="143" t="str">
        <f>IF(AK7="","",":")</f>
        <v/>
      </c>
      <c r="AM8" s="144"/>
      <c r="AN8" s="142"/>
      <c r="AO8" s="143" t="str">
        <f>IF(AN7="","",":")</f>
        <v/>
      </c>
      <c r="AP8" s="144"/>
      <c r="AQ8" s="142"/>
      <c r="AR8" s="143" t="str">
        <f>IF(AQ7="","",":")</f>
        <v/>
      </c>
      <c r="AS8" s="144"/>
      <c r="AT8" s="142"/>
      <c r="AU8" s="143" t="str">
        <f>IF(AT7="","",":")</f>
        <v/>
      </c>
      <c r="AV8" s="144"/>
      <c r="AW8" s="142"/>
      <c r="AX8" s="143" t="str">
        <f>IF(AW7="","",":")</f>
        <v/>
      </c>
      <c r="AY8" s="144"/>
      <c r="AZ8" s="1224"/>
      <c r="BA8" s="1225"/>
      <c r="BB8" s="1227"/>
      <c r="BC8" s="1228"/>
    </row>
    <row r="9" spans="1:55" ht="15.75" customHeight="1" x14ac:dyDescent="0.25">
      <c r="A9" s="1163">
        <v>3</v>
      </c>
      <c r="B9" s="1229"/>
      <c r="C9" s="140" t="str">
        <f>IF(B9="","",VLOOKUP(B9,'Списки участников'!A:I,3,FALSE))</f>
        <v/>
      </c>
      <c r="D9" s="1231" t="str">
        <f>IF(J5="","",IF(J6="W",0,IF(J5=2,1,IF(J5=1,2,IF(J5=0,2)))))</f>
        <v/>
      </c>
      <c r="E9" s="1232"/>
      <c r="F9" s="1233"/>
      <c r="G9" s="1219" t="str">
        <f>IF(J7="","",IF(J8="W",0,IF(J7=2,1,IF(J7=1,2,IF(J7=0,2)))))</f>
        <v/>
      </c>
      <c r="H9" s="1220"/>
      <c r="I9" s="1221"/>
      <c r="J9" s="1234"/>
      <c r="K9" s="1235"/>
      <c r="L9" s="1236"/>
      <c r="M9" s="1219"/>
      <c r="N9" s="1220"/>
      <c r="O9" s="1221"/>
      <c r="P9" s="1219"/>
      <c r="Q9" s="1220"/>
      <c r="R9" s="1221"/>
      <c r="S9" s="1219"/>
      <c r="T9" s="1220"/>
      <c r="U9" s="1221"/>
      <c r="V9" s="1219"/>
      <c r="W9" s="1220"/>
      <c r="X9" s="1221"/>
      <c r="Y9" s="1219"/>
      <c r="Z9" s="1220"/>
      <c r="AA9" s="1221"/>
      <c r="AB9" s="1219"/>
      <c r="AC9" s="1220"/>
      <c r="AD9" s="1221"/>
      <c r="AE9" s="1219"/>
      <c r="AF9" s="1220"/>
      <c r="AG9" s="1221"/>
      <c r="AH9" s="1219"/>
      <c r="AI9" s="1220"/>
      <c r="AJ9" s="1221"/>
      <c r="AK9" s="1219"/>
      <c r="AL9" s="1220"/>
      <c r="AM9" s="1221"/>
      <c r="AN9" s="1219"/>
      <c r="AO9" s="1220"/>
      <c r="AP9" s="1221"/>
      <c r="AQ9" s="1219"/>
      <c r="AR9" s="1220"/>
      <c r="AS9" s="1221"/>
      <c r="AT9" s="1219"/>
      <c r="AU9" s="1220"/>
      <c r="AV9" s="1221"/>
      <c r="AW9" s="1219"/>
      <c r="AX9" s="1220"/>
      <c r="AY9" s="1221"/>
      <c r="AZ9" s="1222" t="str">
        <f t="shared" ref="AZ9" si="1">IF(B9="","",SUM(G9,J9,M9,P9,S9,V9,Y9,AB9,AE9,AH9,AK9,AN9,AQ9,AT9,AW9))</f>
        <v/>
      </c>
      <c r="BA9" s="1223"/>
      <c r="BB9" s="1226"/>
      <c r="BC9" s="1228" t="str">
        <f>IF(B9="","",RANK(AZ9,Ф4Оч)+48)</f>
        <v/>
      </c>
    </row>
    <row r="10" spans="1:55" ht="15.75" customHeight="1" x14ac:dyDescent="0.25">
      <c r="A10" s="1164"/>
      <c r="B10" s="1230"/>
      <c r="C10" s="141" t="str">
        <f>IF(B9="","",VLOOKUP(B9,'Списки участников'!A:I,6,FALSE))</f>
        <v/>
      </c>
      <c r="D10" s="148" t="str">
        <f>IF(J6="","",IF(L6="l","W",L6))</f>
        <v/>
      </c>
      <c r="E10" s="143" t="str">
        <f>IF(K6="","",":")</f>
        <v/>
      </c>
      <c r="F10" s="149" t="str">
        <f>IF(L6="","",IF(J6="W","L",J6))</f>
        <v/>
      </c>
      <c r="G10" s="148" t="str">
        <f>IF(J8="","",IF(L8="l","W",L8))</f>
        <v/>
      </c>
      <c r="H10" s="143" t="str">
        <f>IF(K8="","",":")</f>
        <v/>
      </c>
      <c r="I10" s="149" t="str">
        <f>IF(L8="","",IF(J8="W","L",J8))</f>
        <v/>
      </c>
      <c r="J10" s="1237"/>
      <c r="K10" s="1217"/>
      <c r="L10" s="1218"/>
      <c r="M10" s="142"/>
      <c r="N10" s="143" t="str">
        <f>IF(M9="","",":")</f>
        <v/>
      </c>
      <c r="O10" s="144"/>
      <c r="P10" s="142"/>
      <c r="Q10" s="143" t="str">
        <f>IF(P9="","",":")</f>
        <v/>
      </c>
      <c r="R10" s="144"/>
      <c r="S10" s="142"/>
      <c r="T10" s="143" t="str">
        <f>IF(S9="","",":")</f>
        <v/>
      </c>
      <c r="U10" s="144"/>
      <c r="V10" s="142"/>
      <c r="W10" s="143" t="str">
        <f>IF(V9="","",":")</f>
        <v/>
      </c>
      <c r="X10" s="144"/>
      <c r="Y10" s="142"/>
      <c r="Z10" s="143" t="str">
        <f>IF(Y9="","",":")</f>
        <v/>
      </c>
      <c r="AA10" s="144"/>
      <c r="AB10" s="142"/>
      <c r="AC10" s="143" t="str">
        <f>IF(AB9="","",":")</f>
        <v/>
      </c>
      <c r="AD10" s="144"/>
      <c r="AE10" s="142"/>
      <c r="AF10" s="143" t="str">
        <f>IF(AE9="","",":")</f>
        <v/>
      </c>
      <c r="AG10" s="144"/>
      <c r="AH10" s="142"/>
      <c r="AI10" s="143" t="str">
        <f>IF(AH9="","",":")</f>
        <v/>
      </c>
      <c r="AJ10" s="144"/>
      <c r="AK10" s="142"/>
      <c r="AL10" s="143" t="str">
        <f>IF(AK9="","",":")</f>
        <v/>
      </c>
      <c r="AM10" s="144"/>
      <c r="AN10" s="142"/>
      <c r="AO10" s="143" t="str">
        <f>IF(AN9="","",":")</f>
        <v/>
      </c>
      <c r="AP10" s="144"/>
      <c r="AQ10" s="142"/>
      <c r="AR10" s="143" t="str">
        <f>IF(AQ9="","",":")</f>
        <v/>
      </c>
      <c r="AS10" s="144"/>
      <c r="AT10" s="142"/>
      <c r="AU10" s="143" t="str">
        <f>IF(AT9="","",":")</f>
        <v/>
      </c>
      <c r="AV10" s="144"/>
      <c r="AW10" s="142"/>
      <c r="AX10" s="143" t="str">
        <f>IF(AW9="","",":")</f>
        <v/>
      </c>
      <c r="AY10" s="144"/>
      <c r="AZ10" s="1224"/>
      <c r="BA10" s="1225"/>
      <c r="BB10" s="1227"/>
      <c r="BC10" s="1228"/>
    </row>
    <row r="11" spans="1:55" ht="15.75" customHeight="1" x14ac:dyDescent="0.25">
      <c r="A11" s="1163">
        <v>4</v>
      </c>
      <c r="B11" s="1229"/>
      <c r="C11" s="140" t="str">
        <f>IF(B11="","",VLOOKUP(B11,'Списки участников'!A:I,3,FALSE))</f>
        <v/>
      </c>
      <c r="D11" s="1219" t="str">
        <f>IF(M5="","",IF(M6="W",0,IF(M5=2,1,IF(M5=1,2,IF(M5=0,2)))))</f>
        <v/>
      </c>
      <c r="E11" s="1220"/>
      <c r="F11" s="1221"/>
      <c r="G11" s="1219" t="str">
        <f>IF(M7="","",IF(M8="W",0,IF(M7=2,1,IF(M7=1,2,IF(M7=0,2)))))</f>
        <v/>
      </c>
      <c r="H11" s="1220"/>
      <c r="I11" s="1221"/>
      <c r="J11" s="1219" t="str">
        <f>IF(M9="","",IF(M10="W",0,IF(M9=2,1,IF(M9=1,2,IF(M9=0,2)))))</f>
        <v/>
      </c>
      <c r="K11" s="1220"/>
      <c r="L11" s="1221"/>
      <c r="M11" s="1235"/>
      <c r="N11" s="1235"/>
      <c r="O11" s="1235"/>
      <c r="P11" s="1219"/>
      <c r="Q11" s="1220"/>
      <c r="R11" s="1221"/>
      <c r="S11" s="1219"/>
      <c r="T11" s="1220"/>
      <c r="U11" s="1221"/>
      <c r="V11" s="1219"/>
      <c r="W11" s="1220"/>
      <c r="X11" s="1221"/>
      <c r="Y11" s="1219"/>
      <c r="Z11" s="1220"/>
      <c r="AA11" s="1221"/>
      <c r="AB11" s="1219"/>
      <c r="AC11" s="1220"/>
      <c r="AD11" s="1221"/>
      <c r="AE11" s="1219"/>
      <c r="AF11" s="1220"/>
      <c r="AG11" s="1221"/>
      <c r="AH11" s="1219"/>
      <c r="AI11" s="1220"/>
      <c r="AJ11" s="1221"/>
      <c r="AK11" s="1219"/>
      <c r="AL11" s="1220"/>
      <c r="AM11" s="1221"/>
      <c r="AN11" s="1219"/>
      <c r="AO11" s="1220"/>
      <c r="AP11" s="1221"/>
      <c r="AQ11" s="1219"/>
      <c r="AR11" s="1220"/>
      <c r="AS11" s="1221"/>
      <c r="AT11" s="1219"/>
      <c r="AU11" s="1220"/>
      <c r="AV11" s="1221"/>
      <c r="AW11" s="1219"/>
      <c r="AX11" s="1220"/>
      <c r="AY11" s="1221"/>
      <c r="AZ11" s="1222" t="str">
        <f t="shared" ref="AZ11" si="2">IF(B11="","",SUM(G11,J11,M11,P11,S11,V11,Y11,AB11,AE11,AH11,AK11,AN11,AQ11,AT11,AW11))</f>
        <v/>
      </c>
      <c r="BA11" s="1223"/>
      <c r="BB11" s="1226"/>
      <c r="BC11" s="1228" t="str">
        <f>IF(B11="","",RANK(AZ11,Ф4Оч)+48)</f>
        <v/>
      </c>
    </row>
    <row r="12" spans="1:55" ht="15.75" customHeight="1" x14ac:dyDescent="0.25">
      <c r="A12" s="1164"/>
      <c r="B12" s="1230"/>
      <c r="C12" s="141" t="str">
        <f>IF(B11="","",VLOOKUP(B11,'Списки участников'!A:I,6,FALSE))</f>
        <v/>
      </c>
      <c r="D12" s="148" t="str">
        <f>IF(M6="","",IF(O6="l","W",O6))</f>
        <v/>
      </c>
      <c r="E12" s="143" t="str">
        <f>IF(N6="","",":")</f>
        <v/>
      </c>
      <c r="F12" s="149" t="str">
        <f>IF(O6="","",IF(M6="W","L",M6))</f>
        <v/>
      </c>
      <c r="G12" s="148" t="str">
        <f>IF(M8="","",IF(O8="l","W",O8))</f>
        <v/>
      </c>
      <c r="H12" s="143" t="str">
        <f>IF(N8="","",":")</f>
        <v/>
      </c>
      <c r="I12" s="149" t="str">
        <f>IF(O8="","",IF(M8="W","L",M8))</f>
        <v/>
      </c>
      <c r="J12" s="148" t="str">
        <f>IF(M10="","",IF(O10="l","W",O10))</f>
        <v/>
      </c>
      <c r="K12" s="143" t="str">
        <f>IF(N10="","",":")</f>
        <v/>
      </c>
      <c r="L12" s="149" t="str">
        <f>IF(O10="","",IF(M10="W","L",M10))</f>
        <v/>
      </c>
      <c r="M12" s="1238"/>
      <c r="N12" s="1238"/>
      <c r="O12" s="1238"/>
      <c r="P12" s="142"/>
      <c r="Q12" s="143" t="str">
        <f>IF(P11="","",":")</f>
        <v/>
      </c>
      <c r="R12" s="144"/>
      <c r="S12" s="142"/>
      <c r="T12" s="143" t="str">
        <f>IF(S11="","",":")</f>
        <v/>
      </c>
      <c r="U12" s="144"/>
      <c r="V12" s="142"/>
      <c r="W12" s="143" t="str">
        <f>IF(V11="","",":")</f>
        <v/>
      </c>
      <c r="X12" s="144"/>
      <c r="Y12" s="142"/>
      <c r="Z12" s="143" t="str">
        <f>IF(Y11="","",":")</f>
        <v/>
      </c>
      <c r="AA12" s="144"/>
      <c r="AB12" s="142"/>
      <c r="AC12" s="143" t="str">
        <f>IF(AB11="","",":")</f>
        <v/>
      </c>
      <c r="AD12" s="144"/>
      <c r="AE12" s="142"/>
      <c r="AF12" s="143" t="str">
        <f>IF(AE11="","",":")</f>
        <v/>
      </c>
      <c r="AG12" s="144"/>
      <c r="AH12" s="142"/>
      <c r="AI12" s="143" t="str">
        <f>IF(AH11="","",":")</f>
        <v/>
      </c>
      <c r="AJ12" s="144"/>
      <c r="AK12" s="142"/>
      <c r="AL12" s="143" t="str">
        <f>IF(AK11="","",":")</f>
        <v/>
      </c>
      <c r="AM12" s="144"/>
      <c r="AN12" s="142"/>
      <c r="AO12" s="143" t="str">
        <f>IF(AN11="","",":")</f>
        <v/>
      </c>
      <c r="AP12" s="144"/>
      <c r="AQ12" s="142"/>
      <c r="AR12" s="143" t="str">
        <f>IF(AQ11="","",":")</f>
        <v/>
      </c>
      <c r="AS12" s="144"/>
      <c r="AT12" s="142"/>
      <c r="AU12" s="143" t="str">
        <f>IF(AT11="","",":")</f>
        <v/>
      </c>
      <c r="AV12" s="144"/>
      <c r="AW12" s="142"/>
      <c r="AX12" s="143" t="str">
        <f>IF(AW11="","",":")</f>
        <v/>
      </c>
      <c r="AY12" s="144"/>
      <c r="AZ12" s="1224"/>
      <c r="BA12" s="1225"/>
      <c r="BB12" s="1227"/>
      <c r="BC12" s="1228"/>
    </row>
    <row r="13" spans="1:55" ht="15.75" customHeight="1" x14ac:dyDescent="0.25">
      <c r="A13" s="1163">
        <v>5</v>
      </c>
      <c r="B13" s="1229"/>
      <c r="C13" s="140" t="str">
        <f>IF(B13="","",VLOOKUP(B13,'Списки участников'!A:I,3,FALSE))</f>
        <v/>
      </c>
      <c r="D13" s="1219" t="str">
        <f>IF(P5="","",IF(P6="W",0,IF(P5=2,1,IF(P5=1,2,IF(P5=0,2)))))</f>
        <v/>
      </c>
      <c r="E13" s="1220"/>
      <c r="F13" s="1221"/>
      <c r="G13" s="1219" t="str">
        <f>IF(P7="","",IF(P8="W",0,IF(P7=2,1,IF(P7=1,2,IF(P7=0,2)))))</f>
        <v/>
      </c>
      <c r="H13" s="1220"/>
      <c r="I13" s="1221"/>
      <c r="J13" s="1219" t="str">
        <f>IF(P9="","",IF(P10="W",0,IF(P9=2,1,IF(P9=1,2,IF(P9=0,2)))))</f>
        <v/>
      </c>
      <c r="K13" s="1220"/>
      <c r="L13" s="1221"/>
      <c r="M13" s="1219" t="str">
        <f>IF(P11="","",IF(P12="W",0,IF(P11=2,1,IF(P11=1,2,IF(P11=0,2)))))</f>
        <v/>
      </c>
      <c r="N13" s="1220"/>
      <c r="O13" s="1221"/>
      <c r="P13" s="1234"/>
      <c r="Q13" s="1235"/>
      <c r="R13" s="1236"/>
      <c r="S13" s="1219"/>
      <c r="T13" s="1220"/>
      <c r="U13" s="1221"/>
      <c r="V13" s="1219"/>
      <c r="W13" s="1220"/>
      <c r="X13" s="1221"/>
      <c r="Y13" s="1219"/>
      <c r="Z13" s="1220"/>
      <c r="AA13" s="1221"/>
      <c r="AB13" s="1219"/>
      <c r="AC13" s="1220"/>
      <c r="AD13" s="1221"/>
      <c r="AE13" s="1219"/>
      <c r="AF13" s="1220"/>
      <c r="AG13" s="1221"/>
      <c r="AH13" s="1219"/>
      <c r="AI13" s="1220"/>
      <c r="AJ13" s="1221"/>
      <c r="AK13" s="1219"/>
      <c r="AL13" s="1220"/>
      <c r="AM13" s="1221"/>
      <c r="AN13" s="1219"/>
      <c r="AO13" s="1220"/>
      <c r="AP13" s="1221"/>
      <c r="AQ13" s="1219"/>
      <c r="AR13" s="1220"/>
      <c r="AS13" s="1221"/>
      <c r="AT13" s="1219"/>
      <c r="AU13" s="1220"/>
      <c r="AV13" s="1221"/>
      <c r="AW13" s="1219"/>
      <c r="AX13" s="1220"/>
      <c r="AY13" s="1221"/>
      <c r="AZ13" s="1222" t="str">
        <f t="shared" ref="AZ13" si="3">IF(B13="","",SUM(G13,J13,M13,P13,S13,V13,Y13,AB13,AE13,AH13,AK13,AN13,AQ13,AT13,AW13))</f>
        <v/>
      </c>
      <c r="BA13" s="1223"/>
      <c r="BB13" s="1226"/>
      <c r="BC13" s="1228" t="str">
        <f>IF(B13="","",RANK(AZ13,Ф4Оч)+48)</f>
        <v/>
      </c>
    </row>
    <row r="14" spans="1:55" ht="15.75" customHeight="1" x14ac:dyDescent="0.25">
      <c r="A14" s="1164"/>
      <c r="B14" s="1230"/>
      <c r="C14" s="141" t="str">
        <f>IF(B13="","",VLOOKUP(B13,'Списки участников'!A:I,6,FALSE))</f>
        <v/>
      </c>
      <c r="D14" s="148" t="str">
        <f>IF(P6="","",IF(R6="l","W",R6))</f>
        <v/>
      </c>
      <c r="E14" s="143" t="str">
        <f>IF(Q6="","",":")</f>
        <v/>
      </c>
      <c r="F14" s="149" t="str">
        <f>IF(R6="","",IF(P6="W","L",P6))</f>
        <v/>
      </c>
      <c r="G14" s="148" t="str">
        <f>IF(P8="","",IF(R8="l","W",R8))</f>
        <v/>
      </c>
      <c r="H14" s="143" t="str">
        <f>IF(Q8="","",":")</f>
        <v/>
      </c>
      <c r="I14" s="149" t="str">
        <f>IF(R8="","",IF(P8="W","L",P8))</f>
        <v/>
      </c>
      <c r="J14" s="148" t="str">
        <f>IF(P10="","",IF(R10="l","W",R10))</f>
        <v/>
      </c>
      <c r="K14" s="143" t="str">
        <f>IF(Q10="","",":")</f>
        <v/>
      </c>
      <c r="L14" s="149" t="str">
        <f>IF(R10="","",IF(P10="W","L",P10))</f>
        <v/>
      </c>
      <c r="M14" s="148" t="str">
        <f>IF(P12="","",IF(R12="l","W",R12))</f>
        <v/>
      </c>
      <c r="N14" s="143" t="str">
        <f>IF(Q12="","",":")</f>
        <v/>
      </c>
      <c r="O14" s="149" t="str">
        <f>IF(R12="","",IF(P12="W","L",P12))</f>
        <v/>
      </c>
      <c r="P14" s="1237"/>
      <c r="Q14" s="1217"/>
      <c r="R14" s="1218"/>
      <c r="S14" s="142"/>
      <c r="T14" s="143" t="str">
        <f>IF(S13="","",":")</f>
        <v/>
      </c>
      <c r="U14" s="144"/>
      <c r="V14" s="142"/>
      <c r="W14" s="143" t="str">
        <f>IF(V13="","",":")</f>
        <v/>
      </c>
      <c r="X14" s="144"/>
      <c r="Y14" s="142"/>
      <c r="Z14" s="143" t="str">
        <f>IF(Y13="","",":")</f>
        <v/>
      </c>
      <c r="AA14" s="144"/>
      <c r="AB14" s="142"/>
      <c r="AC14" s="143" t="str">
        <f>IF(AB13="","",":")</f>
        <v/>
      </c>
      <c r="AD14" s="144"/>
      <c r="AE14" s="142"/>
      <c r="AF14" s="143" t="str">
        <f>IF(AE13="","",":")</f>
        <v/>
      </c>
      <c r="AG14" s="144"/>
      <c r="AH14" s="142"/>
      <c r="AI14" s="143" t="str">
        <f>IF(AH13="","",":")</f>
        <v/>
      </c>
      <c r="AJ14" s="144"/>
      <c r="AK14" s="142"/>
      <c r="AL14" s="143" t="str">
        <f>IF(AK13="","",":")</f>
        <v/>
      </c>
      <c r="AM14" s="144"/>
      <c r="AN14" s="142"/>
      <c r="AO14" s="143" t="str">
        <f>IF(AN13="","",":")</f>
        <v/>
      </c>
      <c r="AP14" s="144"/>
      <c r="AQ14" s="142"/>
      <c r="AR14" s="143" t="str">
        <f>IF(AQ13="","",":")</f>
        <v/>
      </c>
      <c r="AS14" s="144"/>
      <c r="AT14" s="142"/>
      <c r="AU14" s="143" t="str">
        <f>IF(AT13="","",":")</f>
        <v/>
      </c>
      <c r="AV14" s="144"/>
      <c r="AW14" s="142"/>
      <c r="AX14" s="143" t="str">
        <f>IF(AW13="","",":")</f>
        <v/>
      </c>
      <c r="AY14" s="144"/>
      <c r="AZ14" s="1224"/>
      <c r="BA14" s="1225"/>
      <c r="BB14" s="1227"/>
      <c r="BC14" s="1228"/>
    </row>
    <row r="15" spans="1:55" ht="15.75" customHeight="1" x14ac:dyDescent="0.25">
      <c r="A15" s="1163">
        <v>6</v>
      </c>
      <c r="B15" s="1229"/>
      <c r="C15" s="140" t="str">
        <f>IF(B15="","",VLOOKUP(B15,'Списки участников'!A:I,3,FALSE))</f>
        <v/>
      </c>
      <c r="D15" s="1219" t="str">
        <f>IF(S5="","",IF(S6="W",0,IF(S5=2,1,IF(S5=1,2,IF(S5=0,2)))))</f>
        <v/>
      </c>
      <c r="E15" s="1220"/>
      <c r="F15" s="1221"/>
      <c r="G15" s="1219" t="str">
        <f>IF(S7="","",IF(S8="W",0,IF(S7=2,1,IF(S7=1,2,IF(S7=0,2)))))</f>
        <v/>
      </c>
      <c r="H15" s="1220"/>
      <c r="I15" s="1221"/>
      <c r="J15" s="1219" t="str">
        <f>IF(S9="","",IF(S10="W",0,IF(S9=2,1,IF(S9=1,2,IF(S9=0,2)))))</f>
        <v/>
      </c>
      <c r="K15" s="1220"/>
      <c r="L15" s="1221"/>
      <c r="M15" s="1219" t="str">
        <f>IF(S11="","",IF(S12="W",0,IF(S11=2,1,IF(S11=1,2,IF(S11=0,2)))))</f>
        <v/>
      </c>
      <c r="N15" s="1220"/>
      <c r="O15" s="1221"/>
      <c r="P15" s="1219" t="str">
        <f>IF(S13="","",IF(S14="W",0,IF(S13=2,1,IF(S13=1,2,IF(S13=0,2)))))</f>
        <v/>
      </c>
      <c r="Q15" s="1220"/>
      <c r="R15" s="1221"/>
      <c r="S15" s="1234"/>
      <c r="T15" s="1235"/>
      <c r="U15" s="1236"/>
      <c r="V15" s="1219"/>
      <c r="W15" s="1220"/>
      <c r="X15" s="1221"/>
      <c r="Y15" s="1219"/>
      <c r="Z15" s="1220"/>
      <c r="AA15" s="1221"/>
      <c r="AB15" s="1219"/>
      <c r="AC15" s="1220"/>
      <c r="AD15" s="1221"/>
      <c r="AE15" s="1219"/>
      <c r="AF15" s="1220"/>
      <c r="AG15" s="1221"/>
      <c r="AH15" s="1219"/>
      <c r="AI15" s="1220"/>
      <c r="AJ15" s="1221"/>
      <c r="AK15" s="1219"/>
      <c r="AL15" s="1220"/>
      <c r="AM15" s="1221"/>
      <c r="AN15" s="1219"/>
      <c r="AO15" s="1220"/>
      <c r="AP15" s="1221"/>
      <c r="AQ15" s="1219"/>
      <c r="AR15" s="1220"/>
      <c r="AS15" s="1221"/>
      <c r="AT15" s="1219"/>
      <c r="AU15" s="1220"/>
      <c r="AV15" s="1221"/>
      <c r="AW15" s="1219"/>
      <c r="AX15" s="1220"/>
      <c r="AY15" s="1221"/>
      <c r="AZ15" s="1222" t="str">
        <f t="shared" ref="AZ15" si="4">IF(B15="","",SUM(G15,J15,M15,P15,S15,V15,Y15,AB15,AE15,AH15,AK15,AN15,AQ15,AT15,AW15))</f>
        <v/>
      </c>
      <c r="BA15" s="1223"/>
      <c r="BB15" s="1226"/>
      <c r="BC15" s="1228" t="str">
        <f>IF(B15="","",RANK(AZ15,Ф4Оч)+48)</f>
        <v/>
      </c>
    </row>
    <row r="16" spans="1:55" ht="15.75" customHeight="1" x14ac:dyDescent="0.25">
      <c r="A16" s="1164"/>
      <c r="B16" s="1230"/>
      <c r="C16" s="141" t="str">
        <f>IF(B15="","",VLOOKUP(B15,'Списки участников'!A:I,6,FALSE))</f>
        <v/>
      </c>
      <c r="D16" s="148" t="str">
        <f>IF(S6="","",IF(U6="l","W",U6))</f>
        <v/>
      </c>
      <c r="E16" s="143" t="str">
        <f>IF(T6="","",":")</f>
        <v/>
      </c>
      <c r="F16" s="149" t="str">
        <f>IF(U6="","",IF(S6="W","L",S6))</f>
        <v/>
      </c>
      <c r="G16" s="148" t="str">
        <f>IF(S8="","",IF(U8="l","W",U8))</f>
        <v/>
      </c>
      <c r="H16" s="143" t="str">
        <f>IF(T8="","",":")</f>
        <v/>
      </c>
      <c r="I16" s="149" t="str">
        <f>IF(U8="","",IF(S8="W","L",S8))</f>
        <v/>
      </c>
      <c r="J16" s="148" t="str">
        <f>IF(S10="","",IF(U10="l","W",U10))</f>
        <v/>
      </c>
      <c r="K16" s="143" t="str">
        <f>IF(T10="","",":")</f>
        <v/>
      </c>
      <c r="L16" s="149" t="str">
        <f>IF(U10="","",IF(S10="W","L",S10))</f>
        <v/>
      </c>
      <c r="M16" s="148" t="str">
        <f>IF(S12="","",IF(U12="l","W",U12))</f>
        <v/>
      </c>
      <c r="N16" s="143" t="str">
        <f>IF(T12="","",":")</f>
        <v/>
      </c>
      <c r="O16" s="149" t="str">
        <f>IF(U12="","",IF(S12="W","L",S12))</f>
        <v/>
      </c>
      <c r="P16" s="148" t="str">
        <f>IF(S14="","",IF(U14="l","W",U14))</f>
        <v/>
      </c>
      <c r="Q16" s="143" t="str">
        <f>IF(T14="","",":")</f>
        <v/>
      </c>
      <c r="R16" s="149" t="str">
        <f>IF(U14="","",IF(S14="W","L",S14))</f>
        <v/>
      </c>
      <c r="S16" s="1237"/>
      <c r="T16" s="1217"/>
      <c r="U16" s="1218"/>
      <c r="V16" s="142"/>
      <c r="W16" s="143" t="str">
        <f>IF(V15="","",":")</f>
        <v/>
      </c>
      <c r="X16" s="144"/>
      <c r="Y16" s="142"/>
      <c r="Z16" s="143" t="str">
        <f>IF(Y15="","",":")</f>
        <v/>
      </c>
      <c r="AA16" s="144"/>
      <c r="AB16" s="142"/>
      <c r="AC16" s="143" t="str">
        <f>IF(AB15="","",":")</f>
        <v/>
      </c>
      <c r="AD16" s="144"/>
      <c r="AE16" s="142"/>
      <c r="AF16" s="143" t="str">
        <f>IF(AE15="","",":")</f>
        <v/>
      </c>
      <c r="AG16" s="144"/>
      <c r="AH16" s="142"/>
      <c r="AI16" s="143" t="str">
        <f>IF(AH15="","",":")</f>
        <v/>
      </c>
      <c r="AJ16" s="144"/>
      <c r="AK16" s="142"/>
      <c r="AL16" s="143" t="str">
        <f>IF(AK15="","",":")</f>
        <v/>
      </c>
      <c r="AM16" s="144"/>
      <c r="AN16" s="142"/>
      <c r="AO16" s="143" t="str">
        <f>IF(AN15="","",":")</f>
        <v/>
      </c>
      <c r="AP16" s="144"/>
      <c r="AQ16" s="142"/>
      <c r="AR16" s="143" t="str">
        <f>IF(AQ15="","",":")</f>
        <v/>
      </c>
      <c r="AS16" s="144"/>
      <c r="AT16" s="142"/>
      <c r="AU16" s="143" t="str">
        <f>IF(AT15="","",":")</f>
        <v/>
      </c>
      <c r="AV16" s="144"/>
      <c r="AW16" s="142"/>
      <c r="AX16" s="143" t="str">
        <f>IF(AW15="","",":")</f>
        <v/>
      </c>
      <c r="AY16" s="144"/>
      <c r="AZ16" s="1224"/>
      <c r="BA16" s="1225"/>
      <c r="BB16" s="1227"/>
      <c r="BC16" s="1228"/>
    </row>
    <row r="17" spans="1:55" ht="15.75" customHeight="1" x14ac:dyDescent="0.25">
      <c r="A17" s="1163">
        <v>7</v>
      </c>
      <c r="B17" s="1229"/>
      <c r="C17" s="140" t="str">
        <f>IF(B17="","",VLOOKUP(B17,'Списки участников'!A:I,3,FALSE))</f>
        <v/>
      </c>
      <c r="D17" s="1219" t="str">
        <f>IF(V5="","",IF(V6="W",0,IF(V5=2,1,IF(V5=1,2,IF(V5=0,2)))))</f>
        <v/>
      </c>
      <c r="E17" s="1220"/>
      <c r="F17" s="1221"/>
      <c r="G17" s="1219" t="str">
        <f>IF(V7="","",IF(V8="W",0,IF(V7=2,1,IF(V7=1,2,IF(V7=0,2)))))</f>
        <v/>
      </c>
      <c r="H17" s="1220"/>
      <c r="I17" s="1221"/>
      <c r="J17" s="1219" t="str">
        <f>IF(V9="","",IF(V10="W",0,IF(V9=2,1,IF(V9=1,2,IF(V9=0,2)))))</f>
        <v/>
      </c>
      <c r="K17" s="1220"/>
      <c r="L17" s="1221"/>
      <c r="M17" s="1219" t="str">
        <f>IF(V11="","",IF(V12="W",0,IF(V11=2,1,IF(V11=1,2,IF(V11=0,2)))))</f>
        <v/>
      </c>
      <c r="N17" s="1220"/>
      <c r="O17" s="1221"/>
      <c r="P17" s="1219" t="str">
        <f>IF(V13="","",IF(V14="W",0,IF(V13=2,1,IF(V13=1,2,IF(V13=0,2)))))</f>
        <v/>
      </c>
      <c r="Q17" s="1220"/>
      <c r="R17" s="1221"/>
      <c r="S17" s="1219" t="str">
        <f>IF(V15="","",IF(V16="W",0,IF(V15=2,1,IF(V15=1,2,IF(V15=0,2)))))</f>
        <v/>
      </c>
      <c r="T17" s="1220"/>
      <c r="U17" s="1221"/>
      <c r="V17" s="1239"/>
      <c r="W17" s="1215"/>
      <c r="X17" s="1216"/>
      <c r="Y17" s="1219"/>
      <c r="Z17" s="1220"/>
      <c r="AA17" s="1221"/>
      <c r="AB17" s="1219"/>
      <c r="AC17" s="1220"/>
      <c r="AD17" s="1221"/>
      <c r="AE17" s="1219"/>
      <c r="AF17" s="1220"/>
      <c r="AG17" s="1221"/>
      <c r="AH17" s="1219"/>
      <c r="AI17" s="1220"/>
      <c r="AJ17" s="1221"/>
      <c r="AK17" s="1219"/>
      <c r="AL17" s="1220"/>
      <c r="AM17" s="1221"/>
      <c r="AN17" s="1219"/>
      <c r="AO17" s="1220"/>
      <c r="AP17" s="1221"/>
      <c r="AQ17" s="1219"/>
      <c r="AR17" s="1220"/>
      <c r="AS17" s="1221"/>
      <c r="AT17" s="1219"/>
      <c r="AU17" s="1220"/>
      <c r="AV17" s="1221"/>
      <c r="AW17" s="1219"/>
      <c r="AX17" s="1220"/>
      <c r="AY17" s="1221"/>
      <c r="AZ17" s="1222" t="str">
        <f t="shared" ref="AZ17" si="5">IF(B17="","",SUM(G17,J17,M17,P17,S17,V17,Y17,AB17,AE17,AH17,AK17,AN17,AQ17,AT17,AW17))</f>
        <v/>
      </c>
      <c r="BA17" s="1223"/>
      <c r="BB17" s="1226"/>
      <c r="BC17" s="1228" t="str">
        <f>IF(B17="","",RANK(AZ17,Ф4Оч)+48)</f>
        <v/>
      </c>
    </row>
    <row r="18" spans="1:55" ht="15.75" customHeight="1" x14ac:dyDescent="0.25">
      <c r="A18" s="1164"/>
      <c r="B18" s="1230"/>
      <c r="C18" s="141" t="str">
        <f>IF(B17="","",VLOOKUP(B17,'Списки участников'!A:I,6,FALSE))</f>
        <v/>
      </c>
      <c r="D18" s="148" t="str">
        <f>IF(V6="","",IF(X6="l","W",X6))</f>
        <v/>
      </c>
      <c r="E18" s="143" t="str">
        <f>IF(W6="","",":")</f>
        <v/>
      </c>
      <c r="F18" s="149" t="str">
        <f>IF(X6="","",IF(V6="W","L",V6))</f>
        <v/>
      </c>
      <c r="G18" s="148" t="str">
        <f>IF(V8="","",IF(X8="l","W",X8))</f>
        <v/>
      </c>
      <c r="H18" s="143" t="str">
        <f>IF(W8="","",":")</f>
        <v/>
      </c>
      <c r="I18" s="149" t="str">
        <f>IF(X8="","",IF(V8="W","L",V8))</f>
        <v/>
      </c>
      <c r="J18" s="148" t="str">
        <f>IF(V10="","",IF(X10="l","W",X10))</f>
        <v/>
      </c>
      <c r="K18" s="143" t="str">
        <f>IF(W10="","",":")</f>
        <v/>
      </c>
      <c r="L18" s="149" t="str">
        <f>IF(X10="","",IF(V10="W","L",V10))</f>
        <v/>
      </c>
      <c r="M18" s="148" t="str">
        <f>IF(V12="","",IF(X12="l","W",X12))</f>
        <v/>
      </c>
      <c r="N18" s="143" t="str">
        <f>IF(W12="","",":")</f>
        <v/>
      </c>
      <c r="O18" s="149" t="str">
        <f>IF(X12="","",IF(V12="W","L",V12))</f>
        <v/>
      </c>
      <c r="P18" s="148" t="str">
        <f>IF(V14="","",IF(X14="l","W",X14))</f>
        <v/>
      </c>
      <c r="Q18" s="143" t="str">
        <f>IF(W14="","",":")</f>
        <v/>
      </c>
      <c r="R18" s="149" t="str">
        <f>IF(X14="","",IF(V14="W","L",V14))</f>
        <v/>
      </c>
      <c r="S18" s="148" t="str">
        <f>IF(V16="","",IF(X16="l","W",X16))</f>
        <v/>
      </c>
      <c r="T18" s="143" t="str">
        <f>IF(W16="","",":")</f>
        <v/>
      </c>
      <c r="U18" s="149" t="str">
        <f>IF(X16="","",IF(V16="W","L",V16))</f>
        <v/>
      </c>
      <c r="V18" s="1237"/>
      <c r="W18" s="1217"/>
      <c r="X18" s="1218"/>
      <c r="Y18" s="142"/>
      <c r="Z18" s="143" t="str">
        <f>IF(Y17="","",":")</f>
        <v/>
      </c>
      <c r="AA18" s="144"/>
      <c r="AB18" s="142"/>
      <c r="AC18" s="143" t="str">
        <f>IF(AB17="","",":")</f>
        <v/>
      </c>
      <c r="AD18" s="144"/>
      <c r="AE18" s="142"/>
      <c r="AF18" s="143" t="str">
        <f>IF(AE17="","",":")</f>
        <v/>
      </c>
      <c r="AG18" s="144"/>
      <c r="AH18" s="142"/>
      <c r="AI18" s="143" t="str">
        <f>IF(AH17="","",":")</f>
        <v/>
      </c>
      <c r="AJ18" s="144"/>
      <c r="AK18" s="142"/>
      <c r="AL18" s="143" t="str">
        <f>IF(AK17="","",":")</f>
        <v/>
      </c>
      <c r="AM18" s="144"/>
      <c r="AN18" s="142"/>
      <c r="AO18" s="143" t="str">
        <f>IF(AN17="","",":")</f>
        <v/>
      </c>
      <c r="AP18" s="144"/>
      <c r="AQ18" s="142"/>
      <c r="AR18" s="143" t="str">
        <f>IF(AQ17="","",":")</f>
        <v/>
      </c>
      <c r="AS18" s="144"/>
      <c r="AT18" s="142"/>
      <c r="AU18" s="143" t="str">
        <f>IF(AT17="","",":")</f>
        <v/>
      </c>
      <c r="AV18" s="144"/>
      <c r="AW18" s="142"/>
      <c r="AX18" s="143" t="str">
        <f>IF(AW17="","",":")</f>
        <v/>
      </c>
      <c r="AY18" s="144"/>
      <c r="AZ18" s="1224"/>
      <c r="BA18" s="1225"/>
      <c r="BB18" s="1227"/>
      <c r="BC18" s="1228"/>
    </row>
    <row r="19" spans="1:55" ht="15.75" customHeight="1" x14ac:dyDescent="0.25">
      <c r="A19" s="1163">
        <v>8</v>
      </c>
      <c r="B19" s="1229"/>
      <c r="C19" s="140" t="str">
        <f>IF(B19="","",VLOOKUP(B19,'Списки участников'!A:I,3,FALSE))</f>
        <v/>
      </c>
      <c r="D19" s="1219" t="str">
        <f>IF(Y5="","",IF(Y6="W",0,IF(Y5=2,1,IF(Y5=1,2,IF(Y5=0,2)))))</f>
        <v/>
      </c>
      <c r="E19" s="1220"/>
      <c r="F19" s="1221"/>
      <c r="G19" s="1219" t="str">
        <f>IF(Y7="","",IF(Y8="W",0,IF(Y7=2,1,IF(Y7=1,2,IF(Y7=0,2)))))</f>
        <v/>
      </c>
      <c r="H19" s="1220"/>
      <c r="I19" s="1221"/>
      <c r="J19" s="1219" t="str">
        <f>IF(Y9="","",IF(Y10="W",0,IF(Y9=2,1,IF(Y9=1,2,IF(Y9=0,2)))))</f>
        <v/>
      </c>
      <c r="K19" s="1220"/>
      <c r="L19" s="1221"/>
      <c r="M19" s="1219" t="str">
        <f>IF(Y11="","",IF(Y12="W",0,IF(Y11=2,1,IF(Y11=1,2,IF(Y11=0,2)))))</f>
        <v/>
      </c>
      <c r="N19" s="1220"/>
      <c r="O19" s="1221"/>
      <c r="P19" s="1219" t="str">
        <f>IF(Y13="","",IF(Y14="W",0,IF(Y13=2,1,IF(Y13=1,2,IF(Y13=0,2)))))</f>
        <v/>
      </c>
      <c r="Q19" s="1220"/>
      <c r="R19" s="1221"/>
      <c r="S19" s="1219" t="str">
        <f>IF(Y15="","",IF(Y16="W",0,IF(Y15=2,1,IF(Y15=1,2,IF(Y15=0,2)))))</f>
        <v/>
      </c>
      <c r="T19" s="1220"/>
      <c r="U19" s="1221"/>
      <c r="V19" s="1219" t="str">
        <f>IF(Y17="","",IF(Y18="W",0,IF(Y17=2,1,IF(Y17=1,2,IF(Y17=0,2)))))</f>
        <v/>
      </c>
      <c r="W19" s="1220"/>
      <c r="X19" s="1221"/>
      <c r="Y19" s="1234"/>
      <c r="Z19" s="1235"/>
      <c r="AA19" s="1236"/>
      <c r="AB19" s="1219"/>
      <c r="AC19" s="1220"/>
      <c r="AD19" s="1221"/>
      <c r="AE19" s="1219"/>
      <c r="AF19" s="1220"/>
      <c r="AG19" s="1221"/>
      <c r="AH19" s="1219"/>
      <c r="AI19" s="1220"/>
      <c r="AJ19" s="1221"/>
      <c r="AK19" s="1219"/>
      <c r="AL19" s="1220"/>
      <c r="AM19" s="1221"/>
      <c r="AN19" s="1219"/>
      <c r="AO19" s="1220"/>
      <c r="AP19" s="1221"/>
      <c r="AQ19" s="1219"/>
      <c r="AR19" s="1220"/>
      <c r="AS19" s="1221"/>
      <c r="AT19" s="1219"/>
      <c r="AU19" s="1220"/>
      <c r="AV19" s="1221"/>
      <c r="AW19" s="1219"/>
      <c r="AX19" s="1220"/>
      <c r="AY19" s="1221"/>
      <c r="AZ19" s="1222" t="str">
        <f t="shared" ref="AZ19" si="6">IF(B19="","",SUM(G19,J19,M19,P19,S19,V19,Y19,AB19,AE19,AH19,AK19,AN19,AQ19,AT19,AW19))</f>
        <v/>
      </c>
      <c r="BA19" s="1223"/>
      <c r="BB19" s="1226"/>
      <c r="BC19" s="1228" t="str">
        <f>IF(B19="","",RANK(AZ19,Ф4Оч)+48)</f>
        <v/>
      </c>
    </row>
    <row r="20" spans="1:55" ht="15.75" customHeight="1" x14ac:dyDescent="0.25">
      <c r="A20" s="1164"/>
      <c r="B20" s="1230"/>
      <c r="C20" s="141" t="str">
        <f>IF(B19="","",VLOOKUP(B19,'Списки участников'!A:I,6,FALSE))</f>
        <v/>
      </c>
      <c r="D20" s="148" t="str">
        <f>IF(Y6="","",IF(AA6="l","W",AA6))</f>
        <v/>
      </c>
      <c r="E20" s="143" t="str">
        <f>IF(Z6="","",":")</f>
        <v/>
      </c>
      <c r="F20" s="149" t="str">
        <f>IF(AA6="","",IF(Y6="W","L",Y6))</f>
        <v/>
      </c>
      <c r="G20" s="148" t="str">
        <f>IF(Y8="","",IF(AA8="l","W",AA8))</f>
        <v/>
      </c>
      <c r="H20" s="143" t="str">
        <f>IF(Z8="","",":")</f>
        <v/>
      </c>
      <c r="I20" s="149" t="str">
        <f>IF(AA8="","",IF(Y8="W","L",Y8))</f>
        <v/>
      </c>
      <c r="J20" s="148" t="str">
        <f>IF(Y10="","",IF(AA10="l","W",AA10))</f>
        <v/>
      </c>
      <c r="K20" s="143" t="str">
        <f>IF(Z10="","",":")</f>
        <v/>
      </c>
      <c r="L20" s="149" t="str">
        <f>IF(AA10="","",IF(Y10="W","L",Y10))</f>
        <v/>
      </c>
      <c r="M20" s="148" t="str">
        <f>IF(Y12="","",IF(AA12="l","W",AA12))</f>
        <v/>
      </c>
      <c r="N20" s="143" t="str">
        <f>IF(Z12="","",":")</f>
        <v/>
      </c>
      <c r="O20" s="149" t="str">
        <f>IF(AA12="","",IF(Y12="W","L",Y12))</f>
        <v/>
      </c>
      <c r="P20" s="148" t="str">
        <f>IF(Y14="","",IF(AA14="l","W",AA14))</f>
        <v/>
      </c>
      <c r="Q20" s="143" t="str">
        <f>IF(Z14="","",":")</f>
        <v/>
      </c>
      <c r="R20" s="149" t="str">
        <f>IF(AA14="","",IF(Y14="W","L",Y14))</f>
        <v/>
      </c>
      <c r="S20" s="148" t="str">
        <f>IF(Y16="","",IF(AA16="l","W",AA16))</f>
        <v/>
      </c>
      <c r="T20" s="143" t="str">
        <f>IF(Z16="","",":")</f>
        <v/>
      </c>
      <c r="U20" s="149" t="str">
        <f>IF(AA16="","",IF(Y16="W","L",Y16))</f>
        <v/>
      </c>
      <c r="V20" s="148" t="str">
        <f>IF(Y18="","",IF(AA18="l","W",AA18))</f>
        <v/>
      </c>
      <c r="W20" s="143" t="str">
        <f>IF(Z18="","",":")</f>
        <v/>
      </c>
      <c r="X20" s="149" t="str">
        <f>IF(AA18="","",IF(Y18="W","L",Y18))</f>
        <v/>
      </c>
      <c r="Y20" s="1237"/>
      <c r="Z20" s="1217"/>
      <c r="AA20" s="1218"/>
      <c r="AB20" s="142"/>
      <c r="AC20" s="143" t="str">
        <f>IF(AB19="","",":")</f>
        <v/>
      </c>
      <c r="AD20" s="144"/>
      <c r="AE20" s="142"/>
      <c r="AF20" s="143" t="str">
        <f>IF(AE19="","",":")</f>
        <v/>
      </c>
      <c r="AG20" s="144"/>
      <c r="AH20" s="142"/>
      <c r="AI20" s="143" t="str">
        <f>IF(AH19="","",":")</f>
        <v/>
      </c>
      <c r="AJ20" s="144"/>
      <c r="AK20" s="142"/>
      <c r="AL20" s="143" t="str">
        <f>IF(AK19="","",":")</f>
        <v/>
      </c>
      <c r="AM20" s="144"/>
      <c r="AN20" s="142"/>
      <c r="AO20" s="143" t="str">
        <f>IF(AN19="","",":")</f>
        <v/>
      </c>
      <c r="AP20" s="144"/>
      <c r="AQ20" s="142"/>
      <c r="AR20" s="143" t="str">
        <f>IF(AQ19="","",":")</f>
        <v/>
      </c>
      <c r="AS20" s="144"/>
      <c r="AT20" s="142"/>
      <c r="AU20" s="143" t="str">
        <f>IF(AT19="","",":")</f>
        <v/>
      </c>
      <c r="AV20" s="144"/>
      <c r="AW20" s="142"/>
      <c r="AX20" s="143" t="str">
        <f>IF(AW19="","",":")</f>
        <v/>
      </c>
      <c r="AY20" s="144"/>
      <c r="AZ20" s="1224"/>
      <c r="BA20" s="1225"/>
      <c r="BB20" s="1227"/>
      <c r="BC20" s="1228"/>
    </row>
    <row r="21" spans="1:55" ht="15.75" customHeight="1" x14ac:dyDescent="0.25">
      <c r="A21" s="1163">
        <v>9</v>
      </c>
      <c r="B21" s="1229"/>
      <c r="C21" s="140" t="str">
        <f>IF(B21="","",VLOOKUP(B21,'Списки участников'!A:I,3,FALSE))</f>
        <v/>
      </c>
      <c r="D21" s="1219" t="str">
        <f>IF(AB5="","",IF(AB6="W",0,IF(AB5=2,1,IF(AB5=1,2,IF(AB5=0,2)))))</f>
        <v/>
      </c>
      <c r="E21" s="1220"/>
      <c r="F21" s="1221"/>
      <c r="G21" s="1219" t="str">
        <f>IF(AB7="","",IF(AB8="W",0,IF(AB7=2,1,IF(AB7=1,2,IF(AB7=0,2)))))</f>
        <v/>
      </c>
      <c r="H21" s="1220"/>
      <c r="I21" s="1221"/>
      <c r="J21" s="1219" t="str">
        <f>IF(AB9="","",IF(AB10="W",0,IF(AB9=2,1,IF(AB9=1,2,IF(AB9=0,2)))))</f>
        <v/>
      </c>
      <c r="K21" s="1220"/>
      <c r="L21" s="1221"/>
      <c r="M21" s="1219" t="str">
        <f>IF(AB11="","",IF(AB12="W",0,IF(AB11=2,1,IF(AB11=1,2,IF(AB11=0,2)))))</f>
        <v/>
      </c>
      <c r="N21" s="1220"/>
      <c r="O21" s="1221"/>
      <c r="P21" s="1219" t="str">
        <f>IF(AB13="","",IF(AB14="W",0,IF(AB13=2,1,IF(AB13=1,2,IF(AB13=0,2)))))</f>
        <v/>
      </c>
      <c r="Q21" s="1220"/>
      <c r="R21" s="1221"/>
      <c r="S21" s="1219" t="str">
        <f>IF(AB15="","",IF(AB16="W",0,IF(AB15=2,1,IF(AB15=1,2,IF(AB15=0,2)))))</f>
        <v/>
      </c>
      <c r="T21" s="1220"/>
      <c r="U21" s="1221"/>
      <c r="V21" s="1219" t="str">
        <f>IF(AB17="","",IF(AB18="W",0,IF(AB17=2,1,IF(AB17=1,2,IF(AB17=0,2)))))</f>
        <v/>
      </c>
      <c r="W21" s="1220"/>
      <c r="X21" s="1221"/>
      <c r="Y21" s="1219" t="str">
        <f>IF(AB19="","",IF(AB20="W",0,IF(AB19=2,1,IF(AB19=1,2,IF(AB19=0,2)))))</f>
        <v/>
      </c>
      <c r="Z21" s="1220"/>
      <c r="AA21" s="1221"/>
      <c r="AB21" s="1239"/>
      <c r="AC21" s="1215"/>
      <c r="AD21" s="1216"/>
      <c r="AE21" s="1219"/>
      <c r="AF21" s="1220"/>
      <c r="AG21" s="1221"/>
      <c r="AH21" s="1219"/>
      <c r="AI21" s="1220"/>
      <c r="AJ21" s="1221"/>
      <c r="AK21" s="1219"/>
      <c r="AL21" s="1220"/>
      <c r="AM21" s="1221"/>
      <c r="AN21" s="1219"/>
      <c r="AO21" s="1220"/>
      <c r="AP21" s="1221"/>
      <c r="AQ21" s="1219"/>
      <c r="AR21" s="1220"/>
      <c r="AS21" s="1221"/>
      <c r="AT21" s="1219"/>
      <c r="AU21" s="1220"/>
      <c r="AV21" s="1221"/>
      <c r="AW21" s="1219"/>
      <c r="AX21" s="1220"/>
      <c r="AY21" s="1221"/>
      <c r="AZ21" s="1222" t="str">
        <f t="shared" ref="AZ21" si="7">IF(B21="","",SUM(G21,J21,M21,P21,S21,V21,Y21,AB21,AE21,AH21,AK21,AN21,AQ21,AT21,AW21))</f>
        <v/>
      </c>
      <c r="BA21" s="1223"/>
      <c r="BB21" s="1226"/>
      <c r="BC21" s="1228" t="str">
        <f>IF(B21="","",RANK(AZ21,Ф4Оч)+48)</f>
        <v/>
      </c>
    </row>
    <row r="22" spans="1:55" ht="15.75" customHeight="1" x14ac:dyDescent="0.25">
      <c r="A22" s="1164"/>
      <c r="B22" s="1230"/>
      <c r="C22" s="141" t="str">
        <f>IF(B21="","",VLOOKUP(B21,'Списки участников'!A:I,6,FALSE))</f>
        <v/>
      </c>
      <c r="D22" s="148" t="str">
        <f>IF(AB6="","",IF(AD6="l","W",AD6))</f>
        <v/>
      </c>
      <c r="E22" s="143" t="str">
        <f>IF(AC6="","",":")</f>
        <v/>
      </c>
      <c r="F22" s="149" t="str">
        <f>IF(AD6="","",IF(AB6="W","L",AB6))</f>
        <v/>
      </c>
      <c r="G22" s="148" t="str">
        <f>IF(AB8="","",IF(AD8="l","W",AD8))</f>
        <v/>
      </c>
      <c r="H22" s="143" t="str">
        <f>IF(AC8="","",":")</f>
        <v/>
      </c>
      <c r="I22" s="149" t="str">
        <f>IF(AD8="","",IF(AB8="W","L",AB8))</f>
        <v/>
      </c>
      <c r="J22" s="148" t="str">
        <f>IF(AB10="","",IF(AD10="l","W",AD10))</f>
        <v/>
      </c>
      <c r="K22" s="143" t="str">
        <f>IF(AC10="","",":")</f>
        <v/>
      </c>
      <c r="L22" s="149" t="str">
        <f>IF(AD10="","",IF(AB10="W","L",AB10))</f>
        <v/>
      </c>
      <c r="M22" s="148" t="str">
        <f>IF(AB12="","",IF(AD12="l","W",AD12))</f>
        <v/>
      </c>
      <c r="N22" s="143" t="str">
        <f>IF(AC12="","",":")</f>
        <v/>
      </c>
      <c r="O22" s="149" t="str">
        <f>IF(AD12="","",IF(AB12="W","L",AB12))</f>
        <v/>
      </c>
      <c r="P22" s="148" t="str">
        <f>IF(AB14="","",IF(AD14="l","W",AD14))</f>
        <v/>
      </c>
      <c r="Q22" s="143" t="str">
        <f>IF(AC14="","",":")</f>
        <v/>
      </c>
      <c r="R22" s="149" t="str">
        <f>IF(AD14="","",IF(AB14="W","L",AB14))</f>
        <v/>
      </c>
      <c r="S22" s="148" t="str">
        <f>IF(AB16="","",IF(AD16="l","W",AD16))</f>
        <v/>
      </c>
      <c r="T22" s="143" t="str">
        <f>IF(AC16="","",":")</f>
        <v/>
      </c>
      <c r="U22" s="149" t="str">
        <f>IF(AD16="","",IF(AB16="W","L",AB16))</f>
        <v/>
      </c>
      <c r="V22" s="148" t="str">
        <f>IF(AB18="","",IF(AD18="l","W",AD18))</f>
        <v/>
      </c>
      <c r="W22" s="143" t="str">
        <f>IF(AC18="","",":")</f>
        <v/>
      </c>
      <c r="X22" s="149" t="str">
        <f>IF(AD18="","",IF(AB18="W","L",AB18))</f>
        <v/>
      </c>
      <c r="Y22" s="148" t="str">
        <f>IF(AB20="","",IF(AD20="l","W",AD20))</f>
        <v/>
      </c>
      <c r="Z22" s="143" t="str">
        <f>IF(AC20="","",":")</f>
        <v/>
      </c>
      <c r="AA22" s="149" t="str">
        <f>IF(AD20="","",IF(AB20="W","L",AB20))</f>
        <v/>
      </c>
      <c r="AB22" s="1237"/>
      <c r="AC22" s="1217"/>
      <c r="AD22" s="1218"/>
      <c r="AE22" s="142"/>
      <c r="AF22" s="143" t="str">
        <f>IF(AE21="","",":")</f>
        <v/>
      </c>
      <c r="AG22" s="144"/>
      <c r="AH22" s="142"/>
      <c r="AI22" s="143" t="str">
        <f>IF(AH21="","",":")</f>
        <v/>
      </c>
      <c r="AJ22" s="144"/>
      <c r="AK22" s="142"/>
      <c r="AL22" s="143" t="str">
        <f>IF(AK21="","",":")</f>
        <v/>
      </c>
      <c r="AM22" s="144"/>
      <c r="AN22" s="142"/>
      <c r="AO22" s="143" t="str">
        <f>IF(AN21="","",":")</f>
        <v/>
      </c>
      <c r="AP22" s="144"/>
      <c r="AQ22" s="142"/>
      <c r="AR22" s="143" t="str">
        <f>IF(AQ21="","",":")</f>
        <v/>
      </c>
      <c r="AS22" s="144"/>
      <c r="AT22" s="142"/>
      <c r="AU22" s="143" t="str">
        <f>IF(AT21="","",":")</f>
        <v/>
      </c>
      <c r="AV22" s="144"/>
      <c r="AW22" s="142"/>
      <c r="AX22" s="143" t="str">
        <f>IF(AW21="","",":")</f>
        <v/>
      </c>
      <c r="AY22" s="144"/>
      <c r="AZ22" s="1224"/>
      <c r="BA22" s="1225"/>
      <c r="BB22" s="1227"/>
      <c r="BC22" s="1228"/>
    </row>
    <row r="23" spans="1:55" ht="15.75" customHeight="1" x14ac:dyDescent="0.25">
      <c r="A23" s="1163">
        <v>10</v>
      </c>
      <c r="B23" s="1229"/>
      <c r="C23" s="140" t="str">
        <f>IF(B23="","",VLOOKUP(B23,'Списки участников'!A:I,3,FALSE))</f>
        <v/>
      </c>
      <c r="D23" s="1219" t="str">
        <f>IF(AE5="","",IF(AE6="W",0,IF(AE5=2,1,IF(AE5=1,2,IF(AE5=0,2)))))</f>
        <v/>
      </c>
      <c r="E23" s="1220"/>
      <c r="F23" s="1221"/>
      <c r="G23" s="1219" t="str">
        <f>IF(AE7="","",IF(AE8="W",0,IF(AE7=2,1,IF(AE7=1,2,IF(AE7=0,2)))))</f>
        <v/>
      </c>
      <c r="H23" s="1220"/>
      <c r="I23" s="1221"/>
      <c r="J23" s="1219" t="str">
        <f>IF(AE9="","",IF(AE10="W",0,IF(AE9=2,1,IF(AE9=1,2,IF(AE9=0,2)))))</f>
        <v/>
      </c>
      <c r="K23" s="1220"/>
      <c r="L23" s="1221"/>
      <c r="M23" s="1219" t="str">
        <f>IF(AE11="","",IF(AE12="W",0,IF(AE11=2,1,IF(AE11=1,2,IF(AE11=0,2)))))</f>
        <v/>
      </c>
      <c r="N23" s="1220"/>
      <c r="O23" s="1221"/>
      <c r="P23" s="1219" t="str">
        <f>IF(AE13="","",IF(AE14="W",0,IF(AE13=2,1,IF(AE13=1,2,IF(AE13=0,2)))))</f>
        <v/>
      </c>
      <c r="Q23" s="1220"/>
      <c r="R23" s="1221"/>
      <c r="S23" s="1219" t="str">
        <f>IF(AE15="","",IF(AE16="W",0,IF(AE15=2,1,IF(AE15=1,2,IF(AE15=0,2)))))</f>
        <v/>
      </c>
      <c r="T23" s="1220"/>
      <c r="U23" s="1221"/>
      <c r="V23" s="1219" t="str">
        <f>IF(AE17="","",IF(AE18="W",0,IF(AE17=2,1,IF(AE17=1,2,IF(AE17=0,2)))))</f>
        <v/>
      </c>
      <c r="W23" s="1220"/>
      <c r="X23" s="1221"/>
      <c r="Y23" s="1219" t="str">
        <f>IF(AE19="","",IF(AE20="W",0,IF(AE19=2,1,IF(AE19=1,2,IF(AE19=0,2)))))</f>
        <v/>
      </c>
      <c r="Z23" s="1220"/>
      <c r="AA23" s="1221"/>
      <c r="AB23" s="1219" t="str">
        <f>IF(AE21="","",IF(AE22="W",0,IF(AE21=2,1,IF(AE21=1,2,IF(AE21=0,2)))))</f>
        <v/>
      </c>
      <c r="AC23" s="1220"/>
      <c r="AD23" s="1221"/>
      <c r="AE23" s="1234"/>
      <c r="AF23" s="1235"/>
      <c r="AG23" s="1236"/>
      <c r="AH23" s="1219"/>
      <c r="AI23" s="1220"/>
      <c r="AJ23" s="1221"/>
      <c r="AK23" s="1219"/>
      <c r="AL23" s="1220"/>
      <c r="AM23" s="1221"/>
      <c r="AN23" s="1219"/>
      <c r="AO23" s="1220"/>
      <c r="AP23" s="1221"/>
      <c r="AQ23" s="1219"/>
      <c r="AR23" s="1220"/>
      <c r="AS23" s="1221"/>
      <c r="AT23" s="1219"/>
      <c r="AU23" s="1220"/>
      <c r="AV23" s="1221"/>
      <c r="AW23" s="1219"/>
      <c r="AX23" s="1220"/>
      <c r="AY23" s="1221"/>
      <c r="AZ23" s="1222" t="str">
        <f t="shared" ref="AZ23" si="8">IF(B23="","",SUM(G23,J23,M23,P23,S23,V23,Y23,AB23,AE23,AH23,AK23,AN23,AQ23,AT23,AW23))</f>
        <v/>
      </c>
      <c r="BA23" s="1223"/>
      <c r="BB23" s="1226"/>
      <c r="BC23" s="1228" t="str">
        <f>IF(B23="","",RANK(AZ23,Ф4Оч)+48)</f>
        <v/>
      </c>
    </row>
    <row r="24" spans="1:55" ht="15.75" customHeight="1" x14ac:dyDescent="0.25">
      <c r="A24" s="1164"/>
      <c r="B24" s="1230"/>
      <c r="C24" s="141" t="str">
        <f>IF(B23="","",VLOOKUP(B23,'Списки участников'!A:I,6,FALSE))</f>
        <v/>
      </c>
      <c r="D24" s="148" t="str">
        <f>IF(AE6="","",IF(AG6="l","W",AG6))</f>
        <v/>
      </c>
      <c r="E24" s="143" t="str">
        <f>IF(AF6="","",":")</f>
        <v/>
      </c>
      <c r="F24" s="149" t="str">
        <f>IF(AG6="","",IF(AE6="W","L",AE6))</f>
        <v/>
      </c>
      <c r="G24" s="148" t="str">
        <f>IF(AE8="","",IF(AG8="l","W",AG8))</f>
        <v/>
      </c>
      <c r="H24" s="143" t="str">
        <f>IF(AF8="","",":")</f>
        <v/>
      </c>
      <c r="I24" s="149" t="str">
        <f>IF(AG8="","",IF(AE8="W","L",AE8))</f>
        <v/>
      </c>
      <c r="J24" s="148" t="str">
        <f>IF(AE10="","",IF(AG10="l","W",AG10))</f>
        <v/>
      </c>
      <c r="K24" s="143" t="str">
        <f>IF(AF10="","",":")</f>
        <v/>
      </c>
      <c r="L24" s="149" t="str">
        <f>IF(AG10="","",IF(AE10="W","L",AE10))</f>
        <v/>
      </c>
      <c r="M24" s="148" t="str">
        <f>IF(AE12="","",IF(AG12="l","W",AG12))</f>
        <v/>
      </c>
      <c r="N24" s="143" t="str">
        <f>IF(AF12="","",":")</f>
        <v/>
      </c>
      <c r="O24" s="149" t="str">
        <f>IF(AG12="","",IF(AE12="W","L",AE12))</f>
        <v/>
      </c>
      <c r="P24" s="148" t="str">
        <f>IF(AE14="","",IF(AG14="l","W",AG14))</f>
        <v/>
      </c>
      <c r="Q24" s="143" t="str">
        <f>IF(AF14="","",":")</f>
        <v/>
      </c>
      <c r="R24" s="149" t="str">
        <f>IF(AG14="","",IF(AE14="W","L",AE14))</f>
        <v/>
      </c>
      <c r="S24" s="148" t="str">
        <f>IF(AE16="","",IF(AG16="l","W",AG16))</f>
        <v/>
      </c>
      <c r="T24" s="143" t="str">
        <f>IF(AF16="","",":")</f>
        <v/>
      </c>
      <c r="U24" s="149" t="str">
        <f>IF(AG16="","",IF(AE16="W","L",AE16))</f>
        <v/>
      </c>
      <c r="V24" s="148" t="str">
        <f>IF(AE18="","",IF(AG18="l","W",AG18))</f>
        <v/>
      </c>
      <c r="W24" s="143" t="str">
        <f>IF(AF18="","",":")</f>
        <v/>
      </c>
      <c r="X24" s="149" t="str">
        <f>IF(AG18="","",IF(AE18="W","L",AE18))</f>
        <v/>
      </c>
      <c r="Y24" s="148" t="str">
        <f>IF(AE20="","",IF(AG20="l","W",AG20))</f>
        <v/>
      </c>
      <c r="Z24" s="143" t="str">
        <f>IF(AF20="","",":")</f>
        <v/>
      </c>
      <c r="AA24" s="149" t="str">
        <f>IF(AG20="","",IF(AE20="W","L",AE20))</f>
        <v/>
      </c>
      <c r="AB24" s="148" t="str">
        <f>IF(AE22="","",IF(AG22="l","W",AG22))</f>
        <v/>
      </c>
      <c r="AC24" s="143" t="str">
        <f>IF(AE21="","",":")</f>
        <v/>
      </c>
      <c r="AD24" s="149" t="str">
        <f>IF(AG22="","",IF(AE22="W","L",AE22))</f>
        <v/>
      </c>
      <c r="AE24" s="1237"/>
      <c r="AF24" s="1217"/>
      <c r="AG24" s="1218"/>
      <c r="AH24" s="142"/>
      <c r="AI24" s="143" t="str">
        <f>IF(AH23="","",":")</f>
        <v/>
      </c>
      <c r="AJ24" s="144"/>
      <c r="AK24" s="142"/>
      <c r="AL24" s="143" t="str">
        <f>IF(AK23="","",":")</f>
        <v/>
      </c>
      <c r="AM24" s="144"/>
      <c r="AN24" s="142"/>
      <c r="AO24" s="143" t="str">
        <f>IF(AN23="","",":")</f>
        <v/>
      </c>
      <c r="AP24" s="144"/>
      <c r="AQ24" s="142"/>
      <c r="AR24" s="143" t="str">
        <f>IF(AQ23="","",":")</f>
        <v/>
      </c>
      <c r="AS24" s="144"/>
      <c r="AT24" s="142"/>
      <c r="AU24" s="143" t="str">
        <f>IF(AT23="","",":")</f>
        <v/>
      </c>
      <c r="AV24" s="144"/>
      <c r="AW24" s="142"/>
      <c r="AX24" s="143" t="str">
        <f>IF(AW23="","",":")</f>
        <v/>
      </c>
      <c r="AY24" s="144"/>
      <c r="AZ24" s="1224"/>
      <c r="BA24" s="1225"/>
      <c r="BB24" s="1227"/>
      <c r="BC24" s="1228"/>
    </row>
    <row r="25" spans="1:55" ht="15.75" customHeight="1" x14ac:dyDescent="0.25">
      <c r="A25" s="1163">
        <v>11</v>
      </c>
      <c r="B25" s="1229"/>
      <c r="C25" s="140" t="str">
        <f>IF(B25="","",VLOOKUP(B25,'Списки участников'!A:I,3,FALSE))</f>
        <v/>
      </c>
      <c r="D25" s="1219" t="str">
        <f>IF(AH5="","",IF(AH6="W",0,IF(AH5=2,1,IF(AH5=1,2,IF(AH5=0,2)))))</f>
        <v/>
      </c>
      <c r="E25" s="1220"/>
      <c r="F25" s="1221"/>
      <c r="G25" s="1219" t="str">
        <f>IF(AH7="","",IF(AH8="W",0,IF(AH7=2,1,IF(AH7=1,2,IF(AH7=0,2)))))</f>
        <v/>
      </c>
      <c r="H25" s="1220"/>
      <c r="I25" s="1221"/>
      <c r="J25" s="1219" t="str">
        <f>IF(AH9="","",IF(AH10="W",0,IF(AH9=2,1,IF(AH9=1,2,IF(AH9=0,2)))))</f>
        <v/>
      </c>
      <c r="K25" s="1220"/>
      <c r="L25" s="1221"/>
      <c r="M25" s="1219" t="str">
        <f>IF(AH11="","",IF(AH12="W",0,IF(AH11=2,1,IF(AH11=1,2,IF(AH11=0,2)))))</f>
        <v/>
      </c>
      <c r="N25" s="1220"/>
      <c r="O25" s="1221"/>
      <c r="P25" s="1219" t="str">
        <f>IF(AH13="","",IF(AH14="W",0,IF(AH13=2,1,IF(AH13=1,2,IF(AH13=0,2)))))</f>
        <v/>
      </c>
      <c r="Q25" s="1220"/>
      <c r="R25" s="1221"/>
      <c r="S25" s="1219" t="str">
        <f>IF(AH15="","",IF(AH16="W",0,IF(AH15=2,1,IF(AH15=1,2,IF(AH15=0,2)))))</f>
        <v/>
      </c>
      <c r="T25" s="1220"/>
      <c r="U25" s="1221"/>
      <c r="V25" s="1219" t="str">
        <f>IF(AH17="","",IF(AH18="W",0,IF(AH17=2,1,IF(AH17=1,2,IF(AH17=0,2)))))</f>
        <v/>
      </c>
      <c r="W25" s="1220"/>
      <c r="X25" s="1221"/>
      <c r="Y25" s="1219" t="str">
        <f>IF(AH19="","",IF(AH20="W",0,IF(AH19=2,1,IF(AH19=1,2,IF(AH19=0,2)))))</f>
        <v/>
      </c>
      <c r="Z25" s="1220"/>
      <c r="AA25" s="1221"/>
      <c r="AB25" s="1219" t="str">
        <f>IF(AH21="","",IF(AH22="W",0,IF(AH21=2,1,IF(AH21=1,2,IF(AH21=0,2)))))</f>
        <v/>
      </c>
      <c r="AC25" s="1220"/>
      <c r="AD25" s="1221"/>
      <c r="AE25" s="1219" t="str">
        <f>IF(AH23="","",IF(AH24="W",0,IF(AH23=2,1,IF(AH23=1,2,IF(AH23=0,2)))))</f>
        <v/>
      </c>
      <c r="AF25" s="1220"/>
      <c r="AG25" s="1221"/>
      <c r="AH25" s="1234"/>
      <c r="AI25" s="1235"/>
      <c r="AJ25" s="1236"/>
      <c r="AK25" s="1219"/>
      <c r="AL25" s="1220"/>
      <c r="AM25" s="1221"/>
      <c r="AN25" s="1219"/>
      <c r="AO25" s="1220"/>
      <c r="AP25" s="1221"/>
      <c r="AQ25" s="1219"/>
      <c r="AR25" s="1220"/>
      <c r="AS25" s="1221"/>
      <c r="AT25" s="1219"/>
      <c r="AU25" s="1220"/>
      <c r="AV25" s="1221"/>
      <c r="AW25" s="1219"/>
      <c r="AX25" s="1220"/>
      <c r="AY25" s="1221"/>
      <c r="AZ25" s="1222" t="str">
        <f t="shared" ref="AZ25" si="9">IF(B25="","",SUM(G25,J25,M25,P25,S25,V25,Y25,AB25,AE25,AH25,AK25,AN25,AQ25,AT25,AW25))</f>
        <v/>
      </c>
      <c r="BA25" s="1223"/>
      <c r="BB25" s="1226"/>
      <c r="BC25" s="1228" t="str">
        <f>IF(B25="","",RANK(AZ25,Ф4Оч)+48)</f>
        <v/>
      </c>
    </row>
    <row r="26" spans="1:55" ht="15.75" customHeight="1" x14ac:dyDescent="0.25">
      <c r="A26" s="1164"/>
      <c r="B26" s="1230"/>
      <c r="C26" s="141" t="str">
        <f>IF(B25="","",VLOOKUP(B25,'Списки участников'!A:I,6,FALSE))</f>
        <v/>
      </c>
      <c r="D26" s="148" t="str">
        <f>IF(AH6="","",IF(AJ6="l","W",AJ6))</f>
        <v/>
      </c>
      <c r="E26" s="143" t="str">
        <f>IF(AI6="","",":")</f>
        <v/>
      </c>
      <c r="F26" s="149" t="str">
        <f>IF(AJ6="","",IF(AH6="W","L",AH6))</f>
        <v/>
      </c>
      <c r="G26" s="148" t="str">
        <f>IF(AH8="","",IF(AJ8="l","W",AJ8))</f>
        <v/>
      </c>
      <c r="H26" s="143" t="str">
        <f>IF(AI8="","",":")</f>
        <v/>
      </c>
      <c r="I26" s="149" t="str">
        <f>IF(AJ8="","",IF(AH8="W","L",AH8))</f>
        <v/>
      </c>
      <c r="J26" s="148" t="str">
        <f>IF(AH10="","",IF(AJ10="l","W",AJ10))</f>
        <v/>
      </c>
      <c r="K26" s="143" t="str">
        <f>IF(AI10="","",":")</f>
        <v/>
      </c>
      <c r="L26" s="149" t="str">
        <f>IF(AJ10="","",IF(AH10="W","L",AH10))</f>
        <v/>
      </c>
      <c r="M26" s="148" t="str">
        <f>IF(AH12="","",IF(AJ12="l","W",AJ12))</f>
        <v/>
      </c>
      <c r="N26" s="143" t="str">
        <f>IF(AI12="","",":")</f>
        <v/>
      </c>
      <c r="O26" s="149" t="str">
        <f>IF(AJ12="","",IF(AH12="W","L",AH12))</f>
        <v/>
      </c>
      <c r="P26" s="148" t="str">
        <f>IF(AH14="","",IF(AJ14="l","W",AJ14))</f>
        <v/>
      </c>
      <c r="Q26" s="143" t="str">
        <f>IF(AI14="","",":")</f>
        <v/>
      </c>
      <c r="R26" s="149" t="str">
        <f>IF(AJ14="","",IF(AH14="W","L",AH14))</f>
        <v/>
      </c>
      <c r="S26" s="148" t="str">
        <f>IF(AH16="","",IF(AJ16="l","W",AJ16))</f>
        <v/>
      </c>
      <c r="T26" s="143" t="str">
        <f>IF(AI16="","",":")</f>
        <v/>
      </c>
      <c r="U26" s="149" t="str">
        <f>IF(AJ16="","",IF(AH16="W","L",AH16))</f>
        <v/>
      </c>
      <c r="V26" s="148" t="str">
        <f>IF(AH18="","",IF(AJ18="l","W",AJ18))</f>
        <v/>
      </c>
      <c r="W26" s="143" t="str">
        <f>IF(AI18="","",":")</f>
        <v/>
      </c>
      <c r="X26" s="149" t="str">
        <f>IF(AJ18="","",IF(AH18="W","L",AH18))</f>
        <v/>
      </c>
      <c r="Y26" s="148" t="str">
        <f>IF(AH20="","",IF(AJ20="l","W",AJ20))</f>
        <v/>
      </c>
      <c r="Z26" s="143" t="str">
        <f>IF(AI20="","",":")</f>
        <v/>
      </c>
      <c r="AA26" s="149" t="str">
        <f>IF(AJ20="","",IF(AH20="W","L",AH20))</f>
        <v/>
      </c>
      <c r="AB26" s="148" t="str">
        <f>IF(AH22="","",IF(AJ22="l","W",AJ22))</f>
        <v/>
      </c>
      <c r="AC26" s="143" t="str">
        <f>IF(AI22="","",":")</f>
        <v/>
      </c>
      <c r="AD26" s="149" t="str">
        <f>IF(AJ22="","",IF(AH22="W","L",AH22))</f>
        <v/>
      </c>
      <c r="AE26" s="148" t="str">
        <f>IF(AH24="","",IF(AJ24="l","W",AJ24))</f>
        <v/>
      </c>
      <c r="AF26" s="143" t="str">
        <f>IF(AI24="","",":")</f>
        <v/>
      </c>
      <c r="AG26" s="149" t="str">
        <f>IF(AJ24="","",IF(AH24="W","L",AH24))</f>
        <v/>
      </c>
      <c r="AH26" s="1237"/>
      <c r="AI26" s="1217"/>
      <c r="AJ26" s="1218"/>
      <c r="AK26" s="142"/>
      <c r="AL26" s="143" t="str">
        <f>IF(AK25="","",":")</f>
        <v/>
      </c>
      <c r="AM26" s="144"/>
      <c r="AN26" s="142"/>
      <c r="AO26" s="143" t="str">
        <f>IF(AN25="","",":")</f>
        <v/>
      </c>
      <c r="AP26" s="144"/>
      <c r="AQ26" s="142"/>
      <c r="AR26" s="143" t="str">
        <f>IF(AQ25="","",":")</f>
        <v/>
      </c>
      <c r="AS26" s="144"/>
      <c r="AT26" s="142"/>
      <c r="AU26" s="143" t="str">
        <f>IF(AT25="","",":")</f>
        <v/>
      </c>
      <c r="AV26" s="144"/>
      <c r="AW26" s="142"/>
      <c r="AX26" s="143" t="str">
        <f>IF(AW25="","",":")</f>
        <v/>
      </c>
      <c r="AY26" s="144"/>
      <c r="AZ26" s="1224"/>
      <c r="BA26" s="1225"/>
      <c r="BB26" s="1227"/>
      <c r="BC26" s="1228"/>
    </row>
    <row r="27" spans="1:55" ht="15.75" customHeight="1" x14ac:dyDescent="0.25">
      <c r="A27" s="1163">
        <v>12</v>
      </c>
      <c r="B27" s="1229"/>
      <c r="C27" s="140" t="str">
        <f>IF(B27="","",VLOOKUP(B27,'Списки участников'!A:I,3,FALSE))</f>
        <v/>
      </c>
      <c r="D27" s="1219" t="str">
        <f>IF(AK5="","",IF(AK6="W",0,IF(AK5=2,1,IF(AK5=1,2,IF(AK5=0,2)))))</f>
        <v/>
      </c>
      <c r="E27" s="1220"/>
      <c r="F27" s="1221"/>
      <c r="G27" s="1219" t="str">
        <f>IF(AK7="","",IF(AK8="W",0,IF(AK7=2,1,IF(AK7=1,2,IF(AK7=0,2)))))</f>
        <v/>
      </c>
      <c r="H27" s="1220"/>
      <c r="I27" s="1221"/>
      <c r="J27" s="1219" t="str">
        <f>IF(AK9="","",IF(AK10="W",0,IF(AK9=2,1,IF(AK9=1,2,IF(AK9=0,2)))))</f>
        <v/>
      </c>
      <c r="K27" s="1220"/>
      <c r="L27" s="1221"/>
      <c r="M27" s="1219" t="str">
        <f>IF(AK11="","",IF(AK12="W",0,IF(AK11=2,1,IF(AK11=1,2,IF(AK11=0,2)))))</f>
        <v/>
      </c>
      <c r="N27" s="1220"/>
      <c r="O27" s="1221"/>
      <c r="P27" s="1219" t="str">
        <f>IF(AK13="","",IF(AK14="W",0,IF(AK13=2,1,IF(AK13=1,2,IF(AK13=0,2)))))</f>
        <v/>
      </c>
      <c r="Q27" s="1220"/>
      <c r="R27" s="1221"/>
      <c r="S27" s="1219" t="str">
        <f>IF(AK15="","",IF(AK16="W",0,IF(AK15=2,1,IF(AK15=1,2,IF(AK15=0,2)))))</f>
        <v/>
      </c>
      <c r="T27" s="1220"/>
      <c r="U27" s="1221"/>
      <c r="V27" s="1219" t="str">
        <f>IF(AK17="","",IF(AK18="W",0,IF(AK17=2,1,IF(AK17=1,2,IF(AK17=0,2)))))</f>
        <v/>
      </c>
      <c r="W27" s="1220"/>
      <c r="X27" s="1221"/>
      <c r="Y27" s="1219" t="str">
        <f>IF(AK19="","",IF(AK20="W",0,IF(AK19=2,1,IF(AK19=1,2,IF(AK19=0,2)))))</f>
        <v/>
      </c>
      <c r="Z27" s="1220"/>
      <c r="AA27" s="1221"/>
      <c r="AB27" s="1219" t="str">
        <f>IF(AK21="","",IF(AK22="W",0,IF(AK21=2,1,IF(AK21=1,2,IF(AK21=0,2)))))</f>
        <v/>
      </c>
      <c r="AC27" s="1220"/>
      <c r="AD27" s="1221"/>
      <c r="AE27" s="1219" t="str">
        <f>IF(AK23="","",IF(AK24="W",0,IF(AK23=2,1,IF(AK23=1,2,IF(AK23=0,2)))))</f>
        <v/>
      </c>
      <c r="AF27" s="1220"/>
      <c r="AG27" s="1221"/>
      <c r="AH27" s="1219" t="str">
        <f>IF(AK25="","",IF(AK26="W",0,IF(AK25=2,1,IF(AK25=1,2,IF(AK25=0,2)))))</f>
        <v/>
      </c>
      <c r="AI27" s="1220"/>
      <c r="AJ27" s="1221"/>
      <c r="AK27" s="1234"/>
      <c r="AL27" s="1235"/>
      <c r="AM27" s="1236"/>
      <c r="AN27" s="1219"/>
      <c r="AO27" s="1220"/>
      <c r="AP27" s="1221"/>
      <c r="AQ27" s="1219"/>
      <c r="AR27" s="1220"/>
      <c r="AS27" s="1221"/>
      <c r="AT27" s="1219"/>
      <c r="AU27" s="1220"/>
      <c r="AV27" s="1221"/>
      <c r="AW27" s="1219"/>
      <c r="AX27" s="1220"/>
      <c r="AY27" s="1221"/>
      <c r="AZ27" s="1222" t="str">
        <f t="shared" ref="AZ27" si="10">IF(B27="","",SUM(G27,J27,M27,P27,S27,V27,Y27,AB27,AE27,AH27,AK27,AN27,AQ27,AT27,AW27))</f>
        <v/>
      </c>
      <c r="BA27" s="1223"/>
      <c r="BB27" s="1226"/>
      <c r="BC27" s="1228" t="str">
        <f>IF(B27="","",RANK(AZ27,Ф4Оч)+48)</f>
        <v/>
      </c>
    </row>
    <row r="28" spans="1:55" ht="15.75" customHeight="1" x14ac:dyDescent="0.25">
      <c r="A28" s="1164"/>
      <c r="B28" s="1230"/>
      <c r="C28" s="141" t="str">
        <f>IF(B27="","",VLOOKUP(B27,'Списки участников'!A:I,6,FALSE))</f>
        <v/>
      </c>
      <c r="D28" s="148" t="str">
        <f>IF(AK6="","",IF(AM6="l","W",AM6))</f>
        <v/>
      </c>
      <c r="E28" s="143" t="str">
        <f>IF(AL6="","",":")</f>
        <v/>
      </c>
      <c r="F28" s="149" t="str">
        <f>IF(AM6="","",IF(AK6="W","L",AK6))</f>
        <v/>
      </c>
      <c r="G28" s="148" t="str">
        <f>IF(AK8="","",IF(AM8="l","W",AM8))</f>
        <v/>
      </c>
      <c r="H28" s="143" t="str">
        <f>IF(AL8="","",":")</f>
        <v/>
      </c>
      <c r="I28" s="149" t="str">
        <f>IF(AM8="","",IF(AK8="W","L",AK8))</f>
        <v/>
      </c>
      <c r="J28" s="148" t="str">
        <f>IF(AK10="","",IF(AM10="l","W",AM10))</f>
        <v/>
      </c>
      <c r="K28" s="143" t="str">
        <f>IF(AL10="","",":")</f>
        <v/>
      </c>
      <c r="L28" s="149" t="str">
        <f>IF(AM10="","",IF(AK10="W","L",AK10))</f>
        <v/>
      </c>
      <c r="M28" s="148" t="str">
        <f>IF(AK12="","",IF(AM12="l","W",AM12))</f>
        <v/>
      </c>
      <c r="N28" s="143" t="str">
        <f>IF(AL12="","",":")</f>
        <v/>
      </c>
      <c r="O28" s="149" t="str">
        <f>IF(AM12="","",IF(AK12="W","L",AK12))</f>
        <v/>
      </c>
      <c r="P28" s="148" t="str">
        <f>IF(AK14="","",IF(AM14="l","W",AM14))</f>
        <v/>
      </c>
      <c r="Q28" s="143" t="str">
        <f>IF(AL14="","",":")</f>
        <v/>
      </c>
      <c r="R28" s="149" t="str">
        <f>IF(AM14="","",IF(AK14="W","L",AK14))</f>
        <v/>
      </c>
      <c r="S28" s="148" t="str">
        <f>IF(AK16="","",IF(AM16="l","W",AM16))</f>
        <v/>
      </c>
      <c r="T28" s="143" t="str">
        <f>IF(AL16="","",":")</f>
        <v/>
      </c>
      <c r="U28" s="149" t="str">
        <f>IF(AM16="","",IF(AK16="W","L",AK16))</f>
        <v/>
      </c>
      <c r="V28" s="148" t="str">
        <f>IF(AK18="","",IF(AM18="l","W",AM18))</f>
        <v/>
      </c>
      <c r="W28" s="143" t="str">
        <f>IF(AL18="","",":")</f>
        <v/>
      </c>
      <c r="X28" s="149" t="str">
        <f>IF(AM18="","",IF(AK18="W","L",AK18))</f>
        <v/>
      </c>
      <c r="Y28" s="148" t="str">
        <f>IF(AK20="","",IF(AM20="l","W",AM20))</f>
        <v/>
      </c>
      <c r="Z28" s="143" t="str">
        <f>IF(AL20="","",":")</f>
        <v/>
      </c>
      <c r="AA28" s="149" t="str">
        <f>IF(AM20="","",IF(AK20="W","L",AK20))</f>
        <v/>
      </c>
      <c r="AB28" s="148" t="str">
        <f>IF(AK22="","",IF(AM22="l","W",AM22))</f>
        <v/>
      </c>
      <c r="AC28" s="143" t="str">
        <f>IF(AL22="","",":")</f>
        <v/>
      </c>
      <c r="AD28" s="149" t="str">
        <f>IF(AM22="","",IF(AK22="W","L",AK22))</f>
        <v/>
      </c>
      <c r="AE28" s="148" t="str">
        <f>IF(AK24="","",IF(AM24="l","W",AM24))</f>
        <v/>
      </c>
      <c r="AF28" s="143" t="str">
        <f>IF(AL24="","",":")</f>
        <v/>
      </c>
      <c r="AG28" s="149" t="str">
        <f>IF(AM24="","",IF(AK24="W","L",AK24))</f>
        <v/>
      </c>
      <c r="AH28" s="148" t="str">
        <f>IF(AK26="","",IF(AM26="l","W",AM26))</f>
        <v/>
      </c>
      <c r="AI28" s="143" t="str">
        <f>IF(AL26="","",":")</f>
        <v/>
      </c>
      <c r="AJ28" s="149" t="str">
        <f>IF(AM26="","",IF(AK26="W","L",AK26))</f>
        <v/>
      </c>
      <c r="AK28" s="1237"/>
      <c r="AL28" s="1217"/>
      <c r="AM28" s="1218"/>
      <c r="AN28" s="142"/>
      <c r="AO28" s="143" t="str">
        <f>IF(AN27="","",":")</f>
        <v/>
      </c>
      <c r="AP28" s="144"/>
      <c r="AQ28" s="142"/>
      <c r="AR28" s="143" t="str">
        <f>IF(AQ27="","",":")</f>
        <v/>
      </c>
      <c r="AS28" s="144"/>
      <c r="AT28" s="142"/>
      <c r="AU28" s="143" t="str">
        <f>IF(AT27="","",":")</f>
        <v/>
      </c>
      <c r="AV28" s="144"/>
      <c r="AW28" s="142"/>
      <c r="AX28" s="143" t="str">
        <f>IF(AW27="","",":")</f>
        <v/>
      </c>
      <c r="AY28" s="144"/>
      <c r="AZ28" s="1224"/>
      <c r="BA28" s="1225"/>
      <c r="BB28" s="1227"/>
      <c r="BC28" s="1228"/>
    </row>
    <row r="29" spans="1:55" ht="15.75" customHeight="1" x14ac:dyDescent="0.25">
      <c r="A29" s="1163">
        <v>13</v>
      </c>
      <c r="B29" s="1229"/>
      <c r="C29" s="140" t="str">
        <f>IF(B29="","",VLOOKUP(B29,'Списки участников'!A:I,3,FALSE))</f>
        <v/>
      </c>
      <c r="D29" s="1219" t="str">
        <f>IF(AN5="","",IF(AN6="W",0,IF(AN5=2,1,IF(AN5=1,2,IF(AN5=0,2)))))</f>
        <v/>
      </c>
      <c r="E29" s="1220"/>
      <c r="F29" s="1221"/>
      <c r="G29" s="1219" t="str">
        <f>IF(AN7="","",IF(AN8="W",0,IF(AN7=2,1,IF(AN7=1,2,IF(AN7=0,2)))))</f>
        <v/>
      </c>
      <c r="H29" s="1220"/>
      <c r="I29" s="1221"/>
      <c r="J29" s="1219" t="str">
        <f>IF(AN9="","",IF(AN10="W",0,IF(AN9=2,1,IF(AN9=1,2,IF(AN9=0,2)))))</f>
        <v/>
      </c>
      <c r="K29" s="1220"/>
      <c r="L29" s="1221"/>
      <c r="M29" s="1219" t="str">
        <f>IF(AN11="","",IF(AN12="W",0,IF(AN11=2,1,IF(AN11=1,2,IF(AN11=0,2)))))</f>
        <v/>
      </c>
      <c r="N29" s="1220"/>
      <c r="O29" s="1221"/>
      <c r="P29" s="1219" t="str">
        <f>IF(AN13="","",IF(AN14="W",0,IF(AN13=2,1,IF(AN13=1,2,IF(AN13=0,2)))))</f>
        <v/>
      </c>
      <c r="Q29" s="1220"/>
      <c r="R29" s="1221"/>
      <c r="S29" s="1219" t="str">
        <f>IF(AN15="","",IF(AN16="W",0,IF(AN15=2,1,IF(AN15=1,2,IF(AN15=0,2)))))</f>
        <v/>
      </c>
      <c r="T29" s="1220"/>
      <c r="U29" s="1221"/>
      <c r="V29" s="1219" t="str">
        <f>IF(AN17="","",IF(AN18="W",0,IF(AN17=2,1,IF(AN17=1,2,IF(AN17=0,2)))))</f>
        <v/>
      </c>
      <c r="W29" s="1220"/>
      <c r="X29" s="1221"/>
      <c r="Y29" s="1219" t="str">
        <f>IF(AN19="","",IF(AN20="W",0,IF(AN19=2,1,IF(AN19=1,2,IF(AN19=0,2)))))</f>
        <v/>
      </c>
      <c r="Z29" s="1220"/>
      <c r="AA29" s="1221"/>
      <c r="AB29" s="1219" t="str">
        <f>IF(AN21="","",IF(AN22="W",0,IF(AN21=2,1,IF(AN21=1,2,IF(AN21=0,2)))))</f>
        <v/>
      </c>
      <c r="AC29" s="1220"/>
      <c r="AD29" s="1221"/>
      <c r="AE29" s="1219" t="str">
        <f>IF(AN23="","",IF(AN24="W",0,IF(AN23=2,1,IF(AN23=1,2,IF(AN23=0,2)))))</f>
        <v/>
      </c>
      <c r="AF29" s="1220"/>
      <c r="AG29" s="1221"/>
      <c r="AH29" s="1219" t="str">
        <f>IF(AN25="","",IF(AN26="W",0,IF(AN25=2,1,IF(AN25=1,2,IF(AN25=0,2)))))</f>
        <v/>
      </c>
      <c r="AI29" s="1220"/>
      <c r="AJ29" s="1221"/>
      <c r="AK29" s="1219" t="str">
        <f>IF(AN27="","",IF(AN28="W",0,IF(AN27=2,1,IF(AN27=1,2,IF(AN27=0,2)))))</f>
        <v/>
      </c>
      <c r="AL29" s="1220"/>
      <c r="AM29" s="1221"/>
      <c r="AN29" s="1234"/>
      <c r="AO29" s="1235"/>
      <c r="AP29" s="1236"/>
      <c r="AQ29" s="1219"/>
      <c r="AR29" s="1220"/>
      <c r="AS29" s="1221"/>
      <c r="AT29" s="1219"/>
      <c r="AU29" s="1220"/>
      <c r="AV29" s="1221"/>
      <c r="AW29" s="1219"/>
      <c r="AX29" s="1220"/>
      <c r="AY29" s="1221"/>
      <c r="AZ29" s="1222" t="str">
        <f t="shared" ref="AZ29" si="11">IF(B29="","",SUM(G29,J29,M29,P29,S29,V29,Y29,AB29,AE29,AH29,AK29,AN29,AQ29,AT29,AW29))</f>
        <v/>
      </c>
      <c r="BA29" s="1223"/>
      <c r="BB29" s="1226"/>
      <c r="BC29" s="1228" t="str">
        <f>IF(B29="","",RANK(AZ29,Ф4Оч)+48)</f>
        <v/>
      </c>
    </row>
    <row r="30" spans="1:55" ht="15.75" customHeight="1" x14ac:dyDescent="0.25">
      <c r="A30" s="1164"/>
      <c r="B30" s="1230"/>
      <c r="C30" s="141" t="str">
        <f>IF(B29="","",VLOOKUP(B29,'Списки участников'!A:I,6,FALSE))</f>
        <v/>
      </c>
      <c r="D30" s="148" t="str">
        <f>IF(AN6="","",IF(AP6="l","W",AP6))</f>
        <v/>
      </c>
      <c r="E30" s="143" t="str">
        <f>IF(AO6="","",":")</f>
        <v/>
      </c>
      <c r="F30" s="149" t="str">
        <f>IF(AP6="","",IF(AN6="W","L",AN6))</f>
        <v/>
      </c>
      <c r="G30" s="148" t="str">
        <f>IF(AN8="","",IF(AP8="l","W",AP8))</f>
        <v/>
      </c>
      <c r="H30" s="143" t="str">
        <f>IF(AO8="","",":")</f>
        <v/>
      </c>
      <c r="I30" s="149" t="str">
        <f>IF(AP8="","",IF(AN8="W","L",AN8))</f>
        <v/>
      </c>
      <c r="J30" s="148" t="str">
        <f>IF(AN10="","",IF(AP10="l","W",AP10))</f>
        <v/>
      </c>
      <c r="K30" s="143" t="str">
        <f>IF(AO10="","",":")</f>
        <v/>
      </c>
      <c r="L30" s="149" t="str">
        <f>IF(AP10="","",IF(AN10="W","L",AN10))</f>
        <v/>
      </c>
      <c r="M30" s="148" t="str">
        <f>IF(AN12="","",IF(AP12="l","W",AP12))</f>
        <v/>
      </c>
      <c r="N30" s="143" t="str">
        <f>IF(AO12="","",":")</f>
        <v/>
      </c>
      <c r="O30" s="149" t="str">
        <f>IF(AP12="","",IF(AN12="W","L",AN12))</f>
        <v/>
      </c>
      <c r="P30" s="148" t="str">
        <f>IF(AN14="","",IF(AP14="l","W",AP14))</f>
        <v/>
      </c>
      <c r="Q30" s="143" t="str">
        <f>IF(AO14="","",":")</f>
        <v/>
      </c>
      <c r="R30" s="149" t="str">
        <f>IF(AP14="","",IF(AN14="W","L",AN14))</f>
        <v/>
      </c>
      <c r="S30" s="148" t="str">
        <f>IF(AN16="","",IF(AP16="l","W",AP16))</f>
        <v/>
      </c>
      <c r="T30" s="143" t="str">
        <f>IF(AO16="","",":")</f>
        <v/>
      </c>
      <c r="U30" s="149" t="str">
        <f>IF(AP16="","",IF(AN16="W","L",AN16))</f>
        <v/>
      </c>
      <c r="V30" s="148" t="str">
        <f>IF(AN18="","",IF(AP18="l","W",AP18))</f>
        <v/>
      </c>
      <c r="W30" s="143" t="str">
        <f>IF(AO18="","",":")</f>
        <v/>
      </c>
      <c r="X30" s="149" t="str">
        <f>IF(AP18="","",IF(AN18="W","L",AN18))</f>
        <v/>
      </c>
      <c r="Y30" s="148" t="str">
        <f>IF(AN20="","",IF(AP20="l","W",AP20))</f>
        <v/>
      </c>
      <c r="Z30" s="143" t="str">
        <f>IF(AO20="","",":")</f>
        <v/>
      </c>
      <c r="AA30" s="149" t="str">
        <f>IF(AP20="","",IF(AN20="W","L",AN20))</f>
        <v/>
      </c>
      <c r="AB30" s="148" t="str">
        <f>IF(AN22="","",IF(AP22="l","W",AP22))</f>
        <v/>
      </c>
      <c r="AC30" s="143" t="str">
        <f>IF(AO22="","",":")</f>
        <v/>
      </c>
      <c r="AD30" s="149" t="str">
        <f>IF(AP22="","",IF(AN22="W","L",AN22))</f>
        <v/>
      </c>
      <c r="AE30" s="148" t="str">
        <f>IF(AN24="","",IF(AP24="l","W",AP24))</f>
        <v/>
      </c>
      <c r="AF30" s="143" t="str">
        <f>IF(AO24="","",":")</f>
        <v/>
      </c>
      <c r="AG30" s="149" t="str">
        <f>IF(AP24="","",IF(AN24="W","L",AN24))</f>
        <v/>
      </c>
      <c r="AH30" s="148" t="str">
        <f>IF(AN26="","",IF(AP26="l","W",AP26))</f>
        <v/>
      </c>
      <c r="AI30" s="143" t="str">
        <f>IF(AO26="","",":")</f>
        <v/>
      </c>
      <c r="AJ30" s="149" t="str">
        <f>IF(AP26="","",IF(AN26="W","L",AN26))</f>
        <v/>
      </c>
      <c r="AK30" s="148" t="str">
        <f>IF(AN28="","",IF(AP28="l","W",AP28))</f>
        <v/>
      </c>
      <c r="AL30" s="143" t="str">
        <f>IF(AO28="","",":")</f>
        <v/>
      </c>
      <c r="AM30" s="149" t="str">
        <f>IF(AP28="","",IF(AN28="W","L",AN28))</f>
        <v/>
      </c>
      <c r="AN30" s="1237"/>
      <c r="AO30" s="1217"/>
      <c r="AP30" s="1218"/>
      <c r="AQ30" s="142"/>
      <c r="AR30" s="143" t="str">
        <f>IF(AQ29="","",":")</f>
        <v/>
      </c>
      <c r="AS30" s="144"/>
      <c r="AT30" s="142"/>
      <c r="AU30" s="143" t="str">
        <f>IF(AT29="","",":")</f>
        <v/>
      </c>
      <c r="AV30" s="144"/>
      <c r="AW30" s="142"/>
      <c r="AX30" s="143" t="str">
        <f>IF(AW29="","",":")</f>
        <v/>
      </c>
      <c r="AY30" s="144"/>
      <c r="AZ30" s="1224"/>
      <c r="BA30" s="1225"/>
      <c r="BB30" s="1227"/>
      <c r="BC30" s="1228"/>
    </row>
    <row r="31" spans="1:55" ht="15.75" customHeight="1" x14ac:dyDescent="0.25">
      <c r="A31" s="1163">
        <v>14</v>
      </c>
      <c r="B31" s="1229"/>
      <c r="C31" s="140" t="str">
        <f>IF(B31="","",VLOOKUP(B31,'Списки участников'!A:I,3,FALSE))</f>
        <v/>
      </c>
      <c r="D31" s="1219" t="str">
        <f>IF(AQ5="","",IF(AQ6="W",0,IF(AQ5=2,1,IF(AQ5=1,2,IF(AQ5=0,2)))))</f>
        <v/>
      </c>
      <c r="E31" s="1220"/>
      <c r="F31" s="1221"/>
      <c r="G31" s="1219" t="str">
        <f>IF(AQ7="","",IF(AQ8="W",0,IF(AQ7=2,1,IF(AQ7=1,2,IF(AQ7=0,2)))))</f>
        <v/>
      </c>
      <c r="H31" s="1220"/>
      <c r="I31" s="1221"/>
      <c r="J31" s="1219" t="str">
        <f>IF(AQ9="","",IF(AQ10="W",0,IF(AQ9=2,1,IF(AQ9=1,2,IF(AQ9=0,2)))))</f>
        <v/>
      </c>
      <c r="K31" s="1220"/>
      <c r="L31" s="1221"/>
      <c r="M31" s="1219" t="str">
        <f>IF(AQ11="","",IF(AQ12="W",0,IF(AQ11=2,1,IF(AQ11=1,2,IF(AQ11=0,2)))))</f>
        <v/>
      </c>
      <c r="N31" s="1220"/>
      <c r="O31" s="1221"/>
      <c r="P31" s="1219" t="str">
        <f>IF(AQ13="","",IF(AQ14="W",0,IF(AQ13=2,1,IF(AQ13=1,2,IF(AQ13=0,2)))))</f>
        <v/>
      </c>
      <c r="Q31" s="1220"/>
      <c r="R31" s="1221"/>
      <c r="S31" s="1219" t="str">
        <f>IF(AQ15="","",IF(AQ16="W",0,IF(AQ15=2,1,IF(AQ15=1,2,IF(AQ15=0,2)))))</f>
        <v/>
      </c>
      <c r="T31" s="1220"/>
      <c r="U31" s="1221"/>
      <c r="V31" s="1219" t="str">
        <f>IF(AQ17="","",IF(AQ18="W",0,IF(AQ17=2,1,IF(AQ17=1,2,IF(AQ17=0,2)))))</f>
        <v/>
      </c>
      <c r="W31" s="1220"/>
      <c r="X31" s="1221"/>
      <c r="Y31" s="1219" t="str">
        <f>IF(AQ19="","",IF(AQ20="W",0,IF(AQ19=2,1,IF(AQ19=1,2,IF(AQ19=0,2)))))</f>
        <v/>
      </c>
      <c r="Z31" s="1220"/>
      <c r="AA31" s="1221"/>
      <c r="AB31" s="1219" t="str">
        <f>IF(AQ21="","",IF(AQ22="W",0,IF(AQ21=2,1,IF(AQ21=1,2,IF(AQ21=0,2)))))</f>
        <v/>
      </c>
      <c r="AC31" s="1220"/>
      <c r="AD31" s="1221"/>
      <c r="AE31" s="1219" t="str">
        <f>IF(AQ23="","",IF(AQ24="W",0,IF(AQ23=2,1,IF(AQ23=1,2,IF(AQ23=0,2)))))</f>
        <v/>
      </c>
      <c r="AF31" s="1220"/>
      <c r="AG31" s="1221"/>
      <c r="AH31" s="1219" t="str">
        <f>IF(AQ25="","",IF(AQ26="W",0,IF(AQ25=2,1,IF(AQ25=1,2,IF(AQ25=0,2)))))</f>
        <v/>
      </c>
      <c r="AI31" s="1220"/>
      <c r="AJ31" s="1221"/>
      <c r="AK31" s="1219" t="str">
        <f>IF(AQ27="","",IF(AQ28="W",0,IF(AQ27=2,1,IF(AQ27=1,2,IF(AQ27=0,2)))))</f>
        <v/>
      </c>
      <c r="AL31" s="1220"/>
      <c r="AM31" s="1221"/>
      <c r="AN31" s="1219" t="str">
        <f>IF(AQ29="","",IF(AQ30="W",0,IF(AQ29=2,1,IF(AQ29=1,2,IF(AQ29=0,2)))))</f>
        <v/>
      </c>
      <c r="AO31" s="1220"/>
      <c r="AP31" s="1221"/>
      <c r="AQ31" s="1234"/>
      <c r="AR31" s="1235"/>
      <c r="AS31" s="1236"/>
      <c r="AT31" s="1219"/>
      <c r="AU31" s="1220"/>
      <c r="AV31" s="1221"/>
      <c r="AW31" s="1219"/>
      <c r="AX31" s="1220"/>
      <c r="AY31" s="1221"/>
      <c r="AZ31" s="1222" t="str">
        <f t="shared" ref="AZ31" si="12">IF(B31="","",SUM(G31,J31,M31,P31,S31,V31,Y31,AB31,AE31,AH31,AK31,AN31,AQ31,AT31,AW31))</f>
        <v/>
      </c>
      <c r="BA31" s="1223"/>
      <c r="BB31" s="1226"/>
      <c r="BC31" s="1228" t="str">
        <f>IF(B31="","",RANK(AZ31,Ф4Оч)+48)</f>
        <v/>
      </c>
    </row>
    <row r="32" spans="1:55" ht="15.75" customHeight="1" x14ac:dyDescent="0.25">
      <c r="A32" s="1164"/>
      <c r="B32" s="1230"/>
      <c r="C32" s="141" t="str">
        <f>IF(B31="","",VLOOKUP(B31,'Списки участников'!A:I,6,FALSE))</f>
        <v/>
      </c>
      <c r="D32" s="148" t="str">
        <f>IF(AQ6="","",IF(AS6="l","W",AS6))</f>
        <v/>
      </c>
      <c r="E32" s="143" t="str">
        <f>IF(AR6="","",":")</f>
        <v/>
      </c>
      <c r="F32" s="149" t="str">
        <f>IF(AS6="","",IF(AQ6="W","L",AQ6))</f>
        <v/>
      </c>
      <c r="G32" s="148" t="str">
        <f>IF(AQ8="","",IF(AS8="l","W",AS8))</f>
        <v/>
      </c>
      <c r="H32" s="143" t="str">
        <f>IF(AR8="","",":")</f>
        <v/>
      </c>
      <c r="I32" s="149" t="str">
        <f>IF(AS8="","",IF(AQ8="W","L",AQ8))</f>
        <v/>
      </c>
      <c r="J32" s="148" t="str">
        <f>IF(AQ10="","",IF(AS10="l","W",AS10))</f>
        <v/>
      </c>
      <c r="K32" s="143" t="str">
        <f>IF(AR10="","",":")</f>
        <v/>
      </c>
      <c r="L32" s="149" t="str">
        <f>IF(AS10="","",IF(AQ10="W","L",AQ10))</f>
        <v/>
      </c>
      <c r="M32" s="148" t="str">
        <f>IF(AQ12="","",IF(AS12="l","W",AS12))</f>
        <v/>
      </c>
      <c r="N32" s="143" t="str">
        <f>IF(AR12="","",":")</f>
        <v/>
      </c>
      <c r="O32" s="149" t="str">
        <f>IF(AS12="","",IF(AQ12="W","L",AQ12))</f>
        <v/>
      </c>
      <c r="P32" s="148" t="str">
        <f>IF(AQ14="","",IF(AS14="l","W",AS14))</f>
        <v/>
      </c>
      <c r="Q32" s="143" t="str">
        <f>IF(AR14="","",":")</f>
        <v/>
      </c>
      <c r="R32" s="149" t="str">
        <f>IF(AS14="","",IF(AQ14="W","L",AQ14))</f>
        <v/>
      </c>
      <c r="S32" s="148" t="str">
        <f>IF(AQ16="","",IF(AS16="l","W",AS16))</f>
        <v/>
      </c>
      <c r="T32" s="143" t="str">
        <f>IF(AR16="","",":")</f>
        <v/>
      </c>
      <c r="U32" s="149" t="str">
        <f>IF(AS16="","",IF(AQ16="W","L",AQ16))</f>
        <v/>
      </c>
      <c r="V32" s="148" t="str">
        <f>IF(AQ18="","",IF(AS18="l","W",AS18))</f>
        <v/>
      </c>
      <c r="W32" s="143" t="str">
        <f>IF(AR18="","",":")</f>
        <v/>
      </c>
      <c r="X32" s="149" t="str">
        <f>IF(AS18="","",IF(AQ18="W","L",AQ18))</f>
        <v/>
      </c>
      <c r="Y32" s="148" t="str">
        <f>IF(AT18="","",IF(AV18="l","W",AV18))</f>
        <v/>
      </c>
      <c r="Z32" s="143" t="str">
        <f>IF(AR20="","",":")</f>
        <v/>
      </c>
      <c r="AA32" s="149" t="str">
        <f>IF(AV18="","",IF(AT18="W","L",AT18))</f>
        <v/>
      </c>
      <c r="AB32" s="148" t="str">
        <f>IF(AQ22="","",IF(AS22="l","W",AS22))</f>
        <v/>
      </c>
      <c r="AC32" s="143" t="str">
        <f>IF(AR22="","",":")</f>
        <v/>
      </c>
      <c r="AD32" s="149" t="str">
        <f>IF(AS22="","",IF(AQ22="W","L",AQ22))</f>
        <v/>
      </c>
      <c r="AE32" s="148" t="str">
        <f>IF(AQ24="","",IF(AS24="l","W",AS24))</f>
        <v/>
      </c>
      <c r="AF32" s="143" t="str">
        <f>IF(AR24="","",":")</f>
        <v/>
      </c>
      <c r="AG32" s="149" t="str">
        <f>IF(AS24="","",IF(AQ24="W","L",AQ24))</f>
        <v/>
      </c>
      <c r="AH32" s="148" t="str">
        <f>IF(AQ26="","",IF(AS26="l","W",AS26))</f>
        <v/>
      </c>
      <c r="AI32" s="143" t="str">
        <f>IF(AR26="","",":")</f>
        <v/>
      </c>
      <c r="AJ32" s="149" t="str">
        <f>IF(AS26="","",IF(AQ26="W","L",AQ26))</f>
        <v/>
      </c>
      <c r="AK32" s="148" t="str">
        <f>IF(AQ28="","",IF(AS28="l","W",AS28))</f>
        <v/>
      </c>
      <c r="AL32" s="143" t="str">
        <f>IF(AR28="","",":")</f>
        <v/>
      </c>
      <c r="AM32" s="149" t="str">
        <f>IF(AS28="","",IF(AQ28="W","L",AQ28))</f>
        <v/>
      </c>
      <c r="AN32" s="148" t="str">
        <f>IF(AQ30="","",IF(AS30="l","W",AS30))</f>
        <v/>
      </c>
      <c r="AO32" s="143" t="str">
        <f>IF(AR30="","",":")</f>
        <v/>
      </c>
      <c r="AP32" s="149" t="str">
        <f>IF(AS30="","",IF(AQ30="W","L",AQ30))</f>
        <v/>
      </c>
      <c r="AQ32" s="1237"/>
      <c r="AR32" s="1217"/>
      <c r="AS32" s="1218"/>
      <c r="AT32" s="142"/>
      <c r="AU32" s="143" t="str">
        <f>IF(AT31="","",":")</f>
        <v/>
      </c>
      <c r="AV32" s="144"/>
      <c r="AW32" s="142"/>
      <c r="AX32" s="143" t="str">
        <f>IF(AW31="","",":")</f>
        <v/>
      </c>
      <c r="AY32" s="144"/>
      <c r="AZ32" s="1224"/>
      <c r="BA32" s="1225"/>
      <c r="BB32" s="1227"/>
      <c r="BC32" s="1228"/>
    </row>
    <row r="33" spans="1:55" ht="15.75" customHeight="1" x14ac:dyDescent="0.25">
      <c r="A33" s="1240">
        <v>15</v>
      </c>
      <c r="B33" s="1229"/>
      <c r="C33" s="140" t="str">
        <f>IF(B33="","",VLOOKUP(B33,'Списки участников'!A:I,3,FALSE))</f>
        <v/>
      </c>
      <c r="D33" s="1219" t="str">
        <f>IF(AT5="","",IF(AT6="W",0,IF(AT5=2,1,IF(AT5=1,2,IF(AT5=0,2)))))</f>
        <v/>
      </c>
      <c r="E33" s="1220"/>
      <c r="F33" s="1221"/>
      <c r="G33" s="1219" t="str">
        <f>IF(AT7="","",IF(AT8="W",0,IF(AT7=2,1,IF(AT7=1,2,IF(AT7=0,2)))))</f>
        <v/>
      </c>
      <c r="H33" s="1220"/>
      <c r="I33" s="1221"/>
      <c r="J33" s="1219" t="str">
        <f>IF(AT9="","",IF(AT10="W",0,IF(AT9=2,1,IF(AT9=1,2,IF(AT9=0,2)))))</f>
        <v/>
      </c>
      <c r="K33" s="1220"/>
      <c r="L33" s="1221"/>
      <c r="M33" s="1219" t="str">
        <f>IF(AT11="","",IF(AT12="W",0,IF(AT11=2,1,IF(AT11=1,2,IF(AT11=0,2)))))</f>
        <v/>
      </c>
      <c r="N33" s="1220"/>
      <c r="O33" s="1221"/>
      <c r="P33" s="1219" t="str">
        <f>IF(AT13="","",IF(AT14="W",0,IF(AT13=2,1,IF(AT13=1,2,IF(AT13=0,2)))))</f>
        <v/>
      </c>
      <c r="Q33" s="1220"/>
      <c r="R33" s="1221"/>
      <c r="S33" s="1219" t="str">
        <f>IF(AT15="","",IF(AT16="W",0,IF(AT15=2,1,IF(AT15=1,2,IF(AT15=0,2)))))</f>
        <v/>
      </c>
      <c r="T33" s="1220"/>
      <c r="U33" s="1221"/>
      <c r="V33" s="1219" t="str">
        <f>IF(AT17="","",IF(AT18="W",0,IF(AT17=2,1,IF(AT17=1,2,IF(AT17=0,2)))))</f>
        <v/>
      </c>
      <c r="W33" s="1220"/>
      <c r="X33" s="1221"/>
      <c r="Y33" s="1219" t="str">
        <f>IF(AT19="","",IF(AT20="W",0,IF(AT19=2,1,IF(AT19=1,2,IF(AT19=0,2)))))</f>
        <v/>
      </c>
      <c r="Z33" s="1220"/>
      <c r="AA33" s="1221"/>
      <c r="AB33" s="1219" t="str">
        <f>IF(AT21="","",IF(AT22="W",0,IF(AT21=2,1,IF(AT21=1,2,IF(AT21=0,2)))))</f>
        <v/>
      </c>
      <c r="AC33" s="1220"/>
      <c r="AD33" s="1221"/>
      <c r="AE33" s="1219" t="str">
        <f>IF(AT23="","",IF(AT24="W",0,IF(AT23=2,1,IF(AT23=1,2,IF(AT23=0,2)))))</f>
        <v/>
      </c>
      <c r="AF33" s="1220"/>
      <c r="AG33" s="1221"/>
      <c r="AH33" s="1219" t="str">
        <f>IF(AT25="","",IF(AT26="W",0,IF(AT25=2,1,IF(AT25=1,2,IF(AT25=0,2)))))</f>
        <v/>
      </c>
      <c r="AI33" s="1220"/>
      <c r="AJ33" s="1221"/>
      <c r="AK33" s="1219" t="str">
        <f>IF(AT27="","",IF(AT28="W",0,IF(AT27=2,1,IF(AT27=1,2,IF(AT27=0,2)))))</f>
        <v/>
      </c>
      <c r="AL33" s="1220"/>
      <c r="AM33" s="1221"/>
      <c r="AN33" s="1219" t="str">
        <f>IF(AT29="","",IF(AT30="W",0,IF(AT29=2,1,IF(AT29=1,2,IF(AT29=0,2)))))</f>
        <v/>
      </c>
      <c r="AO33" s="1220"/>
      <c r="AP33" s="1221"/>
      <c r="AQ33" s="1219" t="str">
        <f>IF(AT31="","",IF(AT32="W",0,IF(AT31=2,1,IF(AT31=1,2,IF(AT31=0,2)))))</f>
        <v/>
      </c>
      <c r="AR33" s="1220"/>
      <c r="AS33" s="1221"/>
      <c r="AT33" s="1239"/>
      <c r="AU33" s="1215"/>
      <c r="AV33" s="1216"/>
      <c r="AW33" s="1219"/>
      <c r="AX33" s="1220"/>
      <c r="AY33" s="1221"/>
      <c r="AZ33" s="1222" t="str">
        <f t="shared" ref="AZ33" si="13">IF(B33="","",SUM(G33,J33,M33,P33,S33,V33,Y33,AB33,AE33,AH33,AK33,AN33,AQ33,AT33,AW33))</f>
        <v/>
      </c>
      <c r="BA33" s="1223"/>
      <c r="BB33" s="1226"/>
      <c r="BC33" s="1228" t="str">
        <f>IF(B33="","",RANK(AZ33,Ф4Оч)+48)</f>
        <v/>
      </c>
    </row>
    <row r="34" spans="1:55" ht="15.75" customHeight="1" x14ac:dyDescent="0.25">
      <c r="A34" s="1241"/>
      <c r="B34" s="1230"/>
      <c r="C34" s="141" t="str">
        <f>IF(B33="","",VLOOKUP(B33,'Списки участников'!A:I,6,FALSE))</f>
        <v/>
      </c>
      <c r="D34" s="148" t="str">
        <f>IF(AT6="","",IF(AV6="l","W",AV6))</f>
        <v/>
      </c>
      <c r="E34" s="143" t="str">
        <f>IF(AU6="","",":")</f>
        <v/>
      </c>
      <c r="F34" s="149" t="str">
        <f>IF(AV6="","",IF(AT6="W","L",AT6))</f>
        <v/>
      </c>
      <c r="G34" s="148" t="str">
        <f>IF(AT8="","",IF(AV8="l","W",AV8))</f>
        <v/>
      </c>
      <c r="H34" s="143" t="str">
        <f>IF(AU8="","",":")</f>
        <v/>
      </c>
      <c r="I34" s="149" t="str">
        <f>IF(AV8="","",IF(AT8="W","L",AT8))</f>
        <v/>
      </c>
      <c r="J34" s="148" t="str">
        <f>IF(AT10="","",IF(AV10="l","W",AV10))</f>
        <v/>
      </c>
      <c r="K34" s="143" t="str">
        <f>IF(AU10="","",":")</f>
        <v/>
      </c>
      <c r="L34" s="149" t="str">
        <f>IF(AV10="","",IF(AT10="W","L",AT10))</f>
        <v/>
      </c>
      <c r="M34" s="148" t="str">
        <f>IF(AT12="","",IF(AV12="l","W",AV12))</f>
        <v/>
      </c>
      <c r="N34" s="143" t="str">
        <f>IF(AU12="","",":")</f>
        <v/>
      </c>
      <c r="O34" s="149" t="str">
        <f>IF(AV12="","",IF(AT12="W","L",AT12))</f>
        <v/>
      </c>
      <c r="P34" s="148" t="str">
        <f>IF(AT14="","",IF(AV14="l","W",AV14))</f>
        <v/>
      </c>
      <c r="Q34" s="143" t="str">
        <f>IF(AU14="","",":")</f>
        <v/>
      </c>
      <c r="R34" s="149" t="str">
        <f>IF(AV14="","",IF(AT14="W","L",AT14))</f>
        <v/>
      </c>
      <c r="S34" s="148" t="str">
        <f>IF(AT16="","",IF(AV16="l","W",AV16))</f>
        <v/>
      </c>
      <c r="T34" s="143" t="str">
        <f>IF(AU16="","",":")</f>
        <v/>
      </c>
      <c r="U34" s="149" t="str">
        <f>IF(AV16="","",IF(AT16="W","L",AT16))</f>
        <v/>
      </c>
      <c r="V34" s="148" t="str">
        <f>IF(AT18="","",IF(AV18="l","W",AV18))</f>
        <v/>
      </c>
      <c r="W34" s="143" t="str">
        <f>IF(AU18="","",":")</f>
        <v/>
      </c>
      <c r="X34" s="149" t="str">
        <f>IF(AV18="","",IF(AT18="W","L",AT18))</f>
        <v/>
      </c>
      <c r="Y34" s="148" t="str">
        <f>IF(AT20="","",IF(AV20="l","W",AV20))</f>
        <v/>
      </c>
      <c r="Z34" s="143" t="str">
        <f>IF(AU20="","",":")</f>
        <v/>
      </c>
      <c r="AA34" s="149" t="str">
        <f>IF(AV20="","",IF(AT20="W","L",AT20))</f>
        <v/>
      </c>
      <c r="AB34" s="148" t="str">
        <f>IF(AT22="","",IF(AV22="l","W",AV22))</f>
        <v/>
      </c>
      <c r="AC34" s="143" t="str">
        <f>IF(AU22="","",":")</f>
        <v/>
      </c>
      <c r="AD34" s="149" t="str">
        <f>IF(AV22="","",IF(AT22="W","L",AT22))</f>
        <v/>
      </c>
      <c r="AE34" s="148" t="str">
        <f>IF(AT24="","",IF(AV24="l","W",AV24))</f>
        <v/>
      </c>
      <c r="AF34" s="143" t="str">
        <f>IF(AU24="","",":")</f>
        <v/>
      </c>
      <c r="AG34" s="149" t="str">
        <f>IF(AV24="","",IF(AT24="W","L",AT24))</f>
        <v/>
      </c>
      <c r="AH34" s="148" t="str">
        <f>IF(AT26="","",IF(AV26="l","W",AV26))</f>
        <v/>
      </c>
      <c r="AI34" s="143" t="str">
        <f>IF(AU26="","",":")</f>
        <v/>
      </c>
      <c r="AJ34" s="149" t="str">
        <f>IF(AV26="","",IF(AT26="W","L",AT26))</f>
        <v/>
      </c>
      <c r="AK34" s="148" t="str">
        <f>IF(AT28="","",IF(AV28="l","W",AV28))</f>
        <v/>
      </c>
      <c r="AL34" s="143" t="str">
        <f>IF(AU28="","",":")</f>
        <v/>
      </c>
      <c r="AM34" s="149" t="str">
        <f>IF(AV28="","",IF(AT28="W","L",AT28))</f>
        <v/>
      </c>
      <c r="AN34" s="148" t="str">
        <f>IF(AT30="","",IF(AV30="l","W",AV30))</f>
        <v/>
      </c>
      <c r="AO34" s="143" t="str">
        <f>IF(AU30="","",":")</f>
        <v/>
      </c>
      <c r="AP34" s="149" t="str">
        <f>IF(AV30="","",IF(AT30="W","L",AT30))</f>
        <v/>
      </c>
      <c r="AQ34" s="148" t="str">
        <f>IF(AT32="","",IF(AV32="l","W",AV32))</f>
        <v/>
      </c>
      <c r="AR34" s="143" t="str">
        <f>IF(AU32="","",":")</f>
        <v/>
      </c>
      <c r="AS34" s="149" t="str">
        <f>IF(AV32="","",IF(AT32="W","L",AT32))</f>
        <v/>
      </c>
      <c r="AT34" s="1237"/>
      <c r="AU34" s="1217"/>
      <c r="AV34" s="1218"/>
      <c r="AW34" s="142"/>
      <c r="AX34" s="143" t="str">
        <f>IF(AW33="","",":")</f>
        <v/>
      </c>
      <c r="AY34" s="144"/>
      <c r="AZ34" s="1224"/>
      <c r="BA34" s="1225"/>
      <c r="BB34" s="1227"/>
      <c r="BC34" s="1228"/>
    </row>
    <row r="35" spans="1:55" ht="15.75" customHeight="1" x14ac:dyDescent="0.25">
      <c r="A35" s="1240">
        <v>16</v>
      </c>
      <c r="B35" s="1229"/>
      <c r="C35" s="140" t="str">
        <f>IF(B35="","",VLOOKUP(B35,'Списки участников'!A:I,3,FALSE))</f>
        <v/>
      </c>
      <c r="D35" s="1219" t="str">
        <f>IF(AW5="","",IF(AW6="W",0,IF(AW5=2,1,IF(AW5=1,2,IF(AW5=0,2)))))</f>
        <v/>
      </c>
      <c r="E35" s="1220"/>
      <c r="F35" s="1221"/>
      <c r="G35" s="1219" t="str">
        <f>IF(AW7="","",IF(AW8="W",0,IF(AW7=2,1,IF(AW7=1,2,IF(AW7=0,2)))))</f>
        <v/>
      </c>
      <c r="H35" s="1220"/>
      <c r="I35" s="1221"/>
      <c r="J35" s="1219" t="str">
        <f>IF(AW9="","",IF(AW10="W",0,IF(AW9=2,1,IF(AW9=1,2,IF(AW9=0,2)))))</f>
        <v/>
      </c>
      <c r="K35" s="1220"/>
      <c r="L35" s="1221"/>
      <c r="M35" s="1219" t="str">
        <f>IF(AW11="","",IF(AW12="W",0,IF(AW11=2,1,IF(AW11=1,2,IF(AW11=0,2)))))</f>
        <v/>
      </c>
      <c r="N35" s="1220"/>
      <c r="O35" s="1221"/>
      <c r="P35" s="1219" t="str">
        <f>IF(AW13="","",IF(AW14="W",0,IF(AW13=2,1,IF(AW13=1,2,IF(AW13=0,2)))))</f>
        <v/>
      </c>
      <c r="Q35" s="1220"/>
      <c r="R35" s="1221"/>
      <c r="S35" s="1219" t="str">
        <f>IF(AW15="","",IF(AW16="W",0,IF(AW15=2,1,IF(AW15=1,2,IF(AW15=0,2)))))</f>
        <v/>
      </c>
      <c r="T35" s="1220"/>
      <c r="U35" s="1221"/>
      <c r="V35" s="1219" t="str">
        <f>IF(AW17="","",IF(AW18="W",0,IF(AW17=2,1,IF(AW17=1,2,IF(AW17=0,2)))))</f>
        <v/>
      </c>
      <c r="W35" s="1220"/>
      <c r="X35" s="1221"/>
      <c r="Y35" s="1219" t="str">
        <f>IF(AW19="","",IF(AW20="W",0,IF(AW19=2,1,IF(AW19=1,2,IF(AW19=0,2)))))</f>
        <v/>
      </c>
      <c r="Z35" s="1220"/>
      <c r="AA35" s="1221"/>
      <c r="AB35" s="1219" t="str">
        <f>IF(AW21="","",IF(AW22="W",0,IF(AW21=2,1,IF(AW21=1,2,IF(AW21=0,2)))))</f>
        <v/>
      </c>
      <c r="AC35" s="1220"/>
      <c r="AD35" s="1221"/>
      <c r="AE35" s="1219" t="str">
        <f>IF(AW23="","",IF(AW24="W",0,IF(AW23=2,1,IF(AW23=1,2,IF(AW23=0,2)))))</f>
        <v/>
      </c>
      <c r="AF35" s="1220"/>
      <c r="AG35" s="1221"/>
      <c r="AH35" s="1219" t="str">
        <f>IF(AW25="","",IF(AW26="W",0,IF(AW25=2,1,IF(AW25=1,2,IF(AW25=0,2)))))</f>
        <v/>
      </c>
      <c r="AI35" s="1220"/>
      <c r="AJ35" s="1221"/>
      <c r="AK35" s="1219" t="str">
        <f>IF(AW27="","",IF(AW28="W",0,IF(AW27=2,1,IF(AW27=1,2,IF(AW27=0,2)))))</f>
        <v/>
      </c>
      <c r="AL35" s="1220"/>
      <c r="AM35" s="1221"/>
      <c r="AN35" s="1219" t="str">
        <f>IF(AW29="","",IF(AW30="W",0,IF(AW29=2,1,IF(AW29=1,2,IF(AW29=0,2)))))</f>
        <v/>
      </c>
      <c r="AO35" s="1220"/>
      <c r="AP35" s="1221"/>
      <c r="AQ35" s="1219" t="str">
        <f>IF(AW31="","",IF(AW32="W",0,IF(AW31=2,1,IF(AW31=1,2,IF(AW31=0,2)))))</f>
        <v/>
      </c>
      <c r="AR35" s="1220"/>
      <c r="AS35" s="1221"/>
      <c r="AT35" s="1219" t="str">
        <f>IF(AW33="","",IF(AW34="W",0,IF(AW33=2,1,IF(AW33=1,2,IF(AW33=0,2)))))</f>
        <v/>
      </c>
      <c r="AU35" s="1220"/>
      <c r="AV35" s="1221"/>
      <c r="AW35" s="1234"/>
      <c r="AX35" s="1235"/>
      <c r="AY35" s="1236"/>
      <c r="AZ35" s="1222" t="str">
        <f t="shared" ref="AZ35" si="14">IF(B35="","",SUM(G35,J35,M35,P35,S35,V35,Y35,AB35,AE35,AH35,AK35,AN35,AQ35,AT35,AW35))</f>
        <v/>
      </c>
      <c r="BA35" s="1223"/>
      <c r="BB35" s="1226"/>
      <c r="BC35" s="1228" t="str">
        <f>IF(B35="","",RANK(AZ35,Ф4Оч)+48)</f>
        <v/>
      </c>
    </row>
    <row r="36" spans="1:55" ht="15.75" customHeight="1" x14ac:dyDescent="0.25">
      <c r="A36" s="1241"/>
      <c r="B36" s="1230"/>
      <c r="C36" s="141" t="str">
        <f>IF(B35="","",VLOOKUP(B35,'Списки участников'!A:I,6,FALSE))</f>
        <v/>
      </c>
      <c r="D36" s="148" t="str">
        <f>IF(AW6="","",IF(AY6="l","W",AY6))</f>
        <v/>
      </c>
      <c r="E36" s="143" t="str">
        <f>IF(AX6="","",":")</f>
        <v/>
      </c>
      <c r="F36" s="149" t="str">
        <f>IF(AY6="","",IF(AW6="W","L",AW6))</f>
        <v/>
      </c>
      <c r="G36" s="148" t="str">
        <f>IF(AW8="","",IF(AY8="l","W",AY8))</f>
        <v/>
      </c>
      <c r="H36" s="143" t="str">
        <f>IF(AX8="","",":")</f>
        <v/>
      </c>
      <c r="I36" s="149" t="str">
        <f>IF(AY8="","",IF(AW8="W","L",AW8))</f>
        <v/>
      </c>
      <c r="J36" s="148" t="str">
        <f>IF(AW10="","",IF(AY10="l","W",AY10))</f>
        <v/>
      </c>
      <c r="K36" s="143" t="str">
        <f>IF(AX10="","",":")</f>
        <v/>
      </c>
      <c r="L36" s="149" t="str">
        <f>IF(AY10="","",IF(AW10="W","L",AW10))</f>
        <v/>
      </c>
      <c r="M36" s="148" t="str">
        <f>IF(AW12="","",IF(AY12="l","W",AY12))</f>
        <v/>
      </c>
      <c r="N36" s="143" t="str">
        <f>IF(AX12="","",":")</f>
        <v/>
      </c>
      <c r="O36" s="149" t="str">
        <f>IF(AY12="","",IF(AW12="W","L",AW12))</f>
        <v/>
      </c>
      <c r="P36" s="148" t="str">
        <f>IF(AW14="","",IF(AY14="l","W",AY14))</f>
        <v/>
      </c>
      <c r="Q36" s="143" t="str">
        <f>IF(AX14="","",":")</f>
        <v/>
      </c>
      <c r="R36" s="149" t="str">
        <f>IF(AY14="","",IF(AW14="W","L",AW14))</f>
        <v/>
      </c>
      <c r="S36" s="148" t="str">
        <f>IF(AW16="","",IF(AY16="l","W",AY16))</f>
        <v/>
      </c>
      <c r="T36" s="143" t="str">
        <f>IF(AX16="","",":")</f>
        <v/>
      </c>
      <c r="U36" s="149" t="str">
        <f>IF(AY16="","",IF(AW16="W","L",AW16))</f>
        <v/>
      </c>
      <c r="V36" s="148" t="str">
        <f>IF(AW18="","",IF(AY18="l","W",AY18))</f>
        <v/>
      </c>
      <c r="W36" s="143" t="str">
        <f>IF(AX18="","",":")</f>
        <v/>
      </c>
      <c r="X36" s="149" t="str">
        <f>IF(AY18="","",IF(AW18="W","L",AW18))</f>
        <v/>
      </c>
      <c r="Y36" s="148" t="str">
        <f>IF(AW20="","",IF(AY20="l","W",AY20))</f>
        <v/>
      </c>
      <c r="Z36" s="143" t="str">
        <f>IF(AX20="","",":")</f>
        <v/>
      </c>
      <c r="AA36" s="149" t="str">
        <f>IF(AY20="","",IF(AW20="W","L",AW20))</f>
        <v/>
      </c>
      <c r="AB36" s="148" t="str">
        <f>IF(AW22="","",IF(AY22="l","W",AY22))</f>
        <v/>
      </c>
      <c r="AC36" s="143" t="str">
        <f>IF(AX22="","",":")</f>
        <v/>
      </c>
      <c r="AD36" s="149" t="str">
        <f>IF(AY22="","",IF(AW22="W","L",AW22))</f>
        <v/>
      </c>
      <c r="AE36" s="148" t="str">
        <f>IF(AW24="","",IF(AY24="l","W",AY24))</f>
        <v/>
      </c>
      <c r="AF36" s="143" t="str">
        <f>IF(AX24="","",":")</f>
        <v/>
      </c>
      <c r="AG36" s="149" t="str">
        <f>IF(AY24="","",IF(AW24="W","L",AW24))</f>
        <v/>
      </c>
      <c r="AH36" s="148" t="str">
        <f>IF(AW26="","",IF(AY26="l","W",AY26))</f>
        <v/>
      </c>
      <c r="AI36" s="143" t="str">
        <f>IF(AX26="","",":")</f>
        <v/>
      </c>
      <c r="AJ36" s="149" t="str">
        <f>IF(AY26="","",IF(AW26="W","L",AW26))</f>
        <v/>
      </c>
      <c r="AK36" s="148" t="str">
        <f>IF(AW28="","",IF(AY28="l","W",AY28))</f>
        <v/>
      </c>
      <c r="AL36" s="143" t="str">
        <f>IF(AX28="","",":")</f>
        <v/>
      </c>
      <c r="AM36" s="149" t="str">
        <f>IF(AY28="","",IF(AW28="W","L",AW28))</f>
        <v/>
      </c>
      <c r="AN36" s="148" t="str">
        <f>IF(AW30="","",IF(AY30="l","W",AY30))</f>
        <v/>
      </c>
      <c r="AO36" s="143" t="str">
        <f>IF(AX30="","",":")</f>
        <v/>
      </c>
      <c r="AP36" s="149" t="str">
        <f>IF(AY30="","",IF(AW30="W","L",AW30))</f>
        <v/>
      </c>
      <c r="AQ36" s="148" t="str">
        <f>IF(AW32="","",IF(AY32="l","W",AY32))</f>
        <v/>
      </c>
      <c r="AR36" s="143" t="str">
        <f>IF(AX32="","",":")</f>
        <v/>
      </c>
      <c r="AS36" s="149" t="str">
        <f>IF(AY32="","",IF(AW32="W","L",AW32))</f>
        <v/>
      </c>
      <c r="AT36" s="148" t="str">
        <f>IF(AW34="","",IF(AY34="l","W",AY34))</f>
        <v/>
      </c>
      <c r="AU36" s="143" t="str">
        <f>IF(AX34="","",":")</f>
        <v/>
      </c>
      <c r="AV36" s="149" t="str">
        <f>IF(AY34="","",IF(AW34="W","L",AW34))</f>
        <v/>
      </c>
      <c r="AW36" s="1237"/>
      <c r="AX36" s="1217"/>
      <c r="AY36" s="1218"/>
      <c r="AZ36" s="1224"/>
      <c r="BA36" s="1225"/>
      <c r="BB36" s="1227"/>
      <c r="BC36" s="1228"/>
    </row>
    <row r="38" spans="1:55" ht="18.75" x14ac:dyDescent="0.3">
      <c r="C38" s="150" t="s">
        <v>791</v>
      </c>
      <c r="D38" s="150"/>
      <c r="E38" s="1242" t="str">
        <f>'Списки участников'!I121</f>
        <v>В.А. Коваль</v>
      </c>
      <c r="F38" s="1242"/>
      <c r="G38" s="1242"/>
      <c r="H38" s="1242"/>
      <c r="I38" s="1242"/>
      <c r="J38" s="1242"/>
      <c r="K38" s="1242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243" t="s">
        <v>792</v>
      </c>
      <c r="X38" s="1243"/>
      <c r="Y38" s="1243"/>
      <c r="Z38" s="1243"/>
      <c r="AA38" s="1243"/>
      <c r="AB38" s="1243"/>
      <c r="AC38" s="1243"/>
      <c r="AD38" s="1243"/>
      <c r="AE38" s="1243"/>
      <c r="AF38" s="1243"/>
      <c r="AG38" s="1243"/>
      <c r="AH38" s="1243"/>
      <c r="AI38" s="150"/>
      <c r="AJ38" s="150"/>
      <c r="AK38" s="150"/>
      <c r="AL38" s="1243" t="str">
        <f>'Списки участников'!I122</f>
        <v>А.С. Рожкова</v>
      </c>
      <c r="AM38" s="1243"/>
      <c r="AN38" s="1243"/>
      <c r="AO38" s="1243"/>
      <c r="AP38" s="1243"/>
      <c r="AQ38" s="1243"/>
      <c r="AR38" s="1243"/>
      <c r="AS38" s="1243"/>
      <c r="AT38" s="1243"/>
      <c r="AU38" s="1243"/>
      <c r="AV38" s="1243"/>
      <c r="AW38" s="1243"/>
      <c r="AX38" s="1243"/>
      <c r="AY38" s="1243"/>
      <c r="AZ38" s="1243"/>
      <c r="BA38" s="1243"/>
      <c r="BB38" s="1243"/>
      <c r="BC38" s="150"/>
    </row>
  </sheetData>
  <mergeCells count="361">
    <mergeCell ref="A1:BA1"/>
    <mergeCell ref="C2:F2"/>
    <mergeCell ref="I2:AH2"/>
    <mergeCell ref="AK2:BB2"/>
    <mergeCell ref="D4:F4"/>
    <mergeCell ref="G4:I4"/>
    <mergeCell ref="J4:L4"/>
    <mergeCell ref="M4:O4"/>
    <mergeCell ref="P4:R4"/>
    <mergeCell ref="S4:U4"/>
    <mergeCell ref="V4:X4"/>
    <mergeCell ref="Y4:AA4"/>
    <mergeCell ref="AB4:AD4"/>
    <mergeCell ref="AE4:AG4"/>
    <mergeCell ref="AH4:AJ4"/>
    <mergeCell ref="AK4:AM4"/>
    <mergeCell ref="AN4:AP4"/>
    <mergeCell ref="AQ4:AS4"/>
    <mergeCell ref="AT4:AV4"/>
    <mergeCell ref="AW4:AY4"/>
    <mergeCell ref="AZ4:BA4"/>
    <mergeCell ref="D3:O3"/>
    <mergeCell ref="A5:A6"/>
    <mergeCell ref="B5:B6"/>
    <mergeCell ref="D5:F6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S5"/>
    <mergeCell ref="AT5:AV5"/>
    <mergeCell ref="AW5:AY5"/>
    <mergeCell ref="AZ5:BA6"/>
    <mergeCell ref="BB5:BB6"/>
    <mergeCell ref="BC5:BC6"/>
    <mergeCell ref="A7:A8"/>
    <mergeCell ref="B7:B8"/>
    <mergeCell ref="D7:F7"/>
    <mergeCell ref="G7:I8"/>
    <mergeCell ref="J7:L7"/>
    <mergeCell ref="M7:O7"/>
    <mergeCell ref="P7:R7"/>
    <mergeCell ref="S7:U7"/>
    <mergeCell ref="V7:X7"/>
    <mergeCell ref="Y7:AA7"/>
    <mergeCell ref="AB7:AD7"/>
    <mergeCell ref="AE7:AG7"/>
    <mergeCell ref="AH7:AJ7"/>
    <mergeCell ref="AK7:AM7"/>
    <mergeCell ref="AN7:AP7"/>
    <mergeCell ref="AQ7:AS7"/>
    <mergeCell ref="AT7:AV7"/>
    <mergeCell ref="AW7:AY7"/>
    <mergeCell ref="AZ7:BA8"/>
    <mergeCell ref="BB7:BB8"/>
    <mergeCell ref="BC7:BC8"/>
    <mergeCell ref="A9:A10"/>
    <mergeCell ref="B9:B10"/>
    <mergeCell ref="D9:F9"/>
    <mergeCell ref="G9:I9"/>
    <mergeCell ref="J9:L10"/>
    <mergeCell ref="M9:O9"/>
    <mergeCell ref="P9:R9"/>
    <mergeCell ref="S9:U9"/>
    <mergeCell ref="V9:X9"/>
    <mergeCell ref="Y9:AA9"/>
    <mergeCell ref="AB9:AD9"/>
    <mergeCell ref="AE9:AG9"/>
    <mergeCell ref="AH9:AJ9"/>
    <mergeCell ref="AK9:AM9"/>
    <mergeCell ref="AN9:AP9"/>
    <mergeCell ref="AQ9:AS9"/>
    <mergeCell ref="AT9:AV9"/>
    <mergeCell ref="AW9:AY9"/>
    <mergeCell ref="AZ9:BA10"/>
    <mergeCell ref="BB9:BB10"/>
    <mergeCell ref="BC9:BC10"/>
    <mergeCell ref="A11:A12"/>
    <mergeCell ref="B11:B12"/>
    <mergeCell ref="D11:F11"/>
    <mergeCell ref="G11:I11"/>
    <mergeCell ref="J11:L11"/>
    <mergeCell ref="M11:O12"/>
    <mergeCell ref="P11:R11"/>
    <mergeCell ref="S11:U11"/>
    <mergeCell ref="V11:X11"/>
    <mergeCell ref="Y11:AA11"/>
    <mergeCell ref="AB11:AD11"/>
    <mergeCell ref="AE11:AG11"/>
    <mergeCell ref="AH11:AJ11"/>
    <mergeCell ref="AK11:AM11"/>
    <mergeCell ref="AN11:AP11"/>
    <mergeCell ref="AQ11:AS11"/>
    <mergeCell ref="AT11:AV11"/>
    <mergeCell ref="AW11:AY11"/>
    <mergeCell ref="AZ11:BA12"/>
    <mergeCell ref="BB11:BB12"/>
    <mergeCell ref="BC11:BC12"/>
    <mergeCell ref="A13:A14"/>
    <mergeCell ref="B13:B14"/>
    <mergeCell ref="D13:F13"/>
    <mergeCell ref="G13:I13"/>
    <mergeCell ref="J13:L13"/>
    <mergeCell ref="M13:O13"/>
    <mergeCell ref="P13:R14"/>
    <mergeCell ref="S13:U13"/>
    <mergeCell ref="V13:X13"/>
    <mergeCell ref="Y13:AA13"/>
    <mergeCell ref="AB13:AD13"/>
    <mergeCell ref="AE13:AG13"/>
    <mergeCell ref="AH13:AJ13"/>
    <mergeCell ref="AK13:AM13"/>
    <mergeCell ref="AN13:AP13"/>
    <mergeCell ref="AQ13:AS13"/>
    <mergeCell ref="AT13:AV13"/>
    <mergeCell ref="AW13:AY13"/>
    <mergeCell ref="AZ13:BA14"/>
    <mergeCell ref="BB13:BB14"/>
    <mergeCell ref="BC13:BC14"/>
    <mergeCell ref="A15:A16"/>
    <mergeCell ref="B15:B16"/>
    <mergeCell ref="D15:F15"/>
    <mergeCell ref="G15:I15"/>
    <mergeCell ref="J15:L15"/>
    <mergeCell ref="M15:O15"/>
    <mergeCell ref="P15:R15"/>
    <mergeCell ref="S15:U16"/>
    <mergeCell ref="V15:X15"/>
    <mergeCell ref="Y15:AA15"/>
    <mergeCell ref="AB15:AD15"/>
    <mergeCell ref="AE15:AG15"/>
    <mergeCell ref="AH15:AJ15"/>
    <mergeCell ref="AK15:AM15"/>
    <mergeCell ref="AN15:AP15"/>
    <mergeCell ref="AQ15:AS15"/>
    <mergeCell ref="AT15:AV15"/>
    <mergeCell ref="AW15:AY15"/>
    <mergeCell ref="AZ15:BA16"/>
    <mergeCell ref="BB15:BB16"/>
    <mergeCell ref="BC15:BC16"/>
    <mergeCell ref="A17:A18"/>
    <mergeCell ref="B17:B18"/>
    <mergeCell ref="D17:F17"/>
    <mergeCell ref="G17:I17"/>
    <mergeCell ref="J17:L17"/>
    <mergeCell ref="M17:O17"/>
    <mergeCell ref="P17:R17"/>
    <mergeCell ref="S17:U17"/>
    <mergeCell ref="V17:X18"/>
    <mergeCell ref="Y17:AA17"/>
    <mergeCell ref="AB17:AD17"/>
    <mergeCell ref="AE17:AG17"/>
    <mergeCell ref="AH17:AJ17"/>
    <mergeCell ref="AK17:AM17"/>
    <mergeCell ref="AN17:AP17"/>
    <mergeCell ref="AQ17:AS17"/>
    <mergeCell ref="AT17:AV17"/>
    <mergeCell ref="AW17:AY17"/>
    <mergeCell ref="AZ17:BA18"/>
    <mergeCell ref="BB17:BB18"/>
    <mergeCell ref="BC17:BC18"/>
    <mergeCell ref="A19:A20"/>
    <mergeCell ref="B19:B20"/>
    <mergeCell ref="D19:F19"/>
    <mergeCell ref="G19:I19"/>
    <mergeCell ref="J19:L19"/>
    <mergeCell ref="M19:O19"/>
    <mergeCell ref="P19:R19"/>
    <mergeCell ref="S19:U19"/>
    <mergeCell ref="V19:X19"/>
    <mergeCell ref="Y19:AA20"/>
    <mergeCell ref="AB19:AD19"/>
    <mergeCell ref="AE19:AG19"/>
    <mergeCell ref="AH19:AJ19"/>
    <mergeCell ref="AK19:AM19"/>
    <mergeCell ref="AN19:AP19"/>
    <mergeCell ref="AQ19:AS19"/>
    <mergeCell ref="AT19:AV19"/>
    <mergeCell ref="AW19:AY19"/>
    <mergeCell ref="AZ19:BA20"/>
    <mergeCell ref="BB19:BB20"/>
    <mergeCell ref="BC19:BC20"/>
    <mergeCell ref="A21:A22"/>
    <mergeCell ref="B21:B22"/>
    <mergeCell ref="D21:F21"/>
    <mergeCell ref="G21:I21"/>
    <mergeCell ref="J21:L21"/>
    <mergeCell ref="M21:O21"/>
    <mergeCell ref="P21:R21"/>
    <mergeCell ref="S21:U21"/>
    <mergeCell ref="V21:X21"/>
    <mergeCell ref="Y21:AA21"/>
    <mergeCell ref="AB21:AD22"/>
    <mergeCell ref="AE21:AG21"/>
    <mergeCell ref="AH21:AJ21"/>
    <mergeCell ref="AK21:AM21"/>
    <mergeCell ref="AN21:AP21"/>
    <mergeCell ref="AQ21:AS21"/>
    <mergeCell ref="AT21:AV21"/>
    <mergeCell ref="AW21:AY21"/>
    <mergeCell ref="AZ21:BA22"/>
    <mergeCell ref="BB21:BB22"/>
    <mergeCell ref="BC21:BC22"/>
    <mergeCell ref="A23:A24"/>
    <mergeCell ref="B23:B24"/>
    <mergeCell ref="D23:F23"/>
    <mergeCell ref="G23:I23"/>
    <mergeCell ref="J23:L23"/>
    <mergeCell ref="M23:O23"/>
    <mergeCell ref="P23:R23"/>
    <mergeCell ref="S23:U23"/>
    <mergeCell ref="V23:X23"/>
    <mergeCell ref="Y23:AA23"/>
    <mergeCell ref="AB23:AD23"/>
    <mergeCell ref="AE23:AG24"/>
    <mergeCell ref="AH23:AJ23"/>
    <mergeCell ref="AK23:AM23"/>
    <mergeCell ref="AN23:AP23"/>
    <mergeCell ref="AQ23:AS23"/>
    <mergeCell ref="AT23:AV23"/>
    <mergeCell ref="AW23:AY23"/>
    <mergeCell ref="AZ23:BA24"/>
    <mergeCell ref="BB23:BB24"/>
    <mergeCell ref="BC23:BC24"/>
    <mergeCell ref="A25:A26"/>
    <mergeCell ref="B25:B26"/>
    <mergeCell ref="D25:F25"/>
    <mergeCell ref="G25:I25"/>
    <mergeCell ref="J25:L25"/>
    <mergeCell ref="M25:O25"/>
    <mergeCell ref="P25:R25"/>
    <mergeCell ref="S25:U25"/>
    <mergeCell ref="V25:X25"/>
    <mergeCell ref="Y25:AA25"/>
    <mergeCell ref="AB25:AD25"/>
    <mergeCell ref="AE25:AG25"/>
    <mergeCell ref="AH25:AJ26"/>
    <mergeCell ref="AK25:AM25"/>
    <mergeCell ref="AN25:AP25"/>
    <mergeCell ref="AQ25:AS25"/>
    <mergeCell ref="AT25:AV25"/>
    <mergeCell ref="AW25:AY25"/>
    <mergeCell ref="AZ25:BA26"/>
    <mergeCell ref="BB25:BB26"/>
    <mergeCell ref="BC25:BC26"/>
    <mergeCell ref="A27:A28"/>
    <mergeCell ref="B27:B28"/>
    <mergeCell ref="D27:F27"/>
    <mergeCell ref="G27:I27"/>
    <mergeCell ref="J27:L27"/>
    <mergeCell ref="M27:O27"/>
    <mergeCell ref="P27:R27"/>
    <mergeCell ref="S27:U27"/>
    <mergeCell ref="V27:X27"/>
    <mergeCell ref="Y27:AA27"/>
    <mergeCell ref="AB27:AD27"/>
    <mergeCell ref="AE27:AG27"/>
    <mergeCell ref="AH27:AJ27"/>
    <mergeCell ref="AK27:AM28"/>
    <mergeCell ref="AN27:AP27"/>
    <mergeCell ref="AQ27:AS27"/>
    <mergeCell ref="AT27:AV27"/>
    <mergeCell ref="AW27:AY27"/>
    <mergeCell ref="AZ27:BA28"/>
    <mergeCell ref="BB27:BB28"/>
    <mergeCell ref="BC27:BC28"/>
    <mergeCell ref="A29:A30"/>
    <mergeCell ref="B29:B30"/>
    <mergeCell ref="D29:F29"/>
    <mergeCell ref="G29:I29"/>
    <mergeCell ref="J29:L29"/>
    <mergeCell ref="M29:O29"/>
    <mergeCell ref="P29:R29"/>
    <mergeCell ref="S29:U29"/>
    <mergeCell ref="V29:X29"/>
    <mergeCell ref="Y29:AA29"/>
    <mergeCell ref="AB29:AD29"/>
    <mergeCell ref="AE29:AG29"/>
    <mergeCell ref="AH29:AJ29"/>
    <mergeCell ref="AK29:AM29"/>
    <mergeCell ref="AN29:AP30"/>
    <mergeCell ref="AQ29:AS29"/>
    <mergeCell ref="AT29:AV29"/>
    <mergeCell ref="AW29:AY29"/>
    <mergeCell ref="AZ29:BA30"/>
    <mergeCell ref="BB29:BB30"/>
    <mergeCell ref="BC29:BC30"/>
    <mergeCell ref="A31:A32"/>
    <mergeCell ref="B31:B32"/>
    <mergeCell ref="D31:F31"/>
    <mergeCell ref="G31:I31"/>
    <mergeCell ref="J31:L31"/>
    <mergeCell ref="M31:O31"/>
    <mergeCell ref="P31:R31"/>
    <mergeCell ref="S31:U31"/>
    <mergeCell ref="V31:X31"/>
    <mergeCell ref="Y31:AA31"/>
    <mergeCell ref="AB31:AD31"/>
    <mergeCell ref="AE31:AG31"/>
    <mergeCell ref="AH31:AJ31"/>
    <mergeCell ref="AK31:AM31"/>
    <mergeCell ref="AN31:AP31"/>
    <mergeCell ref="AQ31:AS32"/>
    <mergeCell ref="AT31:AV31"/>
    <mergeCell ref="AW31:AY31"/>
    <mergeCell ref="AZ31:BA32"/>
    <mergeCell ref="BB31:BB32"/>
    <mergeCell ref="BC31:BC32"/>
    <mergeCell ref="A33:A34"/>
    <mergeCell ref="B33:B34"/>
    <mergeCell ref="D33:F33"/>
    <mergeCell ref="G33:I33"/>
    <mergeCell ref="J33:L33"/>
    <mergeCell ref="M33:O33"/>
    <mergeCell ref="P33:R33"/>
    <mergeCell ref="S33:U33"/>
    <mergeCell ref="V33:X33"/>
    <mergeCell ref="BC33:BC34"/>
    <mergeCell ref="A35:A36"/>
    <mergeCell ref="B35:B36"/>
    <mergeCell ref="D35:F35"/>
    <mergeCell ref="G35:I35"/>
    <mergeCell ref="J35:L35"/>
    <mergeCell ref="M35:O35"/>
    <mergeCell ref="P35:R35"/>
    <mergeCell ref="S35:U35"/>
    <mergeCell ref="BB35:BB36"/>
    <mergeCell ref="V35:X35"/>
    <mergeCell ref="Y35:AA35"/>
    <mergeCell ref="AB35:AD35"/>
    <mergeCell ref="AE35:AG35"/>
    <mergeCell ref="AH35:AJ35"/>
    <mergeCell ref="AK35:AM35"/>
    <mergeCell ref="BC35:BC36"/>
    <mergeCell ref="Y33:AA33"/>
    <mergeCell ref="AB33:AD33"/>
    <mergeCell ref="AE33:AG33"/>
    <mergeCell ref="AH33:AJ33"/>
    <mergeCell ref="AK33:AM33"/>
    <mergeCell ref="AN33:AP33"/>
    <mergeCell ref="AQ33:AS33"/>
    <mergeCell ref="E38:K38"/>
    <mergeCell ref="W38:AH38"/>
    <mergeCell ref="AL38:BB38"/>
    <mergeCell ref="AN35:AP35"/>
    <mergeCell ref="AQ35:AS35"/>
    <mergeCell ref="AT35:AV35"/>
    <mergeCell ref="AW35:AY36"/>
    <mergeCell ref="AZ35:BA36"/>
    <mergeCell ref="AZ33:BA34"/>
    <mergeCell ref="BB33:BB34"/>
    <mergeCell ref="AT33:AV34"/>
    <mergeCell ref="AW33:AY33"/>
  </mergeCells>
  <pageMargins left="0.51181102362204722" right="0.51181102362204722" top="0.74803149606299213" bottom="0.74803149606299213" header="0.31496062992125984" footer="0.31496062992125984"/>
  <pageSetup paperSize="9" scale="79" orientation="landscape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0070C0"/>
  </sheetPr>
  <dimension ref="A1:BI72"/>
  <sheetViews>
    <sheetView showZeros="0" view="pageBreakPreview" topLeftCell="AA11" zoomScale="120" zoomScaleNormal="100" zoomScaleSheetLayoutView="120" workbookViewId="0">
      <selection activeCell="AP22" sqref="AP22"/>
    </sheetView>
  </sheetViews>
  <sheetFormatPr defaultColWidth="9.33203125" defaultRowHeight="12.75" outlineLevelCol="1" x14ac:dyDescent="0.2"/>
  <cols>
    <col min="1" max="1" width="2.83203125" style="216" customWidth="1"/>
    <col min="2" max="2" width="5.5" style="216" hidden="1" customWidth="1" outlineLevel="1"/>
    <col min="3" max="3" width="20.6640625" style="216" customWidth="1" collapsed="1"/>
    <col min="4" max="4" width="5.1640625" style="219" customWidth="1"/>
    <col min="5" max="5" width="5.5" style="216" hidden="1" customWidth="1" outlineLevel="1"/>
    <col min="6" max="6" width="15" style="216" customWidth="1" collapsed="1"/>
    <col min="7" max="7" width="3" style="216" customWidth="1"/>
    <col min="8" max="8" width="5.5" style="216" hidden="1" customWidth="1" outlineLevel="1"/>
    <col min="9" max="9" width="14.83203125" style="216" customWidth="1" collapsed="1"/>
    <col min="10" max="10" width="2.83203125" style="216" customWidth="1"/>
    <col min="11" max="11" width="5.5" style="216" hidden="1" customWidth="1" outlineLevel="1"/>
    <col min="12" max="12" width="14.6640625" style="216" customWidth="1" collapsed="1"/>
    <col min="13" max="13" width="2.83203125" style="216" customWidth="1"/>
    <col min="14" max="14" width="5.5" style="216" hidden="1" customWidth="1" outlineLevel="1"/>
    <col min="15" max="15" width="17" style="216" customWidth="1" collapsed="1"/>
    <col min="16" max="16" width="2.83203125" style="216" customWidth="1"/>
    <col min="17" max="17" width="4.6640625" style="216" hidden="1" customWidth="1" outlineLevel="1"/>
    <col min="18" max="18" width="20.33203125" style="216" customWidth="1" collapsed="1"/>
    <col min="19" max="19" width="3.83203125" style="216" customWidth="1"/>
    <col min="20" max="20" width="5.5" style="216" hidden="1" customWidth="1" outlineLevel="1"/>
    <col min="21" max="21" width="16.1640625" style="216" customWidth="1" collapsed="1"/>
    <col min="22" max="22" width="3.83203125" style="216" customWidth="1"/>
    <col min="23" max="23" width="5.5" style="216" hidden="1" customWidth="1" outlineLevel="1"/>
    <col min="24" max="24" width="23.83203125" style="216" customWidth="1" collapsed="1"/>
    <col min="25" max="25" width="3.6640625" style="216" customWidth="1"/>
    <col min="26" max="26" width="5.1640625" style="216" hidden="1" customWidth="1" outlineLevel="1"/>
    <col min="27" max="27" width="23.1640625" style="216" customWidth="1" collapsed="1"/>
    <col min="28" max="28" width="3.6640625" style="216" customWidth="1"/>
    <col min="29" max="29" width="5.1640625" style="216" hidden="1" customWidth="1" outlineLevel="1"/>
    <col min="30" max="30" width="29.83203125" style="216" customWidth="1" collapsed="1"/>
    <col min="31" max="31" width="3.83203125" style="216" customWidth="1"/>
    <col min="32" max="32" width="7.1640625" style="216" hidden="1" customWidth="1" outlineLevel="1"/>
    <col min="33" max="33" width="16.1640625" style="216" customWidth="1" collapsed="1"/>
    <col min="34" max="34" width="3.83203125" style="216" customWidth="1"/>
    <col min="35" max="35" width="5.6640625" style="216" hidden="1" customWidth="1" outlineLevel="1"/>
    <col min="36" max="36" width="16.1640625" style="216" customWidth="1" collapsed="1"/>
    <col min="37" max="37" width="3.6640625" style="216" customWidth="1"/>
    <col min="38" max="38" width="5.6640625" style="216" hidden="1" customWidth="1" outlineLevel="1"/>
    <col min="39" max="39" width="16.1640625" style="216" customWidth="1" collapsed="1"/>
    <col min="40" max="40" width="3.6640625" style="216" customWidth="1"/>
    <col min="41" max="41" width="5.6640625" style="216" hidden="1" customWidth="1" outlineLevel="1"/>
    <col min="42" max="42" width="16.1640625" style="216" customWidth="1" collapsed="1"/>
    <col min="43" max="43" width="3.6640625" style="216" customWidth="1"/>
    <col min="44" max="44" width="5.5" style="216" hidden="1" customWidth="1" outlineLevel="1"/>
    <col min="45" max="45" width="22.83203125" style="216" customWidth="1" collapsed="1"/>
    <col min="46" max="46" width="3.83203125" style="216" customWidth="1"/>
    <col min="47" max="47" width="7.1640625" style="216" hidden="1" customWidth="1" outlineLevel="1"/>
    <col min="48" max="48" width="16.1640625" style="216" customWidth="1" collapsed="1"/>
    <col min="49" max="49" width="3.83203125" style="216" customWidth="1"/>
    <col min="50" max="50" width="5.6640625" style="216" hidden="1" customWidth="1" outlineLevel="1"/>
    <col min="51" max="51" width="16.1640625" style="216" customWidth="1" collapsed="1"/>
    <col min="52" max="52" width="3.6640625" style="216" customWidth="1"/>
    <col min="53" max="53" width="5.6640625" style="216" hidden="1" customWidth="1" outlineLevel="1"/>
    <col min="54" max="54" width="16.1640625" style="216" customWidth="1" collapsed="1"/>
    <col min="55" max="55" width="3.6640625" style="216" customWidth="1"/>
    <col min="56" max="56" width="5.6640625" style="216" hidden="1" customWidth="1" outlineLevel="1"/>
    <col min="57" max="57" width="16.1640625" style="216" customWidth="1" collapsed="1"/>
    <col min="58" max="58" width="3.6640625" style="216" customWidth="1"/>
    <col min="59" max="59" width="5.5" style="216" hidden="1" customWidth="1" outlineLevel="1"/>
    <col min="60" max="60" width="22.83203125" style="216" customWidth="1" collapsed="1"/>
    <col min="61" max="16384" width="9.33203125" style="216"/>
  </cols>
  <sheetData>
    <row r="1" spans="1:60" ht="15" customHeight="1" x14ac:dyDescent="0.2">
      <c r="A1" s="1251" t="str">
        <f>'Списки участников'!A1</f>
        <v>IV Мемориал Заслуженного тренера России В.А.Воробьева</v>
      </c>
      <c r="B1" s="1251"/>
      <c r="C1" s="1251"/>
      <c r="D1" s="1251"/>
      <c r="E1" s="1251"/>
      <c r="F1" s="1251"/>
      <c r="G1" s="1251"/>
      <c r="H1" s="1251"/>
      <c r="I1" s="1251"/>
      <c r="J1" s="1251"/>
      <c r="K1" s="1251"/>
      <c r="L1" s="1251"/>
      <c r="M1" s="1251"/>
      <c r="N1" s="1251"/>
      <c r="O1" s="1251"/>
      <c r="P1" s="1251"/>
      <c r="Q1" s="1251"/>
      <c r="R1" s="1251"/>
      <c r="S1" s="1251" t="str">
        <f>A1</f>
        <v>IV Мемориал Заслуженного тренера России В.А.Воробьева</v>
      </c>
      <c r="T1" s="1251"/>
      <c r="U1" s="1251"/>
      <c r="V1" s="1251"/>
      <c r="W1" s="1251"/>
      <c r="X1" s="1251"/>
      <c r="Y1" s="1251"/>
      <c r="Z1" s="1251"/>
      <c r="AA1" s="1251"/>
      <c r="AB1" s="1251"/>
      <c r="AC1" s="1251"/>
      <c r="AD1" s="1251"/>
      <c r="AE1" s="1251" t="str">
        <f>A1</f>
        <v>IV Мемориал Заслуженного тренера России В.А.Воробьева</v>
      </c>
      <c r="AF1" s="1251"/>
      <c r="AG1" s="1251"/>
      <c r="AH1" s="1251"/>
      <c r="AI1" s="1251"/>
      <c r="AJ1" s="1251"/>
      <c r="AK1" s="1251"/>
      <c r="AL1" s="1251"/>
      <c r="AM1" s="1251"/>
      <c r="AN1" s="1251"/>
      <c r="AO1" s="1251"/>
      <c r="AP1" s="1251"/>
      <c r="AQ1" s="1251"/>
      <c r="AR1" s="1251"/>
      <c r="AS1" s="1251"/>
      <c r="AT1" s="1251" t="s">
        <v>9440</v>
      </c>
      <c r="AU1" s="1251"/>
      <c r="AV1" s="1251"/>
      <c r="AW1" s="1251"/>
      <c r="AX1" s="1251"/>
      <c r="AY1" s="1251"/>
      <c r="AZ1" s="1251"/>
      <c r="BA1" s="1251"/>
      <c r="BB1" s="1251"/>
      <c r="BC1" s="1251"/>
      <c r="BD1" s="1251"/>
      <c r="BE1" s="1251"/>
      <c r="BF1" s="1251"/>
      <c r="BG1" s="1251"/>
      <c r="BH1" s="1251"/>
    </row>
    <row r="2" spans="1:60" ht="14.25" customHeight="1" thickBot="1" x14ac:dyDescent="0.25">
      <c r="A2" s="703"/>
      <c r="B2" s="703"/>
      <c r="C2" s="816" t="str">
        <f>'Списки участников'!C3</f>
        <v>26-29 мая 2016 г.</v>
      </c>
      <c r="D2" s="1252" t="str">
        <f>'Списки участников'!A2</f>
        <v>среди юношей и девушек 2002 г.р. и моложе</v>
      </c>
      <c r="E2" s="1252"/>
      <c r="F2" s="1252"/>
      <c r="G2" s="1252"/>
      <c r="H2" s="1252"/>
      <c r="I2" s="1252"/>
      <c r="J2" s="1252"/>
      <c r="K2" s="1252"/>
      <c r="L2" s="1252"/>
      <c r="M2" s="1252"/>
      <c r="N2" s="1252"/>
      <c r="O2" s="1252"/>
      <c r="P2" s="1252"/>
      <c r="Q2" s="703"/>
      <c r="R2" s="704" t="str">
        <f>'Списки участников'!I3</f>
        <v>г. Москва</v>
      </c>
      <c r="S2" s="1252" t="str">
        <f>D2</f>
        <v>среди юношей и девушек 2002 г.р. и моложе</v>
      </c>
      <c r="T2" s="1252"/>
      <c r="U2" s="1252"/>
      <c r="V2" s="1252"/>
      <c r="W2" s="1252"/>
      <c r="X2" s="1252"/>
      <c r="Y2" s="1252"/>
      <c r="Z2" s="1252"/>
      <c r="AA2" s="1252"/>
      <c r="AB2" s="1252"/>
      <c r="AC2" s="1252"/>
      <c r="AD2" s="1252"/>
      <c r="AE2" s="1252" t="str">
        <f>D2</f>
        <v>среди юношей и девушек 2002 г.р. и моложе</v>
      </c>
      <c r="AF2" s="1252"/>
      <c r="AG2" s="1252"/>
      <c r="AH2" s="1252"/>
      <c r="AI2" s="1252"/>
      <c r="AJ2" s="1252"/>
      <c r="AK2" s="1252"/>
      <c r="AL2" s="1252"/>
      <c r="AM2" s="1252"/>
      <c r="AN2" s="1252"/>
      <c r="AO2" s="1252"/>
      <c r="AP2" s="1252"/>
      <c r="AQ2" s="1252"/>
      <c r="AR2" s="1252"/>
      <c r="AS2" s="1252"/>
      <c r="AT2" s="1252" t="str">
        <f>S2</f>
        <v>среди юношей и девушек 2002 г.р. и моложе</v>
      </c>
      <c r="AU2" s="1252"/>
      <c r="AV2" s="1252"/>
      <c r="AW2" s="1252"/>
      <c r="AX2" s="1252"/>
      <c r="AY2" s="1252"/>
      <c r="AZ2" s="1252"/>
      <c r="BA2" s="1252"/>
      <c r="BB2" s="1252"/>
      <c r="BC2" s="1252"/>
      <c r="BD2" s="1252"/>
      <c r="BE2" s="1252"/>
      <c r="BF2" s="1252"/>
      <c r="BG2" s="1252"/>
      <c r="BH2" s="1252"/>
    </row>
    <row r="3" spans="1:60" ht="9.75" customHeight="1" x14ac:dyDescent="0.2">
      <c r="A3" s="200"/>
      <c r="B3" s="200"/>
      <c r="C3" s="200"/>
      <c r="D3" s="303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14" t="s">
        <v>89</v>
      </c>
      <c r="S3" s="304"/>
      <c r="T3" s="304"/>
      <c r="U3" s="200"/>
      <c r="V3" s="304"/>
      <c r="W3" s="304"/>
      <c r="X3" s="304"/>
      <c r="Y3" s="304"/>
      <c r="Z3" s="304"/>
      <c r="AA3" s="304"/>
      <c r="AB3" s="304"/>
      <c r="AD3" s="214" t="s">
        <v>90</v>
      </c>
      <c r="AE3" s="304"/>
      <c r="AF3" s="304"/>
      <c r="AG3" s="200"/>
      <c r="AH3" s="304"/>
      <c r="AI3" s="304"/>
      <c r="AJ3" s="304"/>
      <c r="AK3" s="304"/>
      <c r="AL3" s="304"/>
      <c r="AM3" s="304"/>
      <c r="AN3" s="304"/>
      <c r="AS3" s="214" t="s">
        <v>91</v>
      </c>
      <c r="AT3" s="1042"/>
      <c r="AU3" s="1042"/>
      <c r="AV3" s="200"/>
      <c r="AW3" s="1042"/>
      <c r="AX3" s="1042"/>
      <c r="AY3" s="1042"/>
      <c r="AZ3" s="1042"/>
      <c r="BA3" s="1042"/>
      <c r="BB3" s="1042"/>
      <c r="BC3" s="1042"/>
      <c r="BH3" s="214" t="s">
        <v>12291</v>
      </c>
    </row>
    <row r="4" spans="1:60" ht="13.5" customHeight="1" x14ac:dyDescent="0.2">
      <c r="A4" s="805"/>
      <c r="B4" s="805"/>
      <c r="C4" s="805"/>
      <c r="D4" s="805"/>
      <c r="E4" s="805"/>
      <c r="F4" s="805"/>
      <c r="G4" s="805"/>
      <c r="H4" s="805"/>
      <c r="I4" s="806" t="str">
        <f>'Списки участников'!D6</f>
        <v>ЮНОШИ</v>
      </c>
      <c r="J4" s="805"/>
      <c r="K4" s="805"/>
      <c r="L4" s="805"/>
      <c r="M4" s="805"/>
      <c r="N4" s="805"/>
      <c r="O4" s="805"/>
      <c r="P4" s="805"/>
      <c r="Q4" s="805"/>
      <c r="R4" s="805"/>
      <c r="S4" s="1250">
        <f>A4</f>
        <v>0</v>
      </c>
      <c r="T4" s="1250"/>
      <c r="U4" s="1250"/>
      <c r="V4" s="1250"/>
      <c r="W4" s="1250"/>
      <c r="X4" s="1250"/>
      <c r="Y4" s="1250"/>
      <c r="Z4" s="1250"/>
      <c r="AA4" s="1250"/>
      <c r="AB4" s="1250"/>
      <c r="AC4" s="1250"/>
      <c r="AD4" s="1250"/>
      <c r="AE4" s="1250">
        <f>A4</f>
        <v>0</v>
      </c>
      <c r="AF4" s="1250"/>
      <c r="AG4" s="1250"/>
      <c r="AH4" s="1250"/>
      <c r="AI4" s="1250"/>
      <c r="AJ4" s="1250"/>
      <c r="AK4" s="1250"/>
      <c r="AL4" s="1250"/>
      <c r="AM4" s="1250"/>
      <c r="AN4" s="1250"/>
      <c r="AO4" s="1250"/>
      <c r="AP4" s="1250"/>
      <c r="AQ4" s="1250"/>
      <c r="AR4" s="1250"/>
      <c r="AS4" s="1250"/>
      <c r="AT4" s="1250">
        <f>P4</f>
        <v>0</v>
      </c>
      <c r="AU4" s="1250"/>
      <c r="AV4" s="1250"/>
      <c r="AW4" s="1250"/>
      <c r="AX4" s="1250"/>
      <c r="AY4" s="1250"/>
      <c r="AZ4" s="1250"/>
      <c r="BA4" s="1250"/>
      <c r="BB4" s="1250"/>
      <c r="BC4" s="1250"/>
      <c r="BD4" s="1250"/>
      <c r="BE4" s="1250"/>
      <c r="BF4" s="1250"/>
      <c r="BG4" s="1250"/>
      <c r="BH4" s="1250"/>
    </row>
    <row r="5" spans="1:60" ht="13.5" customHeight="1" x14ac:dyDescent="0.2">
      <c r="A5" s="215"/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  <c r="AI5" s="215"/>
      <c r="AJ5" s="215"/>
      <c r="AK5" s="215"/>
      <c r="AL5" s="215"/>
      <c r="AM5" s="215"/>
      <c r="AN5" s="215"/>
      <c r="AO5" s="215"/>
      <c r="AP5" s="215"/>
      <c r="AQ5" s="215"/>
      <c r="AR5" s="215"/>
      <c r="AS5" s="215"/>
      <c r="AT5" s="1043"/>
      <c r="AU5" s="1043"/>
      <c r="AV5" s="1043"/>
      <c r="AW5" s="1043"/>
      <c r="AX5" s="1043"/>
      <c r="AY5" s="1043"/>
      <c r="AZ5" s="1043"/>
      <c r="BA5" s="1043"/>
      <c r="BB5" s="1043"/>
      <c r="BC5" s="1043"/>
      <c r="BD5" s="1043"/>
      <c r="BE5" s="1043"/>
      <c r="BF5" s="1043"/>
      <c r="BG5" s="1043"/>
      <c r="BH5" s="1043"/>
    </row>
    <row r="6" spans="1:60" ht="10.5" customHeight="1" x14ac:dyDescent="0.2">
      <c r="AE6" s="222" t="s">
        <v>916</v>
      </c>
      <c r="AF6" s="305">
        <f>IF(F9="","",IF(E8=B7,B9,IF(E8=B9,B7)))</f>
        <v>106</v>
      </c>
      <c r="AG6" s="224" t="str">
        <f>IF(AF6="",AF6,VLOOKUP(AF6,'Списки участников'!$A:$P,3,FALSE))</f>
        <v>НОВОСЕЛОВ Марк</v>
      </c>
      <c r="AH6" s="280"/>
      <c r="AI6" s="226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2"/>
      <c r="AU6" s="305">
        <v>90</v>
      </c>
      <c r="AV6" s="224" t="str">
        <f>IF(AU6="",AU6,VLOOKUP(AU6,'Списки участников'!$A:$P,3,FALSE))</f>
        <v>КАРТАВЦЕВ Михаил</v>
      </c>
      <c r="AW6" s="280"/>
      <c r="AX6" s="226"/>
      <c r="AY6" s="227"/>
      <c r="AZ6" s="227"/>
      <c r="BA6" s="227"/>
      <c r="BB6" s="227"/>
      <c r="BC6" s="227"/>
      <c r="BD6" s="227"/>
      <c r="BE6" s="227"/>
      <c r="BF6" s="227"/>
      <c r="BG6" s="227"/>
      <c r="BH6" s="227"/>
    </row>
    <row r="7" spans="1:60" ht="10.5" customHeight="1" x14ac:dyDescent="0.2">
      <c r="A7" s="222">
        <v>1</v>
      </c>
      <c r="B7" s="223">
        <v>35</v>
      </c>
      <c r="C7" s="224" t="str">
        <f>IF(B7="",B7,VLOOKUP(B7,'Списки участников'!$A:$P,3,FALSE))</f>
        <v>ДЯГЕЛЕВ Артем</v>
      </c>
      <c r="D7" s="225" t="str">
        <f>IF(B7="",B7,VLOOKUP(B7,'Списки участников'!A:L,6,FALSE))</f>
        <v>Москва</v>
      </c>
      <c r="E7" s="226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8"/>
      <c r="Q7" s="228"/>
      <c r="R7" s="229"/>
      <c r="S7" s="257"/>
      <c r="T7" s="257"/>
      <c r="U7" s="257"/>
      <c r="V7" s="257"/>
      <c r="W7" s="257"/>
      <c r="X7" s="257"/>
      <c r="Y7" s="245"/>
      <c r="Z7" s="245"/>
      <c r="AA7" s="245"/>
      <c r="AB7" s="245"/>
      <c r="AD7" s="269" t="s">
        <v>632</v>
      </c>
      <c r="AE7" s="231"/>
      <c r="AF7" s="231"/>
      <c r="AG7" s="306">
        <f>IF(AF7="",AF7,VLOOKUP(AF7,'Списки участников'!$A:$P,3,FALSE))</f>
        <v>0</v>
      </c>
      <c r="AH7" s="232" t="s">
        <v>59</v>
      </c>
      <c r="AI7" s="233">
        <f>'Протокол 2ф'!F52</f>
        <v>0</v>
      </c>
      <c r="AJ7" s="254" t="s">
        <v>12083</v>
      </c>
      <c r="AK7" s="234"/>
      <c r="AL7" s="234"/>
      <c r="AM7" s="227"/>
      <c r="AN7" s="227"/>
      <c r="AO7" s="227"/>
      <c r="AP7" s="227"/>
      <c r="AQ7" s="227"/>
      <c r="AR7" s="227"/>
      <c r="AS7" s="227"/>
      <c r="AT7" s="231"/>
      <c r="AU7" s="231"/>
      <c r="AV7" s="306"/>
      <c r="AW7" s="232" t="s">
        <v>903</v>
      </c>
      <c r="AX7" s="233">
        <v>106</v>
      </c>
      <c r="AY7" s="254" t="str">
        <f>IF(AX7="",AX7,VLOOKUP(AX7,'Списки участников'!$A:$P,3,FALSE))</f>
        <v>НОВОСЕЛОВ Марк</v>
      </c>
      <c r="AZ7" s="234"/>
      <c r="BA7" s="234"/>
      <c r="BB7" s="1115" t="s">
        <v>12285</v>
      </c>
      <c r="BC7" s="227"/>
      <c r="BD7" s="227"/>
      <c r="BE7" s="227"/>
      <c r="BF7" s="227"/>
      <c r="BG7" s="227"/>
      <c r="BH7" s="227"/>
    </row>
    <row r="8" spans="1:60" ht="10.5" customHeight="1" x14ac:dyDescent="0.2">
      <c r="A8" s="231"/>
      <c r="B8" s="231"/>
      <c r="C8" s="307"/>
      <c r="D8" s="232">
        <v>1</v>
      </c>
      <c r="E8" s="233">
        <v>35</v>
      </c>
      <c r="F8" s="224" t="str">
        <f>IF(E8="",E8,VLOOKUP(E8,'Списки участников'!$A:$P,3,FALSE))</f>
        <v>ДЯГЕЛЕВ Артем</v>
      </c>
      <c r="G8" s="234"/>
      <c r="H8" s="234"/>
      <c r="I8" s="227"/>
      <c r="J8" s="227"/>
      <c r="K8" s="227"/>
      <c r="L8" s="227"/>
      <c r="M8" s="227"/>
      <c r="N8" s="227"/>
      <c r="O8" s="227"/>
      <c r="P8" s="227"/>
      <c r="Q8" s="227"/>
      <c r="R8" s="235"/>
      <c r="S8" s="257"/>
      <c r="T8" s="257"/>
      <c r="U8" s="257"/>
      <c r="V8" s="257"/>
      <c r="W8" s="257"/>
      <c r="X8" s="256"/>
      <c r="Y8" s="222" t="s">
        <v>917</v>
      </c>
      <c r="Z8" s="305">
        <f>IF(O23="","",IF(N22=K14,K30,IF(N22=K30,K14)))</f>
        <v>55</v>
      </c>
      <c r="AA8" s="224" t="str">
        <f>IF(Z8="",Z8,VLOOKUP(Z8,'Списки участников'!$A:$P,3,FALSE))</f>
        <v>ЛУЗАНОВ Даниил</v>
      </c>
      <c r="AB8" s="308"/>
      <c r="AC8" s="260"/>
      <c r="AE8" s="237" t="s">
        <v>918</v>
      </c>
      <c r="AF8" s="309">
        <f>IF(F13="","",IF(E12=B13,B11,IF(E12=B11,B13)))</f>
        <v>36</v>
      </c>
      <c r="AG8" s="254" t="s">
        <v>12083</v>
      </c>
      <c r="AH8" s="310"/>
      <c r="AI8" s="241"/>
      <c r="AJ8" s="292" t="s">
        <v>2598</v>
      </c>
      <c r="AK8" s="243"/>
      <c r="AL8" s="311">
        <v>76</v>
      </c>
      <c r="AM8" s="254" t="str">
        <f>IF(AL8="",AL8,VLOOKUP(AL8,'Списки участников'!$A:$P,3,FALSE))</f>
        <v>ОСМОЛОВСКИЙ Никита</v>
      </c>
      <c r="AN8" s="245"/>
      <c r="AO8" s="245"/>
      <c r="AP8" s="245"/>
      <c r="AQ8" s="245"/>
      <c r="AR8" s="245"/>
      <c r="AS8" s="245"/>
      <c r="AT8" s="237"/>
      <c r="AU8" s="309">
        <v>106</v>
      </c>
      <c r="AV8" s="254" t="str">
        <f>IF(AU8="",AU8,VLOOKUP(AU8,'Списки участников'!$A:$P,3,FALSE))</f>
        <v>НОВОСЕЛОВ Марк</v>
      </c>
      <c r="AW8" s="310"/>
      <c r="AX8" s="241"/>
      <c r="AY8" s="292" t="s">
        <v>2598</v>
      </c>
      <c r="AZ8" s="318"/>
      <c r="BA8" s="311">
        <v>76</v>
      </c>
      <c r="BB8" s="1116"/>
      <c r="BC8" s="257"/>
      <c r="BD8" s="257"/>
      <c r="BE8" s="257"/>
      <c r="BF8" s="245"/>
      <c r="BG8" s="245"/>
      <c r="BH8" s="245"/>
    </row>
    <row r="9" spans="1:60" ht="10.5" customHeight="1" x14ac:dyDescent="0.2">
      <c r="A9" s="1105" t="s">
        <v>12285</v>
      </c>
      <c r="B9" s="238">
        <v>106</v>
      </c>
      <c r="C9" s="254" t="str">
        <f>IF(B9="",B9,VLOOKUP(B9,'Списки участников'!$A:$P,3,FALSE))</f>
        <v>НОВОСЕЛОВ Марк</v>
      </c>
      <c r="D9" s="312" t="str">
        <f>IF(B9="",B9,VLOOKUP(B9,'Списки участников'!A:L,6,FALSE))</f>
        <v>Дмский р-н, Мос о.</v>
      </c>
      <c r="E9" s="241"/>
      <c r="F9" s="242" t="s">
        <v>2598</v>
      </c>
      <c r="G9" s="243"/>
      <c r="H9" s="244"/>
      <c r="I9" s="245"/>
      <c r="J9" s="245"/>
      <c r="K9" s="245"/>
      <c r="L9" s="245"/>
      <c r="M9" s="245"/>
      <c r="N9" s="245"/>
      <c r="O9" s="245"/>
      <c r="P9" s="245"/>
      <c r="Q9" s="245"/>
      <c r="R9" s="229"/>
      <c r="S9" s="252"/>
      <c r="T9" s="252"/>
      <c r="U9" s="252"/>
      <c r="V9" s="252"/>
      <c r="W9" s="252"/>
      <c r="X9" s="252"/>
      <c r="Y9" s="231"/>
      <c r="Z9" s="231"/>
      <c r="AA9" s="313">
        <f>IF(Z9="",Z9,VLOOKUP(Z9,'Списки участников'!$A:$P,3,FALSE))</f>
        <v>0</v>
      </c>
      <c r="AB9" s="314" t="s">
        <v>34</v>
      </c>
      <c r="AC9" s="233">
        <v>53</v>
      </c>
      <c r="AD9" s="254" t="str">
        <f>IF(AC9="",AC9,VLOOKUP(AC9,'Списки участников'!$A:$P,3,FALSE))</f>
        <v>ПОПОВ Данила</v>
      </c>
      <c r="AE9" s="222" t="s">
        <v>919</v>
      </c>
      <c r="AF9" s="305">
        <f>IF(F17="","",IF(E16=B15,B17,IF(E16=B17,B15)))</f>
        <v>76</v>
      </c>
      <c r="AG9" s="224" t="str">
        <f>IF(AF9="",AF9,VLOOKUP(AF9,'Списки участников'!$A:$P,3,FALSE))</f>
        <v>ОСМОЛОВСКИЙ Никита</v>
      </c>
      <c r="AH9" s="280"/>
      <c r="AI9" s="226"/>
      <c r="AJ9" s="315">
        <f>IF(AI9="",AI9,VLOOKUP(AI9,'Списки участников'!$A:$P,3,FALSE))</f>
        <v>0</v>
      </c>
      <c r="AK9" s="258" t="s">
        <v>67</v>
      </c>
      <c r="AL9" s="252"/>
      <c r="AM9" s="292" t="s">
        <v>2598</v>
      </c>
      <c r="AN9" s="243"/>
      <c r="AO9" s="244"/>
      <c r="AP9" s="245"/>
      <c r="AQ9" s="245"/>
      <c r="AR9" s="245"/>
      <c r="AS9" s="245"/>
      <c r="AT9" s="222"/>
      <c r="AU9" s="305">
        <v>94</v>
      </c>
      <c r="AV9" s="224" t="str">
        <f>IF(AU9="",AU9,VLOOKUP(AU9,'Списки участников'!$A:$P,3,FALSE))</f>
        <v>ФЕДОРЕНКО Александр</v>
      </c>
      <c r="AW9" s="280"/>
      <c r="AX9" s="226"/>
      <c r="AY9" s="315">
        <f>IF(AX9="",AX9,VLOOKUP(AX9,'Списки участников'!$A:$P,3,FALSE))</f>
        <v>0</v>
      </c>
      <c r="AZ9" s="257"/>
      <c r="BA9" s="252"/>
      <c r="BB9" s="1117"/>
      <c r="BC9" s="244"/>
      <c r="BD9" s="244"/>
      <c r="BE9" s="257"/>
      <c r="BF9" s="245"/>
      <c r="BG9" s="245"/>
      <c r="BH9" s="245"/>
    </row>
    <row r="10" spans="1:60" ht="10.5" customHeight="1" x14ac:dyDescent="0.2">
      <c r="A10" s="222"/>
      <c r="B10" s="222"/>
      <c r="C10" s="1107" t="s">
        <v>2598</v>
      </c>
      <c r="D10" s="247"/>
      <c r="E10" s="245"/>
      <c r="F10" s="315">
        <f>IF(E10="",E10,VLOOKUP(E10,'Списки участников'!$A:$P,3,FALSE))</f>
        <v>0</v>
      </c>
      <c r="G10" s="1247">
        <v>17</v>
      </c>
      <c r="H10" s="249">
        <v>35</v>
      </c>
      <c r="I10" s="224" t="str">
        <f>IF(H10="",H10,VLOOKUP(H10,'Списки участников'!$A:$P,3,FALSE))</f>
        <v>ДЯГЕЛЕВ Артем</v>
      </c>
      <c r="J10" s="234"/>
      <c r="K10" s="234"/>
      <c r="L10" s="245"/>
      <c r="M10" s="245"/>
      <c r="N10" s="245"/>
      <c r="O10" s="245"/>
      <c r="P10" s="245"/>
      <c r="Q10" s="245"/>
      <c r="R10" s="229"/>
      <c r="S10" s="252"/>
      <c r="T10" s="252"/>
      <c r="U10" s="256"/>
      <c r="V10" s="252"/>
      <c r="W10" s="252"/>
      <c r="X10" s="252"/>
      <c r="Y10" s="237" t="s">
        <v>920</v>
      </c>
      <c r="Z10" s="309">
        <f>IF(O55="","",IF(N54=K46,K62,IF(N54=K62,K46)))</f>
        <v>53</v>
      </c>
      <c r="AA10" s="254" t="str">
        <f>IF(Z10="",Z10,VLOOKUP(Z10,'Списки участников'!$A:$P,3,FALSE))</f>
        <v>ПОПОВ Данила</v>
      </c>
      <c r="AB10" s="316"/>
      <c r="AC10" s="317"/>
      <c r="AD10" s="470" t="s">
        <v>12290</v>
      </c>
      <c r="AE10" s="231"/>
      <c r="AF10" s="319"/>
      <c r="AG10" s="320">
        <f>IF(AF10="",AF10,VLOOKUP(AF10,'Списки участников'!$A:$P,3,FALSE))</f>
        <v>0</v>
      </c>
      <c r="AH10" s="232" t="s">
        <v>60</v>
      </c>
      <c r="AI10" s="233">
        <v>76</v>
      </c>
      <c r="AJ10" s="254" t="str">
        <f>IF(AI10="",AI10,VLOOKUP(AI10,'Списки участников'!$A:$P,3,FALSE))</f>
        <v>ОСМОЛОВСКИЙ Никита</v>
      </c>
      <c r="AK10" s="321"/>
      <c r="AL10" s="252"/>
      <c r="AM10" s="257">
        <f>IF(AL10="",AL10,VLOOKUP(AL10,'Списки участников'!$A:$P,3,FALSE))</f>
        <v>0</v>
      </c>
      <c r="AN10" s="248"/>
      <c r="AO10" s="244"/>
      <c r="AP10" s="245"/>
      <c r="AQ10" s="245"/>
      <c r="AR10" s="245"/>
      <c r="AS10" s="245"/>
      <c r="AT10" s="231"/>
      <c r="AU10" s="319"/>
      <c r="AV10" s="320"/>
      <c r="AW10" s="232" t="s">
        <v>904</v>
      </c>
      <c r="AX10" s="233">
        <v>94</v>
      </c>
      <c r="AY10" s="254" t="str">
        <f>IF(AX10="",AX10,VLOOKUP(AX10,'Списки участников'!$A:$P,3,FALSE))</f>
        <v>ФЕДОРЕНКО Александр</v>
      </c>
      <c r="AZ10" s="322"/>
      <c r="BA10" s="252"/>
      <c r="BB10" s="1117" t="s">
        <v>12289</v>
      </c>
      <c r="BC10" s="244"/>
      <c r="BD10" s="244"/>
      <c r="BE10" s="257"/>
      <c r="BF10" s="245"/>
      <c r="BG10" s="245"/>
      <c r="BH10" s="245"/>
    </row>
    <row r="11" spans="1:60" ht="10.5" customHeight="1" x14ac:dyDescent="0.2">
      <c r="A11" s="222">
        <v>3</v>
      </c>
      <c r="B11" s="223">
        <v>36</v>
      </c>
      <c r="C11" s="224" t="s">
        <v>12083</v>
      </c>
      <c r="D11" s="225" t="str">
        <f>IF(B11="",B11,VLOOKUP(B11,'Списки участников'!A:L,6,FALSE))</f>
        <v>Москва</v>
      </c>
      <c r="E11" s="226"/>
      <c r="F11" s="315">
        <f>IF(E11="",E11,VLOOKUP(E11,'Списки участников'!$A:$P,3,FALSE))</f>
        <v>0</v>
      </c>
      <c r="G11" s="1247"/>
      <c r="H11" s="252"/>
      <c r="I11" s="292" t="s">
        <v>11982</v>
      </c>
      <c r="J11" s="243"/>
      <c r="K11" s="244"/>
      <c r="L11" s="245"/>
      <c r="M11" s="245"/>
      <c r="N11" s="245"/>
      <c r="O11" s="245"/>
      <c r="P11" s="245"/>
      <c r="Q11" s="245"/>
      <c r="R11" s="229"/>
      <c r="S11" s="252"/>
      <c r="T11" s="252"/>
      <c r="U11" s="252"/>
      <c r="V11" s="252"/>
      <c r="W11" s="252"/>
      <c r="X11" s="252"/>
      <c r="Y11" s="245"/>
      <c r="Z11" s="245"/>
      <c r="AA11" s="245"/>
      <c r="AB11" s="245"/>
      <c r="AC11" s="245"/>
      <c r="AD11" s="269" t="s">
        <v>921</v>
      </c>
      <c r="AE11" s="237" t="s">
        <v>922</v>
      </c>
      <c r="AF11" s="309">
        <f>IF(F21="","",IF(E20=B19,B21,IF(E20=B21,B19)))</f>
        <v>74</v>
      </c>
      <c r="AG11" s="254" t="str">
        <f>IF(AF11="",AF11,VLOOKUP(AF11,'Списки участников'!$A:$P,3,FALSE))</f>
        <v>ДИНИСЕНКО Тимофей</v>
      </c>
      <c r="AH11" s="310"/>
      <c r="AI11" s="241"/>
      <c r="AJ11" s="292" t="s">
        <v>2598</v>
      </c>
      <c r="AK11" s="260"/>
      <c r="AL11" s="260"/>
      <c r="AM11" s="257">
        <f>IF(AL11="",AL11,VLOOKUP(AL11,'Списки участников'!$A:$P,3,FALSE))</f>
        <v>0</v>
      </c>
      <c r="AN11" s="258"/>
      <c r="AO11" s="249">
        <v>69</v>
      </c>
      <c r="AP11" s="254" t="str">
        <f>IF(AO11="",AO11,VLOOKUP(AO11,'Списки участников'!$A:$P,3,FALSE))</f>
        <v>ЮНУСОВ Михаил</v>
      </c>
      <c r="AQ11" s="245"/>
      <c r="AR11" s="245"/>
      <c r="AS11" s="245"/>
      <c r="AT11" s="237"/>
      <c r="AU11" s="309">
        <v>111</v>
      </c>
      <c r="AV11" s="254" t="str">
        <f>IF(AU11="",AU11,VLOOKUP(AU11,'Списки участников'!$A:$P,3,FALSE))</f>
        <v>ТАДЖИБАЕВ Артур</v>
      </c>
      <c r="AW11" s="310"/>
      <c r="AX11" s="241"/>
      <c r="AY11" s="292" t="s">
        <v>2598</v>
      </c>
      <c r="AZ11" s="260"/>
      <c r="BA11" s="260"/>
      <c r="BB11" s="1117"/>
      <c r="BC11" s="257"/>
      <c r="BD11" s="249"/>
      <c r="BE11" s="1111"/>
      <c r="BF11" s="257"/>
      <c r="BG11" s="257"/>
      <c r="BH11" s="257"/>
    </row>
    <row r="12" spans="1:60" ht="10.5" customHeight="1" x14ac:dyDescent="0.2">
      <c r="A12" s="231"/>
      <c r="B12" s="231"/>
      <c r="C12" s="307"/>
      <c r="D12" s="232">
        <v>2</v>
      </c>
      <c r="E12" s="233">
        <v>48</v>
      </c>
      <c r="F12" s="254" t="str">
        <f>IF(E12="",E12,VLOOKUP(E12,'Списки участников'!$A:$P,3,FALSE))</f>
        <v>ЛОМАКИН Павел</v>
      </c>
      <c r="G12" s="255"/>
      <c r="H12" s="256"/>
      <c r="I12" s="257">
        <f>IF(H12="",H12,VLOOKUP(H12,'Списки участников'!$A:$P,3,FALSE))</f>
        <v>0</v>
      </c>
      <c r="J12" s="258"/>
      <c r="K12" s="257"/>
      <c r="L12" s="245"/>
      <c r="M12" s="245"/>
      <c r="N12" s="245"/>
      <c r="O12" s="245"/>
      <c r="P12" s="245"/>
      <c r="Q12" s="245"/>
      <c r="R12" s="229"/>
      <c r="S12" s="252"/>
      <c r="T12" s="252"/>
      <c r="U12" s="252"/>
      <c r="V12" s="252"/>
      <c r="W12" s="252"/>
      <c r="X12" s="252"/>
      <c r="Y12" s="245"/>
      <c r="Z12" s="245"/>
      <c r="AA12" s="245"/>
      <c r="AB12" s="245"/>
      <c r="AC12" s="245"/>
      <c r="AE12" s="222" t="s">
        <v>923</v>
      </c>
      <c r="AF12" s="305">
        <f>IF(F25="","",IF(E24=B23,B25,IF(E24=B25,B23)))</f>
        <v>69</v>
      </c>
      <c r="AG12" s="224" t="str">
        <f>IF(AF12="",AF12,VLOOKUP(AF12,'Списки участников'!$A:$P,3,FALSE))</f>
        <v>ЮНУСОВ Михаил</v>
      </c>
      <c r="AH12" s="280"/>
      <c r="AI12" s="226"/>
      <c r="AJ12" s="245">
        <f>IF(AI12="",AI12,VLOOKUP(AI12,'Списки участников'!$A:$P,3,FALSE))</f>
        <v>0</v>
      </c>
      <c r="AK12" s="245"/>
      <c r="AL12" s="245"/>
      <c r="AM12" s="257">
        <f>IF(AL12="",AL12,VLOOKUP(AL12,'Списки участников'!$A:$P,3,FALSE))</f>
        <v>0</v>
      </c>
      <c r="AN12" s="258" t="s">
        <v>761</v>
      </c>
      <c r="AO12" s="252"/>
      <c r="AP12" s="292" t="s">
        <v>2598</v>
      </c>
      <c r="AQ12" s="243"/>
      <c r="AR12" s="244"/>
      <c r="AS12" s="245"/>
      <c r="AT12" s="222"/>
      <c r="AU12" s="305">
        <v>87</v>
      </c>
      <c r="AV12" s="224" t="str">
        <f>IF(AU12="",AU12,VLOOKUP(AU12,'Списки участников'!$A:$P,3,FALSE))</f>
        <v>РОСТОШИНСКИЙ Иван</v>
      </c>
      <c r="AW12" s="280"/>
      <c r="AX12" s="226"/>
      <c r="AY12" s="245">
        <f>IF(AX12="",AX12,VLOOKUP(AX12,'Списки участников'!$A:$P,3,FALSE))</f>
        <v>0</v>
      </c>
      <c r="AZ12" s="245"/>
      <c r="BA12" s="245"/>
      <c r="BB12" s="1117"/>
      <c r="BC12" s="257"/>
      <c r="BD12" s="252"/>
      <c r="BE12" s="257"/>
      <c r="BF12" s="244"/>
      <c r="BG12" s="244"/>
      <c r="BH12" s="257"/>
    </row>
    <row r="13" spans="1:60" ht="10.5" customHeight="1" x14ac:dyDescent="0.2">
      <c r="A13" s="237">
        <v>4</v>
      </c>
      <c r="B13" s="238">
        <v>48</v>
      </c>
      <c r="C13" s="254" t="str">
        <f>IF(B13="",B13,VLOOKUP(B13,'Списки участников'!$A:$P,3,FALSE))</f>
        <v>ЛОМАКИН Павел</v>
      </c>
      <c r="D13" s="312" t="str">
        <f>IF(B13="",B13,VLOOKUP(B13,'Списки участников'!A:L,6,FALSE))</f>
        <v>Москва</v>
      </c>
      <c r="E13" s="241"/>
      <c r="F13" s="242" t="s">
        <v>2598</v>
      </c>
      <c r="G13" s="260"/>
      <c r="H13" s="260"/>
      <c r="I13" s="257">
        <f>IF(H13="",H13,VLOOKUP(H13,'Списки участников'!$A:$P,3,FALSE))</f>
        <v>0</v>
      </c>
      <c r="J13" s="258"/>
      <c r="K13" s="257"/>
      <c r="L13" s="245"/>
      <c r="M13" s="245"/>
      <c r="N13" s="245"/>
      <c r="O13" s="245"/>
      <c r="P13" s="245"/>
      <c r="Q13" s="245"/>
      <c r="R13" s="229"/>
      <c r="S13" s="252"/>
      <c r="T13" s="252"/>
      <c r="U13" s="252"/>
      <c r="V13" s="252"/>
      <c r="W13" s="252"/>
      <c r="X13" s="252">
        <f>IF(W13="",W13,VLOOKUP(W13,'Списки участников'!$A:$P,3,FALSE))</f>
        <v>0</v>
      </c>
      <c r="Y13" s="245"/>
      <c r="Z13" s="245"/>
      <c r="AA13" s="245"/>
      <c r="AB13" s="322" t="s">
        <v>924</v>
      </c>
      <c r="AC13" s="283">
        <f>IF(AD10="","",IF(AC9=Z8,Z10,IF(AC9=Z10,Z8)))</f>
        <v>55</v>
      </c>
      <c r="AD13" s="254" t="str">
        <f>IF(AC13="",AC13,VLOOKUP(AC13,'Списки участников'!$A:$P,3,FALSE))</f>
        <v>ЛУЗАНОВ Даниил</v>
      </c>
      <c r="AE13" s="231"/>
      <c r="AF13" s="231"/>
      <c r="AG13" s="307">
        <f>IF(AF13="",AF13,VLOOKUP(AF13,'Списки участников'!$A:$P,3,FALSE))</f>
        <v>0</v>
      </c>
      <c r="AH13" s="232" t="s">
        <v>61</v>
      </c>
      <c r="AI13" s="233">
        <v>69</v>
      </c>
      <c r="AJ13" s="254" t="str">
        <f>IF(AI13="",AI13,VLOOKUP(AI13,'Списки участников'!$A:$P,3,FALSE))</f>
        <v>ЮНУСОВ Михаил</v>
      </c>
      <c r="AK13" s="234"/>
      <c r="AL13" s="234"/>
      <c r="AM13" s="257">
        <f>IF(AL13="",AL13,VLOOKUP(AL13,'Списки участников'!$A:$P,3,FALSE))</f>
        <v>0</v>
      </c>
      <c r="AN13" s="258"/>
      <c r="AO13" s="257"/>
      <c r="AP13" s="257">
        <f>IF(AO13="",AO13,VLOOKUP(AO13,'Списки участников'!$A:$P,3,FALSE))</f>
        <v>0</v>
      </c>
      <c r="AQ13" s="258"/>
      <c r="AR13" s="257"/>
      <c r="AS13" s="245"/>
      <c r="AT13" s="231"/>
      <c r="AU13" s="231"/>
      <c r="AV13" s="307"/>
      <c r="AW13" s="232" t="s">
        <v>905</v>
      </c>
      <c r="AX13" s="233">
        <v>87</v>
      </c>
      <c r="AY13" s="254" t="str">
        <f>IF(AX13="",AX13,VLOOKUP(AX13,'Списки участников'!$A:$P,3,FALSE))</f>
        <v>РОСТОШИНСКИЙ Иван</v>
      </c>
      <c r="AZ13" s="234"/>
      <c r="BA13" s="234"/>
      <c r="BB13" s="1117" t="s">
        <v>12287</v>
      </c>
      <c r="BC13" s="257"/>
      <c r="BD13" s="257"/>
      <c r="BE13" s="257"/>
      <c r="BF13" s="257"/>
      <c r="BG13" s="257"/>
      <c r="BH13" s="257"/>
    </row>
    <row r="14" spans="1:60" ht="10.5" customHeight="1" x14ac:dyDescent="0.2">
      <c r="A14" s="222"/>
      <c r="B14" s="222"/>
      <c r="C14" s="227"/>
      <c r="D14" s="247"/>
      <c r="E14" s="245"/>
      <c r="F14" s="245">
        <f>IF(E14="",E14,VLOOKUP(E14,'Списки участников'!$A:$P,3,FALSE))</f>
        <v>0</v>
      </c>
      <c r="G14" s="245"/>
      <c r="H14" s="245"/>
      <c r="I14" s="257">
        <f>IF(H14="",H14,VLOOKUP(H14,'Списки участников'!$A:$P,3,FALSE))</f>
        <v>0</v>
      </c>
      <c r="J14" s="1247">
        <v>25</v>
      </c>
      <c r="K14" s="249">
        <v>42</v>
      </c>
      <c r="L14" s="224" t="str">
        <f>IF(K14="",K14,VLOOKUP(K14,'Списки участников'!$A:$P,3,FALSE))</f>
        <v>СИТНИКОВ Кирилл</v>
      </c>
      <c r="M14" s="234"/>
      <c r="N14" s="234"/>
      <c r="O14" s="245"/>
      <c r="P14" s="245"/>
      <c r="Q14" s="245"/>
      <c r="R14" s="245"/>
      <c r="S14" s="323"/>
      <c r="T14" s="324"/>
      <c r="U14" s="252"/>
      <c r="V14" s="325" t="s">
        <v>92</v>
      </c>
      <c r="W14" s="326">
        <f>IF(L15="","",IF(K14=H10,H18,IF(K14=H18,H10)))</f>
        <v>35</v>
      </c>
      <c r="X14" s="224" t="str">
        <f>IF(W14="",W14,VLOOKUP(W14,'Списки участников'!$A:$P,3,FALSE))</f>
        <v>ДЯГЕЛЕВ Артем</v>
      </c>
      <c r="Y14" s="245"/>
      <c r="Z14" s="245"/>
      <c r="AA14" s="245"/>
      <c r="AB14" s="245"/>
      <c r="AC14" s="245"/>
      <c r="AD14" s="252"/>
      <c r="AE14" s="237" t="s">
        <v>925</v>
      </c>
      <c r="AF14" s="309">
        <f>IF(F29="","",IF(E28=B27,B29,IF(E28=B29,B27)))</f>
        <v>46</v>
      </c>
      <c r="AG14" s="254" t="str">
        <f>IF(AF14="",AF14,VLOOKUP(AF14,'Списки участников'!$A:$P,3,FALSE))</f>
        <v>ВОЛЫНКИН Александр</v>
      </c>
      <c r="AH14" s="310"/>
      <c r="AI14" s="241"/>
      <c r="AJ14" s="292" t="s">
        <v>2598</v>
      </c>
      <c r="AK14" s="243"/>
      <c r="AL14" s="244"/>
      <c r="AM14" s="257">
        <f>IF(AL14="",AL14,VLOOKUP(AL14,'Списки участников'!$A:$P,3,FALSE))</f>
        <v>0</v>
      </c>
      <c r="AN14" s="258"/>
      <c r="AO14" s="257"/>
      <c r="AP14" s="257">
        <f>IF(AO14="",AO14,VLOOKUP(AO14,'Списки участников'!$A:$P,3,FALSE))</f>
        <v>0</v>
      </c>
      <c r="AQ14" s="258"/>
      <c r="AR14" s="257"/>
      <c r="AS14" s="245"/>
      <c r="AT14" s="237"/>
      <c r="AU14" s="309">
        <v>82</v>
      </c>
      <c r="AV14" s="254" t="str">
        <f>IF(AU14="",AU14,VLOOKUP(AU14,'Списки участников'!$A:$P,3,FALSE))</f>
        <v>СУЧКОВ Артемий</v>
      </c>
      <c r="AW14" s="310"/>
      <c r="AX14" s="241"/>
      <c r="AY14" s="292" t="s">
        <v>1106</v>
      </c>
      <c r="AZ14" s="318"/>
      <c r="BA14" s="244"/>
      <c r="BB14" s="1117"/>
      <c r="BC14" s="257"/>
      <c r="BD14" s="257"/>
      <c r="BE14" s="257"/>
      <c r="BF14" s="257"/>
      <c r="BG14" s="257"/>
      <c r="BH14" s="257"/>
    </row>
    <row r="15" spans="1:60" ht="10.5" customHeight="1" x14ac:dyDescent="0.2">
      <c r="A15" s="222">
        <v>5</v>
      </c>
      <c r="B15" s="223">
        <v>42</v>
      </c>
      <c r="C15" s="224" t="str">
        <f>IF(B15="",B15,VLOOKUP(B15,'Списки участников'!$A:$P,3,FALSE))</f>
        <v>СИТНИКОВ Кирилл</v>
      </c>
      <c r="D15" s="225" t="str">
        <f>IF(B15="",B15,VLOOKUP(B15,'Списки участников'!A:L,6,FALSE))</f>
        <v>Рязань</v>
      </c>
      <c r="E15" s="226"/>
      <c r="F15" s="245">
        <f>IF(E15="",E15,VLOOKUP(E15,'Списки участников'!$A:$P,3,FALSE))</f>
        <v>0</v>
      </c>
      <c r="G15" s="245"/>
      <c r="H15" s="245"/>
      <c r="I15" s="257">
        <f>IF(H15="",H15,VLOOKUP(H15,'Списки участников'!$A:$P,3,FALSE))</f>
        <v>0</v>
      </c>
      <c r="J15" s="1247"/>
      <c r="K15" s="252"/>
      <c r="L15" s="292" t="s">
        <v>11982</v>
      </c>
      <c r="M15" s="243"/>
      <c r="N15" s="244"/>
      <c r="O15" s="245"/>
      <c r="P15" s="245"/>
      <c r="Q15" s="245"/>
      <c r="R15" s="229"/>
      <c r="S15" s="323"/>
      <c r="T15" s="323"/>
      <c r="U15" s="252"/>
      <c r="V15" s="231"/>
      <c r="W15" s="231"/>
      <c r="X15" s="313">
        <f>IF(W15="",W15,VLOOKUP(W15,'Списки участников'!$A:$P,3,FALSE))</f>
        <v>0</v>
      </c>
      <c r="Y15" s="243" t="s">
        <v>24</v>
      </c>
      <c r="Z15" s="233">
        <v>52</v>
      </c>
      <c r="AA15" s="254" t="str">
        <f>IF(Z15="",Z15,VLOOKUP(Z15,'Списки участников'!$A:$P,3,FALSE))</f>
        <v>СВИРЩЕВСКИЙ Юрий</v>
      </c>
      <c r="AB15" s="256"/>
      <c r="AC15" s="256"/>
      <c r="AD15" s="269" t="s">
        <v>633</v>
      </c>
      <c r="AE15" s="222" t="s">
        <v>926</v>
      </c>
      <c r="AF15" s="305">
        <f>IF(F33="","",IF(E32=B31,B33,IF(E32=B33,B31)))</f>
        <v>104</v>
      </c>
      <c r="AG15" s="224" t="str">
        <f>IF(AF15="",AF15,VLOOKUP(AF15,'Списки участников'!$A:$P,3,FALSE))</f>
        <v>БУЛАВИН Михаил</v>
      </c>
      <c r="AH15" s="280"/>
      <c r="AI15" s="226"/>
      <c r="AJ15" s="315">
        <f>IF(AI15="",AI15,VLOOKUP(AI15,'Списки участников'!$A:$P,3,FALSE))</f>
        <v>0</v>
      </c>
      <c r="AK15" s="258" t="s">
        <v>758</v>
      </c>
      <c r="AL15" s="311">
        <v>69</v>
      </c>
      <c r="AM15" s="254" t="str">
        <f>IF(AL15="",AL15,VLOOKUP(AL15,'Списки участников'!$A:$P,3,FALSE))</f>
        <v>ЮНУСОВ Михаил</v>
      </c>
      <c r="AN15" s="328"/>
      <c r="AO15" s="260"/>
      <c r="AP15" s="257">
        <f>IF(AO15="",AO15,VLOOKUP(AO15,'Списки участников'!$A:$P,3,FALSE))</f>
        <v>0</v>
      </c>
      <c r="AQ15" s="258"/>
      <c r="AR15" s="257"/>
      <c r="AS15" s="245"/>
      <c r="AT15" s="222"/>
      <c r="AU15" s="305">
        <v>86</v>
      </c>
      <c r="AV15" s="224" t="str">
        <f>IF(AU15="",AU15,VLOOKUP(AU15,'Списки участников'!$A:$P,3,FALSE))</f>
        <v xml:space="preserve">КОРОЛЬКОВ Егор </v>
      </c>
      <c r="AW15" s="280"/>
      <c r="AX15" s="226"/>
      <c r="AY15" s="315">
        <f>IF(AX15="",AX15,VLOOKUP(AX15,'Списки участников'!$A:$P,3,FALSE))</f>
        <v>0</v>
      </c>
      <c r="AZ15" s="257"/>
      <c r="BA15" s="311">
        <v>69</v>
      </c>
      <c r="BB15" s="1116"/>
      <c r="BC15" s="244"/>
      <c r="BD15" s="244"/>
      <c r="BE15" s="257"/>
      <c r="BF15" s="257"/>
      <c r="BG15" s="257"/>
      <c r="BH15" s="257"/>
    </row>
    <row r="16" spans="1:60" ht="10.5" customHeight="1" x14ac:dyDescent="0.2">
      <c r="A16" s="231"/>
      <c r="B16" s="231"/>
      <c r="C16" s="307"/>
      <c r="D16" s="232">
        <v>3</v>
      </c>
      <c r="E16" s="233">
        <v>42</v>
      </c>
      <c r="F16" s="224" t="str">
        <f>IF(E16="",E16,VLOOKUP(E16,'Списки участников'!$A:$P,3,FALSE))</f>
        <v>СИТНИКОВ Кирилл</v>
      </c>
      <c r="G16" s="234"/>
      <c r="H16" s="234"/>
      <c r="I16" s="257">
        <f>IF(H16="",H16,VLOOKUP(H16,'Списки участников'!$A:$P,3,FALSE))</f>
        <v>0</v>
      </c>
      <c r="J16" s="258"/>
      <c r="K16" s="257"/>
      <c r="L16" s="257">
        <f>IF(K16="",K16,VLOOKUP(K16,'Списки участников'!$A:$P,3,FALSE))</f>
        <v>0</v>
      </c>
      <c r="M16" s="258"/>
      <c r="N16" s="257"/>
      <c r="O16" s="245"/>
      <c r="P16" s="245"/>
      <c r="Q16" s="245"/>
      <c r="R16" s="229"/>
      <c r="S16" s="323"/>
      <c r="T16" s="324"/>
      <c r="U16" s="252"/>
      <c r="V16" s="237" t="s">
        <v>58</v>
      </c>
      <c r="W16" s="309">
        <f>IF(L31="","",IF(K30=H26,H34,IF(K30=H34,H26)))</f>
        <v>52</v>
      </c>
      <c r="X16" s="254" t="str">
        <f>IF(W16="",W16,VLOOKUP(W16,'Списки участников'!$A:$P,3,FALSE))</f>
        <v>СВИРЩЕВСКИЙ Юрий</v>
      </c>
      <c r="Y16" s="321"/>
      <c r="Z16" s="317"/>
      <c r="AA16" s="231" t="s">
        <v>1106</v>
      </c>
      <c r="AB16" s="243"/>
      <c r="AC16" s="244"/>
      <c r="AD16" s="329"/>
      <c r="AE16" s="231"/>
      <c r="AF16" s="231"/>
      <c r="AG16" s="307">
        <f>IF(AF16="",AF16,VLOOKUP(AF16,'Списки участников'!$A:$P,3,FALSE))</f>
        <v>0</v>
      </c>
      <c r="AH16" s="232" t="s">
        <v>62</v>
      </c>
      <c r="AI16" s="233">
        <v>87</v>
      </c>
      <c r="AJ16" s="254" t="str">
        <f>IF(AI16="",AI16,VLOOKUP(AI16,'Списки участников'!$A:$P,3,FALSE))</f>
        <v>РОСТОШИНСКИЙ Иван</v>
      </c>
      <c r="AK16" s="255"/>
      <c r="AL16" s="252"/>
      <c r="AM16" s="292" t="s">
        <v>2598</v>
      </c>
      <c r="AN16" s="245"/>
      <c r="AO16" s="245"/>
      <c r="AP16" s="257">
        <f>IF(AO16="",AO16,VLOOKUP(AO16,'Списки участников'!$A:$P,3,FALSE))</f>
        <v>0</v>
      </c>
      <c r="AQ16" s="258"/>
      <c r="AR16" s="257"/>
      <c r="AT16" s="231"/>
      <c r="AU16" s="231"/>
      <c r="AV16" s="307"/>
      <c r="AW16" s="232" t="s">
        <v>906</v>
      </c>
      <c r="AX16" s="233">
        <v>86</v>
      </c>
      <c r="AY16" s="254" t="str">
        <f>IF(AX16="",AX16,VLOOKUP(AX16,'Списки участников'!$A:$P,3,FALSE))</f>
        <v xml:space="preserve">КОРОЛЬКОВ Егор </v>
      </c>
      <c r="AZ16" s="1112"/>
      <c r="BA16" s="252"/>
      <c r="BB16" s="1117" t="s">
        <v>12288</v>
      </c>
      <c r="BC16" s="257"/>
      <c r="BD16" s="257"/>
      <c r="BE16" s="257"/>
      <c r="BF16" s="257"/>
      <c r="BG16" s="257"/>
      <c r="BH16" s="332"/>
    </row>
    <row r="17" spans="1:61" ht="10.5" customHeight="1" x14ac:dyDescent="0.2">
      <c r="A17" s="237">
        <v>6</v>
      </c>
      <c r="B17" s="238">
        <v>76</v>
      </c>
      <c r="C17" s="254" t="str">
        <f>IF(B17="",B17,VLOOKUP(B17,'Списки участников'!$A:$P,3,FALSE))</f>
        <v>ОСМОЛОВСКИЙ Никита</v>
      </c>
      <c r="D17" s="312" t="str">
        <f>IF(B17="",B17,VLOOKUP(B17,'Списки участников'!A:L,6,FALSE))</f>
        <v>Дмитров</v>
      </c>
      <c r="E17" s="241"/>
      <c r="F17" s="242" t="s">
        <v>2598</v>
      </c>
      <c r="G17" s="243"/>
      <c r="H17" s="244"/>
      <c r="I17" s="257">
        <f>IF(H17="",H17,VLOOKUP(H17,'Списки участников'!$A:$P,3,FALSE))</f>
        <v>0</v>
      </c>
      <c r="J17" s="258"/>
      <c r="K17" s="257"/>
      <c r="L17" s="257">
        <f>IF(K17="",K17,VLOOKUP(K17,'Списки участников'!$A:$P,3,FALSE))</f>
        <v>0</v>
      </c>
      <c r="M17" s="258"/>
      <c r="N17" s="257"/>
      <c r="O17" s="245"/>
      <c r="P17" s="245"/>
      <c r="Q17" s="245"/>
      <c r="R17" s="229"/>
      <c r="S17" s="323"/>
      <c r="T17" s="323"/>
      <c r="U17" s="256"/>
      <c r="V17" s="325"/>
      <c r="W17" s="325"/>
      <c r="X17" s="256">
        <f>IF(W17="",W17,VLOOKUP(W17,'Списки участников'!$A:$P,3,FALSE))</f>
        <v>0</v>
      </c>
      <c r="Y17" s="325"/>
      <c r="Z17" s="325"/>
      <c r="AA17" s="244">
        <f>IF(Z17="",Z17,VLOOKUP(Z17,'Списки участников'!$A:$P,3,FALSE))</f>
        <v>0</v>
      </c>
      <c r="AB17" s="1247" t="s">
        <v>16</v>
      </c>
      <c r="AC17" s="233">
        <v>52</v>
      </c>
      <c r="AD17" s="254" t="str">
        <f>IF(AC17="",AC17,VLOOKUP(AC17,'Списки участников'!$A:$P,3,FALSE))</f>
        <v>СВИРЩЕВСКИЙ Юрий</v>
      </c>
      <c r="AE17" s="237" t="s">
        <v>927</v>
      </c>
      <c r="AF17" s="309">
        <f>IF(F37="","",IF(E36=B35,B37,IF(E36=B37,B35)))</f>
        <v>87</v>
      </c>
      <c r="AG17" s="254" t="str">
        <f>IF(AF17="",AF17,VLOOKUP(AF17,'Списки участников'!$A:$P,3,FALSE))</f>
        <v>РОСТОШИНСКИЙ Иван</v>
      </c>
      <c r="AH17" s="310"/>
      <c r="AI17" s="241"/>
      <c r="AJ17" s="292" t="s">
        <v>2598</v>
      </c>
      <c r="AK17" s="260"/>
      <c r="AL17" s="260"/>
      <c r="AM17" s="245">
        <f>IF(AL17="",AL17,VLOOKUP(AL17,'Списки участников'!$A:$P,3,FALSE))</f>
        <v>0</v>
      </c>
      <c r="AN17" s="245"/>
      <c r="AO17" s="245"/>
      <c r="AP17" s="257">
        <f>IF(AO17="",AO17,VLOOKUP(AO17,'Списки участников'!$A:$P,3,FALSE))</f>
        <v>0</v>
      </c>
      <c r="AQ17" s="258"/>
      <c r="AR17" s="257"/>
      <c r="AS17" s="269" t="s">
        <v>645</v>
      </c>
      <c r="AT17" s="237"/>
      <c r="AU17" s="309">
        <v>64</v>
      </c>
      <c r="AV17" s="254" t="str">
        <f>IF(AU17="",AU17,VLOOKUP(AU17,'Списки участников'!$A:$P,3,FALSE))</f>
        <v>АКЕНТЬЕВ Алексей</v>
      </c>
      <c r="AW17" s="310"/>
      <c r="AX17" s="241"/>
      <c r="AY17" s="292" t="s">
        <v>2598</v>
      </c>
      <c r="AZ17" s="260"/>
      <c r="BA17" s="260"/>
      <c r="BB17" s="1115"/>
      <c r="BC17" s="245"/>
      <c r="BD17" s="245"/>
      <c r="BE17" s="257"/>
      <c r="BF17" s="257"/>
      <c r="BG17" s="257"/>
      <c r="BH17" s="329"/>
    </row>
    <row r="18" spans="1:61" ht="10.5" customHeight="1" x14ac:dyDescent="0.2">
      <c r="A18" s="222"/>
      <c r="B18" s="222"/>
      <c r="C18" s="227"/>
      <c r="D18" s="247"/>
      <c r="E18" s="245"/>
      <c r="F18" s="315">
        <f>IF(E18="",E18,VLOOKUP(E18,'Списки участников'!$A:$P,3,FALSE))</f>
        <v>0</v>
      </c>
      <c r="G18" s="1247" t="s">
        <v>14</v>
      </c>
      <c r="H18" s="249">
        <v>42</v>
      </c>
      <c r="I18" s="224" t="str">
        <f>IF(H18="",H18,VLOOKUP(H18,'Списки участников'!$A:$P,3,FALSE))</f>
        <v>СИТНИКОВ Кирилл</v>
      </c>
      <c r="J18" s="255"/>
      <c r="K18" s="256"/>
      <c r="L18" s="257">
        <f>IF(K18="",K18,VLOOKUP(K18,'Списки участников'!$A:$P,3,FALSE))</f>
        <v>0</v>
      </c>
      <c r="M18" s="258"/>
      <c r="N18" s="257"/>
      <c r="O18" s="245"/>
      <c r="P18" s="245"/>
      <c r="Q18" s="245"/>
      <c r="R18" s="229"/>
      <c r="S18" s="323"/>
      <c r="T18" s="324"/>
      <c r="U18" s="244"/>
      <c r="V18" s="325" t="s">
        <v>56</v>
      </c>
      <c r="W18" s="326">
        <f>IF(L47="","",IF(K46=H42,H50,IF(K46=H50,H42)))</f>
        <v>86</v>
      </c>
      <c r="X18" s="224" t="str">
        <f>IF(W18="",W18,VLOOKUP(W18,'Списки участников'!$A:$P,3,FALSE))</f>
        <v xml:space="preserve">КОРОЛЬКОВ Егор </v>
      </c>
      <c r="Y18" s="325"/>
      <c r="Z18" s="325"/>
      <c r="AA18" s="252">
        <f>IF(Z18="",Z18,VLOOKUP(Z18,'Списки участников'!$A:$P,3,FALSE))</f>
        <v>0</v>
      </c>
      <c r="AB18" s="1247"/>
      <c r="AC18" s="317"/>
      <c r="AD18" s="470" t="s">
        <v>2598</v>
      </c>
      <c r="AE18" s="222" t="s">
        <v>928</v>
      </c>
      <c r="AF18" s="305">
        <f>IF(F41="","",IF(E40=B39,B41,IF(E40=B41,B39)))</f>
        <v>63</v>
      </c>
      <c r="AG18" s="224" t="str">
        <f>IF(AF18="",AF18,VLOOKUP(AF18,'Списки участников'!$A:$P,3,FALSE))</f>
        <v>ПОПОВ Павел</v>
      </c>
      <c r="AH18" s="280"/>
      <c r="AI18" s="226"/>
      <c r="AJ18" s="245">
        <f>IF(AI18="",AI18,VLOOKUP(AI18,'Списки участников'!$A:$P,3,FALSE))</f>
        <v>0</v>
      </c>
      <c r="AK18" s="245"/>
      <c r="AL18" s="245"/>
      <c r="AM18" s="245">
        <f>IF(AL18="",AL18,VLOOKUP(AL18,'Списки участников'!$A:$P,3,FALSE))</f>
        <v>0</v>
      </c>
      <c r="AN18" s="245"/>
      <c r="AO18" s="245"/>
      <c r="AP18" s="257">
        <f>IF(AO18="",AO18,VLOOKUP(AO18,'Списки участников'!$A:$P,3,FALSE))</f>
        <v>0</v>
      </c>
      <c r="AQ18" s="1247" t="s">
        <v>68</v>
      </c>
      <c r="AR18" s="233">
        <v>23</v>
      </c>
      <c r="AS18" s="254" t="str">
        <f>IF(AR18="",AR18,VLOOKUP(AR18,'Списки участников'!$A:$P,3,FALSE))</f>
        <v>КОМИССАРОВ Даниил</v>
      </c>
      <c r="AT18" s="222"/>
      <c r="AU18" s="305">
        <v>56</v>
      </c>
      <c r="AV18" s="224" t="str">
        <f>IF(AU18="",AU18,VLOOKUP(AU18,'Списки участников'!$A:$P,3,FALSE))</f>
        <v>ГИНОСЯН Геворг</v>
      </c>
      <c r="AW18" s="280"/>
      <c r="AX18" s="226"/>
      <c r="AY18" s="245">
        <f>IF(AX18="",AX18,VLOOKUP(AX18,'Списки участников'!$A:$P,3,FALSE))</f>
        <v>0</v>
      </c>
      <c r="AZ18" s="245"/>
      <c r="BA18" s="245"/>
      <c r="BB18" s="1115"/>
      <c r="BC18" s="245"/>
      <c r="BD18" s="245"/>
      <c r="BE18" s="257"/>
      <c r="BF18" s="1253"/>
      <c r="BG18" s="233"/>
      <c r="BH18" s="1111"/>
    </row>
    <row r="19" spans="1:61" ht="10.5" customHeight="1" x14ac:dyDescent="0.2">
      <c r="A19" s="222">
        <v>7</v>
      </c>
      <c r="B19" s="223">
        <v>74</v>
      </c>
      <c r="C19" s="224" t="str">
        <f>IF(B19="",B19,VLOOKUP(B19,'Списки участников'!$A:$P,3,FALSE))</f>
        <v>ДИНИСЕНКО Тимофей</v>
      </c>
      <c r="D19" s="225" t="str">
        <f>IF(B19="",B19,VLOOKUP(B19,'Списки участников'!A:L,6,FALSE))</f>
        <v>Москва</v>
      </c>
      <c r="E19" s="226"/>
      <c r="F19" s="315">
        <f>IF(E19="",E19,VLOOKUP(E19,'Списки участников'!$A:$P,3,FALSE))</f>
        <v>0</v>
      </c>
      <c r="G19" s="1247"/>
      <c r="H19" s="252"/>
      <c r="I19" s="292" t="s">
        <v>11982</v>
      </c>
      <c r="J19" s="260"/>
      <c r="K19" s="260"/>
      <c r="L19" s="257">
        <f>IF(K19="",K19,VLOOKUP(K19,'Списки участников'!$A:$P,3,FALSE))</f>
        <v>0</v>
      </c>
      <c r="M19" s="258"/>
      <c r="N19" s="257"/>
      <c r="O19" s="245"/>
      <c r="P19" s="245"/>
      <c r="Q19" s="245"/>
      <c r="R19" s="229"/>
      <c r="S19" s="323"/>
      <c r="T19" s="323"/>
      <c r="U19" s="252"/>
      <c r="V19" s="231"/>
      <c r="W19" s="231"/>
      <c r="X19" s="313">
        <f>IF(W19="",W19,VLOOKUP(W19,'Списки участников'!$A:$P,3,FALSE))</f>
        <v>0</v>
      </c>
      <c r="Y19" s="243" t="s">
        <v>20</v>
      </c>
      <c r="Z19" s="233">
        <v>86</v>
      </c>
      <c r="AA19" s="254" t="str">
        <f>IF(Z19="",Z19,VLOOKUP(Z19,'Списки участников'!$A:$P,3,FALSE))</f>
        <v xml:space="preserve">КОРОЛЬКОВ Егор </v>
      </c>
      <c r="AB19" s="255"/>
      <c r="AC19" s="256"/>
      <c r="AD19" s="269" t="s">
        <v>634</v>
      </c>
      <c r="AE19" s="231"/>
      <c r="AF19" s="231"/>
      <c r="AG19" s="307">
        <f>IF(AF19="",AF19,VLOOKUP(AF19,'Списки участников'!$A:$P,3,FALSE))</f>
        <v>0</v>
      </c>
      <c r="AH19" s="232" t="s">
        <v>63</v>
      </c>
      <c r="AI19" s="233">
        <v>63</v>
      </c>
      <c r="AJ19" s="254" t="str">
        <f>IF(AI19="",AI19,VLOOKUP(AI19,'Списки участников'!$A:$P,3,FALSE))</f>
        <v>ПОПОВ Павел</v>
      </c>
      <c r="AK19" s="234"/>
      <c r="AL19" s="234"/>
      <c r="AM19" s="245">
        <f>IF(AL19="",AL19,VLOOKUP(AL19,'Списки участников'!$A:$P,3,FALSE))</f>
        <v>0</v>
      </c>
      <c r="AN19" s="245"/>
      <c r="AO19" s="245"/>
      <c r="AP19" s="257">
        <f>IF(AO19="",AO19,VLOOKUP(AO19,'Списки участников'!$A:$P,3,FALSE))</f>
        <v>0</v>
      </c>
      <c r="AQ19" s="1247"/>
      <c r="AR19" s="257"/>
      <c r="AS19" s="245" t="s">
        <v>1106</v>
      </c>
      <c r="AT19" s="231"/>
      <c r="AU19" s="231"/>
      <c r="AV19" s="307">
        <f>IF(AU19="",AU19,VLOOKUP(AU19,'Списки участников'!$A:$P,3,FALSE))</f>
        <v>0</v>
      </c>
      <c r="AW19" s="232" t="s">
        <v>907</v>
      </c>
      <c r="AX19" s="233">
        <v>56</v>
      </c>
      <c r="AY19" s="254" t="str">
        <f>IF(AX19="",AX19,VLOOKUP(AX19,'Списки участников'!$A:$P,3,FALSE))</f>
        <v>ГИНОСЯН Геворг</v>
      </c>
      <c r="AZ19" s="234"/>
      <c r="BA19" s="234"/>
      <c r="BB19" s="1115" t="s">
        <v>12286</v>
      </c>
      <c r="BC19" s="245"/>
      <c r="BD19" s="245"/>
      <c r="BE19" s="257"/>
      <c r="BF19" s="1253"/>
      <c r="BG19" s="257"/>
      <c r="BH19" s="257"/>
    </row>
    <row r="20" spans="1:61" ht="10.5" customHeight="1" x14ac:dyDescent="0.2">
      <c r="A20" s="231"/>
      <c r="B20" s="231"/>
      <c r="C20" s="307"/>
      <c r="D20" s="232">
        <v>4</v>
      </c>
      <c r="E20" s="233">
        <v>41</v>
      </c>
      <c r="F20" s="254" t="str">
        <f>IF(E20="",E20,VLOOKUP(E20,'Списки участников'!$A:$P,3,FALSE))</f>
        <v>ДУБРОВСКИЙ Иван</v>
      </c>
      <c r="G20" s="255"/>
      <c r="H20" s="256"/>
      <c r="I20" s="245">
        <f>IF(H20="",H20,VLOOKUP(H20,'Списки участников'!$A:$P,3,FALSE))</f>
        <v>0</v>
      </c>
      <c r="J20" s="245"/>
      <c r="K20" s="245"/>
      <c r="L20" s="257">
        <f>IF(K20="",K20,VLOOKUP(K20,'Списки участников'!$A:$P,3,FALSE))</f>
        <v>0</v>
      </c>
      <c r="M20" s="258"/>
      <c r="N20" s="257"/>
      <c r="O20" s="245"/>
      <c r="P20" s="245"/>
      <c r="Q20" s="245"/>
      <c r="R20" s="229"/>
      <c r="S20" s="323"/>
      <c r="T20" s="324"/>
      <c r="U20" s="252"/>
      <c r="V20" s="237" t="s">
        <v>93</v>
      </c>
      <c r="W20" s="309">
        <f>IF(L63="","",IF(K62=H58,H66,IF(K62=H66,H58)))</f>
        <v>36</v>
      </c>
      <c r="X20" s="254" t="str">
        <f>IF(W20="",W20,VLOOKUP(W20,'Списки участников'!$A:$P,3,FALSE))</f>
        <v>БАНДУРИН Михаил</v>
      </c>
      <c r="Y20" s="321"/>
      <c r="Z20" s="317"/>
      <c r="AA20" s="231" t="s">
        <v>1106</v>
      </c>
      <c r="AB20" s="244"/>
      <c r="AC20" s="244"/>
      <c r="AD20" s="224">
        <f>IF(AC20="",AC20,VLOOKUP(AC20,'Списки участников'!$A:$P,12,FALSE))</f>
        <v>0</v>
      </c>
      <c r="AE20" s="237" t="s">
        <v>929</v>
      </c>
      <c r="AF20" s="309">
        <f>IF(F45="","",IF(E44=B45,B43,IF(E44=B43,B45)))</f>
        <v>98</v>
      </c>
      <c r="AG20" s="254" t="str">
        <f>IF(AF20="",AF20,VLOOKUP(AF20,'Списки участников'!$A:$P,3,FALSE))</f>
        <v>ЧИКИН Александр</v>
      </c>
      <c r="AH20" s="310"/>
      <c r="AI20" s="241"/>
      <c r="AJ20" s="292" t="s">
        <v>1106</v>
      </c>
      <c r="AK20" s="243"/>
      <c r="AL20" s="311">
        <v>63</v>
      </c>
      <c r="AM20" s="254" t="str">
        <f>IF(AL20="",AL20,VLOOKUP(AL20,'Списки участников'!$A:$P,3,FALSE))</f>
        <v>ПОПОВ Павел</v>
      </c>
      <c r="AN20" s="245"/>
      <c r="AO20" s="245"/>
      <c r="AP20" s="257">
        <f>IF(AO20="",AO20,VLOOKUP(AO20,'Списки участников'!$A:$P,3,FALSE))</f>
        <v>0</v>
      </c>
      <c r="AQ20" s="258"/>
      <c r="AR20" s="257"/>
      <c r="AS20" s="245"/>
      <c r="AT20" s="237"/>
      <c r="AU20" s="309">
        <v>93</v>
      </c>
      <c r="AV20" s="254" t="str">
        <f>IF(AU20="",AU20,VLOOKUP(AU20,'Списки участников'!$A:$P,3,FALSE))</f>
        <v>ЗАЙЦЕВ Сергей</v>
      </c>
      <c r="AW20" s="310"/>
      <c r="AX20" s="241"/>
      <c r="AY20" s="292" t="s">
        <v>1106</v>
      </c>
      <c r="AZ20" s="318"/>
      <c r="BA20" s="311">
        <v>63</v>
      </c>
      <c r="BB20" s="1111"/>
      <c r="BC20" s="257"/>
      <c r="BD20" s="257"/>
      <c r="BE20" s="257"/>
      <c r="BF20" s="257"/>
      <c r="BG20" s="257"/>
      <c r="BH20" s="257"/>
    </row>
    <row r="21" spans="1:61" ht="10.5" customHeight="1" x14ac:dyDescent="0.2">
      <c r="A21" s="237">
        <v>8</v>
      </c>
      <c r="B21" s="238">
        <v>41</v>
      </c>
      <c r="C21" s="254" t="str">
        <f>IF(B21="",B21,VLOOKUP(B21,'Списки участников'!$A:$P,3,FALSE))</f>
        <v>ДУБРОВСКИЙ Иван</v>
      </c>
      <c r="D21" s="312" t="str">
        <f>IF(B21="",B21,VLOOKUP(B21,'Списки участников'!A:L,6,FALSE))</f>
        <v>Калуга</v>
      </c>
      <c r="E21" s="241"/>
      <c r="F21" s="242" t="s">
        <v>2598</v>
      </c>
      <c r="G21" s="260"/>
      <c r="H21" s="260"/>
      <c r="I21" s="245">
        <f>IF(H21="",H21,VLOOKUP(H21,'Списки участников'!$A:$P,3,FALSE))</f>
        <v>0</v>
      </c>
      <c r="J21" s="245"/>
      <c r="K21" s="245"/>
      <c r="L21" s="257">
        <f>IF(K21="",K21,VLOOKUP(K21,'Списки участников'!$A:$P,3,FALSE))</f>
        <v>0</v>
      </c>
      <c r="M21" s="258"/>
      <c r="N21" s="257"/>
      <c r="O21" s="245"/>
      <c r="P21" s="245"/>
      <c r="Q21" s="245"/>
      <c r="R21" s="229"/>
      <c r="S21" s="252"/>
      <c r="T21" s="252"/>
      <c r="U21" s="252"/>
      <c r="V21" s="252"/>
      <c r="W21" s="252"/>
      <c r="X21" s="252"/>
      <c r="Y21" s="325"/>
      <c r="Z21" s="325"/>
      <c r="AA21" s="252"/>
      <c r="AB21" s="330" t="s">
        <v>930</v>
      </c>
      <c r="AC21" s="331">
        <f>IF(AD18="","",IF(AC17=Z15,Z19,IF(AC17=Z19,Z15)))</f>
        <v>86</v>
      </c>
      <c r="AD21" s="254" t="str">
        <f>IF(AC21="",AC21,VLOOKUP(AC21,'Списки участников'!$A:$P,3,FALSE))</f>
        <v xml:space="preserve">КОРОЛЬКОВ Егор </v>
      </c>
      <c r="AE21" s="222" t="s">
        <v>2</v>
      </c>
      <c r="AF21" s="305">
        <f>IF(F49="","",IF(E48=B47,B49,IF(E48=B49,B47)))</f>
        <v>85</v>
      </c>
      <c r="AG21" s="224" t="str">
        <f>IF(AF21="",AF21,VLOOKUP(AF21,'Списки участников'!$A:$P,3,FALSE))</f>
        <v>УШКАРЕВ Максим</v>
      </c>
      <c r="AH21" s="280"/>
      <c r="AI21" s="226"/>
      <c r="AJ21" s="315">
        <f>IF(AI21="",AI21,VLOOKUP(AI21,'Списки участников'!$A:$P,3,FALSE))</f>
        <v>0</v>
      </c>
      <c r="AK21" s="258" t="s">
        <v>759</v>
      </c>
      <c r="AL21" s="252"/>
      <c r="AM21" s="292" t="s">
        <v>1106</v>
      </c>
      <c r="AN21" s="243"/>
      <c r="AO21" s="244"/>
      <c r="AP21" s="257">
        <f>IF(AO21="",AO21,VLOOKUP(AO21,'Списки участников'!$A:$P,3,FALSE))</f>
        <v>0</v>
      </c>
      <c r="AQ21" s="258"/>
      <c r="AR21" s="257"/>
      <c r="AS21" s="245"/>
      <c r="AT21" s="222"/>
      <c r="AU21" s="305" t="str">
        <f>IF(U49="","",IF(T48=Q47,Q49,IF(T48=Q49,Q47)))</f>
        <v/>
      </c>
      <c r="AV21" s="224" t="str">
        <f>IF(AU21="",AU21,VLOOKUP(AU21,'Списки участников'!$A:$P,3,FALSE))</f>
        <v/>
      </c>
      <c r="AW21" s="280"/>
      <c r="AX21" s="226"/>
      <c r="AY21" s="315"/>
      <c r="AZ21" s="257"/>
      <c r="BA21" s="252"/>
      <c r="BB21" s="257"/>
      <c r="BC21" s="244"/>
      <c r="BD21" s="244"/>
      <c r="BE21" s="257"/>
      <c r="BF21" s="257"/>
      <c r="BG21" s="257"/>
      <c r="BH21" s="257"/>
    </row>
    <row r="22" spans="1:61" ht="10.5" customHeight="1" x14ac:dyDescent="0.2">
      <c r="A22" s="222"/>
      <c r="B22" s="222"/>
      <c r="C22" s="227"/>
      <c r="D22" s="247"/>
      <c r="E22" s="245"/>
      <c r="F22" s="245">
        <f>IF(E22="",E22,VLOOKUP(E22,'Списки участников'!$A:$P,3,FALSE))</f>
        <v>0</v>
      </c>
      <c r="G22" s="245"/>
      <c r="H22" s="245"/>
      <c r="I22" s="245">
        <f>IF(H22="",H22,VLOOKUP(H22,'Списки участников'!$A:$P,3,FALSE))</f>
        <v>0</v>
      </c>
      <c r="J22" s="245"/>
      <c r="K22" s="245"/>
      <c r="L22" s="257">
        <f>IF(K22="",K22,VLOOKUP(K22,'Списки участников'!$A:$P,3,FALSE))</f>
        <v>0</v>
      </c>
      <c r="M22" s="1247">
        <v>29</v>
      </c>
      <c r="N22" s="249">
        <v>42</v>
      </c>
      <c r="O22" s="254" t="str">
        <f>IF(N22="",N22,VLOOKUP(N22,'Списки участников'!$A:$P,3,FALSE))</f>
        <v>СИТНИКОВ Кирилл</v>
      </c>
      <c r="P22" s="234"/>
      <c r="Q22" s="234"/>
      <c r="R22" s="229"/>
      <c r="S22" s="252"/>
      <c r="T22" s="252"/>
      <c r="U22" s="252"/>
      <c r="V22" s="252"/>
      <c r="W22" s="252"/>
      <c r="X22" s="252"/>
      <c r="Y22" s="325"/>
      <c r="Z22" s="325"/>
      <c r="AA22" s="317"/>
      <c r="AB22" s="317"/>
      <c r="AC22" s="317" t="str">
        <f>IF(AB1="","",IF(AB1=#REF!,Y17,IF(AB1=Y17,#REF!)))</f>
        <v/>
      </c>
      <c r="AD22" s="252"/>
      <c r="AE22" s="231"/>
      <c r="AF22" s="231"/>
      <c r="AG22" s="307">
        <f>IF(AF22="",AF22,VLOOKUP(AF22,'Списки участников'!$A:$P,3,FALSE))</f>
        <v>0</v>
      </c>
      <c r="AH22" s="232" t="s">
        <v>64</v>
      </c>
      <c r="AI22" s="233">
        <v>85</v>
      </c>
      <c r="AJ22" s="254" t="str">
        <f>IF(AI22="",AI22,VLOOKUP(AI22,'Списки участников'!$A:$P,3,FALSE))</f>
        <v>УШКАРЕВ Максим</v>
      </c>
      <c r="AK22" s="255"/>
      <c r="AL22" s="256"/>
      <c r="AM22" s="257">
        <f>IF(AL22="",AL22,VLOOKUP(AL22,'Списки участников'!$A:$P,3,FALSE))</f>
        <v>0</v>
      </c>
      <c r="AN22" s="258"/>
      <c r="AO22" s="257"/>
      <c r="AP22" s="257">
        <f>IF(AO22="",AO22,VLOOKUP(AO22,'Списки участников'!$A:$P,3,FALSE))</f>
        <v>0</v>
      </c>
      <c r="AQ22" s="258"/>
      <c r="AR22" s="257"/>
      <c r="AT22" s="325"/>
      <c r="AU22" s="325"/>
      <c r="AV22" s="315"/>
      <c r="AW22" s="1110"/>
      <c r="AX22" s="1119"/>
      <c r="AY22" s="1111"/>
      <c r="AZ22" s="256"/>
      <c r="BA22" s="256"/>
      <c r="BB22" s="257"/>
      <c r="BC22" s="257"/>
      <c r="BD22" s="257"/>
      <c r="BE22" s="257"/>
      <c r="BF22" s="257"/>
      <c r="BG22" s="257"/>
      <c r="BH22" s="332"/>
      <c r="BI22" s="332"/>
    </row>
    <row r="23" spans="1:61" ht="10.5" customHeight="1" x14ac:dyDescent="0.2">
      <c r="A23" s="222">
        <v>9</v>
      </c>
      <c r="B23" s="223">
        <v>69</v>
      </c>
      <c r="C23" s="224" t="str">
        <f>IF(B23="",B23,VLOOKUP(B23,'Списки участников'!$A:$P,3,FALSE))</f>
        <v>ЮНУСОВ Михаил</v>
      </c>
      <c r="D23" s="225" t="str">
        <f>IF(B23="",B23,VLOOKUP(B23,'Списки участников'!A:L,6,FALSE))</f>
        <v>Москва</v>
      </c>
      <c r="E23" s="226"/>
      <c r="F23" s="245">
        <f>IF(E23="",E23,VLOOKUP(E23,'Списки участников'!$A:$P,3,FALSE))</f>
        <v>0</v>
      </c>
      <c r="G23" s="245"/>
      <c r="H23" s="245"/>
      <c r="I23" s="245">
        <f>IF(H23="",H23,VLOOKUP(H23,'Списки участников'!$A:$P,3,FALSE))</f>
        <v>0</v>
      </c>
      <c r="J23" s="245"/>
      <c r="K23" s="245"/>
      <c r="L23" s="257">
        <f>IF(K23="",K23,VLOOKUP(K23,'Списки участников'!$A:$P,3,FALSE))</f>
        <v>0</v>
      </c>
      <c r="M23" s="1247"/>
      <c r="N23" s="252"/>
      <c r="O23" s="245" t="s">
        <v>1106</v>
      </c>
      <c r="P23" s="243"/>
      <c r="Q23" s="244"/>
      <c r="R23" s="229"/>
      <c r="S23" s="252"/>
      <c r="T23" s="252"/>
      <c r="U23" s="252"/>
      <c r="V23" s="252"/>
      <c r="W23" s="252"/>
      <c r="X23" s="252"/>
      <c r="Y23" s="245"/>
      <c r="Z23" s="245"/>
      <c r="AA23" s="245"/>
      <c r="AB23" s="245"/>
      <c r="AC23" s="245"/>
      <c r="AD23" s="269" t="s">
        <v>635</v>
      </c>
      <c r="AE23" s="237" t="s">
        <v>931</v>
      </c>
      <c r="AF23" s="309">
        <f>IF(F53="","",IF(E52=B51,B53,IF(E52=B53,B51)))</f>
        <v>80</v>
      </c>
      <c r="AG23" s="254" t="str">
        <f>IF(AF23="",AF23,VLOOKUP(AF23,'Списки участников'!$A:$P,3,FALSE))</f>
        <v>ЛЕОНИДОВ Александр</v>
      </c>
      <c r="AH23" s="310"/>
      <c r="AI23" s="241"/>
      <c r="AJ23" s="292" t="s">
        <v>2598</v>
      </c>
      <c r="AK23" s="260"/>
      <c r="AL23" s="260"/>
      <c r="AM23" s="257">
        <f>IF(AL23="",AL23,VLOOKUP(AL23,'Списки участников'!$A:$P,3,FALSE))</f>
        <v>0</v>
      </c>
      <c r="AN23" s="258"/>
      <c r="AO23" s="257"/>
      <c r="AP23" s="257">
        <f>IF(AO23="",AO23,VLOOKUP(AO23,'Списки участников'!$A:$P,3,FALSE))</f>
        <v>0</v>
      </c>
      <c r="AQ23" s="258"/>
      <c r="AR23" s="257"/>
      <c r="AT23" s="325"/>
      <c r="AU23" s="326" t="str">
        <f>IF(U53="","",IF(T52=Q51,Q53,IF(T52=Q53,Q51)))</f>
        <v/>
      </c>
      <c r="AV23" s="1111"/>
      <c r="AW23" s="339">
        <v>-90</v>
      </c>
      <c r="AX23" s="340">
        <v>90</v>
      </c>
      <c r="AY23" s="254" t="str">
        <f>IF(AX23="",AX23,VLOOKUP(AX23,'Списки участников'!$A:$P,3,FALSE))</f>
        <v>КАРТАВЦЕВ Михаил</v>
      </c>
      <c r="AZ23" s="257"/>
      <c r="BA23" s="257"/>
      <c r="BB23" s="256">
        <f>IF(BA23="",BA23,VLOOKUP(BA23,'Списки участников'!$A:$P,3,FALSE))</f>
        <v>0</v>
      </c>
      <c r="BC23" s="245"/>
      <c r="BD23" s="245"/>
      <c r="BE23" s="245">
        <f>IF(BD23="",BD23,VLOOKUP(BD23,'Списки участников'!$A:$P,3,FALSE))</f>
        <v>0</v>
      </c>
      <c r="BF23" s="245"/>
      <c r="BG23" s="245"/>
      <c r="BH23" s="269"/>
      <c r="BI23" s="332"/>
    </row>
    <row r="24" spans="1:61" ht="10.5" customHeight="1" x14ac:dyDescent="0.2">
      <c r="A24" s="231"/>
      <c r="B24" s="231"/>
      <c r="C24" s="307"/>
      <c r="D24" s="232">
        <v>5</v>
      </c>
      <c r="E24" s="233">
        <v>56</v>
      </c>
      <c r="F24" s="224" t="str">
        <f>IF(E24="",E24,VLOOKUP(E24,'Списки участников'!$A:$P,3,FALSE))</f>
        <v>ГИНОСЯН Геворг</v>
      </c>
      <c r="G24" s="234"/>
      <c r="H24" s="234"/>
      <c r="I24" s="245">
        <f>IF(H24="",H24,VLOOKUP(H24,'Списки участников'!$A:$P,3,FALSE))</f>
        <v>0</v>
      </c>
      <c r="J24" s="245"/>
      <c r="K24" s="245"/>
      <c r="L24" s="257">
        <f>IF(K24="",K24,VLOOKUP(K24,'Списки участников'!$A:$P,3,FALSE))</f>
        <v>0</v>
      </c>
      <c r="M24" s="258"/>
      <c r="N24" s="257"/>
      <c r="O24" s="245">
        <f>IF(N24="",N24,VLOOKUP(N24,'Списки участников'!$A:$P,3,FALSE))</f>
        <v>0</v>
      </c>
      <c r="P24" s="258"/>
      <c r="Q24" s="257"/>
      <c r="R24" s="229"/>
      <c r="S24" s="252"/>
      <c r="T24" s="252"/>
      <c r="U24" s="256"/>
      <c r="V24" s="252"/>
      <c r="W24" s="252"/>
      <c r="X24" s="256"/>
      <c r="Y24" s="222" t="s">
        <v>932</v>
      </c>
      <c r="Z24" s="305">
        <f>IF(AA16="","",IF(Z15=W14,W16,IF(Z15=W16,W14)))</f>
        <v>35</v>
      </c>
      <c r="AA24" s="224" t="str">
        <f>IF(Z24="",Z24,VLOOKUP(Z24,'Списки участников'!$A:$P,3,FALSE))</f>
        <v>ДЯГЕЛЕВ Артем</v>
      </c>
      <c r="AB24" s="308"/>
      <c r="AC24" s="308"/>
      <c r="AD24" s="260"/>
      <c r="AE24" s="222" t="s">
        <v>933</v>
      </c>
      <c r="AF24" s="305">
        <f>IF(F57="","",IF(E56=B55,B57,IF(E56=B57,B55)))</f>
        <v>23</v>
      </c>
      <c r="AG24" s="224" t="str">
        <f>IF(AF24="",AF24,VLOOKUP(AF24,'Списки участников'!$A:$P,3,FALSE))</f>
        <v>КОМИССАРОВ Даниил</v>
      </c>
      <c r="AH24" s="280"/>
      <c r="AI24" s="226"/>
      <c r="AJ24" s="245">
        <f>IF(AI24="",AI24,VLOOKUP(AI24,'Списки участников'!$A:$P,3,FALSE))</f>
        <v>0</v>
      </c>
      <c r="AK24" s="245"/>
      <c r="AL24" s="245"/>
      <c r="AM24" s="257">
        <f>IF(AL24="",AL24,VLOOKUP(AL24,'Списки участников'!$A:$P,3,FALSE))</f>
        <v>0</v>
      </c>
      <c r="AN24" s="258" t="s">
        <v>762</v>
      </c>
      <c r="AO24" s="233">
        <v>23</v>
      </c>
      <c r="AP24" s="254" t="str">
        <f>IF(AO24="",AO24,VLOOKUP(AO24,'Списки участников'!$A:$P,3,FALSE))</f>
        <v>КОМИССАРОВ Даниил</v>
      </c>
      <c r="AQ24" s="328"/>
      <c r="AR24" s="260"/>
      <c r="AS24" s="269" t="s">
        <v>646</v>
      </c>
      <c r="AT24" s="325"/>
      <c r="AU24" s="326" t="str">
        <f>IF(U57="","",IF(T56=Q55,Q57,IF(T56=Q57,Q55)))</f>
        <v/>
      </c>
      <c r="AV24" s="1111"/>
      <c r="AW24" s="318"/>
      <c r="AX24" s="231"/>
      <c r="AY24" s="307">
        <f>IF(AX24="",AX24,VLOOKUP(AX24,'Списки участников'!$A:$P,3,FALSE))</f>
        <v>0</v>
      </c>
      <c r="AZ24" s="232" t="s">
        <v>908</v>
      </c>
      <c r="BA24" s="233">
        <v>90</v>
      </c>
      <c r="BB24" s="254" t="str">
        <f>IF(BA24="",BA24,VLOOKUP(BA24,'Списки участников'!$A:$P,3,FALSE))</f>
        <v>КАРТАВЦЕВ Михаил</v>
      </c>
      <c r="BC24" s="245"/>
      <c r="BD24" s="245"/>
      <c r="BE24" s="245">
        <f>IF(BD24="",BD24,VLOOKUP(BD24,'Списки участников'!$A:$P,3,FALSE))</f>
        <v>0</v>
      </c>
      <c r="BF24" s="257"/>
      <c r="BG24" s="1118"/>
      <c r="BH24" s="1111"/>
      <c r="BI24" s="332"/>
    </row>
    <row r="25" spans="1:61" ht="10.5" customHeight="1" x14ac:dyDescent="0.2">
      <c r="A25" s="1105" t="s">
        <v>12286</v>
      </c>
      <c r="B25" s="238">
        <v>56</v>
      </c>
      <c r="C25" s="254" t="str">
        <f>IF(B25="",B25,VLOOKUP(B25,'Списки участников'!$A:$P,3,FALSE))</f>
        <v>ГИНОСЯН Геворг</v>
      </c>
      <c r="D25" s="312" t="str">
        <f>IF(B25="",B25,VLOOKUP(B25,'Списки участников'!A:L,6,FALSE))</f>
        <v>Коломна</v>
      </c>
      <c r="E25" s="241"/>
      <c r="F25" s="292" t="s">
        <v>1106</v>
      </c>
      <c r="G25" s="243"/>
      <c r="H25" s="244"/>
      <c r="I25" s="245">
        <f>IF(H25="",H25,VLOOKUP(H25,'Списки участников'!$A:$P,3,FALSE))</f>
        <v>0</v>
      </c>
      <c r="J25" s="245"/>
      <c r="K25" s="245"/>
      <c r="L25" s="257">
        <f>IF(K25="",K25,VLOOKUP(K25,'Списки участников'!$A:$P,3,FALSE))</f>
        <v>0</v>
      </c>
      <c r="M25" s="258"/>
      <c r="N25" s="257"/>
      <c r="O25" s="245">
        <f>IF(N25="",N25,VLOOKUP(N25,'Списки участников'!$A:$P,3,FALSE))</f>
        <v>0</v>
      </c>
      <c r="P25" s="258"/>
      <c r="Q25" s="257"/>
      <c r="R25" s="229"/>
      <c r="S25" s="252"/>
      <c r="T25" s="252"/>
      <c r="U25" s="252"/>
      <c r="V25" s="252"/>
      <c r="W25" s="252"/>
      <c r="X25" s="244"/>
      <c r="Y25" s="231"/>
      <c r="Z25" s="231"/>
      <c r="AA25" s="313">
        <f>IF(Z25="",Z25,VLOOKUP(Z25,'Списки участников'!$A:$P,3,FALSE))</f>
        <v>0</v>
      </c>
      <c r="AB25" s="314" t="s">
        <v>11</v>
      </c>
      <c r="AC25" s="233">
        <v>36</v>
      </c>
      <c r="AD25" s="254" t="str">
        <f>IF(AC25="",AC25,VLOOKUP(AC25,'Списки участников'!$A:$P,3,FALSE))</f>
        <v>БАНДУРИН Михаил</v>
      </c>
      <c r="AE25" s="231"/>
      <c r="AF25" s="231"/>
      <c r="AG25" s="307">
        <f>IF(AF25="",AF25,VLOOKUP(AF25,'Списки участников'!$A:$P,3,FALSE))</f>
        <v>0</v>
      </c>
      <c r="AH25" s="232" t="s">
        <v>65</v>
      </c>
      <c r="AI25" s="233">
        <v>23</v>
      </c>
      <c r="AJ25" s="254" t="str">
        <f>IF(AI25="",AI25,VLOOKUP(AI25,'Списки участников'!$A:$P,3,FALSE))</f>
        <v>КОМИССАРОВ Даниил</v>
      </c>
      <c r="AK25" s="234"/>
      <c r="AL25" s="234"/>
      <c r="AM25" s="257">
        <f>IF(AL25="",AL25,VLOOKUP(AL25,'Списки участников'!$A:$P,3,FALSE))</f>
        <v>0</v>
      </c>
      <c r="AN25" s="258"/>
      <c r="AO25" s="257"/>
      <c r="AP25" s="245" t="s">
        <v>2598</v>
      </c>
      <c r="AQ25" s="322" t="s">
        <v>934</v>
      </c>
      <c r="AR25" s="283">
        <f>IF(AS19="","",IF(AR18=AO11,AO24,IF(AR18=AO24,AO11)))</f>
        <v>69</v>
      </c>
      <c r="AS25" s="254" t="str">
        <f>IF(AR25="",AR25,VLOOKUP(AR25,'Списки участников'!$A:$P,3,FALSE))</f>
        <v>ЮНУСОВ Михаил</v>
      </c>
      <c r="AT25" s="325"/>
      <c r="AU25" s="325"/>
      <c r="AV25" s="315"/>
      <c r="AW25" s="337" t="s">
        <v>12297</v>
      </c>
      <c r="AX25" s="309">
        <f>IF(AY11="","",IF(AX10=AU9,AU11,IF(AX10=AU11,AU9)))</f>
        <v>111</v>
      </c>
      <c r="AY25" s="254" t="str">
        <f>IF(AX25="",AX25,VLOOKUP(AX25,'Списки участников'!$A:$P,3,FALSE))</f>
        <v>ТАДЖИБАЕВ Артур</v>
      </c>
      <c r="AZ25" s="310"/>
      <c r="BA25" s="241"/>
      <c r="BB25" s="292" t="s">
        <v>1106</v>
      </c>
      <c r="BC25" s="243"/>
      <c r="BD25" s="233">
        <v>64</v>
      </c>
      <c r="BE25" s="254" t="str">
        <f>IF(BD25="",BD25,VLOOKUP(BD25,'Списки участников'!$A:$P,3,FALSE))</f>
        <v>АКЕНТЬЕВ Алексей</v>
      </c>
      <c r="BF25" s="245"/>
      <c r="BG25" s="245"/>
      <c r="BH25" s="245"/>
      <c r="BI25" s="332"/>
    </row>
    <row r="26" spans="1:61" ht="10.5" customHeight="1" x14ac:dyDescent="0.2">
      <c r="A26" s="222"/>
      <c r="B26" s="222"/>
      <c r="C26" s="227"/>
      <c r="D26" s="247"/>
      <c r="E26" s="245"/>
      <c r="F26" s="315">
        <f>IF(E26="",E26,VLOOKUP(E26,'Списки участников'!$A:$P,3,FALSE))</f>
        <v>0</v>
      </c>
      <c r="G26" s="1247" t="s">
        <v>43</v>
      </c>
      <c r="H26" s="249">
        <v>55</v>
      </c>
      <c r="I26" s="224" t="str">
        <f>IF(H26="",H26,VLOOKUP(H26,'Списки участников'!$A:$P,3,FALSE))</f>
        <v>ЛУЗАНОВ Даниил</v>
      </c>
      <c r="J26" s="234"/>
      <c r="K26" s="234"/>
      <c r="L26" s="257">
        <f>IF(K26="",K26,VLOOKUP(K26,'Списки участников'!$A:$P,3,FALSE))</f>
        <v>0</v>
      </c>
      <c r="M26" s="258"/>
      <c r="N26" s="257"/>
      <c r="O26" s="245">
        <f>IF(N26="",N26,VLOOKUP(N26,'Списки участников'!$A:$P,3,FALSE))</f>
        <v>0</v>
      </c>
      <c r="P26" s="258"/>
      <c r="Q26" s="257"/>
      <c r="R26" s="229"/>
      <c r="S26" s="252"/>
      <c r="T26" s="252"/>
      <c r="U26" s="252"/>
      <c r="V26" s="252"/>
      <c r="W26" s="252"/>
      <c r="X26" s="252"/>
      <c r="Y26" s="237" t="s">
        <v>935</v>
      </c>
      <c r="Z26" s="309">
        <f>IF(AA20="","",IF(Z19=W18,W20,IF(Z19=W20,W18)))</f>
        <v>36</v>
      </c>
      <c r="AA26" s="254" t="str">
        <f>IF(Z26="",Z26,VLOOKUP(Z26,'Списки участников'!$A:$P,3,FALSE))</f>
        <v>БАНДУРИН Михаил</v>
      </c>
      <c r="AB26" s="316"/>
      <c r="AC26" s="317"/>
      <c r="AD26" s="231" t="s">
        <v>11982</v>
      </c>
      <c r="AE26" s="237" t="s">
        <v>936</v>
      </c>
      <c r="AF26" s="309">
        <f>IF(F61="","",IF(E60=B61,B59,IF(E60=B59,B61)))</f>
        <v>91</v>
      </c>
      <c r="AG26" s="254" t="str">
        <f>IF(AF26="",AF26,VLOOKUP(AF26,'Списки участников'!$A:$P,3,FALSE))</f>
        <v>ВАСИКОВ Евгений</v>
      </c>
      <c r="AH26" s="310"/>
      <c r="AI26" s="241"/>
      <c r="AJ26" s="292" t="s">
        <v>2598</v>
      </c>
      <c r="AK26" s="243"/>
      <c r="AL26" s="244"/>
      <c r="AM26" s="257">
        <f>IF(AL26="",AL26,VLOOKUP(AL26,'Списки участников'!$A:$P,3,FALSE))</f>
        <v>0</v>
      </c>
      <c r="AN26" s="258"/>
      <c r="AO26" s="257"/>
      <c r="AP26" s="245">
        <f>IF(AO26="",AO26,VLOOKUP(AO26,'Списки участников'!$A:$P,3,FALSE))</f>
        <v>0</v>
      </c>
      <c r="AQ26" s="245"/>
      <c r="AR26" s="245"/>
      <c r="AS26" s="245"/>
      <c r="AT26" s="325"/>
      <c r="AU26" s="326" t="str">
        <f>IF(U61="","",IF(T60=Q61,Q59,IF(T60=Q59,Q61)))</f>
        <v/>
      </c>
      <c r="AV26" s="1111"/>
      <c r="AW26" s="260" t="s">
        <v>12298</v>
      </c>
      <c r="AX26" s="305">
        <f>IF(AY14="","",IF(AX13=AU12,AU14,IF(AX13=AU14,AU12)))</f>
        <v>82</v>
      </c>
      <c r="AY26" s="254" t="str">
        <f>IF(AX26="",AX26,VLOOKUP(AX26,'Списки участников'!$A:$P,3,FALSE))</f>
        <v>СУЧКОВ Артемий</v>
      </c>
      <c r="AZ26" s="280"/>
      <c r="BA26" s="226"/>
      <c r="BB26" s="1044">
        <f>IF(BA26="",BA26,VLOOKUP(BA26,'Списки участников'!$A:$P,3,FALSE))</f>
        <v>0</v>
      </c>
      <c r="BC26" s="258" t="s">
        <v>910</v>
      </c>
      <c r="BD26" s="241"/>
      <c r="BE26" s="292" t="s">
        <v>1106</v>
      </c>
      <c r="BF26" s="243"/>
      <c r="BG26" s="244"/>
      <c r="BH26" s="245"/>
      <c r="BI26" s="332"/>
    </row>
    <row r="27" spans="1:61" ht="10.5" customHeight="1" x14ac:dyDescent="0.2">
      <c r="A27" s="222">
        <v>11</v>
      </c>
      <c r="B27" s="223">
        <v>55</v>
      </c>
      <c r="C27" s="224" t="str">
        <f>IF(B27="",B27,VLOOKUP(B27,'Списки участников'!$A:$P,3,FALSE))</f>
        <v>ЛУЗАНОВ Даниил</v>
      </c>
      <c r="D27" s="225" t="str">
        <f>IF(B27="",B27,VLOOKUP(B27,'Списки участников'!A:L,6,FALSE))</f>
        <v>Москва</v>
      </c>
      <c r="E27" s="226"/>
      <c r="F27" s="315">
        <f>IF(E27="",E27,VLOOKUP(E27,'Списки участников'!$A:$P,3,FALSE))</f>
        <v>0</v>
      </c>
      <c r="G27" s="1247"/>
      <c r="H27" s="252"/>
      <c r="I27" s="292" t="s">
        <v>11982</v>
      </c>
      <c r="J27" s="243"/>
      <c r="K27" s="244"/>
      <c r="L27" s="257">
        <f>IF(K27="",K27,VLOOKUP(K27,'Списки участников'!$A:$P,3,FALSE))</f>
        <v>0</v>
      </c>
      <c r="M27" s="258"/>
      <c r="N27" s="257"/>
      <c r="O27" s="245">
        <f>IF(N27="",N27,VLOOKUP(N27,'Списки участников'!$A:$P,3,FALSE))</f>
        <v>0</v>
      </c>
      <c r="P27" s="258"/>
      <c r="Q27" s="257"/>
      <c r="R27" s="229"/>
      <c r="S27" s="252"/>
      <c r="T27" s="252"/>
      <c r="U27" s="317"/>
      <c r="V27" s="252"/>
      <c r="W27" s="252"/>
      <c r="X27" s="252"/>
      <c r="Y27" s="245"/>
      <c r="Z27" s="245"/>
      <c r="AA27" s="245"/>
      <c r="AB27" s="245"/>
      <c r="AC27" s="245"/>
      <c r="AD27" s="269" t="s">
        <v>636</v>
      </c>
      <c r="AE27" s="222" t="s">
        <v>937</v>
      </c>
      <c r="AF27" s="305">
        <f>IF(F65="","",IF(E64=B65,B63,IF(E64=B63,B65)))</f>
        <v>58</v>
      </c>
      <c r="AG27" s="224" t="str">
        <f>IF(AF27="",AF27,VLOOKUP(AF27,'Списки участников'!$A:$P,3,FALSE))</f>
        <v>КУРИЛОВИЧ Ярослав</v>
      </c>
      <c r="AH27" s="280"/>
      <c r="AI27" s="226"/>
      <c r="AJ27" s="315">
        <f>IF(AI27="",AI27,VLOOKUP(AI27,'Списки участников'!$A:$P,3,FALSE))</f>
        <v>0</v>
      </c>
      <c r="AK27" s="258" t="s">
        <v>760</v>
      </c>
      <c r="AL27" s="311">
        <v>23</v>
      </c>
      <c r="AM27" s="254" t="str">
        <f>IF(AL27="",AL27,VLOOKUP(AL27,'Списки участников'!$A:$P,3,FALSE))</f>
        <v>КОМИССАРОВ Даниил</v>
      </c>
      <c r="AN27" s="328"/>
      <c r="AO27" s="260"/>
      <c r="AP27" s="245">
        <f>IF(AO27="",AO27,VLOOKUP(AO27,'Списки участников'!$A:$P,3,FALSE))</f>
        <v>0</v>
      </c>
      <c r="AQ27" s="245"/>
      <c r="AR27" s="245"/>
      <c r="AT27" s="325"/>
      <c r="AU27" s="326" t="str">
        <f>IF(U65="","",IF(T64=Q65,Q63,IF(T64=Q63,Q65)))</f>
        <v/>
      </c>
      <c r="AV27" s="1111"/>
      <c r="AW27" s="318"/>
      <c r="AX27" s="231"/>
      <c r="AY27" s="224">
        <f>IF(AX27="",AX27,VLOOKUP(AX27,'Списки участников'!$A:$P,3,FALSE))</f>
        <v>0</v>
      </c>
      <c r="AZ27" s="232" t="s">
        <v>909</v>
      </c>
      <c r="BA27" s="233">
        <v>64</v>
      </c>
      <c r="BB27" s="254" t="str">
        <f>IF(BA27="",BA27,VLOOKUP(BA27,'Списки участников'!$A:$P,3,FALSE))</f>
        <v>АКЕНТЬЕВ Алексей</v>
      </c>
      <c r="BC27" s="255"/>
      <c r="BD27" s="256"/>
      <c r="BE27" s="257">
        <f>IF(BD27="",BD27,VLOOKUP(BD27,'Списки участников'!$A:$P,3,FALSE))</f>
        <v>0</v>
      </c>
      <c r="BF27" s="258"/>
      <c r="BG27" s="257"/>
      <c r="BH27" s="269" t="s">
        <v>12292</v>
      </c>
      <c r="BI27" s="332"/>
    </row>
    <row r="28" spans="1:61" ht="10.5" customHeight="1" x14ac:dyDescent="0.2">
      <c r="A28" s="231"/>
      <c r="B28" s="231"/>
      <c r="C28" s="307"/>
      <c r="D28" s="232">
        <v>6</v>
      </c>
      <c r="E28" s="233">
        <v>55</v>
      </c>
      <c r="F28" s="254" t="str">
        <f>IF(E28="",E28,VLOOKUP(E28,'Списки участников'!$A:$P,3,FALSE))</f>
        <v>ЛУЗАНОВ Даниил</v>
      </c>
      <c r="G28" s="255"/>
      <c r="H28" s="256"/>
      <c r="I28" s="257">
        <f>IF(H28="",H28,VLOOKUP(H28,'Списки участников'!$A:$P,3,FALSE))</f>
        <v>0</v>
      </c>
      <c r="J28" s="258"/>
      <c r="K28" s="257"/>
      <c r="L28" s="257">
        <f>IF(K28="",K28,VLOOKUP(K28,'Списки участников'!$A:$P,3,FALSE))</f>
        <v>0</v>
      </c>
      <c r="M28" s="258"/>
      <c r="N28" s="257"/>
      <c r="O28" s="245">
        <f>IF(N28="",N28,VLOOKUP(N28,'Списки участников'!$A:$P,3,FALSE))</f>
        <v>0</v>
      </c>
      <c r="P28" s="258"/>
      <c r="Q28" s="257"/>
      <c r="R28" s="229"/>
      <c r="S28" s="245"/>
      <c r="T28" s="245"/>
      <c r="U28" s="226"/>
      <c r="V28" s="245"/>
      <c r="W28" s="245"/>
      <c r="X28" s="245"/>
      <c r="Y28" s="245"/>
      <c r="Z28" s="245"/>
      <c r="AA28" s="245"/>
      <c r="AB28" s="245"/>
      <c r="AC28" s="245"/>
      <c r="AD28" s="269"/>
      <c r="AE28" s="231"/>
      <c r="AF28" s="231"/>
      <c r="AG28" s="307">
        <f>IF(AF28="",AF28,VLOOKUP(AF28,'Списки участников'!$A:$P,3,FALSE))</f>
        <v>0</v>
      </c>
      <c r="AH28" s="232" t="s">
        <v>66</v>
      </c>
      <c r="AI28" s="233">
        <v>94</v>
      </c>
      <c r="AJ28" s="254" t="str">
        <f>IF(AI28="",AI28,VLOOKUP(AI28,'Списки участников'!$A:$P,3,FALSE))</f>
        <v>ФЕДОРЕНКО Александр</v>
      </c>
      <c r="AK28" s="255"/>
      <c r="AL28" s="252"/>
      <c r="AM28" s="292" t="s">
        <v>2598</v>
      </c>
      <c r="AN28" s="222" t="s">
        <v>938</v>
      </c>
      <c r="AO28" s="305">
        <f>IF(AP12="","",IF(AO11=AL8,AL15,IF(AO11=AL15,AL8)))</f>
        <v>76</v>
      </c>
      <c r="AP28" s="224" t="str">
        <f>IF(AO28="",AO28,VLOOKUP(AO28,'Списки участников'!$A:$P,3,FALSE))</f>
        <v>ОСМОЛОВСКИЙ Никита</v>
      </c>
      <c r="AQ28" s="308"/>
      <c r="AR28" s="308"/>
      <c r="AS28" s="269" t="s">
        <v>647</v>
      </c>
      <c r="AT28" s="325"/>
      <c r="AU28" s="325"/>
      <c r="AV28" s="315"/>
      <c r="AW28" s="337" t="s">
        <v>12299</v>
      </c>
      <c r="AX28" s="309">
        <f>IF(AY17="","",IF(AX16=AU17,AU15,IF(AX16=AU15,AU17)))</f>
        <v>64</v>
      </c>
      <c r="AY28" s="254" t="str">
        <f>IF(AX28="",AX28,VLOOKUP(AX28,'Списки участников'!$A:$P,3,FALSE))</f>
        <v>АКЕНТЬЕВ Алексей</v>
      </c>
      <c r="AZ28" s="310"/>
      <c r="BA28" s="241"/>
      <c r="BB28" s="245" t="s">
        <v>2598</v>
      </c>
      <c r="BC28" s="260"/>
      <c r="BD28" s="260"/>
      <c r="BE28" s="257">
        <f>IF(BD28="",BD28,VLOOKUP(BD28,'Списки участников'!$A:$P,3,FALSE))</f>
        <v>0</v>
      </c>
      <c r="BF28" s="258"/>
      <c r="BG28" s="233">
        <v>64</v>
      </c>
      <c r="BH28" s="254" t="str">
        <f>IF(BG28="",BG28,VLOOKUP(BG28,'Списки участников'!$A:$P,3,FALSE))</f>
        <v>АКЕНТЬЕВ Алексей</v>
      </c>
      <c r="BI28" s="332"/>
    </row>
    <row r="29" spans="1:61" ht="10.5" customHeight="1" x14ac:dyDescent="0.2">
      <c r="A29" s="237">
        <v>12</v>
      </c>
      <c r="B29" s="238">
        <v>46</v>
      </c>
      <c r="C29" s="254" t="str">
        <f>IF(B29="",B29,VLOOKUP(B29,'Списки участников'!$A:$P,3,FALSE))</f>
        <v>ВОЛЫНКИН Александр</v>
      </c>
      <c r="D29" s="312" t="str">
        <f>IF(B29="",B29,VLOOKUP(B29,'Списки участников'!A:L,6,FALSE))</f>
        <v>Барнаул</v>
      </c>
      <c r="E29" s="241"/>
      <c r="F29" s="292" t="s">
        <v>11982</v>
      </c>
      <c r="G29" s="260"/>
      <c r="H29" s="260"/>
      <c r="I29" s="257">
        <f>IF(H29="",H29,VLOOKUP(H29,'Списки участников'!$A:$P,3,FALSE))</f>
        <v>0</v>
      </c>
      <c r="J29" s="258"/>
      <c r="K29" s="257"/>
      <c r="L29" s="257">
        <f>IF(K29="",K29,VLOOKUP(K29,'Списки участников'!$A:$P,3,FALSE))</f>
        <v>0</v>
      </c>
      <c r="M29" s="258"/>
      <c r="N29" s="257"/>
      <c r="O29" s="245">
        <f>IF(N29="",N29,VLOOKUP(N29,'Списки участников'!$A:$P,3,FALSE))</f>
        <v>0</v>
      </c>
      <c r="P29" s="258"/>
      <c r="Q29" s="257"/>
      <c r="R29" s="229"/>
      <c r="S29" s="257"/>
      <c r="T29" s="257"/>
      <c r="U29" s="252"/>
      <c r="V29" s="257"/>
      <c r="W29" s="257"/>
      <c r="X29" s="256"/>
      <c r="Y29" s="245"/>
      <c r="Z29" s="245"/>
      <c r="AA29" s="245"/>
      <c r="AB29" s="322" t="s">
        <v>939</v>
      </c>
      <c r="AC29" s="283">
        <f>IF(AD26="","",IF(AC25=Z24,Z26,IF(AC25=Z26,Z24)))</f>
        <v>35</v>
      </c>
      <c r="AD29" s="254" t="str">
        <f>IF(AC29="",AC29,VLOOKUP(AC29,'Списки участников'!$A:$P,3,FALSE))</f>
        <v>ДЯГЕЛЕВ Артем</v>
      </c>
      <c r="AE29" s="237" t="s">
        <v>940</v>
      </c>
      <c r="AF29" s="309">
        <f>IF(F69="","",IF(E68=B67,B69,IF(E68=B69,B67)))</f>
        <v>94</v>
      </c>
      <c r="AG29" s="254" t="str">
        <f>IF(AF29="",AF29,VLOOKUP(AF29,'Списки участников'!$A:$P,3,FALSE))</f>
        <v>ФЕДОРЕНКО Александр</v>
      </c>
      <c r="AH29" s="310"/>
      <c r="AI29" s="241"/>
      <c r="AJ29" s="292" t="s">
        <v>1106</v>
      </c>
      <c r="AK29" s="260"/>
      <c r="AL29" s="260"/>
      <c r="AM29" s="245">
        <f>IF(AL29="",AL29,VLOOKUP(AL29,'Списки участников'!$A:$P,3,FALSE))</f>
        <v>0</v>
      </c>
      <c r="AN29" s="231"/>
      <c r="AO29" s="231"/>
      <c r="AP29" s="313">
        <f>IF(AO29="",AO29,VLOOKUP(AO29,'Списки участников'!$A:$P,3,FALSE))</f>
        <v>0</v>
      </c>
      <c r="AQ29" s="314" t="s">
        <v>69</v>
      </c>
      <c r="AR29" s="233">
        <v>76</v>
      </c>
      <c r="AS29" s="254" t="str">
        <f>IF(AR29="",AR29,VLOOKUP(AR29,'Списки участников'!$A:$P,3,FALSE))</f>
        <v>ОСМОЛОВСКИЙ Никита</v>
      </c>
      <c r="AT29" s="325"/>
      <c r="AU29" s="326" t="str">
        <f>IF(U69="","",IF(T68=Q67,Q69,IF(T68=Q69,Q67)))</f>
        <v/>
      </c>
      <c r="AV29" s="1111" t="str">
        <f>IF(AU29="",AU29,VLOOKUP(AU29,'Списки участников'!$A:$P,3,FALSE))</f>
        <v/>
      </c>
      <c r="AW29" s="260" t="s">
        <v>12300</v>
      </c>
      <c r="AX29" s="305">
        <f>IF(AY20="","",IF(AX19=AU20,AU18,IF(AX19=AU18,AU20)))</f>
        <v>93</v>
      </c>
      <c r="AY29" s="224" t="str">
        <f>IF(AX29="",AX29,VLOOKUP(AX29,'Списки участников'!$A:$P,3,FALSE))</f>
        <v>ЗАЙЦЕВ Сергей</v>
      </c>
      <c r="AZ29" s="280"/>
      <c r="BA29" s="226"/>
      <c r="BB29" s="322"/>
      <c r="BC29" s="322"/>
      <c r="BD29" s="245"/>
      <c r="BE29" s="322"/>
      <c r="BF29" s="321"/>
      <c r="BG29" s="241"/>
      <c r="BH29" s="292" t="s">
        <v>11982</v>
      </c>
      <c r="BI29" s="332"/>
    </row>
    <row r="30" spans="1:61" ht="10.5" customHeight="1" x14ac:dyDescent="0.2">
      <c r="A30" s="222"/>
      <c r="B30" s="222"/>
      <c r="C30" s="227"/>
      <c r="D30" s="247"/>
      <c r="E30" s="245"/>
      <c r="F30" s="245">
        <f>IF(E30="",E30,VLOOKUP(E30,'Списки участников'!$A:$P,3,FALSE))</f>
        <v>0</v>
      </c>
      <c r="G30" s="245"/>
      <c r="H30" s="245"/>
      <c r="I30" s="257">
        <f>IF(H30="",H30,VLOOKUP(H30,'Списки участников'!$A:$P,3,FALSE))</f>
        <v>0</v>
      </c>
      <c r="J30" s="1247">
        <v>26</v>
      </c>
      <c r="K30" s="249">
        <v>55</v>
      </c>
      <c r="L30" s="224" t="str">
        <f>IF(K30="",K30,VLOOKUP(K30,'Списки участников'!$A:$P,3,FALSE))</f>
        <v>ЛУЗАНОВ Даниил</v>
      </c>
      <c r="M30" s="255"/>
      <c r="N30" s="256"/>
      <c r="O30" s="245">
        <f>IF(N30="",N30,VLOOKUP(N30,'Списки участников'!$A:$P,3,FALSE))</f>
        <v>0</v>
      </c>
      <c r="P30" s="258"/>
      <c r="Q30" s="257"/>
      <c r="R30" s="229"/>
      <c r="S30" s="222" t="s">
        <v>941</v>
      </c>
      <c r="T30" s="305">
        <f>IF(I11="","",IF(H10=E8,E12,IF(H10=E12,E8)))</f>
        <v>48</v>
      </c>
      <c r="U30" s="224" t="str">
        <f>IF(T30="",T30,VLOOKUP(T30,'Списки участников'!$A:$P,3,FALSE))</f>
        <v>ЛОМАКИН Павел</v>
      </c>
      <c r="V30" s="280"/>
      <c r="W30" s="226"/>
      <c r="X30" s="227"/>
      <c r="Y30" s="227"/>
      <c r="Z30" s="227"/>
      <c r="AA30" s="227"/>
      <c r="AB30" s="227"/>
      <c r="AC30" s="227"/>
      <c r="AD30" s="227"/>
      <c r="AE30" s="325"/>
      <c r="AF30" s="324"/>
      <c r="AG30" s="333"/>
      <c r="AH30" s="334"/>
      <c r="AI30" s="241"/>
      <c r="AJ30" s="245"/>
      <c r="AK30" s="260"/>
      <c r="AL30" s="260"/>
      <c r="AM30" s="245">
        <f>IF(AL30="",AL30,VLOOKUP(AL30,'Списки участников'!$A:$P,3,FALSE))</f>
        <v>0</v>
      </c>
      <c r="AN30" s="237" t="s">
        <v>942</v>
      </c>
      <c r="AO30" s="309">
        <f>IF(AP25="","",IF(AO24=AL20,AL27,IF(AO24=AL27,AL20)))</f>
        <v>63</v>
      </c>
      <c r="AP30" s="254" t="str">
        <f>IF(AO30="",AO30,VLOOKUP(AO30,'Списки участников'!$A:$P,3,FALSE))</f>
        <v>ПОПОВ Павел</v>
      </c>
      <c r="AQ30" s="316"/>
      <c r="AR30" s="317"/>
      <c r="AS30" s="231" t="s">
        <v>2598</v>
      </c>
      <c r="AT30" s="325"/>
      <c r="AU30" s="324"/>
      <c r="AV30" s="333"/>
      <c r="AW30" s="318"/>
      <c r="AX30" s="231"/>
      <c r="AY30" s="307">
        <f>IF(AX30="",AX30,VLOOKUP(AX30,'Списки участников'!$A:$P,3,FALSE))</f>
        <v>0</v>
      </c>
      <c r="AZ30" s="1114"/>
      <c r="BA30" s="233"/>
      <c r="BB30" s="1111"/>
      <c r="BC30" s="256"/>
      <c r="BD30" s="256"/>
      <c r="BE30" s="257"/>
      <c r="BF30" s="257"/>
      <c r="BG30" s="257"/>
      <c r="BH30" s="257"/>
      <c r="BI30" s="332"/>
    </row>
    <row r="31" spans="1:61" ht="10.5" customHeight="1" x14ac:dyDescent="0.2">
      <c r="A31" s="222">
        <v>13</v>
      </c>
      <c r="B31" s="223">
        <v>104</v>
      </c>
      <c r="C31" s="224" t="str">
        <f>IF(B31="",B31,VLOOKUP(B31,'Списки участников'!$A:$P,3,FALSE))</f>
        <v>БУЛАВИН Михаил</v>
      </c>
      <c r="D31" s="225" t="str">
        <f>IF(B31="",B31,VLOOKUP(B31,'Списки участников'!A:L,6,FALSE))</f>
        <v>Домодедово  М.о.</v>
      </c>
      <c r="E31" s="226"/>
      <c r="F31" s="245">
        <f>IF(E31="",E31,VLOOKUP(E31,'Списки участников'!$A:$P,3,FALSE))</f>
        <v>0</v>
      </c>
      <c r="G31" s="245"/>
      <c r="H31" s="245"/>
      <c r="I31" s="257">
        <f>IF(H31="",H31,VLOOKUP(H31,'Списки участников'!$A:$P,3,FALSE))</f>
        <v>0</v>
      </c>
      <c r="J31" s="1247"/>
      <c r="K31" s="252"/>
      <c r="L31" s="292" t="s">
        <v>1106</v>
      </c>
      <c r="M31" s="260"/>
      <c r="N31" s="260"/>
      <c r="O31" s="245">
        <f>IF(N31="",N31,VLOOKUP(N31,'Списки участников'!$A:$P,3,FALSE))</f>
        <v>0</v>
      </c>
      <c r="P31" s="258"/>
      <c r="Q31" s="257"/>
      <c r="R31" s="229"/>
      <c r="S31" s="231"/>
      <c r="T31" s="231"/>
      <c r="U31" s="307">
        <f>IF(T31="",T31,VLOOKUP(T31,'Списки участников'!$A:$P,3,FALSE))</f>
        <v>0</v>
      </c>
      <c r="V31" s="232" t="s">
        <v>21</v>
      </c>
      <c r="W31" s="233">
        <v>48</v>
      </c>
      <c r="X31" s="254" t="str">
        <f>IF(W31="",W31,VLOOKUP(W31,'Списки участников'!$A:$P,3,FALSE))</f>
        <v>ЛОМАКИН Павел</v>
      </c>
      <c r="Y31" s="234"/>
      <c r="Z31" s="234"/>
      <c r="AA31" s="227"/>
      <c r="AB31" s="227"/>
      <c r="AC31" s="227"/>
      <c r="AD31" s="227"/>
      <c r="AE31" s="325"/>
      <c r="AF31" s="324"/>
      <c r="AG31" s="333"/>
      <c r="AH31" s="334"/>
      <c r="AI31" s="241"/>
      <c r="AJ31" s="245"/>
      <c r="AK31" s="260"/>
      <c r="AL31" s="260"/>
      <c r="AM31" s="245">
        <f>IF(AL31="",AL31,VLOOKUP(AL31,'Списки участников'!$A:$P,3,FALSE))</f>
        <v>0</v>
      </c>
      <c r="AN31" s="325"/>
      <c r="AO31" s="324"/>
      <c r="AP31" s="317">
        <f>IF(AO31="",AO31,VLOOKUP(AO31,'Списки участников'!$A:$P,3,FALSE))</f>
        <v>0</v>
      </c>
      <c r="AQ31" s="244"/>
      <c r="AR31" s="244"/>
      <c r="AS31" s="269" t="s">
        <v>648</v>
      </c>
      <c r="AT31" s="325"/>
      <c r="AU31" s="324"/>
      <c r="AV31" s="333"/>
      <c r="AW31" s="244"/>
      <c r="AX31" s="326"/>
      <c r="AY31" s="1111"/>
      <c r="AZ31" s="334"/>
      <c r="BA31" s="241"/>
      <c r="BB31" s="257"/>
      <c r="BC31" s="244"/>
      <c r="BD31" s="244"/>
      <c r="BE31" s="257"/>
      <c r="BF31" s="257"/>
      <c r="BG31" s="257"/>
      <c r="BH31" s="257"/>
      <c r="BI31" s="332"/>
    </row>
    <row r="32" spans="1:61" ht="10.5" customHeight="1" x14ac:dyDescent="0.2">
      <c r="A32" s="231"/>
      <c r="B32" s="231"/>
      <c r="C32" s="307"/>
      <c r="D32" s="232">
        <v>7</v>
      </c>
      <c r="E32" s="233">
        <v>52</v>
      </c>
      <c r="F32" s="335" t="str">
        <f>IF(E32="",E32,VLOOKUP(E32,'Списки участников'!$A:$P,3,FALSE))</f>
        <v>СВИРЩЕВСКИЙ Юрий</v>
      </c>
      <c r="G32" s="234"/>
      <c r="H32" s="234"/>
      <c r="I32" s="257">
        <f>IF(H32="",H32,VLOOKUP(H32,'Списки участников'!$A:$P,3,FALSE))</f>
        <v>0</v>
      </c>
      <c r="J32" s="258"/>
      <c r="K32" s="257"/>
      <c r="L32" s="245">
        <f>IF(K32="",K32,VLOOKUP(K32,'Списки участников'!$A:$P,3,FALSE))</f>
        <v>0</v>
      </c>
      <c r="M32" s="245"/>
      <c r="N32" s="245"/>
      <c r="O32" s="245">
        <f>IF(N32="",N32,VLOOKUP(N32,'Списки участников'!$A:$P,3,FALSE))</f>
        <v>0</v>
      </c>
      <c r="P32" s="258"/>
      <c r="Q32" s="257"/>
      <c r="R32" s="229"/>
      <c r="S32" s="237" t="s">
        <v>943</v>
      </c>
      <c r="T32" s="309">
        <f>IF(I19="","",IF(H18=E16,E20,IF(H18=E20,E16)))</f>
        <v>41</v>
      </c>
      <c r="U32" s="254" t="str">
        <f>IF(T32="",T32,VLOOKUP(T32,'Списки участников'!$A:$P,3,FALSE))</f>
        <v>ДУБРОВСКИЙ Иван</v>
      </c>
      <c r="V32" s="310"/>
      <c r="W32" s="317"/>
      <c r="X32" s="231" t="s">
        <v>1106</v>
      </c>
      <c r="Y32" s="243"/>
      <c r="Z32" s="244"/>
      <c r="AA32" s="245"/>
      <c r="AB32" s="245"/>
      <c r="AC32" s="245"/>
      <c r="AD32" s="245"/>
      <c r="AE32" s="325"/>
      <c r="AK32" s="325" t="s">
        <v>944</v>
      </c>
      <c r="AL32" s="326">
        <f>IF(AM9="","",IF(AL8=AI7,AI10,IF(AL8=AI10,AI7)))</f>
        <v>0</v>
      </c>
      <c r="AM32" s="224" t="s">
        <v>12083</v>
      </c>
      <c r="AN32" s="245"/>
      <c r="AO32" s="245"/>
      <c r="AP32" s="245">
        <f>IF(AO32="",AO32,VLOOKUP(AO32,'Списки участников'!$A:$P,3,FALSE))</f>
        <v>0</v>
      </c>
      <c r="AQ32" s="330" t="s">
        <v>945</v>
      </c>
      <c r="AR32" s="331">
        <f>IF(AS30="","",IF(AR29=AO28,AO30,IF(AR29=AO30,AO28)))</f>
        <v>63</v>
      </c>
      <c r="AS32" s="254" t="str">
        <f>IF(AR32="",AR32,VLOOKUP(AR32,'Списки участников'!$A:$P,3,FALSE))</f>
        <v>ПОПОВ Павел</v>
      </c>
      <c r="AT32" s="325"/>
      <c r="AW32" s="244"/>
      <c r="AX32" s="326"/>
      <c r="AY32" s="1111"/>
      <c r="AZ32" s="334"/>
      <c r="BA32" s="241"/>
      <c r="BB32" s="1109"/>
      <c r="BC32" s="257"/>
      <c r="BD32" s="233"/>
      <c r="BE32" s="1111"/>
      <c r="BF32" s="244"/>
      <c r="BG32" s="244"/>
      <c r="BH32" s="329" t="s">
        <v>12293</v>
      </c>
      <c r="BI32" s="332"/>
    </row>
    <row r="33" spans="1:61" ht="10.5" customHeight="1" x14ac:dyDescent="0.2">
      <c r="A33" s="237">
        <v>14</v>
      </c>
      <c r="B33" s="238">
        <v>52</v>
      </c>
      <c r="C33" s="254" t="str">
        <f>IF(B33="",B33,VLOOKUP(B33,'Списки участников'!$A:$P,3,FALSE))</f>
        <v>СВИРЩЕВСКИЙ Юрий</v>
      </c>
      <c r="D33" s="312" t="str">
        <f>IF(B33="",B33,VLOOKUP(B33,'Списки участников'!A:L,6,FALSE))</f>
        <v>Москва</v>
      </c>
      <c r="E33" s="241"/>
      <c r="F33" s="242" t="s">
        <v>2598</v>
      </c>
      <c r="G33" s="243"/>
      <c r="H33" s="244"/>
      <c r="I33" s="257">
        <f>IF(H33="",H33,VLOOKUP(H33,'Списки участников'!$A:$P,3,FALSE))</f>
        <v>0</v>
      </c>
      <c r="J33" s="258"/>
      <c r="K33" s="257"/>
      <c r="L33" s="245">
        <f>IF(K33="",K33,VLOOKUP(K33,'Списки участников'!$A:$P,3,FALSE))</f>
        <v>0</v>
      </c>
      <c r="M33" s="245"/>
      <c r="N33" s="245"/>
      <c r="O33" s="245">
        <f>IF(N33="",N33,VLOOKUP(N33,'Списки участников'!$A:$P,3,FALSE))</f>
        <v>0</v>
      </c>
      <c r="P33" s="258"/>
      <c r="Q33" s="257"/>
      <c r="R33" s="229"/>
      <c r="S33" s="222"/>
      <c r="T33" s="222"/>
      <c r="U33" s="227">
        <f>IF(T33="",T33,VLOOKUP(T33,'Списки участников'!$A:$P,3,FALSE))</f>
        <v>0</v>
      </c>
      <c r="V33" s="247"/>
      <c r="W33" s="245"/>
      <c r="X33" s="1249">
        <f>IF(W33="",W33,VLOOKUP(W33,'Списки участников'!$A:$P,3,FALSE))</f>
        <v>0</v>
      </c>
      <c r="Y33" s="1247" t="s">
        <v>48</v>
      </c>
      <c r="Z33" s="233">
        <v>40</v>
      </c>
      <c r="AA33" s="254" t="str">
        <f>IF(Z33="",Z33,VLOOKUP(Z33,'Списки участников'!$A:$P,3,FALSE))</f>
        <v>НАСИРОВ Федор</v>
      </c>
      <c r="AB33" s="234"/>
      <c r="AC33" s="234"/>
      <c r="AD33" s="245"/>
      <c r="AE33" s="325"/>
      <c r="AK33" s="231"/>
      <c r="AL33" s="231"/>
      <c r="AM33" s="313">
        <f>IF(AL33="",AL33,VLOOKUP(AL33,'Списки участников'!$A:$P,3,FALSE))</f>
        <v>0</v>
      </c>
      <c r="AN33" s="243" t="s">
        <v>763</v>
      </c>
      <c r="AO33" s="327">
        <v>87</v>
      </c>
      <c r="AP33" s="254" t="str">
        <f>IF(AO33="",AO33,VLOOKUP(AO33,'Списки участников'!$A:$P,3,FALSE))</f>
        <v>РОСТОШИНСКИЙ Иван</v>
      </c>
      <c r="AQ33" s="256"/>
      <c r="AR33" s="256"/>
      <c r="AS33" s="269"/>
      <c r="AT33" s="325"/>
      <c r="AW33" s="244"/>
      <c r="AX33" s="325"/>
      <c r="AY33" s="315"/>
      <c r="AZ33" s="1110"/>
      <c r="BA33" s="233"/>
      <c r="BB33" s="1111"/>
      <c r="BC33" s="256"/>
      <c r="BD33" s="241"/>
      <c r="BE33" s="257"/>
      <c r="BF33" s="257"/>
      <c r="BG33" s="283">
        <v>93</v>
      </c>
      <c r="BH33" s="254" t="str">
        <f>IF(BG33="",BG33,VLOOKUP(BG33,'Списки участников'!$A:$P,3,FALSE))</f>
        <v>ЗАЙЦЕВ Сергей</v>
      </c>
      <c r="BI33" s="332"/>
    </row>
    <row r="34" spans="1:61" ht="10.5" customHeight="1" x14ac:dyDescent="0.2">
      <c r="A34" s="222"/>
      <c r="B34" s="222"/>
      <c r="C34" s="227"/>
      <c r="D34" s="247"/>
      <c r="E34" s="245"/>
      <c r="F34" s="315">
        <f>IF(E34="",E34,VLOOKUP(E34,'Списки участников'!$A:$P,3,FALSE))</f>
        <v>0</v>
      </c>
      <c r="G34" s="1247" t="s">
        <v>19</v>
      </c>
      <c r="H34" s="249">
        <v>52</v>
      </c>
      <c r="I34" s="224" t="str">
        <f>IF(H34="",H34,VLOOKUP(H34,'Списки участников'!$A:$P,3,FALSE))</f>
        <v>СВИРЩЕВСКИЙ Юрий</v>
      </c>
      <c r="J34" s="255"/>
      <c r="K34" s="256"/>
      <c r="L34" s="245">
        <f>IF(K34="",K34,VLOOKUP(K34,'Списки участников'!$A:$P,3,FALSE))</f>
        <v>0</v>
      </c>
      <c r="M34" s="245"/>
      <c r="N34" s="245"/>
      <c r="O34" s="245">
        <f>IF(N34="",N34,VLOOKUP(N34,'Списки участников'!$A:$P,3,FALSE))</f>
        <v>0</v>
      </c>
      <c r="P34" s="258"/>
      <c r="Q34" s="257"/>
      <c r="R34" s="229"/>
      <c r="S34" s="222" t="s">
        <v>946</v>
      </c>
      <c r="T34" s="305">
        <f>IF(I27="","",IF(H26=E24,E28,IF(H26=E28,E24)))</f>
        <v>56</v>
      </c>
      <c r="U34" s="224" t="str">
        <f>IF(T34="",T34,VLOOKUP(T34,'Списки участников'!$A:$P,3,FALSE))</f>
        <v>ГИНОСЯН Геворг</v>
      </c>
      <c r="V34" s="280"/>
      <c r="W34" s="226"/>
      <c r="X34" s="1249">
        <f>IF(W34="",W34,VLOOKUP(W34,'Списки участников'!$A:$P,3,FALSE))</f>
        <v>0</v>
      </c>
      <c r="Y34" s="1247"/>
      <c r="Z34" s="317"/>
      <c r="AA34" s="231" t="s">
        <v>1106</v>
      </c>
      <c r="AB34" s="243"/>
      <c r="AC34" s="244"/>
      <c r="AD34" s="245"/>
      <c r="AE34" s="325"/>
      <c r="AK34" s="237" t="s">
        <v>947</v>
      </c>
      <c r="AL34" s="309">
        <f>IF(AM16="","",IF(AL15=AI13,AI16,IF(AL15=AI16,AI13)))</f>
        <v>87</v>
      </c>
      <c r="AM34" s="254" t="str">
        <f>IF(AL34="",AL34,VLOOKUP(AL34,'Списки участников'!$A:$P,3,FALSE))</f>
        <v>РОСТОШИНСКИЙ Иван</v>
      </c>
      <c r="AN34" s="321"/>
      <c r="AO34" s="231"/>
      <c r="AP34" s="231" t="s">
        <v>1106</v>
      </c>
      <c r="AQ34" s="243"/>
      <c r="AR34" s="244"/>
      <c r="AS34" s="269" t="s">
        <v>649</v>
      </c>
      <c r="AT34" s="325"/>
      <c r="AZ34" s="325"/>
      <c r="BA34" s="326"/>
      <c r="BB34" s="1111"/>
      <c r="BC34" s="257"/>
      <c r="BD34" s="325"/>
      <c r="BE34" s="325"/>
      <c r="BF34" s="244"/>
      <c r="BG34" s="244"/>
      <c r="BH34" s="329"/>
      <c r="BI34" s="332"/>
    </row>
    <row r="35" spans="1:61" ht="10.5" customHeight="1" x14ac:dyDescent="0.2">
      <c r="A35" s="1106" t="s">
        <v>12287</v>
      </c>
      <c r="B35" s="223">
        <v>87</v>
      </c>
      <c r="C35" s="224" t="str">
        <f>IF(B35="",B35,VLOOKUP(B35,'Списки участников'!$A:$P,3,FALSE))</f>
        <v>РОСТОШИНСКИЙ Иван</v>
      </c>
      <c r="D35" s="225" t="str">
        <f>IF(B35="",B35,VLOOKUP(B35,'Списки участников'!A:L,6,FALSE))</f>
        <v>Москва</v>
      </c>
      <c r="E35" s="226"/>
      <c r="F35" s="315">
        <f>IF(E35="",E35,VLOOKUP(E35,'Списки участников'!$A:$P,3,FALSE))</f>
        <v>0</v>
      </c>
      <c r="G35" s="1247"/>
      <c r="H35" s="252"/>
      <c r="I35" s="242" t="s">
        <v>2598</v>
      </c>
      <c r="J35" s="260"/>
      <c r="K35" s="260"/>
      <c r="L35" s="245">
        <f>IF(K35="",K35,VLOOKUP(K35,'Списки участников'!$A:$P,3,FALSE))</f>
        <v>0</v>
      </c>
      <c r="M35" s="245"/>
      <c r="N35" s="245"/>
      <c r="O35" s="245">
        <f>IF(N35="",N35,VLOOKUP(N35,'Списки участников'!$A:$P,3,FALSE))</f>
        <v>0</v>
      </c>
      <c r="P35" s="258"/>
      <c r="Q35" s="257"/>
      <c r="R35" s="269" t="s">
        <v>630</v>
      </c>
      <c r="S35" s="231"/>
      <c r="T35" s="231"/>
      <c r="U35" s="307">
        <f>IF(T35="",T35,VLOOKUP(T35,'Списки участников'!$A:$P,3,FALSE))</f>
        <v>0</v>
      </c>
      <c r="V35" s="232" t="s">
        <v>45</v>
      </c>
      <c r="W35" s="233">
        <v>40</v>
      </c>
      <c r="X35" s="254" t="str">
        <f>IF(W35="",W35,VLOOKUP(W35,'Списки участников'!$A:$P,3,FALSE))</f>
        <v>НАСИРОВ Федор</v>
      </c>
      <c r="Y35" s="255"/>
      <c r="Z35" s="256"/>
      <c r="AA35" s="257">
        <f>IF(Z35="",Z35,VLOOKUP(Z35,'Списки участников'!$A:$P,3,FALSE))</f>
        <v>0</v>
      </c>
      <c r="AB35" s="258"/>
      <c r="AC35" s="257"/>
      <c r="AD35" s="269" t="s">
        <v>637</v>
      </c>
      <c r="AE35" s="325"/>
      <c r="AK35" s="325"/>
      <c r="AL35" s="325"/>
      <c r="AM35" s="256">
        <f>IF(AL35="",AL35,VLOOKUP(AL35,'Списки участников'!$A:$P,3,FALSE))</f>
        <v>0</v>
      </c>
      <c r="AN35" s="325"/>
      <c r="AO35" s="325"/>
      <c r="AP35" s="244">
        <f>IF(AO35="",AO35,VLOOKUP(AO35,'Списки участников'!$A:$P,3,FALSE))</f>
        <v>0</v>
      </c>
      <c r="AQ35" s="1247" t="s">
        <v>78</v>
      </c>
      <c r="AR35" s="311">
        <v>94</v>
      </c>
      <c r="AS35" s="254" t="str">
        <f>IF(AR35="",AR35,VLOOKUP(AR35,'Списки участников'!$A:$P,3,FALSE))</f>
        <v>ФЕДОРЕНКО Александр</v>
      </c>
      <c r="AT35" s="325"/>
      <c r="AZ35" s="237" t="s">
        <v>12301</v>
      </c>
      <c r="BA35" s="326">
        <f>IF(BB25="","",IF(BA24=AX25,AX23,IF(BA24=AX23,AX25)))</f>
        <v>111</v>
      </c>
      <c r="BB35" s="224" t="str">
        <f>IF(BA35="",BA35,VLOOKUP(BA35,'Списки участников'!$A:$P,3,FALSE))</f>
        <v>ТАДЖИБАЕВ Артур</v>
      </c>
      <c r="BC35" s="245"/>
      <c r="BD35" s="245"/>
      <c r="BE35" s="245">
        <f>IF(BD35="",BD35,VLOOKUP(BD35,'Списки участников'!$A:$P,3,FALSE))</f>
        <v>0</v>
      </c>
      <c r="BF35" s="257"/>
      <c r="BG35" s="1118"/>
      <c r="BH35" s="1111"/>
      <c r="BI35" s="332"/>
    </row>
    <row r="36" spans="1:61" ht="10.5" customHeight="1" x14ac:dyDescent="0.2">
      <c r="A36" s="231"/>
      <c r="B36" s="231"/>
      <c r="C36" s="307"/>
      <c r="D36" s="232">
        <v>8</v>
      </c>
      <c r="E36" s="233">
        <v>40</v>
      </c>
      <c r="F36" s="254" t="str">
        <f>IF(E36="",E36,VLOOKUP(E36,'Списки участников'!$A:$P,3,FALSE))</f>
        <v>НАСИРОВ Федор</v>
      </c>
      <c r="G36" s="255"/>
      <c r="H36" s="256"/>
      <c r="I36" s="245">
        <f>IF(H36="",H36,VLOOKUP(H36,'Списки участников'!$A:$P,3,FALSE))</f>
        <v>0</v>
      </c>
      <c r="J36" s="245"/>
      <c r="K36" s="245"/>
      <c r="L36" s="245">
        <f>IF(K36="",K36,VLOOKUP(K36,'Списки участников'!$A:$P,3,FALSE))</f>
        <v>0</v>
      </c>
      <c r="M36" s="245"/>
      <c r="N36" s="245"/>
      <c r="O36" s="245">
        <f>IF(N36="",N36,VLOOKUP(N36,'Списки участников'!$A:$P,3,FALSE))</f>
        <v>0</v>
      </c>
      <c r="P36" s="258"/>
      <c r="Q36" s="257"/>
      <c r="R36" s="229"/>
      <c r="S36" s="237" t="s">
        <v>948</v>
      </c>
      <c r="T36" s="309">
        <f>IF(I35="","",IF(H34=E32,E36,IF(H34=E36,E32)))</f>
        <v>40</v>
      </c>
      <c r="U36" s="254" t="str">
        <f>IF(T36="",T36,VLOOKUP(T36,'Списки участников'!$A:$P,3,FALSE))</f>
        <v>НАСИРОВ Федор</v>
      </c>
      <c r="V36" s="310"/>
      <c r="W36" s="317"/>
      <c r="X36" s="231" t="s">
        <v>11982</v>
      </c>
      <c r="Y36" s="260"/>
      <c r="Z36" s="260"/>
      <c r="AA36" s="257">
        <f>IF(Z36="",Z36,VLOOKUP(Z36,'Списки участников'!$A:$P,3,FALSE))</f>
        <v>0</v>
      </c>
      <c r="AB36" s="258"/>
      <c r="AC36" s="257"/>
      <c r="AD36" s="245"/>
      <c r="AE36" s="325"/>
      <c r="AK36" s="325" t="s">
        <v>949</v>
      </c>
      <c r="AL36" s="326">
        <f>IF(AM21="","",IF(AL20=AI19,AI22,IF(AL20=AI22,AI19)))</f>
        <v>85</v>
      </c>
      <c r="AM36" s="224" t="str">
        <f>IF(AL36="",AL36,VLOOKUP(AL36,'Списки участников'!$A:$P,3,FALSE))</f>
        <v>УШКАРЕВ Максим</v>
      </c>
      <c r="AN36" s="325"/>
      <c r="AO36" s="325"/>
      <c r="AP36" s="252">
        <f>IF(AO36="",AO36,VLOOKUP(AO36,'Списки участников'!$A:$P,3,FALSE))</f>
        <v>0</v>
      </c>
      <c r="AQ36" s="1247"/>
      <c r="AR36" s="252"/>
      <c r="AS36" s="231" t="s">
        <v>2598</v>
      </c>
      <c r="AT36" s="325"/>
      <c r="AZ36" s="231"/>
      <c r="BA36" s="231"/>
      <c r="BB36" s="313">
        <f>IF(BA36="",BA36,VLOOKUP(BA36,'Списки участников'!$A:$P,3,FALSE))</f>
        <v>0</v>
      </c>
      <c r="BC36" s="243" t="s">
        <v>12303</v>
      </c>
      <c r="BD36" s="233">
        <v>111</v>
      </c>
      <c r="BE36" s="254" t="str">
        <f>IF(BD36="",BD36,VLOOKUP(BD36,'Списки участников'!$A:$P,3,FALSE))</f>
        <v>ТАДЖИБАЕВ Артур</v>
      </c>
      <c r="BF36" s="256"/>
      <c r="BG36" s="256"/>
      <c r="BH36" s="269"/>
      <c r="BI36" s="332"/>
    </row>
    <row r="37" spans="1:61" ht="10.5" customHeight="1" x14ac:dyDescent="0.2">
      <c r="A37" s="237">
        <v>16</v>
      </c>
      <c r="B37" s="238">
        <v>40</v>
      </c>
      <c r="C37" s="254" t="str">
        <f>IF(B37="",B37,VLOOKUP(B37,'Списки участников'!$A:$P,3,FALSE))</f>
        <v>НАСИРОВ Федор</v>
      </c>
      <c r="D37" s="312" t="str">
        <f>IF(B37="",B37,VLOOKUP(B37,'Списки участников'!A:L,6,FALSE))</f>
        <v>Орехово-Зуево</v>
      </c>
      <c r="E37" s="241"/>
      <c r="F37" s="242" t="s">
        <v>2598</v>
      </c>
      <c r="G37" s="260"/>
      <c r="H37" s="260"/>
      <c r="I37" s="245">
        <f>IF(H37="",H37,VLOOKUP(H37,'Списки участников'!$A:$P,3,FALSE))</f>
        <v>0</v>
      </c>
      <c r="J37" s="245"/>
      <c r="K37" s="245"/>
      <c r="L37" s="257">
        <f>IF(K37="",K37,VLOOKUP(K37,'Списки участников'!$A:$P,3,FALSE))</f>
        <v>0</v>
      </c>
      <c r="M37" s="257"/>
      <c r="N37" s="257"/>
      <c r="O37" s="257">
        <f>IF(N37="",N37,VLOOKUP(N37,'Списки участников'!$A:$P,3,FALSE))</f>
        <v>0</v>
      </c>
      <c r="P37" s="258"/>
      <c r="Q37" s="257"/>
      <c r="R37" s="229"/>
      <c r="S37" s="222"/>
      <c r="T37" s="222"/>
      <c r="U37" s="227">
        <f>IF(T37="",T37,VLOOKUP(T37,'Списки участников'!$A:$P,3,FALSE))</f>
        <v>0</v>
      </c>
      <c r="V37" s="247"/>
      <c r="W37" s="245"/>
      <c r="X37" s="222">
        <f>IF(W37="",W37,VLOOKUP(W37,'Списки участников'!$A:$P,3,FALSE))</f>
        <v>0</v>
      </c>
      <c r="Y37" s="245"/>
      <c r="Z37" s="245"/>
      <c r="AA37" s="257">
        <f>IF(Z37="",Z37,VLOOKUP(Z37,'Списки участников'!$A:$P,3,FALSE))</f>
        <v>0</v>
      </c>
      <c r="AB37" s="1247" t="s">
        <v>50</v>
      </c>
      <c r="AC37" s="233">
        <v>84</v>
      </c>
      <c r="AD37" s="254" t="str">
        <f>IF(AC37="",AC37,VLOOKUP(AC37,'Списки участников'!$A:$P,3,FALSE))</f>
        <v>ЗОЛОТКОВ Максим</v>
      </c>
      <c r="AK37" s="231"/>
      <c r="AL37" s="231"/>
      <c r="AM37" s="313">
        <f>IF(AL37="",AL37,VLOOKUP(AL37,'Списки участников'!$A:$P,3,FALSE))</f>
        <v>0</v>
      </c>
      <c r="AN37" s="243" t="s">
        <v>77</v>
      </c>
      <c r="AO37" s="238">
        <v>94</v>
      </c>
      <c r="AP37" s="254" t="str">
        <f>IF(AO37="",AO37,VLOOKUP(AO37,'Списки участников'!$A:$P,3,FALSE))</f>
        <v>ФЕДОРЕНКО Александр</v>
      </c>
      <c r="AQ37" s="255"/>
      <c r="AR37" s="256"/>
      <c r="AS37" s="269" t="s">
        <v>650</v>
      </c>
      <c r="AZ37" s="237" t="s">
        <v>12302</v>
      </c>
      <c r="BA37" s="309">
        <f>IF(BB28="","",IF(BA27=AX28,AX26,IF(BA27=AX26,AX28)))</f>
        <v>82</v>
      </c>
      <c r="BB37" s="254" t="str">
        <f>IF(BA37="",BA37,VLOOKUP(BA37,'Списки участников'!$A:$P,3,FALSE))</f>
        <v>СУЧКОВ Артемий</v>
      </c>
      <c r="BC37" s="321"/>
      <c r="BD37" s="241"/>
      <c r="BE37" s="292" t="s">
        <v>2598</v>
      </c>
      <c r="BF37" s="243"/>
      <c r="BG37" s="244"/>
      <c r="BH37" s="329" t="s">
        <v>12294</v>
      </c>
    </row>
    <row r="38" spans="1:61" ht="10.5" customHeight="1" x14ac:dyDescent="0.2">
      <c r="A38" s="227"/>
      <c r="B38" s="227"/>
      <c r="C38" s="227"/>
      <c r="D38" s="273"/>
      <c r="E38" s="227"/>
      <c r="F38" s="227">
        <f>IF(E38="",E38,VLOOKUP(E38,'Списки участников'!$A:$P,3,FALSE))</f>
        <v>0</v>
      </c>
      <c r="G38" s="274"/>
      <c r="H38" s="274"/>
      <c r="I38" s="227">
        <f>IF(H38="",H38,VLOOKUP(H38,'Списки участников'!$A:$P,3,FALSE))</f>
        <v>0</v>
      </c>
      <c r="J38" s="227"/>
      <c r="K38" s="227"/>
      <c r="L38" s="275">
        <f>IF(K38="",K38,VLOOKUP(K38,'Списки участников'!$A:$P,3,FALSE))</f>
        <v>0</v>
      </c>
      <c r="M38" s="257"/>
      <c r="N38" s="257"/>
      <c r="O38" s="275">
        <f>IF(N38="",N38,VLOOKUP(N38,'Списки участников'!$A:$P,3,FALSE))</f>
        <v>0</v>
      </c>
      <c r="P38" s="1247">
        <v>31</v>
      </c>
      <c r="Q38" s="249">
        <v>9</v>
      </c>
      <c r="R38" s="254" t="str">
        <f>IF(Q38="",Q38,VLOOKUP(Q38,'Списки участников'!$A:$P,3,FALSE))</f>
        <v>САВЕЛЬЕВ Никита</v>
      </c>
      <c r="S38" s="222" t="s">
        <v>950</v>
      </c>
      <c r="T38" s="305">
        <f>IF(I43="","",IF(H42=E44,E40,IF(H42=E40,E44)))</f>
        <v>65</v>
      </c>
      <c r="U38" s="224" t="str">
        <f>IF(T38="",T38,VLOOKUP(T38,'Списки участников'!$A:$P,3,FALSE))</f>
        <v>СОБАКИН Юрий</v>
      </c>
      <c r="V38" s="280"/>
      <c r="W38" s="226"/>
      <c r="X38" s="245">
        <f>IF(W38="",W38,VLOOKUP(W38,'Списки участников'!$A:$P,3,FALSE))</f>
        <v>0</v>
      </c>
      <c r="Y38" s="245"/>
      <c r="Z38" s="245"/>
      <c r="AA38" s="257">
        <f>IF(Z38="",Z38,VLOOKUP(Z38,'Списки участников'!$A:$P,3,FALSE))</f>
        <v>0</v>
      </c>
      <c r="AB38" s="1247"/>
      <c r="AC38" s="317"/>
      <c r="AD38" s="231" t="s">
        <v>1106</v>
      </c>
      <c r="AK38" s="237" t="s">
        <v>951</v>
      </c>
      <c r="AL38" s="309">
        <f>IF(AM28="","",IF(AL27=AI28,AI25,IF(AL27=AI25,AI28)))</f>
        <v>94</v>
      </c>
      <c r="AM38" s="254" t="str">
        <f>IF(AL38="",AL38,VLOOKUP(AL38,'Списки участников'!$A:$P,3,FALSE))</f>
        <v>ФЕДОРЕНКО Александр</v>
      </c>
      <c r="AN38" s="321"/>
      <c r="AO38" s="325"/>
      <c r="AP38" s="325" t="s">
        <v>11982</v>
      </c>
      <c r="AQ38" s="337" t="s">
        <v>952</v>
      </c>
      <c r="AR38" s="338">
        <f>IF(AS36="","",IF(AR35=AO33,AO37,IF(AR35=AO37,AO33)))</f>
        <v>87</v>
      </c>
      <c r="AS38" s="254" t="str">
        <f>IF(AR38="",AR38,VLOOKUP(AR38,'Списки участников'!$A:$P,3,FALSE))</f>
        <v>РОСТОШИНСКИЙ Иван</v>
      </c>
      <c r="AZ38" s="325"/>
      <c r="BA38" s="325"/>
      <c r="BB38" s="256">
        <f>IF(BA38="",BA38,VLOOKUP(BA38,'Списки участников'!$A:$P,3,FALSE))</f>
        <v>0</v>
      </c>
      <c r="BC38" s="325"/>
      <c r="BD38" s="325"/>
      <c r="BE38" s="244">
        <f>IF(BD38="",BD38,VLOOKUP(BD38,'Списки участников'!$A:$P,3,FALSE))</f>
        <v>0</v>
      </c>
      <c r="BF38" s="1247" t="s">
        <v>911</v>
      </c>
      <c r="BG38" s="233">
        <v>90</v>
      </c>
      <c r="BH38" s="254" t="str">
        <f>IF(BG38="",BG38,VLOOKUP(BG38,'Списки участников'!$A:$P,3,FALSE))</f>
        <v>КАРТАВЦЕВ Михаил</v>
      </c>
    </row>
    <row r="39" spans="1:61" ht="10.5" customHeight="1" x14ac:dyDescent="0.2">
      <c r="A39" s="222">
        <v>17</v>
      </c>
      <c r="B39" s="223">
        <v>63</v>
      </c>
      <c r="C39" s="224" t="str">
        <f>IF(B39="",B39,VLOOKUP(B39,'Списки участников'!$A:$P,3,FALSE))</f>
        <v>ПОПОВ Павел</v>
      </c>
      <c r="D39" s="225" t="str">
        <f>IF(B39="",B39,VLOOKUP(B39,'Списки участников'!A:L,6,FALSE))</f>
        <v>Москва</v>
      </c>
      <c r="E39" s="226"/>
      <c r="F39" s="227">
        <f>IF(E39="",E39,VLOOKUP(E39,'Списки участников'!$A:$P,3,FALSE))</f>
        <v>0</v>
      </c>
      <c r="G39" s="227"/>
      <c r="H39" s="227"/>
      <c r="I39" s="227">
        <f>IF(H39="",H39,VLOOKUP(H39,'Списки участников'!$A:$P,3,FALSE))</f>
        <v>0</v>
      </c>
      <c r="J39" s="227"/>
      <c r="K39" s="227"/>
      <c r="L39" s="227">
        <f>IF(K39="",K39,VLOOKUP(K39,'Списки участников'!$A:$P,3,FALSE))</f>
        <v>0</v>
      </c>
      <c r="M39" s="227"/>
      <c r="N39" s="227"/>
      <c r="O39" s="227">
        <f>IF(N39="",N39,VLOOKUP(N39,'Списки участников'!$A:$P,3,FALSE))</f>
        <v>0</v>
      </c>
      <c r="P39" s="1247"/>
      <c r="Q39" s="252"/>
      <c r="R39" s="259" t="s">
        <v>2598</v>
      </c>
      <c r="S39" s="231"/>
      <c r="T39" s="231"/>
      <c r="U39" s="307">
        <f>IF(T39="",T39,VLOOKUP(T39,'Списки участников'!$A:$P,3,FALSE))</f>
        <v>0</v>
      </c>
      <c r="V39" s="232" t="s">
        <v>46</v>
      </c>
      <c r="W39" s="233">
        <v>65</v>
      </c>
      <c r="X39" s="254" t="str">
        <f>IF(W39="",W39,VLOOKUP(W39,'Списки участников'!$A:$P,3,FALSE))</f>
        <v>СОБАКИН Юрий</v>
      </c>
      <c r="Y39" s="234"/>
      <c r="Z39" s="234"/>
      <c r="AA39" s="257">
        <f>IF(Z39="",Z39,VLOOKUP(Z39,'Списки участников'!$A:$P,3,FALSE))</f>
        <v>0</v>
      </c>
      <c r="AB39" s="258"/>
      <c r="AC39" s="257"/>
      <c r="AD39" s="257"/>
      <c r="AK39" s="252"/>
      <c r="AL39" s="252"/>
      <c r="AM39" s="256">
        <f>IF(AL39="",AL39,VLOOKUP(AL39,'Списки участников'!$A:$P,3,FALSE))</f>
        <v>0</v>
      </c>
      <c r="AN39" s="222" t="s">
        <v>953</v>
      </c>
      <c r="AO39" s="305">
        <f>IF(AP34="","",IF(AO33=AL32,AL34,IF(AO33=AL34,AL32)))</f>
        <v>0</v>
      </c>
      <c r="AP39" s="224" t="s">
        <v>12083</v>
      </c>
      <c r="AQ39" s="308"/>
      <c r="AR39" s="308"/>
      <c r="AS39" s="269" t="s">
        <v>651</v>
      </c>
      <c r="AZ39" s="325"/>
      <c r="BA39" s="326"/>
      <c r="BB39" s="1111"/>
      <c r="BC39" s="325"/>
      <c r="BD39" s="325"/>
      <c r="BE39" s="252">
        <f>IF(BD39="",BD39,VLOOKUP(BD39,'Списки участников'!$A:$P,3,FALSE))</f>
        <v>0</v>
      </c>
      <c r="BF39" s="1247"/>
      <c r="BG39" s="241"/>
      <c r="BH39" s="292" t="s">
        <v>11982</v>
      </c>
    </row>
    <row r="40" spans="1:61" ht="10.5" customHeight="1" x14ac:dyDescent="0.2">
      <c r="A40" s="231"/>
      <c r="B40" s="231"/>
      <c r="C40" s="307"/>
      <c r="D40" s="232">
        <v>9</v>
      </c>
      <c r="E40" s="233">
        <v>86</v>
      </c>
      <c r="F40" s="224" t="str">
        <f>IF(E40="",E40,VLOOKUP(E40,'Списки участников'!$A:$P,3,FALSE))</f>
        <v xml:space="preserve">КОРОЛЬКОВ Егор </v>
      </c>
      <c r="G40" s="234"/>
      <c r="H40" s="234"/>
      <c r="I40" s="227">
        <f>IF(H40="",H40,VLOOKUP(H40,'Списки участников'!$A:$P,3,FALSE))</f>
        <v>0</v>
      </c>
      <c r="J40" s="227"/>
      <c r="K40" s="227"/>
      <c r="L40" s="227">
        <f>IF(K40="",K40,VLOOKUP(K40,'Списки участников'!$A:$P,3,FALSE))</f>
        <v>0</v>
      </c>
      <c r="M40" s="227"/>
      <c r="N40" s="227"/>
      <c r="O40" s="227">
        <f>IF(N40="",N40,VLOOKUP(N40,'Списки участников'!$A:$P,3,FALSE))</f>
        <v>0</v>
      </c>
      <c r="P40" s="278"/>
      <c r="Q40" s="275"/>
      <c r="R40" s="853" t="str">
        <f>VLOOKUP(Q38,'Списки участников'!$A:$P,6,FALSE)</f>
        <v>Москва</v>
      </c>
      <c r="S40" s="237" t="s">
        <v>954</v>
      </c>
      <c r="T40" s="309">
        <f>IF(I51="","",IF(H50=E48,E52,IF(H50=E52,E48)))</f>
        <v>44</v>
      </c>
      <c r="U40" s="254" t="str">
        <f>IF(T40="",T40,VLOOKUP(T40,'Списки участников'!$A:$P,3,FALSE))</f>
        <v>НАЗАРКИН Максим</v>
      </c>
      <c r="V40" s="310"/>
      <c r="W40" s="317"/>
      <c r="X40" s="231" t="s">
        <v>11982</v>
      </c>
      <c r="Y40" s="243"/>
      <c r="Z40" s="244"/>
      <c r="AA40" s="257">
        <f>IF(Z40="",Z40,VLOOKUP(Z40,'Списки участников'!$A:$P,3,FALSE))</f>
        <v>0</v>
      </c>
      <c r="AB40" s="258"/>
      <c r="AC40" s="257"/>
      <c r="AD40" s="257"/>
      <c r="AK40" s="252"/>
      <c r="AL40" s="252"/>
      <c r="AM40" s="244">
        <f>IF(AL40="",AL40,VLOOKUP(AL40,'Списки участников'!$A:$P,3,FALSE))</f>
        <v>0</v>
      </c>
      <c r="AN40" s="231"/>
      <c r="AO40" s="231"/>
      <c r="AP40" s="313">
        <f>IF(AO40="",AO40,VLOOKUP(AO40,'Списки участников'!$A:$P,3,FALSE))</f>
        <v>0</v>
      </c>
      <c r="AQ40" s="314" t="s">
        <v>79</v>
      </c>
      <c r="AR40" s="233">
        <v>85</v>
      </c>
      <c r="AS40" s="254" t="str">
        <f>IF(AR40="",AR40,VLOOKUP(AR40,'Списки участников'!$A:$P,3,FALSE))</f>
        <v>УШКАРЕВ Максим</v>
      </c>
      <c r="AZ40" s="325"/>
      <c r="BA40" s="325"/>
      <c r="BB40" s="252"/>
      <c r="BC40" s="244" t="s">
        <v>12303</v>
      </c>
      <c r="BD40" s="233">
        <v>90</v>
      </c>
      <c r="BE40" s="254" t="str">
        <f>IF(BD40="",BD40,VLOOKUP(BD40,'Списки участников'!$A:$P,3,FALSE))</f>
        <v>КАРТАВЦЕВ Михаил</v>
      </c>
      <c r="BF40" s="255"/>
      <c r="BG40" s="256"/>
      <c r="BH40" s="269" t="s">
        <v>12295</v>
      </c>
    </row>
    <row r="41" spans="1:61" ht="10.5" customHeight="1" x14ac:dyDescent="0.2">
      <c r="A41" s="1105" t="s">
        <v>12288</v>
      </c>
      <c r="B41" s="238">
        <v>86</v>
      </c>
      <c r="C41" s="254" t="str">
        <f>IF(B41="",B41,VLOOKUP(B41,'Списки участников'!$A:$P,3,FALSE))</f>
        <v xml:space="preserve">КОРОЛЬКОВ Егор </v>
      </c>
      <c r="D41" s="312" t="str">
        <f>IF(B41="",B41,VLOOKUP(B41,'Списки участников'!A:L,6,FALSE))</f>
        <v>Москва</v>
      </c>
      <c r="E41" s="241"/>
      <c r="F41" s="242" t="s">
        <v>2598</v>
      </c>
      <c r="G41" s="243"/>
      <c r="H41" s="244"/>
      <c r="I41" s="245">
        <f>IF(H41="",H41,VLOOKUP(H41,'Списки участников'!$A:$P,3,FALSE))</f>
        <v>0</v>
      </c>
      <c r="J41" s="245"/>
      <c r="K41" s="245"/>
      <c r="L41" s="245">
        <f>IF(K41="",K41,VLOOKUP(K41,'Списки участников'!$A:$P,3,FALSE))</f>
        <v>0</v>
      </c>
      <c r="M41" s="245"/>
      <c r="N41" s="245"/>
      <c r="O41" s="245">
        <f>IF(N41="",N41,VLOOKUP(N41,'Списки участников'!$A:$P,3,FALSE))</f>
        <v>0</v>
      </c>
      <c r="P41" s="258"/>
      <c r="Q41" s="257"/>
      <c r="R41" s="229"/>
      <c r="S41" s="222"/>
      <c r="T41" s="222"/>
      <c r="U41" s="227">
        <f>IF(T41="",T41,VLOOKUP(T41,'Списки участников'!$A:$P,3,FALSE))</f>
        <v>0</v>
      </c>
      <c r="V41" s="247"/>
      <c r="W41" s="245"/>
      <c r="X41" s="1249">
        <f>IF(W41="",W41,VLOOKUP(W41,'Списки участников'!$A:$P,3,FALSE))</f>
        <v>0</v>
      </c>
      <c r="Y41" s="1247" t="s">
        <v>49</v>
      </c>
      <c r="Z41" s="233">
        <v>84</v>
      </c>
      <c r="AA41" s="254" t="str">
        <f>IF(Z41="",Z41,VLOOKUP(Z41,'Списки участников'!$A:$P,3,FALSE))</f>
        <v>ЗОЛОТКОВ Максим</v>
      </c>
      <c r="AB41" s="255"/>
      <c r="AC41" s="256"/>
      <c r="AD41" s="269" t="s">
        <v>638</v>
      </c>
      <c r="AJ41" s="333"/>
      <c r="AK41" s="252"/>
      <c r="AL41" s="252"/>
      <c r="AM41" s="252">
        <f>IF(AL41="",AL41,VLOOKUP(AL41,'Списки участников'!$A:$P,3,FALSE))</f>
        <v>0</v>
      </c>
      <c r="AN41" s="237" t="s">
        <v>98</v>
      </c>
      <c r="AO41" s="309">
        <f>IF(AP38="","",IF(AO37=AL36,AL38,IF(AO37=AL38,AL36)))</f>
        <v>85</v>
      </c>
      <c r="AP41" s="254" t="str">
        <f>IF(AO41="",AO41,VLOOKUP(AO41,'Списки участников'!$A:$P,3,FALSE))</f>
        <v>УШКАРЕВ Максим</v>
      </c>
      <c r="AQ41" s="316"/>
      <c r="AR41" s="317"/>
      <c r="AS41" s="231" t="s">
        <v>11982</v>
      </c>
      <c r="AY41" s="333"/>
      <c r="AZ41" s="325"/>
      <c r="BA41" s="326"/>
      <c r="BB41" s="1111"/>
      <c r="BC41" s="257"/>
      <c r="BD41" s="241"/>
      <c r="BE41" s="292"/>
      <c r="BF41" s="330" t="s">
        <v>12304</v>
      </c>
      <c r="BG41" s="331">
        <f>IF(BH39="","",IF(BG38=BD36,BD40,IF(BG38=BD40,BD36)))</f>
        <v>111</v>
      </c>
      <c r="BH41" s="254" t="str">
        <f>IF(BG41="",BG41,VLOOKUP(BG41,'Списки участников'!$A:$P,3,FALSE))</f>
        <v>ТАДЖИБАЕВ Артур</v>
      </c>
    </row>
    <row r="42" spans="1:61" ht="10.5" customHeight="1" x14ac:dyDescent="0.2">
      <c r="A42" s="222"/>
      <c r="B42" s="222"/>
      <c r="C42" s="227"/>
      <c r="D42" s="247"/>
      <c r="E42" s="245"/>
      <c r="F42" s="315">
        <f>IF(E42="",E42,VLOOKUP(E42,'Списки участников'!$A:$P,3,FALSE))</f>
        <v>0</v>
      </c>
      <c r="G42" s="1247" t="s">
        <v>36</v>
      </c>
      <c r="H42" s="249">
        <v>86</v>
      </c>
      <c r="I42" s="224" t="str">
        <f>IF(H42="",H42,VLOOKUP(H42,'Списки участников'!$A:$P,3,FALSE))</f>
        <v xml:space="preserve">КОРОЛЬКОВ Егор </v>
      </c>
      <c r="J42" s="234"/>
      <c r="K42" s="234"/>
      <c r="L42" s="245">
        <f>IF(K42="",K42,VLOOKUP(K42,'Списки участников'!$A:$P,3,FALSE))</f>
        <v>0</v>
      </c>
      <c r="M42" s="245"/>
      <c r="N42" s="245"/>
      <c r="O42" s="245">
        <f>IF(N42="",N42,VLOOKUP(N42,'Списки участников'!$A:$P,3,FALSE))</f>
        <v>0</v>
      </c>
      <c r="P42" s="258"/>
      <c r="Q42" s="257"/>
      <c r="R42" s="229"/>
      <c r="S42" s="222" t="s">
        <v>955</v>
      </c>
      <c r="T42" s="305">
        <f>IF(I59="","",IF(H58=E60,E56,IF(H58=E56,E60)))</f>
        <v>54</v>
      </c>
      <c r="U42" s="224" t="str">
        <f>IF(T42="",T42,VLOOKUP(T42,'Списки участников'!$A:$P,3,FALSE))</f>
        <v>ПЕТУХОВ Антон</v>
      </c>
      <c r="V42" s="280"/>
      <c r="W42" s="226"/>
      <c r="X42" s="1249">
        <f>IF(W42="",W42,VLOOKUP(W42,'Списки участников'!$A:$P,3,FALSE))</f>
        <v>0</v>
      </c>
      <c r="Y42" s="1247"/>
      <c r="Z42" s="317"/>
      <c r="AA42" s="231" t="s">
        <v>11982</v>
      </c>
      <c r="AB42" s="260"/>
      <c r="AC42" s="260"/>
      <c r="AD42" s="257"/>
      <c r="AH42" s="339">
        <v>-49</v>
      </c>
      <c r="AI42" s="340">
        <v>106</v>
      </c>
      <c r="AJ42" s="254" t="str">
        <f>IF(AI42="",AI42,VLOOKUP(AI42,'Списки участников'!$A:$P,3,FALSE))</f>
        <v>НОВОСЕЛОВ Марк</v>
      </c>
      <c r="AK42" s="257"/>
      <c r="AL42" s="257"/>
      <c r="AM42" s="256">
        <f>IF(AL42="",AL42,VLOOKUP(AL42,'Списки участников'!$A:$P,3,FALSE))</f>
        <v>0</v>
      </c>
      <c r="AN42" s="245"/>
      <c r="AO42" s="245"/>
      <c r="AP42" s="245">
        <f>IF(AO42="",AO42,VLOOKUP(AO42,'Списки участников'!$A:$P,3,FALSE))</f>
        <v>0</v>
      </c>
      <c r="AQ42" s="245"/>
      <c r="AR42" s="245"/>
      <c r="AS42" s="269" t="s">
        <v>652</v>
      </c>
      <c r="AZ42" s="252"/>
      <c r="BA42" s="252"/>
      <c r="BB42" s="252"/>
      <c r="BC42" s="325"/>
      <c r="BD42" s="325"/>
      <c r="BE42" s="317">
        <f>IF(BD42="",BD42,VLOOKUP(BD42,'Списки участников'!$A:$P,3,FALSE))</f>
        <v>0</v>
      </c>
      <c r="BF42" s="317"/>
      <c r="BG42" s="317" t="str">
        <f>IF(BF31="","",IF(BF31=#REF!,BC38,IF(BF31=BC38,#REF!)))</f>
        <v/>
      </c>
      <c r="BH42" s="252"/>
    </row>
    <row r="43" spans="1:61" ht="10.5" customHeight="1" x14ac:dyDescent="0.2">
      <c r="A43" s="222">
        <v>19</v>
      </c>
      <c r="B43" s="223">
        <v>65</v>
      </c>
      <c r="C43" s="224" t="str">
        <f>IF(B43="",B43,VLOOKUP(B43,'Списки участников'!$A:$P,3,FALSE))</f>
        <v>СОБАКИН Юрий</v>
      </c>
      <c r="D43" s="225" t="str">
        <f>IF(B43="",B43,VLOOKUP(B43,'Списки участников'!A:L,6,FALSE))</f>
        <v>Москва</v>
      </c>
      <c r="E43" s="226"/>
      <c r="F43" s="315">
        <f>IF(E43="",E43,VLOOKUP(E43,'Списки участников'!$A:$P,3,FALSE))</f>
        <v>0</v>
      </c>
      <c r="G43" s="1247"/>
      <c r="H43" s="252"/>
      <c r="I43" s="292" t="s">
        <v>1106</v>
      </c>
      <c r="J43" s="243"/>
      <c r="K43" s="244"/>
      <c r="L43" s="245">
        <f>IF(K43="",K43,VLOOKUP(K43,'Списки участников'!$A:$P,3,FALSE))</f>
        <v>0</v>
      </c>
      <c r="M43" s="245"/>
      <c r="N43" s="245"/>
      <c r="O43" s="245">
        <f>IF(N43="",N43,VLOOKUP(N43,'Списки участников'!$A:$P,3,FALSE))</f>
        <v>0</v>
      </c>
      <c r="P43" s="258"/>
      <c r="Q43" s="257"/>
      <c r="R43" s="229"/>
      <c r="S43" s="231"/>
      <c r="T43" s="231"/>
      <c r="U43" s="307">
        <f>IF(T43="",T43,VLOOKUP(T43,'Списки участников'!$A:$P,3,FALSE))</f>
        <v>0</v>
      </c>
      <c r="V43" s="232" t="s">
        <v>47</v>
      </c>
      <c r="W43" s="233">
        <v>84</v>
      </c>
      <c r="X43" s="254" t="str">
        <f>IF(W43="",W43,VLOOKUP(W43,'Списки участников'!$A:$P,3,FALSE))</f>
        <v>ЗОЛОТКОВ Максим</v>
      </c>
      <c r="Y43" s="255"/>
      <c r="Z43" s="256"/>
      <c r="AA43" s="245">
        <f>IF(Z43="",Z43,VLOOKUP(Z43,'Списки участников'!$A:$P,3,FALSE))</f>
        <v>0</v>
      </c>
      <c r="AB43" s="322" t="s">
        <v>956</v>
      </c>
      <c r="AC43" s="283">
        <f>IF(AD38="","",IF(AC37=Z33,Z41,IF(AC37=Z41,Z33)))</f>
        <v>40</v>
      </c>
      <c r="AD43" s="254" t="str">
        <f>IF(AC43="",AC43,VLOOKUP(AC43,'Списки участников'!$A:$P,3,FALSE))</f>
        <v>НАСИРОВ Федор</v>
      </c>
      <c r="AE43" s="325"/>
      <c r="AF43" s="324"/>
      <c r="AG43" s="333"/>
      <c r="AH43" s="318"/>
      <c r="AI43" s="231"/>
      <c r="AJ43" s="307">
        <f>IF(AI43="",AI43,VLOOKUP(AI43,'Списки участников'!$A:$P,3,FALSE))</f>
        <v>0</v>
      </c>
      <c r="AK43" s="232" t="s">
        <v>764</v>
      </c>
      <c r="AL43" s="233">
        <v>74</v>
      </c>
      <c r="AM43" s="254" t="str">
        <f>IF(AL43="",AL43,VLOOKUP(AL43,'Списки участников'!$A:$P,3,FALSE))</f>
        <v>ДИНИСЕНКО Тимофей</v>
      </c>
      <c r="AN43" s="245"/>
      <c r="AO43" s="245"/>
      <c r="AP43" s="245">
        <f>IF(AO43="",AO43,VLOOKUP(AO43,'Списки участников'!$A:$P,3,FALSE))</f>
        <v>0</v>
      </c>
      <c r="AQ43" s="322" t="s">
        <v>957</v>
      </c>
      <c r="AR43" s="283">
        <f>IF(AS41="","",IF(AR40=AO39,AO41,IF(AR40=AO41,AO39)))</f>
        <v>0</v>
      </c>
      <c r="AS43" s="254" t="s">
        <v>12083</v>
      </c>
      <c r="AT43" s="325"/>
      <c r="AU43" s="324"/>
      <c r="AV43" s="333"/>
      <c r="AZ43" s="252"/>
      <c r="BA43" s="252"/>
      <c r="BB43" s="252"/>
      <c r="BC43" s="325"/>
      <c r="BD43" s="326"/>
      <c r="BE43" s="1111"/>
      <c r="BF43" s="317"/>
      <c r="BG43" s="317"/>
      <c r="BH43" s="329" t="s">
        <v>12296</v>
      </c>
    </row>
    <row r="44" spans="1:61" ht="10.5" customHeight="1" x14ac:dyDescent="0.2">
      <c r="A44" s="231"/>
      <c r="B44" s="231"/>
      <c r="C44" s="307"/>
      <c r="D44" s="232">
        <v>10</v>
      </c>
      <c r="E44" s="233">
        <v>65</v>
      </c>
      <c r="F44" s="254" t="str">
        <f>IF(E44="",E44,VLOOKUP(E44,'Списки участников'!$A:$P,3,FALSE))</f>
        <v>СОБАКИН Юрий</v>
      </c>
      <c r="G44" s="255"/>
      <c r="H44" s="256"/>
      <c r="I44" s="257">
        <f>IF(H44="",H44,VLOOKUP(H44,'Списки участников'!$A:$P,3,FALSE))</f>
        <v>0</v>
      </c>
      <c r="J44" s="258"/>
      <c r="K44" s="257"/>
      <c r="L44" s="245">
        <f>IF(K44="",K44,VLOOKUP(K44,'Списки участников'!$A:$P,3,FALSE))</f>
        <v>0</v>
      </c>
      <c r="M44" s="245"/>
      <c r="N44" s="245"/>
      <c r="O44" s="245">
        <f>IF(N44="",N44,VLOOKUP(N44,'Списки участников'!$A:$P,3,FALSE))</f>
        <v>0</v>
      </c>
      <c r="P44" s="258"/>
      <c r="Q44" s="257"/>
      <c r="R44" s="229"/>
      <c r="S44" s="237" t="s">
        <v>958</v>
      </c>
      <c r="T44" s="309">
        <f>IF(I67="","",IF(H66=E64,E68,IF(H66=E68,E64)))</f>
        <v>84</v>
      </c>
      <c r="U44" s="254" t="str">
        <f>IF(T44="",T44,VLOOKUP(T44,'Списки участников'!$A:$P,3,FALSE))</f>
        <v>ЗОЛОТКОВ Максим</v>
      </c>
      <c r="V44" s="310"/>
      <c r="W44" s="317"/>
      <c r="X44" s="231" t="s">
        <v>1106</v>
      </c>
      <c r="Y44" s="260"/>
      <c r="Z44" s="260"/>
      <c r="AA44" s="245">
        <f>IF(Z44="",Z44,VLOOKUP(Z44,'Списки участников'!$A:$P,3,FALSE))</f>
        <v>0</v>
      </c>
      <c r="AB44" s="245"/>
      <c r="AC44" s="245"/>
      <c r="AD44" s="257"/>
      <c r="AE44" s="325"/>
      <c r="AF44" s="324"/>
      <c r="AG44" s="333"/>
      <c r="AH44" s="337" t="s">
        <v>959</v>
      </c>
      <c r="AI44" s="309">
        <f>IF(AJ11="","",IF(AI10=AF9,AF11,IF(AI10=AF11,AF9)))</f>
        <v>74</v>
      </c>
      <c r="AJ44" s="254" t="str">
        <f>IF(AI44="",AI44,VLOOKUP(AI44,'Списки участников'!$A:$P,3,FALSE))</f>
        <v>ДИНИСЕНКО Тимофей</v>
      </c>
      <c r="AK44" s="310"/>
      <c r="AL44" s="241"/>
      <c r="AM44" s="292" t="s">
        <v>2598</v>
      </c>
      <c r="AN44" s="243"/>
      <c r="AO44" s="233">
        <v>46</v>
      </c>
      <c r="AP44" s="254" t="str">
        <f>IF(AO44="",AO44,VLOOKUP(AO44,'Списки участников'!$A:$P,3,FALSE))</f>
        <v>ВОЛЫНКИН Александр</v>
      </c>
      <c r="AQ44" s="245"/>
      <c r="AR44" s="245"/>
      <c r="AS44" s="245"/>
      <c r="AT44" s="325"/>
      <c r="AU44" s="324"/>
      <c r="AV44" s="333"/>
      <c r="AZ44" s="252"/>
      <c r="BA44" s="252"/>
      <c r="BB44" s="252"/>
      <c r="BC44" s="325"/>
      <c r="BD44" s="325"/>
      <c r="BE44" s="252"/>
      <c r="BF44" s="252" t="s">
        <v>12303</v>
      </c>
      <c r="BG44" s="233">
        <v>82</v>
      </c>
      <c r="BH44" s="254" t="str">
        <f>IF(BG44="",BG44,VLOOKUP(BG44,'Списки участников'!$A:$P,3,FALSE))</f>
        <v>СУЧКОВ Артемий</v>
      </c>
    </row>
    <row r="45" spans="1:61" ht="10.5" customHeight="1" x14ac:dyDescent="0.2">
      <c r="A45" s="237">
        <v>20</v>
      </c>
      <c r="B45" s="238">
        <v>98</v>
      </c>
      <c r="C45" s="254" t="str">
        <f>IF(B45="",B45,VLOOKUP(B45,'Списки участников'!$A:$P,3,FALSE))</f>
        <v>ЧИКИН Александр</v>
      </c>
      <c r="D45" s="312" t="str">
        <f>IF(B45="",B45,VLOOKUP(B45,'Списки участников'!A:L,6,FALSE))</f>
        <v>Москва</v>
      </c>
      <c r="E45" s="241"/>
      <c r="F45" s="292" t="s">
        <v>11982</v>
      </c>
      <c r="G45" s="260"/>
      <c r="H45" s="260"/>
      <c r="I45" s="257">
        <f>IF(H45="",H45,VLOOKUP(H45,'Списки участников'!$A:$P,3,FALSE))</f>
        <v>0</v>
      </c>
      <c r="J45" s="258"/>
      <c r="K45" s="257"/>
      <c r="L45" s="245">
        <f>IF(K45="",K45,VLOOKUP(K45,'Списки участников'!$A:$P,3,FALSE))</f>
        <v>0</v>
      </c>
      <c r="M45" s="245"/>
      <c r="N45" s="245"/>
      <c r="O45" s="245">
        <f>IF(N45="",N45,VLOOKUP(N45,'Списки участников'!$A:$P,3,FALSE))</f>
        <v>0</v>
      </c>
      <c r="P45" s="258"/>
      <c r="Q45" s="257"/>
      <c r="R45" s="229"/>
      <c r="S45" s="325"/>
      <c r="T45" s="324"/>
      <c r="U45" s="333"/>
      <c r="V45" s="334"/>
      <c r="W45" s="241"/>
      <c r="X45" s="245"/>
      <c r="Y45" s="260"/>
      <c r="Z45" s="260"/>
      <c r="AA45" s="245">
        <f>IF(Z45="",Z45,VLOOKUP(Z45,'Списки участников'!$A:$P,3,FALSE))</f>
        <v>0</v>
      </c>
      <c r="AB45" s="245"/>
      <c r="AC45" s="245"/>
      <c r="AD45" s="269" t="s">
        <v>639</v>
      </c>
      <c r="AE45" s="325"/>
      <c r="AF45" s="324"/>
      <c r="AG45" s="333"/>
      <c r="AH45" s="260" t="s">
        <v>960</v>
      </c>
      <c r="AI45" s="305">
        <f>IF(AJ14="","",IF(AI13=AF12,AF14,IF(AI13=AF14,AF12)))</f>
        <v>46</v>
      </c>
      <c r="AJ45" s="254" t="str">
        <f>IF(AI45="",AI45,VLOOKUP(AI45,'Списки участников'!$A:$P,3,FALSE))</f>
        <v>ВОЛЫНКИН Александр</v>
      </c>
      <c r="AK45" s="280"/>
      <c r="AL45" s="226"/>
      <c r="AM45" s="336">
        <f>IF(AL45="",AL45,VLOOKUP(AL45,'Списки участников'!$A:$P,3,FALSE))</f>
        <v>0</v>
      </c>
      <c r="AN45" s="258" t="s">
        <v>87</v>
      </c>
      <c r="AO45" s="241"/>
      <c r="AP45" s="292" t="s">
        <v>1106</v>
      </c>
      <c r="AQ45" s="243"/>
      <c r="AR45" s="244"/>
      <c r="AS45" s="245"/>
      <c r="AT45" s="325"/>
      <c r="AU45" s="324"/>
      <c r="AV45" s="333"/>
      <c r="AZ45" s="1248">
        <f>'Списки участников'!X121</f>
        <v>0</v>
      </c>
      <c r="BA45" s="1248"/>
      <c r="BB45" s="1248"/>
      <c r="BC45" s="325"/>
      <c r="BD45" s="326"/>
      <c r="BE45" s="1111"/>
      <c r="BF45" s="317"/>
      <c r="BG45" s="241"/>
      <c r="BH45" s="1120"/>
    </row>
    <row r="46" spans="1:61" ht="10.5" customHeight="1" x14ac:dyDescent="0.2">
      <c r="A46" s="222"/>
      <c r="B46" s="222"/>
      <c r="C46" s="227"/>
      <c r="D46" s="247"/>
      <c r="E46" s="245"/>
      <c r="F46" s="245">
        <f>IF(E46="",E46,VLOOKUP(E46,'Списки участников'!$A:$P,3,FALSE))</f>
        <v>0</v>
      </c>
      <c r="G46" s="245"/>
      <c r="H46" s="245"/>
      <c r="I46" s="257">
        <f>IF(H46="",H46,VLOOKUP(H46,'Списки участников'!$A:$P,3,FALSE))</f>
        <v>0</v>
      </c>
      <c r="J46" s="1247">
        <v>27</v>
      </c>
      <c r="K46" s="249">
        <v>53</v>
      </c>
      <c r="L46" s="224" t="str">
        <f>IF(K46="",K46,VLOOKUP(K46,'Списки участников'!$A:$P,3,FALSE))</f>
        <v>ПОПОВ Данила</v>
      </c>
      <c r="M46" s="234"/>
      <c r="N46" s="234"/>
      <c r="O46" s="245">
        <f>IF(N46="",N46,VLOOKUP(N46,'Списки участников'!$A:$P,3,FALSE))</f>
        <v>0</v>
      </c>
      <c r="P46" s="258"/>
      <c r="Q46" s="257"/>
      <c r="R46" s="229"/>
      <c r="Y46" s="222" t="s">
        <v>961</v>
      </c>
      <c r="Z46" s="305">
        <f>IF(AA34="","",IF(Z33=W35,W31,IF(Z33=W31,W35)))</f>
        <v>48</v>
      </c>
      <c r="AA46" s="224" t="str">
        <f>IF(Z46="",Z46,VLOOKUP(Z46,'Списки участников'!$A:$P,3,FALSE))</f>
        <v>ЛОМАКИН Павел</v>
      </c>
      <c r="AB46" s="308"/>
      <c r="AC46" s="308"/>
      <c r="AD46" s="260"/>
      <c r="AE46" s="325"/>
      <c r="AF46" s="324"/>
      <c r="AG46" s="333"/>
      <c r="AH46" s="318"/>
      <c r="AI46" s="231"/>
      <c r="AJ46" s="224">
        <f>IF(AI46="",AI46,VLOOKUP(AI46,'Списки участников'!$A:$P,3,FALSE))</f>
        <v>0</v>
      </c>
      <c r="AK46" s="232" t="s">
        <v>81</v>
      </c>
      <c r="AL46" s="233">
        <v>46</v>
      </c>
      <c r="AM46" s="254" t="str">
        <f>IF(AL46="",AL46,VLOOKUP(AL46,'Списки участников'!$A:$P,3,FALSE))</f>
        <v>ВОЛЫНКИН Александр</v>
      </c>
      <c r="AN46" s="255"/>
      <c r="AO46" s="256"/>
      <c r="AP46" s="257">
        <f>IF(AO46="",AO46,VLOOKUP(AO46,'Списки участников'!$A:$P,3,FALSE))</f>
        <v>0</v>
      </c>
      <c r="AQ46" s="258"/>
      <c r="AR46" s="257"/>
      <c r="AS46" s="269" t="s">
        <v>653</v>
      </c>
      <c r="AT46" s="325"/>
      <c r="AU46" s="324"/>
      <c r="AV46" s="333"/>
    </row>
    <row r="47" spans="1:61" ht="10.5" customHeight="1" x14ac:dyDescent="0.2">
      <c r="A47" s="222">
        <v>21</v>
      </c>
      <c r="B47" s="223">
        <v>53</v>
      </c>
      <c r="C47" s="224" t="str">
        <f>IF(B47="",B47,VLOOKUP(B47,'Списки участников'!$A:$P,3,FALSE))</f>
        <v>ПОПОВ Данила</v>
      </c>
      <c r="D47" s="225" t="str">
        <f>IF(B47="",B47,VLOOKUP(B47,'Списки участников'!A:L,6,FALSE))</f>
        <v>Москва</v>
      </c>
      <c r="E47" s="226"/>
      <c r="F47" s="245">
        <f>IF(E47="",E47,VLOOKUP(E47,'Списки участников'!$A:$P,3,FALSE))</f>
        <v>0</v>
      </c>
      <c r="G47" s="245"/>
      <c r="H47" s="245"/>
      <c r="I47" s="257">
        <f>IF(H47="",H47,VLOOKUP(H47,'Списки участников'!$A:$P,3,FALSE))</f>
        <v>0</v>
      </c>
      <c r="J47" s="1247"/>
      <c r="K47" s="252"/>
      <c r="L47" s="292" t="s">
        <v>11982</v>
      </c>
      <c r="M47" s="243"/>
      <c r="N47" s="244"/>
      <c r="O47" s="245">
        <f>IF(N47="",N47,VLOOKUP(N47,'Списки участников'!$A:$P,3,FALSE))</f>
        <v>0</v>
      </c>
      <c r="P47" s="258"/>
      <c r="Q47" s="257"/>
      <c r="R47" s="229"/>
      <c r="Y47" s="231"/>
      <c r="Z47" s="231"/>
      <c r="AA47" s="313">
        <f>IF(Z47="",Z47,VLOOKUP(Z47,'Списки участников'!$A:$P,3,FALSE))</f>
        <v>0</v>
      </c>
      <c r="AB47" s="314" t="s">
        <v>51</v>
      </c>
      <c r="AC47" s="233">
        <v>65</v>
      </c>
      <c r="AD47" s="254" t="str">
        <f>IF(AC47="",AC47,VLOOKUP(AC47,'Списки участников'!$A:$P,3,FALSE))</f>
        <v>СОБАКИН Юрий</v>
      </c>
      <c r="AE47" s="325"/>
      <c r="AF47" s="324"/>
      <c r="AG47" s="333"/>
      <c r="AH47" s="337" t="s">
        <v>962</v>
      </c>
      <c r="AI47" s="309">
        <f>IF(AJ17="","",IF(AI16=AF17,AF15,IF(AI16=AF15,AF17)))</f>
        <v>104</v>
      </c>
      <c r="AJ47" s="254" t="str">
        <f>IF(AI47="",AI47,VLOOKUP(AI47,'Списки участников'!$A:$P,3,FALSE))</f>
        <v>БУЛАВИН Михаил</v>
      </c>
      <c r="AK47" s="310"/>
      <c r="AL47" s="241"/>
      <c r="AM47" s="245" t="s">
        <v>2598</v>
      </c>
      <c r="AN47" s="260"/>
      <c r="AO47" s="260"/>
      <c r="AP47" s="257">
        <f>IF(AO47="",AO47,VLOOKUP(AO47,'Списки участников'!$A:$P,3,FALSE))</f>
        <v>0</v>
      </c>
      <c r="AQ47" s="258"/>
      <c r="AR47" s="233">
        <v>46</v>
      </c>
      <c r="AS47" s="254" t="str">
        <f>IF(AR47="",AR47,VLOOKUP(AR47,'Списки участников'!$A:$P,3,FALSE))</f>
        <v>ВОЛЫНКИН Александр</v>
      </c>
      <c r="AT47" s="325"/>
      <c r="AU47" s="324"/>
      <c r="AV47" s="333"/>
    </row>
    <row r="48" spans="1:61" ht="10.5" customHeight="1" x14ac:dyDescent="0.2">
      <c r="A48" s="231"/>
      <c r="B48" s="231"/>
      <c r="C48" s="307"/>
      <c r="D48" s="232">
        <v>11</v>
      </c>
      <c r="E48" s="233">
        <v>53</v>
      </c>
      <c r="F48" s="224" t="str">
        <f>IF(E48="",E48,VLOOKUP(E48,'Списки участников'!$A:$P,3,FALSE))</f>
        <v>ПОПОВ Данила</v>
      </c>
      <c r="G48" s="234"/>
      <c r="H48" s="234"/>
      <c r="I48" s="257">
        <f>IF(H48="",H48,VLOOKUP(H48,'Списки участников'!$A:$P,3,FALSE))</f>
        <v>0</v>
      </c>
      <c r="J48" s="258"/>
      <c r="K48" s="257"/>
      <c r="L48" s="257">
        <f>IF(K48="",K48,VLOOKUP(K48,'Списки участников'!$A:$P,3,FALSE))</f>
        <v>0</v>
      </c>
      <c r="M48" s="258"/>
      <c r="N48" s="257"/>
      <c r="O48" s="245">
        <f>IF(N48="",N48,VLOOKUP(N48,'Списки участников'!$A:$P,3,FALSE))</f>
        <v>0</v>
      </c>
      <c r="P48" s="258"/>
      <c r="Q48" s="257"/>
      <c r="R48" s="229"/>
      <c r="Y48" s="237" t="s">
        <v>963</v>
      </c>
      <c r="Z48" s="309">
        <f>IF(AA42="","",IF(Z41=W39,W43,IF(Z41=W43,W39)))</f>
        <v>65</v>
      </c>
      <c r="AA48" s="254" t="str">
        <f>IF(Z48="",Z48,VLOOKUP(Z48,'Списки участников'!$A:$P,3,FALSE))</f>
        <v>СОБАКИН Юрий</v>
      </c>
      <c r="AB48" s="316"/>
      <c r="AC48" s="317"/>
      <c r="AD48" s="470" t="s">
        <v>2598</v>
      </c>
      <c r="AE48" s="325"/>
      <c r="AF48" s="324"/>
      <c r="AG48" s="333"/>
      <c r="AH48" s="260" t="s">
        <v>964</v>
      </c>
      <c r="AI48" s="305">
        <f>IF(AJ20="","",IF(AI19=AF20,AF18,IF(AI19=AF18,AF20)))</f>
        <v>98</v>
      </c>
      <c r="AJ48" s="224" t="str">
        <f>IF(AI48="",AI48,VLOOKUP(AI48,'Списки участников'!$A:$P,3,FALSE))</f>
        <v>ЧИКИН Александр</v>
      </c>
      <c r="AK48" s="280"/>
      <c r="AL48" s="226"/>
      <c r="AM48" s="245">
        <f>IF(AL48="",AL48,VLOOKUP(AL48,'Списки участников'!$A:$P,3,FALSE))</f>
        <v>0</v>
      </c>
      <c r="AN48" s="245"/>
      <c r="AO48" s="245"/>
      <c r="AP48" s="257">
        <f>IF(AO48="",AO48,VLOOKUP(AO48,'Списки участников'!$A:$P,3,FALSE))</f>
        <v>0</v>
      </c>
      <c r="AQ48" s="1247" t="s">
        <v>892</v>
      </c>
      <c r="AR48" s="241"/>
      <c r="AS48" s="292" t="s">
        <v>11982</v>
      </c>
      <c r="AT48" s="325"/>
      <c r="AU48" s="324"/>
      <c r="AV48" s="333"/>
    </row>
    <row r="49" spans="1:60" ht="10.5" customHeight="1" x14ac:dyDescent="0.2">
      <c r="A49" s="237">
        <v>22</v>
      </c>
      <c r="B49" s="238">
        <v>85</v>
      </c>
      <c r="C49" s="254" t="str">
        <f>IF(B49="",B49,VLOOKUP(B49,'Списки участников'!$A:$P,3,FALSE))</f>
        <v>УШКАРЕВ Максим</v>
      </c>
      <c r="D49" s="312" t="str">
        <f>IF(B49="",B49,VLOOKUP(B49,'Списки участников'!A:L,6,FALSE))</f>
        <v>Жуковский</v>
      </c>
      <c r="E49" s="241"/>
      <c r="F49" s="292" t="s">
        <v>1106</v>
      </c>
      <c r="G49" s="243"/>
      <c r="H49" s="244"/>
      <c r="I49" s="257">
        <f>IF(H49="",H49,VLOOKUP(H49,'Списки участников'!$A:$P,3,FALSE))</f>
        <v>0</v>
      </c>
      <c r="J49" s="258"/>
      <c r="K49" s="257"/>
      <c r="L49" s="257">
        <f>IF(K49="",K49,VLOOKUP(K49,'Списки участников'!$A:$P,3,FALSE))</f>
        <v>0</v>
      </c>
      <c r="M49" s="258"/>
      <c r="N49" s="257"/>
      <c r="O49" s="245">
        <f>IF(N49="",N49,VLOOKUP(N49,'Списки участников'!$A:$P,3,FALSE))</f>
        <v>0</v>
      </c>
      <c r="P49" s="258"/>
      <c r="Q49" s="257"/>
      <c r="R49" s="229"/>
      <c r="Y49" s="245"/>
      <c r="Z49" s="245"/>
      <c r="AA49" s="245">
        <f>IF(Z49="",Z49,VLOOKUP(Z49,'Списки участников'!$A:$P,3,FALSE))</f>
        <v>0</v>
      </c>
      <c r="AB49" s="245"/>
      <c r="AC49" s="245"/>
      <c r="AD49" s="269" t="s">
        <v>640</v>
      </c>
      <c r="AE49" s="325"/>
      <c r="AF49" s="324"/>
      <c r="AG49" s="333"/>
      <c r="AH49" s="318"/>
      <c r="AI49" s="231"/>
      <c r="AJ49" s="307">
        <f>IF(AI49="",AI49,VLOOKUP(AI49,'Списки участников'!$A:$P,3,FALSE))</f>
        <v>0</v>
      </c>
      <c r="AK49" s="232" t="s">
        <v>82</v>
      </c>
      <c r="AL49" s="233">
        <v>98</v>
      </c>
      <c r="AM49" s="254" t="str">
        <f>IF(AL49="",AL49,VLOOKUP(AL49,'Списки участников'!$A:$P,3,FALSE))</f>
        <v>ЧИКИН Александр</v>
      </c>
      <c r="AN49" s="234"/>
      <c r="AO49" s="234"/>
      <c r="AP49" s="257">
        <f>IF(AO49="",AO49,VLOOKUP(AO49,'Списки участников'!$A:$P,3,FALSE))</f>
        <v>0</v>
      </c>
      <c r="AQ49" s="1247"/>
      <c r="AR49" s="257"/>
      <c r="AS49" s="257"/>
      <c r="AT49" s="325"/>
      <c r="AU49" s="324"/>
      <c r="AV49" s="333"/>
    </row>
    <row r="50" spans="1:60" ht="10.5" customHeight="1" x14ac:dyDescent="0.2">
      <c r="A50" s="222"/>
      <c r="B50" s="222"/>
      <c r="C50" s="227"/>
      <c r="D50" s="280"/>
      <c r="E50" s="226"/>
      <c r="F50" s="315">
        <f>IF(E50="",E50,VLOOKUP(E50,'Списки участников'!$A:$P,3,FALSE))</f>
        <v>0</v>
      </c>
      <c r="G50" s="1247" t="s">
        <v>27</v>
      </c>
      <c r="H50" s="249">
        <v>53</v>
      </c>
      <c r="I50" s="224" t="str">
        <f>IF(H50="",H50,VLOOKUP(H50,'Списки участников'!$A:$P,3,FALSE))</f>
        <v>ПОПОВ Данила</v>
      </c>
      <c r="J50" s="255"/>
      <c r="K50" s="256"/>
      <c r="L50" s="257">
        <f>IF(K50="",K50,VLOOKUP(K50,'Списки участников'!$A:$P,3,FALSE))</f>
        <v>0</v>
      </c>
      <c r="M50" s="258"/>
      <c r="N50" s="257"/>
      <c r="O50" s="245">
        <f>IF(N50="",N50,VLOOKUP(N50,'Списки участников'!$A:$P,3,FALSE))</f>
        <v>0</v>
      </c>
      <c r="P50" s="258"/>
      <c r="Q50" s="257"/>
      <c r="R50" s="229"/>
      <c r="Y50" s="245"/>
      <c r="Z50" s="245"/>
      <c r="AA50" s="245"/>
      <c r="AB50" s="245"/>
      <c r="AC50" s="245"/>
      <c r="AD50" s="269"/>
      <c r="AE50" s="325"/>
      <c r="AF50" s="324"/>
      <c r="AG50" s="333"/>
      <c r="AH50" s="337" t="s">
        <v>965</v>
      </c>
      <c r="AI50" s="309">
        <f>IF(AJ23="","",IF(AI22=AF21,AF23,IF(AI22=AF23,AF21)))</f>
        <v>80</v>
      </c>
      <c r="AJ50" s="254" t="str">
        <f>IF(AI50="",AI50,VLOOKUP(AI50,'Списки участников'!$A:$P,3,FALSE))</f>
        <v>ЛЕОНИДОВ Александр</v>
      </c>
      <c r="AK50" s="310"/>
      <c r="AL50" s="241"/>
      <c r="AM50" s="292" t="s">
        <v>1106</v>
      </c>
      <c r="AN50" s="243"/>
      <c r="AO50" s="244"/>
      <c r="AP50" s="257">
        <f>IF(AO50="",AO50,VLOOKUP(AO50,'Списки участников'!$A:$P,3,FALSE))</f>
        <v>0</v>
      </c>
      <c r="AQ50" s="258"/>
      <c r="AR50" s="257"/>
      <c r="AS50" s="257"/>
      <c r="AT50" s="325"/>
      <c r="AU50" s="324"/>
      <c r="AV50" s="333"/>
    </row>
    <row r="51" spans="1:60" ht="10.5" customHeight="1" x14ac:dyDescent="0.2">
      <c r="A51" s="222" t="s">
        <v>40</v>
      </c>
      <c r="B51" s="223">
        <v>80</v>
      </c>
      <c r="C51" s="224" t="str">
        <f>IF(B51="",B51,VLOOKUP(B51,'Списки участников'!$A:$P,3,FALSE))</f>
        <v>ЛЕОНИДОВ Александр</v>
      </c>
      <c r="D51" s="225" t="str">
        <f>IF(B51="",B51,VLOOKUP(B51,'Списки участников'!A:L,6,FALSE))</f>
        <v>Москва</v>
      </c>
      <c r="E51" s="226"/>
      <c r="F51" s="315">
        <f>IF(E51="",E51,VLOOKUP(E51,'Списки участников'!$A:$P,3,FALSE))</f>
        <v>0</v>
      </c>
      <c r="G51" s="1247"/>
      <c r="H51" s="252"/>
      <c r="I51" s="292" t="s">
        <v>11982</v>
      </c>
      <c r="J51" s="260"/>
      <c r="K51" s="260"/>
      <c r="L51" s="257">
        <f>IF(K51="",K51,VLOOKUP(K51,'Списки участников'!$A:$P,3,FALSE))</f>
        <v>0</v>
      </c>
      <c r="M51" s="258"/>
      <c r="N51" s="257"/>
      <c r="O51" s="245">
        <f>IF(N51="",N51,VLOOKUP(N51,'Списки участников'!$A:$P,3,FALSE))</f>
        <v>0</v>
      </c>
      <c r="P51" s="258"/>
      <c r="Q51" s="257"/>
      <c r="R51" s="229"/>
      <c r="Y51" s="245"/>
      <c r="Z51" s="245"/>
      <c r="AA51" s="245"/>
      <c r="AB51" s="322" t="s">
        <v>966</v>
      </c>
      <c r="AC51" s="283">
        <f>IF(AD48="","",IF(AC47=Z46,Z48,IF(AC47=Z48,Z46)))</f>
        <v>48</v>
      </c>
      <c r="AD51" s="254" t="str">
        <f>IF(AC51="",AC51,VLOOKUP(AC51,'Списки участников'!$A:$P,3,FALSE))</f>
        <v>ЛОМАКИН Павел</v>
      </c>
      <c r="AE51" s="325"/>
      <c r="AH51" s="260" t="s">
        <v>967</v>
      </c>
      <c r="AI51" s="305">
        <f>IF(AJ26="","",IF(AI25=AF24,AF26,IF(AI25=AF26,AF24)))</f>
        <v>91</v>
      </c>
      <c r="AJ51" s="224" t="str">
        <f>IF(AI51="",AI51,VLOOKUP(AI51,'Списки участников'!$A:$P,3,FALSE))</f>
        <v>ВАСИКОВ Евгений</v>
      </c>
      <c r="AK51" s="280"/>
      <c r="AL51" s="226"/>
      <c r="AM51" s="336">
        <f>IF(AL51="",AL51,VLOOKUP(AL51,'Списки участников'!$A:$P,3,FALSE))</f>
        <v>0</v>
      </c>
      <c r="AN51" s="258" t="s">
        <v>88</v>
      </c>
      <c r="AO51" s="233">
        <v>58</v>
      </c>
      <c r="AP51" s="254" t="str">
        <f>IF(AO51="",AO51,VLOOKUP(AO51,'Списки участников'!$A:$P,3,FALSE))</f>
        <v>КУРИЛОВИЧ Ярослав</v>
      </c>
      <c r="AQ51" s="328"/>
      <c r="AR51" s="260"/>
      <c r="AS51" s="269" t="s">
        <v>654</v>
      </c>
      <c r="AT51" s="325"/>
    </row>
    <row r="52" spans="1:60" ht="10.5" customHeight="1" x14ac:dyDescent="0.2">
      <c r="A52" s="231"/>
      <c r="B52" s="231"/>
      <c r="C52" s="307"/>
      <c r="D52" s="232">
        <v>12</v>
      </c>
      <c r="E52" s="233">
        <v>44</v>
      </c>
      <c r="F52" s="254" t="str">
        <f>IF(E52="",E52,VLOOKUP(E52,'Списки участников'!$A:$P,3,FALSE))</f>
        <v>НАЗАРКИН Максим</v>
      </c>
      <c r="G52" s="255"/>
      <c r="H52" s="256"/>
      <c r="I52" s="245">
        <f>IF(H52="",H52,VLOOKUP(H52,'Списки участников'!$A:$P,3,FALSE))</f>
        <v>0</v>
      </c>
      <c r="J52" s="245"/>
      <c r="K52" s="245"/>
      <c r="L52" s="257">
        <f>IF(K52="",K52,VLOOKUP(K52,'Списки участников'!$A:$P,3,FALSE))</f>
        <v>0</v>
      </c>
      <c r="M52" s="258"/>
      <c r="N52" s="257"/>
      <c r="O52" s="245">
        <f>IF(N52="",N52,VLOOKUP(N52,'Списки участников'!$A:$P,3,FALSE))</f>
        <v>0</v>
      </c>
      <c r="P52" s="258"/>
      <c r="Q52" s="257"/>
      <c r="R52" s="229"/>
      <c r="V52" s="325" t="s">
        <v>968</v>
      </c>
      <c r="W52" s="326">
        <f>IF(X32="","",IF(W31=T30,T32,IF(W31=T32,T30)))</f>
        <v>41</v>
      </c>
      <c r="X52" s="224" t="str">
        <f>IF(W52="",W52,VLOOKUP(W52,'Списки участников'!$A:$P,3,FALSE))</f>
        <v>ДУБРОВСКИЙ Иван</v>
      </c>
      <c r="Y52" s="245"/>
      <c r="Z52" s="245"/>
      <c r="AA52" s="245"/>
      <c r="AB52" s="245"/>
      <c r="AC52" s="245"/>
      <c r="AD52" s="252"/>
      <c r="AE52" s="325"/>
      <c r="AH52" s="318"/>
      <c r="AI52" s="231"/>
      <c r="AJ52" s="307">
        <f>IF(AI52="",AI52,VLOOKUP(AI52,'Списки участников'!$A:$P,3,FALSE))</f>
        <v>0</v>
      </c>
      <c r="AK52" s="232" t="s">
        <v>86</v>
      </c>
      <c r="AL52" s="233">
        <v>58</v>
      </c>
      <c r="AM52" s="254" t="str">
        <f>IF(AL52="",AL52,VLOOKUP(AL52,'Списки участников'!$A:$P,3,FALSE))</f>
        <v>КУРИЛОВИЧ Ярослав</v>
      </c>
      <c r="AN52" s="255"/>
      <c r="AO52" s="241"/>
      <c r="AP52" s="292" t="s">
        <v>1106</v>
      </c>
      <c r="AQ52" s="322" t="s">
        <v>969</v>
      </c>
      <c r="AR52" s="283">
        <f>IF(AR47="","",IF(AR47=AO44,AO51,IF(AR47=AO51,AO44)))</f>
        <v>58</v>
      </c>
      <c r="AS52" s="254" t="str">
        <f>IF(AR52="",AR52,VLOOKUP(AR52,'Списки участников'!$A:$P,3,FALSE))</f>
        <v>КУРИЛОВИЧ Ярослав</v>
      </c>
      <c r="AT52" s="325"/>
    </row>
    <row r="53" spans="1:60" ht="10.5" customHeight="1" x14ac:dyDescent="0.2">
      <c r="A53" s="237">
        <v>24</v>
      </c>
      <c r="B53" s="238">
        <v>44</v>
      </c>
      <c r="C53" s="254" t="str">
        <f>IF(B53="",B53,VLOOKUP(B53,'Списки участников'!$A:$P,3,FALSE))</f>
        <v>НАЗАРКИН Максим</v>
      </c>
      <c r="D53" s="312" t="str">
        <f>IF(B53="",B53,VLOOKUP(B53,'Списки участников'!A:L,6,FALSE))</f>
        <v>Москва</v>
      </c>
      <c r="E53" s="241"/>
      <c r="F53" s="242" t="s">
        <v>2598</v>
      </c>
      <c r="G53" s="260"/>
      <c r="H53" s="260"/>
      <c r="I53" s="245">
        <f>IF(H53="",H53,VLOOKUP(H53,'Списки участников'!$A:$P,3,FALSE))</f>
        <v>0</v>
      </c>
      <c r="J53" s="245"/>
      <c r="K53" s="245"/>
      <c r="L53" s="257">
        <f>IF(K53="",K53,VLOOKUP(K53,'Списки участников'!$A:$P,3,FALSE))</f>
        <v>0</v>
      </c>
      <c r="M53" s="258"/>
      <c r="N53" s="257"/>
      <c r="O53" s="245">
        <f>IF(N53="",N53,VLOOKUP(N53,'Списки участников'!$A:$P,3,FALSE))</f>
        <v>0</v>
      </c>
      <c r="P53" s="258"/>
      <c r="Q53" s="257"/>
      <c r="R53" s="229"/>
      <c r="V53" s="231"/>
      <c r="W53" s="231"/>
      <c r="X53" s="313">
        <f>IF(W53="",W53,VLOOKUP(W53,'Списки участников'!$A:$P,3,FALSE))</f>
        <v>0</v>
      </c>
      <c r="Y53" s="243" t="s">
        <v>52</v>
      </c>
      <c r="Z53" s="233">
        <v>56</v>
      </c>
      <c r="AA53" s="254" t="str">
        <f>IF(Z53="",Z53,VLOOKUP(Z53,'Списки участников'!$A:$P,3,FALSE))</f>
        <v>ГИНОСЯН Геворг</v>
      </c>
      <c r="AB53" s="256"/>
      <c r="AC53" s="256"/>
      <c r="AD53" s="269" t="s">
        <v>641</v>
      </c>
      <c r="AE53" s="325"/>
      <c r="AH53" s="337" t="s">
        <v>970</v>
      </c>
      <c r="AI53" s="309">
        <f>IF(AJ29="","",IF(AI28=AF27,AF29,IF(AI28=AF29,AF27)))</f>
        <v>58</v>
      </c>
      <c r="AJ53" s="254" t="str">
        <f>IF(AI53="",AI53,VLOOKUP(AI53,'Списки участников'!$A:$P,3,FALSE))</f>
        <v>КУРИЛОВИЧ Ярослав</v>
      </c>
      <c r="AK53" s="310"/>
      <c r="AL53" s="241"/>
      <c r="AM53" s="1108" t="s">
        <v>2598</v>
      </c>
      <c r="AN53" s="222" t="s">
        <v>971</v>
      </c>
      <c r="AO53" s="305">
        <f>IF(AP45="","",IF(AO44=AL46,AL43,IF(AO44=AL43,AL46)))</f>
        <v>74</v>
      </c>
      <c r="AP53" s="224" t="str">
        <f>IF(AO53="",AO53,VLOOKUP(AO53,'Списки участников'!$A:$P,3,FALSE))</f>
        <v>ДИНИСЕНКО Тимофей</v>
      </c>
      <c r="AQ53" s="308"/>
      <c r="AR53" s="308"/>
      <c r="AS53" s="269" t="s">
        <v>655</v>
      </c>
      <c r="AT53" s="325"/>
      <c r="AW53" s="244"/>
      <c r="AX53" s="326"/>
      <c r="AY53" s="1111"/>
      <c r="AZ53" s="334"/>
      <c r="BA53" s="241"/>
      <c r="BB53" s="1113"/>
      <c r="BC53" s="325"/>
      <c r="BD53" s="326"/>
      <c r="BE53" s="1111"/>
      <c r="BF53" s="317"/>
      <c r="BG53" s="317"/>
      <c r="BH53" s="329"/>
    </row>
    <row r="54" spans="1:60" ht="10.5" customHeight="1" x14ac:dyDescent="0.2">
      <c r="A54" s="222"/>
      <c r="B54" s="222"/>
      <c r="C54" s="227"/>
      <c r="D54" s="247"/>
      <c r="E54" s="245"/>
      <c r="F54" s="245">
        <f>IF(E54="",E54,VLOOKUP(E54,'Списки участников'!$A:$P,3,FALSE))</f>
        <v>0</v>
      </c>
      <c r="G54" s="245"/>
      <c r="H54" s="245"/>
      <c r="I54" s="245">
        <f>IF(H54="",H54,VLOOKUP(H54,'Списки участников'!$A:$P,3,FALSE))</f>
        <v>0</v>
      </c>
      <c r="J54" s="245"/>
      <c r="K54" s="245"/>
      <c r="L54" s="257">
        <f>IF(K54="",K54,VLOOKUP(K54,'Списки участников'!$A:$P,3,FALSE))</f>
        <v>0</v>
      </c>
      <c r="M54" s="1247">
        <v>30</v>
      </c>
      <c r="N54" s="233">
        <v>9</v>
      </c>
      <c r="O54" s="254" t="str">
        <f>IF(N54="",N54,VLOOKUP(N54,'Списки участников'!$A:$P,3,FALSE))</f>
        <v>САВЕЛЬЕВ Никита</v>
      </c>
      <c r="P54" s="255"/>
      <c r="Q54" s="256"/>
      <c r="R54" s="229"/>
      <c r="V54" s="237" t="s">
        <v>972</v>
      </c>
      <c r="W54" s="309">
        <f>IF(X36="","",IF(W35=T36,T34,IF(W35=T34,T36)))</f>
        <v>56</v>
      </c>
      <c r="X54" s="254" t="str">
        <f>IF(W54="",W54,VLOOKUP(W54,'Списки участников'!$A:$P,3,FALSE))</f>
        <v>ГИНОСЯН Геворг</v>
      </c>
      <c r="Y54" s="321"/>
      <c r="Z54" s="317"/>
      <c r="AA54" s="231" t="s">
        <v>2598</v>
      </c>
      <c r="AB54" s="243"/>
      <c r="AC54" s="244"/>
      <c r="AD54" s="329"/>
      <c r="AE54" s="325"/>
      <c r="AM54" s="216">
        <f>IF(AL54="",AL54,VLOOKUP(AL54,'Списки участников'!$A:$P,3,FALSE))</f>
        <v>0</v>
      </c>
      <c r="AN54" s="231"/>
      <c r="AO54" s="231"/>
      <c r="AP54" s="313">
        <f>IF(AO54="",AO54,VLOOKUP(AO54,'Списки участников'!$A:$P,3,FALSE))</f>
        <v>0</v>
      </c>
      <c r="AQ54" s="314" t="s">
        <v>893</v>
      </c>
      <c r="AR54" s="233">
        <v>74</v>
      </c>
      <c r="AS54" s="254" t="str">
        <f>IF(AR54="",AR54,VLOOKUP(AR54,'Списки участников'!$A:$P,3,FALSE))</f>
        <v>ДИНИСЕНКО Тимофей</v>
      </c>
      <c r="AT54" s="325"/>
      <c r="BC54" s="325"/>
      <c r="BD54" s="325"/>
      <c r="BE54" s="252"/>
      <c r="BF54" s="252"/>
      <c r="BG54" s="233"/>
      <c r="BH54" s="1111"/>
    </row>
    <row r="55" spans="1:60" ht="10.5" customHeight="1" x14ac:dyDescent="0.2">
      <c r="A55" s="222">
        <v>25</v>
      </c>
      <c r="B55" s="223">
        <v>9</v>
      </c>
      <c r="C55" s="224" t="str">
        <f>IF(B55="",B55,VLOOKUP(B55,'Списки участников'!$A:$P,3,FALSE))</f>
        <v>САВЕЛЬЕВ Никита</v>
      </c>
      <c r="D55" s="225" t="str">
        <f>IF(B55="",B55,VLOOKUP(B55,'Списки участников'!A:L,6,FALSE))</f>
        <v>Москва</v>
      </c>
      <c r="E55" s="226"/>
      <c r="F55" s="245">
        <f>IF(E55="",E55,VLOOKUP(E55,'Списки участников'!$A:$P,3,FALSE))</f>
        <v>0</v>
      </c>
      <c r="G55" s="245"/>
      <c r="H55" s="245"/>
      <c r="I55" s="245">
        <f>IF(H55="",H55,VLOOKUP(H55,'Списки участников'!$A:$P,3,FALSE))</f>
        <v>0</v>
      </c>
      <c r="J55" s="245"/>
      <c r="K55" s="245"/>
      <c r="L55" s="257">
        <f>IF(K55="",K55,VLOOKUP(K55,'Списки участников'!$A:$P,3,FALSE))</f>
        <v>0</v>
      </c>
      <c r="M55" s="1247"/>
      <c r="N55" s="252"/>
      <c r="O55" s="245" t="s">
        <v>2598</v>
      </c>
      <c r="P55" s="260"/>
      <c r="Q55" s="260"/>
      <c r="R55" s="229"/>
      <c r="V55" s="325"/>
      <c r="W55" s="325"/>
      <c r="X55" s="256">
        <f>IF(W55="",W55,VLOOKUP(W55,'Списки участников'!$A:$P,3,FALSE))</f>
        <v>0</v>
      </c>
      <c r="Y55" s="325"/>
      <c r="Z55" s="325"/>
      <c r="AA55" s="244">
        <f>IF(Z55="",Z55,VLOOKUP(Z55,'Списки участников'!$A:$P,3,FALSE))</f>
        <v>0</v>
      </c>
      <c r="AB55" s="1247" t="s">
        <v>54</v>
      </c>
      <c r="AC55" s="233">
        <v>44</v>
      </c>
      <c r="AD55" s="254" t="str">
        <f>IF(AC55="",AC55,VLOOKUP(AC55,'Списки участников'!$A:$P,3,FALSE))</f>
        <v>НАЗАРКИН Максим</v>
      </c>
      <c r="AE55" s="325"/>
      <c r="AM55" s="216">
        <f>IF(AL55="",AL55,VLOOKUP(AL55,'Списки участников'!$A:$P,3,FALSE))</f>
        <v>0</v>
      </c>
      <c r="AN55" s="237" t="s">
        <v>973</v>
      </c>
      <c r="AO55" s="309">
        <f>IF(AP52="","",IF(AO51=AL49,AL52,IF(AO51=AL52,AL49)))</f>
        <v>98</v>
      </c>
      <c r="AP55" s="254" t="str">
        <f>IF(AO55="",AO55,VLOOKUP(AO55,'Списки участников'!$A:$P,3,FALSE))</f>
        <v>ЧИКИН Александр</v>
      </c>
      <c r="AQ55" s="316"/>
      <c r="AR55" s="241"/>
      <c r="AS55" s="292" t="s">
        <v>2598</v>
      </c>
      <c r="AT55" s="325"/>
      <c r="BC55" s="325"/>
      <c r="BD55" s="326"/>
      <c r="BE55" s="1111"/>
      <c r="BF55" s="317"/>
      <c r="BG55" s="241"/>
      <c r="BH55" s="257"/>
    </row>
    <row r="56" spans="1:60" ht="10.5" customHeight="1" x14ac:dyDescent="0.2">
      <c r="A56" s="231"/>
      <c r="B56" s="231"/>
      <c r="C56" s="307"/>
      <c r="D56" s="232">
        <v>13</v>
      </c>
      <c r="E56" s="233">
        <v>9</v>
      </c>
      <c r="F56" s="224" t="str">
        <f>IF(E56="",E56,VLOOKUP(E56,'Списки участников'!$A:$P,3,FALSE))</f>
        <v>САВЕЛЬЕВ Никита</v>
      </c>
      <c r="G56" s="234"/>
      <c r="H56" s="234"/>
      <c r="I56" s="245">
        <f>IF(H56="",H56,VLOOKUP(H56,'Списки участников'!$A:$P,3,FALSE))</f>
        <v>0</v>
      </c>
      <c r="J56" s="245"/>
      <c r="K56" s="245"/>
      <c r="L56" s="257">
        <f>IF(K56="",K56,VLOOKUP(K56,'Списки участников'!$A:$P,3,FALSE))</f>
        <v>0</v>
      </c>
      <c r="M56" s="258"/>
      <c r="N56" s="257"/>
      <c r="O56" s="245"/>
      <c r="P56" s="245"/>
      <c r="Q56" s="245"/>
      <c r="R56" s="229"/>
      <c r="V56" s="325" t="s">
        <v>974</v>
      </c>
      <c r="W56" s="326">
        <f>IF(X40="","",IF(W39=T38,T40,IF(W39=T40,T38)))</f>
        <v>44</v>
      </c>
      <c r="X56" s="224" t="str">
        <f>IF(W56="",W56,VLOOKUP(W56,'Списки участников'!$A:$P,3,FALSE))</f>
        <v>НАЗАРКИН Максим</v>
      </c>
      <c r="Y56" s="325"/>
      <c r="Z56" s="325"/>
      <c r="AA56" s="252">
        <f>IF(Z56="",Z56,VLOOKUP(Z56,'Списки участников'!$A:$P,3,FALSE))</f>
        <v>0</v>
      </c>
      <c r="AB56" s="1247"/>
      <c r="AC56" s="317"/>
      <c r="AD56" s="418" t="s">
        <v>2598</v>
      </c>
      <c r="AE56" s="325"/>
      <c r="AM56" s="216">
        <f>IF(AL56="",AL56,VLOOKUP(AL56,'Списки участников'!$A:$P,3,FALSE))</f>
        <v>0</v>
      </c>
      <c r="AN56" s="245"/>
      <c r="AO56" s="245"/>
      <c r="AP56" s="245">
        <f>IF(AO56="",AO56,VLOOKUP(AO56,'Списки участников'!$A:$P,3,FALSE))</f>
        <v>0</v>
      </c>
      <c r="AQ56" s="245"/>
      <c r="AR56" s="245"/>
      <c r="AS56" s="269" t="s">
        <v>656</v>
      </c>
      <c r="AT56" s="325"/>
      <c r="BB56" s="216">
        <f>IF(BA56="",BA56,VLOOKUP(BA56,'Списки участников'!$A:$P,3,FALSE))</f>
        <v>0</v>
      </c>
      <c r="BC56" s="245"/>
      <c r="BD56" s="245"/>
      <c r="BE56" s="245">
        <f>IF(BD56="",BD56,VLOOKUP(BD56,'Списки участников'!$A:$P,3,FALSE))</f>
        <v>0</v>
      </c>
      <c r="BF56" s="245"/>
      <c r="BG56" s="245"/>
      <c r="BH56" s="269"/>
    </row>
    <row r="57" spans="1:60" ht="10.5" customHeight="1" x14ac:dyDescent="0.2">
      <c r="A57" s="237">
        <v>26</v>
      </c>
      <c r="B57" s="238">
        <v>23</v>
      </c>
      <c r="C57" s="254" t="str">
        <f>IF(B57="",B57,VLOOKUP(B57,'Списки участников'!$A:$P,3,FALSE))</f>
        <v>КОМИССАРОВ Даниил</v>
      </c>
      <c r="D57" s="312" t="str">
        <f>IF(B57="",B57,VLOOKUP(B57,'Списки участников'!A:L,6,FALSE))</f>
        <v>Москва</v>
      </c>
      <c r="E57" s="241"/>
      <c r="F57" s="292" t="s">
        <v>1106</v>
      </c>
      <c r="G57" s="243"/>
      <c r="H57" s="244"/>
      <c r="I57" s="245">
        <f>IF(H57="",H57,VLOOKUP(H57,'Списки участников'!$A:$P,3,FALSE))</f>
        <v>0</v>
      </c>
      <c r="J57" s="245"/>
      <c r="K57" s="245"/>
      <c r="L57" s="257">
        <f>IF(K57="",K57,VLOOKUP(K57,'Списки участников'!$A:$P,3,FALSE))</f>
        <v>0</v>
      </c>
      <c r="M57" s="258"/>
      <c r="N57" s="257"/>
      <c r="O57" s="245"/>
      <c r="P57" s="245"/>
      <c r="Q57" s="245"/>
      <c r="R57" s="269" t="s">
        <v>631</v>
      </c>
      <c r="V57" s="231"/>
      <c r="W57" s="231"/>
      <c r="X57" s="313">
        <f>IF(W57="",W57,VLOOKUP(W57,'Списки участников'!$A:$P,3,FALSE))</f>
        <v>0</v>
      </c>
      <c r="Y57" s="243" t="s">
        <v>53</v>
      </c>
      <c r="Z57" s="233">
        <v>44</v>
      </c>
      <c r="AA57" s="254" t="str">
        <f>IF(Z57="",Z57,VLOOKUP(Z57,'Списки участников'!$A:$P,3,FALSE))</f>
        <v>НАЗАРКИН Максим</v>
      </c>
      <c r="AB57" s="255"/>
      <c r="AC57" s="256"/>
      <c r="AD57" s="269" t="s">
        <v>642</v>
      </c>
      <c r="AE57" s="325"/>
      <c r="AK57" s="237" t="s">
        <v>975</v>
      </c>
      <c r="AL57" s="326">
        <f>IF(AM44="","",IF(AL43=AI44,AI42,IF(AL43=AI42,AI44)))</f>
        <v>106</v>
      </c>
      <c r="AM57" s="224" t="str">
        <f>IF(AL57="",AL57,VLOOKUP(AL57,'Списки участников'!$A:$P,3,FALSE))</f>
        <v>НОВОСЕЛОВ Марк</v>
      </c>
      <c r="AN57" s="245"/>
      <c r="AO57" s="245"/>
      <c r="AP57" s="245">
        <f>IF(AO57="",AO57,VLOOKUP(AO57,'Списки участников'!$A:$P,3,FALSE))</f>
        <v>0</v>
      </c>
      <c r="AQ57" s="322" t="s">
        <v>976</v>
      </c>
      <c r="AR57" s="283">
        <f>IF(AS55="","",IF(AR54=AO53,AO55,IF(AR54=AO55,AO53)))</f>
        <v>98</v>
      </c>
      <c r="AS57" s="254" t="str">
        <f>IF(AR57="",AR57,VLOOKUP(AR57,'Списки участников'!$A:$P,3,FALSE))</f>
        <v>ЧИКИН Александр</v>
      </c>
      <c r="AT57" s="325"/>
    </row>
    <row r="58" spans="1:60" ht="10.5" customHeight="1" x14ac:dyDescent="0.2">
      <c r="A58" s="222"/>
      <c r="B58" s="222"/>
      <c r="C58" s="227"/>
      <c r="D58" s="247"/>
      <c r="E58" s="245"/>
      <c r="F58" s="315">
        <f>IF(E58="",E58,VLOOKUP(E58,'Списки участников'!$A:$P,3,FALSE))</f>
        <v>0</v>
      </c>
      <c r="G58" s="1247" t="s">
        <v>40</v>
      </c>
      <c r="H58" s="249">
        <v>9</v>
      </c>
      <c r="I58" s="224" t="str">
        <f>IF(H58="",H58,VLOOKUP(H58,'Списки участников'!$A:$P,3,FALSE))</f>
        <v>САВЕЛЬЕВ Никита</v>
      </c>
      <c r="J58" s="234"/>
      <c r="K58" s="234"/>
      <c r="L58" s="257">
        <f>IF(K58="",K58,VLOOKUP(K58,'Списки участников'!$A:$P,3,FALSE))</f>
        <v>0</v>
      </c>
      <c r="M58" s="258"/>
      <c r="N58" s="257"/>
      <c r="O58" s="245"/>
      <c r="P58" s="245"/>
      <c r="Q58" s="245"/>
      <c r="R58" s="229"/>
      <c r="V58" s="237" t="s">
        <v>977</v>
      </c>
      <c r="W58" s="309">
        <f>IF(X44="","",IF(W43=T42,T44,IF(W43=T44,T42)))</f>
        <v>54</v>
      </c>
      <c r="X58" s="254" t="str">
        <f>IF(W58="",W58,VLOOKUP(W58,'Списки участников'!$A:$P,3,FALSE))</f>
        <v>ПЕТУХОВ Антон</v>
      </c>
      <c r="Y58" s="321"/>
      <c r="Z58" s="317"/>
      <c r="AA58" s="231" t="s">
        <v>2598</v>
      </c>
      <c r="AB58" s="244"/>
      <c r="AC58" s="244"/>
      <c r="AE58" s="325"/>
      <c r="AK58" s="231"/>
      <c r="AL58" s="231"/>
      <c r="AM58" s="313">
        <f>IF(AL58="",AL58,VLOOKUP(AL58,'Списки участников'!$A:$P,3,FALSE))</f>
        <v>0</v>
      </c>
      <c r="AN58" s="243" t="s">
        <v>894</v>
      </c>
      <c r="AO58" s="233">
        <v>106</v>
      </c>
      <c r="AP58" s="254" t="str">
        <f>IF(AO58="",AO58,VLOOKUP(AO58,'Списки участников'!$A:$P,3,FALSE))</f>
        <v>НОВОСЕЛОВ Марк</v>
      </c>
      <c r="AQ58" s="256"/>
      <c r="AR58" s="256"/>
      <c r="AS58" s="269"/>
      <c r="AT58" s="325"/>
    </row>
    <row r="59" spans="1:60" ht="10.5" customHeight="1" x14ac:dyDescent="0.2">
      <c r="A59" s="222">
        <v>27</v>
      </c>
      <c r="B59" s="223">
        <v>91</v>
      </c>
      <c r="C59" s="224" t="str">
        <f>IF(B59="",B59,VLOOKUP(B59,'Списки участников'!$A:$P,3,FALSE))</f>
        <v>ВАСИКОВ Евгений</v>
      </c>
      <c r="D59" s="225" t="str">
        <f>IF(B59="",B59,VLOOKUP(B59,'Списки участников'!A:L,6,FALSE))</f>
        <v>Людиново  Кал.обл.</v>
      </c>
      <c r="E59" s="226"/>
      <c r="F59" s="315">
        <f>IF(E59="",E59,VLOOKUP(E59,'Списки участников'!$A:$P,3,FALSE))</f>
        <v>0</v>
      </c>
      <c r="G59" s="1247"/>
      <c r="H59" s="252"/>
      <c r="I59" s="292" t="s">
        <v>1106</v>
      </c>
      <c r="J59" s="243"/>
      <c r="K59" s="244"/>
      <c r="L59" s="257">
        <f>IF(K59="",K59,VLOOKUP(K59,'Списки участников'!$A:$P,3,FALSE))</f>
        <v>0</v>
      </c>
      <c r="M59" s="258"/>
      <c r="N59" s="257"/>
      <c r="O59" s="245"/>
      <c r="P59" s="245"/>
      <c r="Q59" s="245"/>
      <c r="R59" s="229"/>
      <c r="V59" s="252"/>
      <c r="W59" s="252"/>
      <c r="X59" s="252">
        <f>IF(W59="",W59,VLOOKUP(W59,'Списки участников'!$A:$P,3,FALSE))</f>
        <v>0</v>
      </c>
      <c r="Y59" s="325"/>
      <c r="Z59" s="325"/>
      <c r="AA59" s="252">
        <f>IF(Z59="",Z59,VLOOKUP(Z59,'Списки участников'!$A:$P,3,FALSE))</f>
        <v>0</v>
      </c>
      <c r="AB59" s="330" t="s">
        <v>978</v>
      </c>
      <c r="AC59" s="331">
        <f>IF(AD56="","",IF(AC55=Z53,Z57,IF(AC55=Z57,Z53)))</f>
        <v>56</v>
      </c>
      <c r="AD59" s="254" t="str">
        <f>IF(AC59="",AC59,VLOOKUP(AC59,'Списки участников'!$A:$P,3,FALSE))</f>
        <v>ГИНОСЯН Геворг</v>
      </c>
      <c r="AE59" s="325"/>
      <c r="AK59" s="237" t="s">
        <v>979</v>
      </c>
      <c r="AL59" s="309">
        <f>IF(AM47="","",IF(AL46=AI47,AI45,IF(AL46=AI45,AI47)))</f>
        <v>104</v>
      </c>
      <c r="AM59" s="254" t="str">
        <f>IF(AL59="",AL59,VLOOKUP(AL59,'Списки участников'!$A:$P,3,FALSE))</f>
        <v>БУЛАВИН Михаил</v>
      </c>
      <c r="AN59" s="321"/>
      <c r="AO59" s="241"/>
      <c r="AP59" s="292" t="s">
        <v>2598</v>
      </c>
      <c r="AQ59" s="243"/>
      <c r="AR59" s="244"/>
      <c r="AS59" s="329" t="s">
        <v>657</v>
      </c>
      <c r="AT59" s="325"/>
    </row>
    <row r="60" spans="1:60" ht="10.5" customHeight="1" x14ac:dyDescent="0.2">
      <c r="A60" s="231"/>
      <c r="B60" s="231"/>
      <c r="C60" s="307"/>
      <c r="D60" s="232">
        <v>14</v>
      </c>
      <c r="E60" s="233">
        <v>54</v>
      </c>
      <c r="F60" s="254" t="str">
        <f>IF(E60="",E60,VLOOKUP(E60,'Списки участников'!$A:$P,3,FALSE))</f>
        <v>ПЕТУХОВ Антон</v>
      </c>
      <c r="G60" s="255"/>
      <c r="H60" s="256"/>
      <c r="I60" s="257">
        <f>IF(H60="",H60,VLOOKUP(H60,'Списки участников'!$A:$P,3,FALSE))</f>
        <v>0</v>
      </c>
      <c r="J60" s="258"/>
      <c r="K60" s="257"/>
      <c r="L60" s="257">
        <f>IF(K60="",K60,VLOOKUP(K60,'Списки участников'!$A:$P,3,FALSE))</f>
        <v>0</v>
      </c>
      <c r="M60" s="258"/>
      <c r="N60" s="257"/>
      <c r="O60" s="245"/>
      <c r="P60" s="260" t="s">
        <v>70</v>
      </c>
      <c r="Q60" s="283">
        <f>IF(R39="","",IF(Q38=N22,N54,IF(Q38=N54,N22)))</f>
        <v>42</v>
      </c>
      <c r="R60" s="224" t="str">
        <f>IF(Q60="",Q60,VLOOKUP(Q60,'Списки участников'!$A:$P,3,FALSE))</f>
        <v>СИТНИКОВ Кирилл</v>
      </c>
      <c r="V60" s="252"/>
      <c r="W60" s="252"/>
      <c r="X60" s="252"/>
      <c r="Y60" s="325"/>
      <c r="Z60" s="325"/>
      <c r="AA60" s="317">
        <f>IF(Z60="",Z60,VLOOKUP(Z60,'Списки участников'!$A:$P,3,FALSE))</f>
        <v>0</v>
      </c>
      <c r="AB60" s="317"/>
      <c r="AC60" s="317" t="str">
        <f>IF(AB40="","",IF(AB40=#REF!,Y55,IF(AB40=Y55,#REF!)))</f>
        <v/>
      </c>
      <c r="AD60" s="252"/>
      <c r="AE60" s="325"/>
      <c r="AK60" s="325"/>
      <c r="AL60" s="325"/>
      <c r="AM60" s="256">
        <f>IF(AL60="",AL60,VLOOKUP(AL60,'Списки участников'!$A:$P,3,FALSE))</f>
        <v>0</v>
      </c>
      <c r="AN60" s="325"/>
      <c r="AO60" s="325"/>
      <c r="AP60" s="244">
        <f>IF(AO60="",AO60,VLOOKUP(AO60,'Списки участников'!$A:$P,3,FALSE))</f>
        <v>0</v>
      </c>
      <c r="AQ60" s="1247" t="s">
        <v>896</v>
      </c>
      <c r="AR60" s="233">
        <v>80</v>
      </c>
      <c r="AS60" s="254" t="str">
        <f>IF(AR60="",AR60,VLOOKUP(AR60,'Списки участников'!$A:$P,3,FALSE))</f>
        <v>ЛЕОНИДОВ Александр</v>
      </c>
      <c r="AT60" s="325"/>
    </row>
    <row r="61" spans="1:60" ht="10.5" customHeight="1" x14ac:dyDescent="0.2">
      <c r="A61" s="237">
        <v>28</v>
      </c>
      <c r="B61" s="238">
        <v>54</v>
      </c>
      <c r="C61" s="254" t="str">
        <f>IF(B61="",B61,VLOOKUP(B61,'Списки участников'!$A:$P,3,FALSE))</f>
        <v>ПЕТУХОВ Антон</v>
      </c>
      <c r="D61" s="312" t="str">
        <f>IF(B61="",B61,VLOOKUP(B61,'Списки участников'!A:L,6,FALSE))</f>
        <v>Домодедово  М.о.</v>
      </c>
      <c r="E61" s="241"/>
      <c r="F61" s="242" t="s">
        <v>2598</v>
      </c>
      <c r="G61" s="260"/>
      <c r="H61" s="260"/>
      <c r="I61" s="257">
        <f>IF(H61="",H61,VLOOKUP(H61,'Списки участников'!$A:$P,3,FALSE))</f>
        <v>0</v>
      </c>
      <c r="J61" s="258"/>
      <c r="K61" s="257"/>
      <c r="L61" s="257">
        <f>IF(K61="",K61,VLOOKUP(K61,'Списки участников'!$A:$P,3,FALSE))</f>
        <v>0</v>
      </c>
      <c r="M61" s="258"/>
      <c r="N61" s="257"/>
      <c r="O61" s="245"/>
      <c r="P61" s="245"/>
      <c r="Q61" s="245"/>
      <c r="R61" s="854" t="str">
        <f>VLOOKUP(Q60,'Списки участников'!$A:$P,6,FALSE)</f>
        <v>Рязань</v>
      </c>
      <c r="V61" s="252"/>
      <c r="W61" s="252"/>
      <c r="X61" s="252"/>
      <c r="Y61" s="245"/>
      <c r="Z61" s="245"/>
      <c r="AA61" s="245">
        <f>IF(Z61="",Z61,VLOOKUP(Z61,'Списки участников'!$A:$P,3,FALSE))</f>
        <v>0</v>
      </c>
      <c r="AB61" s="245"/>
      <c r="AC61" s="245"/>
      <c r="AD61" s="269" t="s">
        <v>643</v>
      </c>
      <c r="AE61" s="325"/>
      <c r="AK61" s="325" t="s">
        <v>980</v>
      </c>
      <c r="AL61" s="326">
        <f>IF(AM50="","",IF(AL49=AI48,AI50,IF(AL49=AI50,AI48)))</f>
        <v>80</v>
      </c>
      <c r="AM61" s="224" t="str">
        <f>IF(AL61="",AL61,VLOOKUP(AL61,'Списки участников'!$A:$P,3,FALSE))</f>
        <v>ЛЕОНИДОВ Александр</v>
      </c>
      <c r="AN61" s="325"/>
      <c r="AO61" s="325"/>
      <c r="AP61" s="252">
        <f>IF(AO61="",AO61,VLOOKUP(AO61,'Списки участников'!$A:$P,3,FALSE))</f>
        <v>0</v>
      </c>
      <c r="AQ61" s="1247"/>
      <c r="AR61" s="241"/>
      <c r="AS61" s="292" t="s">
        <v>2598</v>
      </c>
      <c r="AT61" s="325"/>
    </row>
    <row r="62" spans="1:60" ht="10.5" customHeight="1" x14ac:dyDescent="0.2">
      <c r="A62" s="222"/>
      <c r="B62" s="222"/>
      <c r="C62" s="227"/>
      <c r="D62" s="247"/>
      <c r="E62" s="245"/>
      <c r="F62" s="245">
        <f>IF(E62="",E62,VLOOKUP(E62,'Списки участников'!$A:$P,3,FALSE))</f>
        <v>0</v>
      </c>
      <c r="G62" s="260"/>
      <c r="H62" s="260"/>
      <c r="I62" s="257">
        <f>IF(H62="",H62,VLOOKUP(H62,'Списки участников'!$A:$P,3,FALSE))</f>
        <v>0</v>
      </c>
      <c r="J62" s="1247">
        <v>28</v>
      </c>
      <c r="K62" s="249">
        <v>9</v>
      </c>
      <c r="L62" s="224" t="str">
        <f>IF(K62="",K62,VLOOKUP(K62,'Списки участников'!$A:$P,3,FALSE))</f>
        <v>САВЕЛЬЕВ Никита</v>
      </c>
      <c r="M62" s="255"/>
      <c r="N62" s="256"/>
      <c r="O62" s="245"/>
      <c r="P62" s="245"/>
      <c r="Q62" s="245"/>
      <c r="R62" s="229"/>
      <c r="V62" s="252"/>
      <c r="W62" s="252"/>
      <c r="X62" s="256"/>
      <c r="Y62" s="222" t="s">
        <v>981</v>
      </c>
      <c r="Z62" s="305">
        <f>IF(AA54="","",IF(Z53=W52,W54,IF(Z53=W54,W52)))</f>
        <v>41</v>
      </c>
      <c r="AA62" s="224" t="str">
        <f>IF(Z62="",Z62,VLOOKUP(Z62,'Списки участников'!$A:$P,3,FALSE))</f>
        <v>ДУБРОВСКИЙ Иван</v>
      </c>
      <c r="AB62" s="308"/>
      <c r="AC62" s="308"/>
      <c r="AD62" s="260"/>
      <c r="AK62" s="231"/>
      <c r="AL62" s="231"/>
      <c r="AM62" s="313">
        <f>IF(AL62="",AL62,VLOOKUP(AL62,'Списки участников'!$A:$P,3,FALSE))</f>
        <v>0</v>
      </c>
      <c r="AN62" s="243" t="s">
        <v>895</v>
      </c>
      <c r="AO62" s="233">
        <v>80</v>
      </c>
      <c r="AP62" s="254" t="str">
        <f>IF(AO62="",AO62,VLOOKUP(AO62,'Списки участников'!$A:$P,3,FALSE))</f>
        <v>ЛЕОНИДОВ Александр</v>
      </c>
      <c r="AQ62" s="255"/>
      <c r="AR62" s="256"/>
      <c r="AS62" s="269" t="s">
        <v>658</v>
      </c>
    </row>
    <row r="63" spans="1:60" ht="10.5" customHeight="1" x14ac:dyDescent="0.2">
      <c r="A63" s="222">
        <v>29</v>
      </c>
      <c r="B63" s="223">
        <v>84</v>
      </c>
      <c r="C63" s="224" t="str">
        <f>IF(B63="",B63,VLOOKUP(B63,'Списки участников'!$A:$P,3,FALSE))</f>
        <v>ЗОЛОТКОВ Максим</v>
      </c>
      <c r="D63" s="225" t="str">
        <f>IF(B63="",B63,VLOOKUP(B63,'Списки участников'!A:L,6,FALSE))</f>
        <v>Пушкин  М.о.</v>
      </c>
      <c r="E63" s="226"/>
      <c r="F63" s="245">
        <f>IF(E63="",E63,VLOOKUP(E63,'Списки участников'!$A:$P,3,FALSE))</f>
        <v>0</v>
      </c>
      <c r="G63" s="245"/>
      <c r="H63" s="245"/>
      <c r="I63" s="257">
        <f>IF(H63="",H63,VLOOKUP(H63,'Списки участников'!$A:$P,3,FALSE))</f>
        <v>0</v>
      </c>
      <c r="J63" s="1247"/>
      <c r="K63" s="252"/>
      <c r="L63" s="292" t="s">
        <v>11982</v>
      </c>
      <c r="M63" s="260"/>
      <c r="N63" s="260"/>
      <c r="O63" s="245"/>
      <c r="P63" s="245"/>
      <c r="Q63" s="245"/>
      <c r="R63" s="245"/>
      <c r="V63" s="252"/>
      <c r="W63" s="252"/>
      <c r="X63" s="244"/>
      <c r="Y63" s="231"/>
      <c r="Z63" s="231"/>
      <c r="AA63" s="313">
        <f>IF(Z63="",Z63,VLOOKUP(Z63,'Списки участников'!$A:$P,3,FALSE))</f>
        <v>0</v>
      </c>
      <c r="AB63" s="314" t="s">
        <v>55</v>
      </c>
      <c r="AC63" s="233">
        <v>54</v>
      </c>
      <c r="AD63" s="254" t="str">
        <f>IF(AC63="",AC63,VLOOKUP(AC63,'Списки участников'!$A:$P,3,FALSE))</f>
        <v>ПЕТУХОВ Антон</v>
      </c>
      <c r="AK63" s="237" t="s">
        <v>982</v>
      </c>
      <c r="AL63" s="309">
        <f>IF(AM53="","",IF(AL52=AI51,AI53,IF(AL52=AI53,AI51)))</f>
        <v>91</v>
      </c>
      <c r="AM63" s="254" t="str">
        <f>IF(AL63="",AL63,VLOOKUP(AL63,'Списки участников'!$A:$P,3,FALSE))</f>
        <v>ВАСИКОВ Евгений</v>
      </c>
      <c r="AN63" s="321"/>
      <c r="AO63" s="241"/>
      <c r="AP63" s="292" t="s">
        <v>12290</v>
      </c>
      <c r="AQ63" s="330" t="s">
        <v>983</v>
      </c>
      <c r="AR63" s="331">
        <f>IF(AS61="","",IF(AR60=AO58,AO62,IF(AR60=AO62,AO58)))</f>
        <v>106</v>
      </c>
      <c r="AS63" s="254" t="str">
        <f>IF(AR63="",AR63,VLOOKUP(AR63,'Списки участников'!$A:$P,3,FALSE))</f>
        <v>НОВОСЕЛОВ Марк</v>
      </c>
    </row>
    <row r="64" spans="1:60" ht="10.5" customHeight="1" x14ac:dyDescent="0.2">
      <c r="A64" s="231"/>
      <c r="B64" s="231"/>
      <c r="C64" s="307"/>
      <c r="D64" s="232">
        <v>15</v>
      </c>
      <c r="E64" s="233">
        <v>84</v>
      </c>
      <c r="F64" s="335" t="str">
        <f>IF(E64="",E64,VLOOKUP(E64,'Списки участников'!$A:$P,3,FALSE))</f>
        <v>ЗОЛОТКОВ Максим</v>
      </c>
      <c r="G64" s="234"/>
      <c r="H64" s="234"/>
      <c r="I64" s="257">
        <f>IF(H64="",H64,VLOOKUP(H64,'Списки участников'!$A:$P,3,FALSE))</f>
        <v>0</v>
      </c>
      <c r="J64" s="258"/>
      <c r="K64" s="257"/>
      <c r="L64" s="245"/>
      <c r="M64" s="245"/>
      <c r="N64" s="245"/>
      <c r="O64" s="245"/>
      <c r="P64" s="245"/>
      <c r="Q64" s="245"/>
      <c r="R64" s="229"/>
      <c r="V64" s="252"/>
      <c r="W64" s="252"/>
      <c r="X64" s="252"/>
      <c r="Y64" s="237" t="s">
        <v>984</v>
      </c>
      <c r="Z64" s="309">
        <f>IF(AA58="","",IF(Z57=W56,W58,IF(Z57=W58,W56)))</f>
        <v>54</v>
      </c>
      <c r="AA64" s="254" t="str">
        <f>IF(Z64="",Z64,VLOOKUP(Z64,'Списки участников'!$A:$P,3,FALSE))</f>
        <v>ПЕТУХОВ Антон</v>
      </c>
      <c r="AB64" s="316"/>
      <c r="AC64" s="317"/>
      <c r="AD64" s="418" t="s">
        <v>12290</v>
      </c>
      <c r="AK64" s="252"/>
      <c r="AL64" s="252"/>
      <c r="AM64" s="252"/>
      <c r="AN64" s="325"/>
      <c r="AO64" s="325"/>
      <c r="AP64" s="317">
        <f>IF(AO64="",AO64,VLOOKUP(AO64,'Списки участников'!$A:$P,3,FALSE))</f>
        <v>0</v>
      </c>
      <c r="AQ64" s="317"/>
      <c r="AR64" s="317" t="str">
        <f>IF(AQ50="","",IF(AQ50=#REF!,AN60,IF(AQ50=AN60,#REF!)))</f>
        <v/>
      </c>
      <c r="AS64" s="252"/>
    </row>
    <row r="65" spans="1:60" ht="10.5" customHeight="1" x14ac:dyDescent="0.2">
      <c r="A65" s="237">
        <v>30</v>
      </c>
      <c r="B65" s="238">
        <v>58</v>
      </c>
      <c r="C65" s="254" t="str">
        <f>IF(B65="",B65,VLOOKUP(B65,'Списки участников'!$A:$P,3,FALSE))</f>
        <v>КУРИЛОВИЧ Ярослав</v>
      </c>
      <c r="D65" s="312" t="str">
        <f>IF(B65="",B65,VLOOKUP(B65,'Списки участников'!A:L,6,FALSE))</f>
        <v>Москва</v>
      </c>
      <c r="E65" s="241"/>
      <c r="F65" s="242" t="s">
        <v>2598</v>
      </c>
      <c r="G65" s="243"/>
      <c r="H65" s="244"/>
      <c r="I65" s="257">
        <f>IF(H65="",H65,VLOOKUP(H65,'Списки участников'!$A:$P,3,FALSE))</f>
        <v>0</v>
      </c>
      <c r="J65" s="258"/>
      <c r="K65" s="257"/>
      <c r="L65" s="245"/>
      <c r="M65" s="245"/>
      <c r="N65" s="245"/>
      <c r="O65" s="245"/>
      <c r="P65" s="245"/>
      <c r="Q65" s="245"/>
      <c r="R65" s="229"/>
      <c r="V65" s="252"/>
      <c r="W65" s="252"/>
      <c r="X65" s="252"/>
      <c r="Y65" s="245"/>
      <c r="Z65" s="245"/>
      <c r="AA65" s="245"/>
      <c r="AB65" s="245"/>
      <c r="AC65" s="245"/>
      <c r="AD65" s="269" t="s">
        <v>644</v>
      </c>
      <c r="AK65" s="252"/>
      <c r="AL65" s="252"/>
      <c r="AM65" s="252"/>
      <c r="AN65" s="222" t="s">
        <v>985</v>
      </c>
      <c r="AO65" s="305">
        <f>IF(AP59="","",IF(AO58=AL57,AL59,IF(AO58=AL59,AL57)))</f>
        <v>104</v>
      </c>
      <c r="AP65" s="224" t="str">
        <f>IF(AO65="",AO65,VLOOKUP(AO65,'Списки участников'!$A:$P,3,FALSE))</f>
        <v>БУЛАВИН Михаил</v>
      </c>
      <c r="AQ65" s="308"/>
      <c r="AR65" s="308"/>
      <c r="AS65" s="269" t="s">
        <v>659</v>
      </c>
    </row>
    <row r="66" spans="1:60" ht="10.5" customHeight="1" x14ac:dyDescent="0.2">
      <c r="A66" s="222"/>
      <c r="B66" s="222"/>
      <c r="C66" s="227"/>
      <c r="D66" s="247"/>
      <c r="E66" s="245"/>
      <c r="F66" s="315">
        <f>IF(E66="",E66,VLOOKUP(E66,'Списки участников'!$A:$P,3,FALSE))</f>
        <v>0</v>
      </c>
      <c r="G66" s="1247" t="s">
        <v>9</v>
      </c>
      <c r="H66" s="249">
        <v>36</v>
      </c>
      <c r="I66" s="224" t="str">
        <f>IF(H66="",H66,VLOOKUP(H66,'Списки участников'!$A:$P,3,FALSE))</f>
        <v>БАНДУРИН Михаил</v>
      </c>
      <c r="J66" s="255"/>
      <c r="K66" s="256"/>
      <c r="L66" s="245"/>
      <c r="M66" s="245"/>
      <c r="N66" s="245"/>
      <c r="O66" s="257"/>
      <c r="P66" s="257"/>
      <c r="Q66" s="257"/>
      <c r="R66" s="285"/>
      <c r="V66" s="245"/>
      <c r="W66" s="245"/>
      <c r="X66" s="245"/>
      <c r="Y66" s="245"/>
      <c r="Z66" s="245"/>
      <c r="AA66" s="245"/>
      <c r="AB66" s="245"/>
      <c r="AC66" s="245"/>
      <c r="AD66" s="269"/>
      <c r="AK66" s="252"/>
      <c r="AL66" s="252"/>
      <c r="AM66" s="252"/>
      <c r="AN66" s="231"/>
      <c r="AO66" s="231"/>
      <c r="AP66" s="313">
        <f>IF(AO66="",AO66,VLOOKUP(AO66,'Списки участников'!$A:$P,3,FALSE))</f>
        <v>0</v>
      </c>
      <c r="AQ66" s="314" t="s">
        <v>897</v>
      </c>
      <c r="AR66" s="233">
        <v>104</v>
      </c>
      <c r="AS66" s="254" t="str">
        <f>IF(AR66="",AR66,VLOOKUP(AR66,'Списки участников'!$A:$P,3,FALSE))</f>
        <v>БУЛАВИН Михаил</v>
      </c>
    </row>
    <row r="67" spans="1:60" ht="10.5" customHeight="1" x14ac:dyDescent="0.2">
      <c r="A67" s="1106" t="s">
        <v>12289</v>
      </c>
      <c r="B67" s="223">
        <v>94</v>
      </c>
      <c r="C67" s="254" t="str">
        <f>IF(B67="",B67,VLOOKUP(B67,'Списки участников'!$A:$P,3,FALSE))</f>
        <v>ФЕДОРЕНКО Александр</v>
      </c>
      <c r="D67" s="225" t="str">
        <f>IF(B67="",B67,VLOOKUP(B67,'Списки участников'!A:L,6,FALSE))</f>
        <v>Москва</v>
      </c>
      <c r="E67" s="226"/>
      <c r="F67" s="315">
        <f>IF(E67="",E67,VLOOKUP(E67,'Списки участников'!$A:$P,3,FALSE))</f>
        <v>0</v>
      </c>
      <c r="G67" s="1247"/>
      <c r="H67" s="252"/>
      <c r="I67" s="292" t="s">
        <v>1106</v>
      </c>
      <c r="J67" s="260"/>
      <c r="K67" s="260"/>
      <c r="L67" s="245"/>
      <c r="M67" s="245"/>
      <c r="N67" s="245"/>
      <c r="O67" s="257"/>
      <c r="P67" s="257"/>
      <c r="Q67" s="257"/>
      <c r="R67" s="285"/>
      <c r="V67" s="257"/>
      <c r="W67" s="257"/>
      <c r="X67" s="256"/>
      <c r="Y67" s="245"/>
      <c r="Z67" s="245"/>
      <c r="AA67" s="245"/>
      <c r="AB67" s="322" t="s">
        <v>986</v>
      </c>
      <c r="AC67" s="283">
        <f>IF(AD64="","",IF(AC63=Z62,Z64,IF(AC63=Z64,Z62)))</f>
        <v>41</v>
      </c>
      <c r="AD67" s="254" t="str">
        <f>IF(AC67="",AC67,VLOOKUP(AC67,'Списки участников'!$A:$P,3,FALSE))</f>
        <v>ДУБРОВСКИЙ Иван</v>
      </c>
      <c r="AN67" s="237" t="s">
        <v>987</v>
      </c>
      <c r="AO67" s="309">
        <f>IF(AP63="","",IF(AO62=AL61,AL63,IF(AO62=AL63,AL61)))</f>
        <v>91</v>
      </c>
      <c r="AP67" s="254" t="str">
        <f>IF(AO67="",AO67,VLOOKUP(AO67,'Списки участников'!$A:$P,3,FALSE))</f>
        <v>ВАСИКОВ Евгений</v>
      </c>
      <c r="AQ67" s="316"/>
      <c r="AR67" s="241"/>
      <c r="AS67" s="242" t="s">
        <v>12290</v>
      </c>
      <c r="AT67" s="731" t="s">
        <v>1129</v>
      </c>
      <c r="AU67" s="732"/>
      <c r="AV67" s="732"/>
      <c r="AW67" s="732"/>
      <c r="AX67" s="733"/>
      <c r="AY67" s="724"/>
      <c r="AZ67" s="1248" t="str">
        <f>'Списки участников'!I121</f>
        <v>В.А. Коваль</v>
      </c>
      <c r="BA67" s="1248"/>
      <c r="BB67" s="1248"/>
    </row>
    <row r="68" spans="1:60" ht="10.5" customHeight="1" x14ac:dyDescent="0.2">
      <c r="A68" s="231"/>
      <c r="B68" s="231"/>
      <c r="C68" s="224">
        <f>IF(B68="",B68,VLOOKUP(B68,'Списки участников'!$A:$P,3,FALSE))</f>
        <v>0</v>
      </c>
      <c r="D68" s="232">
        <v>16</v>
      </c>
      <c r="E68" s="233">
        <v>36</v>
      </c>
      <c r="F68" s="254" t="str">
        <f>IF(E68="",E68,VLOOKUP(E68,'Списки участников'!$A:$P,3,FALSE))</f>
        <v>БАНДУРИН Михаил</v>
      </c>
      <c r="G68" s="255"/>
      <c r="H68" s="256"/>
      <c r="I68" s="245"/>
      <c r="J68" s="260"/>
      <c r="K68" s="260"/>
      <c r="L68" s="245"/>
      <c r="M68" s="245"/>
      <c r="N68" s="245"/>
      <c r="O68" s="245"/>
      <c r="P68" s="245"/>
      <c r="Q68" s="245"/>
      <c r="R68" s="229"/>
      <c r="AN68" s="245"/>
      <c r="AO68" s="245"/>
      <c r="AP68" s="245">
        <f>IF(AO68="",AO68,VLOOKUP(AO68,'Списки участников'!$A:$P,3,FALSE))</f>
        <v>0</v>
      </c>
      <c r="AQ68" s="245"/>
      <c r="AR68" s="245"/>
      <c r="AS68" s="269" t="s">
        <v>660</v>
      </c>
      <c r="AT68" s="734"/>
      <c r="AU68" s="735"/>
      <c r="AV68" s="735"/>
      <c r="AW68" s="735"/>
      <c r="AX68" s="736"/>
      <c r="AY68" s="724"/>
      <c r="AZ68" s="737"/>
      <c r="BA68" s="737"/>
      <c r="BB68" s="737"/>
      <c r="BC68" s="257"/>
      <c r="BD68" s="257"/>
      <c r="BE68" s="257"/>
      <c r="BF68" s="257"/>
      <c r="BG68" s="257"/>
      <c r="BH68" s="329"/>
    </row>
    <row r="69" spans="1:60" ht="10.5" customHeight="1" x14ac:dyDescent="0.2">
      <c r="A69" s="237" t="s">
        <v>34</v>
      </c>
      <c r="B69" s="238">
        <v>36</v>
      </c>
      <c r="C69" s="254" t="str">
        <f>IF(B69="",B69,VLOOKUP(B69,'Списки участников'!$A:$P,3,FALSE))</f>
        <v>БАНДУРИН Михаил</v>
      </c>
      <c r="D69" s="312" t="str">
        <f>IF(B69="",B69,VLOOKUP(B69,'Списки участников'!A:L,6,FALSE))</f>
        <v>Москва</v>
      </c>
      <c r="E69" s="241"/>
      <c r="F69" s="242" t="s">
        <v>2598</v>
      </c>
      <c r="G69" s="260"/>
      <c r="H69" s="260"/>
      <c r="I69" s="245"/>
      <c r="J69" s="245"/>
      <c r="K69" s="245"/>
      <c r="L69" s="257"/>
      <c r="M69" s="257"/>
      <c r="N69" s="257"/>
      <c r="O69" s="257"/>
      <c r="P69" s="257"/>
      <c r="Q69" s="257"/>
      <c r="R69" s="229"/>
      <c r="AN69" s="245"/>
      <c r="AO69" s="245"/>
      <c r="AP69" s="245"/>
      <c r="AQ69" s="322" t="s">
        <v>988</v>
      </c>
      <c r="AR69" s="283">
        <f>IF(AS67="","",IF(AR66=AO65,AO67,IF(AR66=AO67,AO65)))</f>
        <v>91</v>
      </c>
      <c r="AS69" s="254" t="str">
        <f>IF(AR69="",AR69,VLOOKUP(AR69,'Списки участников'!$A:$P,3,FALSE))</f>
        <v>ВАСИКОВ Евгений</v>
      </c>
      <c r="AT69" s="719" t="s">
        <v>1130</v>
      </c>
      <c r="AU69" s="734"/>
      <c r="AV69" s="734"/>
      <c r="AW69" s="734"/>
      <c r="AX69" s="734"/>
      <c r="AY69" s="724"/>
      <c r="AZ69" s="1248" t="str">
        <f>'Списки участников'!I122</f>
        <v>А.С. Рожкова</v>
      </c>
      <c r="BA69" s="1248"/>
      <c r="BB69" s="1248"/>
      <c r="BC69" s="257"/>
      <c r="BD69" s="257"/>
      <c r="BE69" s="257"/>
      <c r="BF69" s="257"/>
      <c r="BG69" s="1118"/>
      <c r="BH69" s="1111"/>
    </row>
    <row r="70" spans="1:60" ht="10.5" customHeight="1" x14ac:dyDescent="0.2">
      <c r="A70" s="286"/>
      <c r="B70" s="286"/>
      <c r="C70" s="285"/>
      <c r="D70" s="287"/>
      <c r="E70" s="288"/>
      <c r="F70" s="288"/>
      <c r="G70" s="289"/>
      <c r="H70" s="289"/>
      <c r="I70" s="289"/>
      <c r="J70" s="289"/>
      <c r="K70" s="289"/>
      <c r="L70" s="288"/>
      <c r="M70" s="288"/>
      <c r="N70" s="288"/>
      <c r="O70" s="288"/>
      <c r="P70" s="288"/>
      <c r="Q70" s="288"/>
      <c r="R70" s="229"/>
      <c r="AK70" s="257"/>
      <c r="AL70" s="257"/>
      <c r="AM70" s="256"/>
      <c r="AZ70" s="257"/>
      <c r="BA70" s="257"/>
      <c r="BB70" s="256"/>
    </row>
    <row r="71" spans="1:60" ht="10.5" customHeight="1" x14ac:dyDescent="0.2"/>
    <row r="72" spans="1:60" ht="10.5" customHeight="1" x14ac:dyDescent="0.2"/>
  </sheetData>
  <mergeCells count="42">
    <mergeCell ref="BF38:BF39"/>
    <mergeCell ref="AZ45:BB45"/>
    <mergeCell ref="AT1:BH1"/>
    <mergeCell ref="AT2:BH2"/>
    <mergeCell ref="AT4:BH4"/>
    <mergeCell ref="BF18:BF19"/>
    <mergeCell ref="A1:R1"/>
    <mergeCell ref="S1:AD1"/>
    <mergeCell ref="AE1:AS1"/>
    <mergeCell ref="S2:AD2"/>
    <mergeCell ref="AE2:AS2"/>
    <mergeCell ref="D2:P2"/>
    <mergeCell ref="AE4:AS4"/>
    <mergeCell ref="G10:G11"/>
    <mergeCell ref="J14:J15"/>
    <mergeCell ref="AB17:AB18"/>
    <mergeCell ref="G18:G19"/>
    <mergeCell ref="AQ18:AQ19"/>
    <mergeCell ref="M22:M23"/>
    <mergeCell ref="G26:G27"/>
    <mergeCell ref="J30:J31"/>
    <mergeCell ref="X33:X34"/>
    <mergeCell ref="S4:AD4"/>
    <mergeCell ref="Y33:Y34"/>
    <mergeCell ref="G34:G35"/>
    <mergeCell ref="AQ35:AQ36"/>
    <mergeCell ref="AB37:AB38"/>
    <mergeCell ref="P38:P39"/>
    <mergeCell ref="X41:X42"/>
    <mergeCell ref="Y41:Y42"/>
    <mergeCell ref="G42:G43"/>
    <mergeCell ref="AZ69:BB69"/>
    <mergeCell ref="AQ60:AQ61"/>
    <mergeCell ref="J62:J63"/>
    <mergeCell ref="G66:G67"/>
    <mergeCell ref="J46:J47"/>
    <mergeCell ref="AQ48:AQ49"/>
    <mergeCell ref="G50:G51"/>
    <mergeCell ref="M54:M55"/>
    <mergeCell ref="AB55:AB56"/>
    <mergeCell ref="G58:G59"/>
    <mergeCell ref="AZ67:BB67"/>
  </mergeCells>
  <printOptions horizontalCentered="1"/>
  <pageMargins left="0.39370078740157483" right="0.19685039370078741" top="0.39370078740157483" bottom="0.39370078740157483" header="0.19685039370078741" footer="0.31496062992125984"/>
  <pageSetup scale="90" orientation="portrait" r:id="rId1"/>
  <headerFooter alignWithMargins="0"/>
  <colBreaks count="3" manualBreakCount="3">
    <brk id="18" max="67" man="1"/>
    <brk id="30" max="67" man="1"/>
    <brk id="45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C000"/>
  </sheetPr>
  <dimension ref="A1:W97"/>
  <sheetViews>
    <sheetView workbookViewId="0">
      <selection activeCell="U78" sqref="U78"/>
    </sheetView>
  </sheetViews>
  <sheetFormatPr defaultColWidth="9.33203125" defaultRowHeight="12.75" outlineLevelCol="1" x14ac:dyDescent="0.2"/>
  <cols>
    <col min="1" max="1" width="9" style="91" customWidth="1"/>
    <col min="2" max="2" width="6" style="91" customWidth="1" outlineLevel="1"/>
    <col min="3" max="3" width="20.83203125" style="91" customWidth="1"/>
    <col min="4" max="4" width="6.6640625" style="91" customWidth="1"/>
    <col min="5" max="5" width="20.83203125" style="91" customWidth="1"/>
    <col min="6" max="6" width="5.1640625" style="91" hidden="1" customWidth="1" outlineLevel="1"/>
    <col min="7" max="7" width="20.83203125" style="91" customWidth="1" collapsed="1"/>
    <col min="8" max="8" width="5.33203125" style="91" customWidth="1"/>
    <col min="9" max="9" width="6.1640625" style="91" customWidth="1"/>
    <col min="10" max="11" width="5.33203125" style="91" customWidth="1"/>
    <col min="12" max="12" width="4.6640625" style="91" customWidth="1"/>
    <col min="13" max="13" width="4.5" style="91" customWidth="1"/>
    <col min="14" max="14" width="4.33203125" style="91" customWidth="1"/>
    <col min="15" max="15" width="3.6640625" style="91" customWidth="1"/>
    <col min="16" max="16" width="2.6640625" style="91" customWidth="1"/>
    <col min="17" max="17" width="3.5" style="91" customWidth="1"/>
    <col min="18" max="18" width="19.1640625" style="91" customWidth="1"/>
    <col min="19" max="19" width="16" style="91" customWidth="1"/>
    <col min="20" max="20" width="18.33203125" style="91" customWidth="1"/>
    <col min="21" max="21" width="5.5" style="91" customWidth="1"/>
    <col min="22" max="22" width="18.83203125" style="91" customWidth="1"/>
    <col min="23" max="23" width="5.33203125" style="91" customWidth="1"/>
    <col min="24" max="16384" width="9.33203125" style="91"/>
  </cols>
  <sheetData>
    <row r="1" spans="1:23" ht="13.5" thickBot="1" x14ac:dyDescent="0.25"/>
    <row r="2" spans="1:23" x14ac:dyDescent="0.2">
      <c r="A2" s="1261" t="s">
        <v>793</v>
      </c>
      <c r="B2" s="1263"/>
      <c r="C2" s="1265" t="s">
        <v>794</v>
      </c>
      <c r="D2" s="1267"/>
      <c r="E2" s="1269" t="s">
        <v>794</v>
      </c>
      <c r="F2" s="206"/>
      <c r="G2" s="1271" t="s">
        <v>795</v>
      </c>
      <c r="H2" s="1258" t="s">
        <v>796</v>
      </c>
      <c r="I2" s="1259"/>
      <c r="J2" s="1259"/>
      <c r="K2" s="1259"/>
      <c r="L2" s="1259"/>
      <c r="M2" s="1259"/>
      <c r="N2" s="1260"/>
      <c r="O2" s="342"/>
      <c r="P2" s="342"/>
      <c r="Q2" s="342"/>
      <c r="R2" s="1254" t="s">
        <v>2501</v>
      </c>
      <c r="S2" s="1256" t="s">
        <v>989</v>
      </c>
    </row>
    <row r="3" spans="1:23" ht="13.5" thickBot="1" x14ac:dyDescent="0.25">
      <c r="A3" s="1262"/>
      <c r="B3" s="1264"/>
      <c r="C3" s="1266"/>
      <c r="D3" s="1268"/>
      <c r="E3" s="1270"/>
      <c r="F3" s="406"/>
      <c r="G3" s="1272"/>
      <c r="H3" s="154">
        <v>1</v>
      </c>
      <c r="I3" s="154">
        <v>2</v>
      </c>
      <c r="J3" s="154">
        <v>3</v>
      </c>
      <c r="K3" s="154">
        <v>4</v>
      </c>
      <c r="L3" s="154">
        <v>5</v>
      </c>
      <c r="M3" s="154">
        <v>6</v>
      </c>
      <c r="N3" s="154">
        <v>7</v>
      </c>
      <c r="O3" s="155"/>
      <c r="P3" s="155"/>
      <c r="Q3" s="155"/>
      <c r="R3" s="1255"/>
      <c r="S3" s="1257"/>
    </row>
    <row r="4" spans="1:23" ht="15.75" thickBot="1" x14ac:dyDescent="0.25">
      <c r="A4" s="359">
        <v>1</v>
      </c>
      <c r="B4" s="435">
        <f>'утеш фин'!B7</f>
        <v>35</v>
      </c>
      <c r="C4" s="342" t="str">
        <f>IF(B4="","",VLOOKUP(B4,'Списки участников'!A:P,12,FALSE))</f>
        <v>БАКШИНСКИЙ И.</v>
      </c>
      <c r="D4" s="343">
        <f>'утеш фин'!B9</f>
        <v>106</v>
      </c>
      <c r="E4" s="390" t="str">
        <f>IF(D4="",D4,VLOOKUP(D4,'Списки участников'!A:P,12,FALSE))</f>
        <v>ЗАЙЦЕВ С.</v>
      </c>
      <c r="F4" s="407"/>
      <c r="G4" s="413" t="str">
        <f>IF(F4="","",VLOOKUP(F4,'Списки участников'!A:P,12,FALSE))</f>
        <v/>
      </c>
      <c r="H4" s="344"/>
      <c r="I4" s="344"/>
      <c r="J4" s="344"/>
      <c r="K4" s="361"/>
      <c r="L4" s="361"/>
      <c r="M4" s="362"/>
      <c r="N4" s="362"/>
      <c r="O4" s="356" t="str">
        <f>IF(F4="","",COUNTIF(H4:N4,"&gt;=0"))</f>
        <v/>
      </c>
      <c r="P4" s="357" t="str">
        <f>IF(F4="","",":")</f>
        <v/>
      </c>
      <c r="Q4" s="358" t="str">
        <f>IF(F4="","",COUNTIF(H4:N4,"&lt;0"))</f>
        <v/>
      </c>
      <c r="R4" s="375" t="str">
        <f>IF(F4="","",IF(K4="",CONCATENATE(O4,"-",Q4,"(",H4,",",I4,",",J4,")"),IF(L4="",CONCATENATE(O4,"-",Q4,"(",H4,",",I4,",",J4,",",K4,")"),IF(M4="",CONCATENATE(O4,"-",Q4,"(",H4,",",I4,",",J4,",",K4,",",L4,")"),IF(N4="",CONCATENATE(O4,"-",Q4,"(",H4,",",I4,",",J4,",",K4,",",L4,",",M4,")"),IF(N4&lt;&gt;0,CONCATENATE(O4,"-",Q4,"(",H4,",",I4,",",J4,",",K4,",",L4,",",M4,",",N4,")")))))))</f>
        <v/>
      </c>
      <c r="S4" s="855" t="s">
        <v>994</v>
      </c>
      <c r="W4" s="91" t="str">
        <f>IF(N4="","",-N4)</f>
        <v/>
      </c>
    </row>
    <row r="5" spans="1:23" ht="15.75" thickBot="1" x14ac:dyDescent="0.25">
      <c r="A5" s="363">
        <v>2</v>
      </c>
      <c r="B5" s="436">
        <f>'утеш фин'!B11</f>
        <v>36</v>
      </c>
      <c r="C5" s="152" t="str">
        <f>IF(B5="","",VLOOKUP(B5,'Списки участников'!A:P,12,FALSE))</f>
        <v>МАРКИН И.</v>
      </c>
      <c r="D5" s="164">
        <f>'утеш фин'!B13</f>
        <v>48</v>
      </c>
      <c r="E5" s="391" t="str">
        <f>IF(D5="",D5,VLOOKUP(D5,'Списки участников'!A:P,12,FALSE))</f>
        <v>НАСИРОВ Ф.</v>
      </c>
      <c r="F5" s="408"/>
      <c r="G5" s="414" t="str">
        <f>IF(F5="","",VLOOKUP(F5,'Списки участников'!A:P,12,FALSE))</f>
        <v/>
      </c>
      <c r="H5" s="165"/>
      <c r="I5" s="165"/>
      <c r="J5" s="166"/>
      <c r="K5" s="166"/>
      <c r="L5" s="166"/>
      <c r="M5" s="165"/>
      <c r="N5" s="165"/>
      <c r="O5" s="167" t="str">
        <f t="shared" ref="O5:O68" si="0">IF(F5="","",COUNTIF(H5:N5,"&gt;=0"))</f>
        <v/>
      </c>
      <c r="P5" s="168" t="str">
        <f t="shared" ref="P5:P68" si="1">IF(F5="","",":")</f>
        <v/>
      </c>
      <c r="Q5" s="169" t="str">
        <f t="shared" ref="Q5:Q83" si="2">IF(F5="","",COUNTIF(H5:N5,"&lt;0"))</f>
        <v/>
      </c>
      <c r="R5" s="376" t="str">
        <f t="shared" ref="R5:R68" si="3">IF(F5="","",IF(K5="",CONCATENATE(O5,"-",Q5,"(",H5,",",I5,",",J5,")"),IF(L5="",CONCATENATE(O5,"-",Q5,"(",H5,",",I5,",",J5,",",K5,")"),IF(M5="",CONCATENATE(O5,"-",Q5,"(",H5,",",I5,",",J5,",",K5,",",L5,")"),IF(N5="",CONCATENATE(O5,"-",Q5,"(",H5,",",I5,",",J5,",",K5,",",L5,",",M5,")"),IF(N5&lt;&gt;0,CONCATENATE(O5,"-",Q5,"(",H5,",",I5,",",J5,",",K5,",",L5,",",M5,",",N5,")")))))))</f>
        <v/>
      </c>
      <c r="S5" s="855" t="s">
        <v>994</v>
      </c>
      <c r="W5" s="91" t="str">
        <f>IF(N5="","",-N5)</f>
        <v/>
      </c>
    </row>
    <row r="6" spans="1:23" ht="15.75" thickBot="1" x14ac:dyDescent="0.25">
      <c r="A6" s="363">
        <v>3</v>
      </c>
      <c r="B6" s="436">
        <f>'утеш фин'!B15</f>
        <v>42</v>
      </c>
      <c r="C6" s="152" t="str">
        <f>IF(B6="","",VLOOKUP(B6,'Списки участников'!A:P,12,FALSE))</f>
        <v>ДЯГЕЛЕВ А.</v>
      </c>
      <c r="D6" s="164">
        <f>'утеш фин'!B17</f>
        <v>76</v>
      </c>
      <c r="E6" s="391" t="str">
        <f>IF(D6="",D6,VLOOKUP(D6,'Списки участников'!A:P,12,FALSE))</f>
        <v>ПОПОВ П.</v>
      </c>
      <c r="F6" s="409"/>
      <c r="G6" s="414" t="str">
        <f>IF(F6="","",VLOOKUP(F6,'Списки участников'!A:P,12,FALSE))</f>
        <v/>
      </c>
      <c r="H6" s="165"/>
      <c r="I6" s="165"/>
      <c r="J6" s="165"/>
      <c r="K6" s="165"/>
      <c r="L6" s="165"/>
      <c r="M6" s="165"/>
      <c r="N6" s="165"/>
      <c r="O6" s="167" t="str">
        <f t="shared" si="0"/>
        <v/>
      </c>
      <c r="P6" s="168" t="str">
        <f t="shared" si="1"/>
        <v/>
      </c>
      <c r="Q6" s="169" t="str">
        <f t="shared" si="2"/>
        <v/>
      </c>
      <c r="R6" s="376" t="str">
        <f t="shared" si="3"/>
        <v/>
      </c>
      <c r="S6" s="855" t="s">
        <v>994</v>
      </c>
      <c r="W6" s="91" t="str">
        <f t="shared" ref="W6:W21" si="4">IF(N6="","",-N6)</f>
        <v/>
      </c>
    </row>
    <row r="7" spans="1:23" ht="15.75" thickBot="1" x14ac:dyDescent="0.25">
      <c r="A7" s="363">
        <v>4</v>
      </c>
      <c r="B7" s="436">
        <f>'утеш фин'!B19</f>
        <v>74</v>
      </c>
      <c r="C7" s="152" t="str">
        <f>IF(B7="","",VLOOKUP(B7,'Списки участников'!A:P,12,FALSE))</f>
        <v>БУРГАСОВ В.</v>
      </c>
      <c r="D7" s="164">
        <f>'утеш фин'!B21</f>
        <v>41</v>
      </c>
      <c r="E7" s="391" t="e">
        <f>IF(D7="",D7,VLOOKUP(D7,'Списки участников'!A:P,12,FALSE))</f>
        <v>#REF!</v>
      </c>
      <c r="F7" s="408"/>
      <c r="G7" s="414" t="str">
        <f>IF(F7="","",VLOOKUP(F7,'Списки участников'!A:P,12,FALSE))</f>
        <v/>
      </c>
      <c r="H7" s="165"/>
      <c r="I7" s="165"/>
      <c r="J7" s="165"/>
      <c r="K7" s="165"/>
      <c r="L7" s="165"/>
      <c r="M7" s="165"/>
      <c r="N7" s="165"/>
      <c r="O7" s="167" t="str">
        <f t="shared" si="0"/>
        <v/>
      </c>
      <c r="P7" s="168" t="str">
        <f t="shared" si="1"/>
        <v/>
      </c>
      <c r="Q7" s="169" t="str">
        <f t="shared" si="2"/>
        <v/>
      </c>
      <c r="R7" s="376" t="str">
        <f t="shared" si="3"/>
        <v/>
      </c>
      <c r="S7" s="855" t="s">
        <v>994</v>
      </c>
      <c r="W7" s="91" t="str">
        <f t="shared" si="4"/>
        <v/>
      </c>
    </row>
    <row r="8" spans="1:23" ht="15.75" thickBot="1" x14ac:dyDescent="0.25">
      <c r="A8" s="363">
        <v>5</v>
      </c>
      <c r="B8" s="436">
        <f>'утеш фин'!B23</f>
        <v>69</v>
      </c>
      <c r="C8" s="152" t="str">
        <f>IF(B8="","",VLOOKUP(B8,'Списки участников'!A:P,12,FALSE))</f>
        <v>ГИНОСЯН Г.</v>
      </c>
      <c r="D8" s="164">
        <f>'утеш фин'!B25</f>
        <v>56</v>
      </c>
      <c r="E8" s="391" t="str">
        <f>IF(D8="",D8,VLOOKUP(D8,'Списки участников'!A:P,12,FALSE))</f>
        <v>НАЗАРКИН М.</v>
      </c>
      <c r="F8" s="409"/>
      <c r="G8" s="414" t="str">
        <f>IF(F8="","",VLOOKUP(F8,'Списки участников'!A:P,12,FALSE))</f>
        <v/>
      </c>
      <c r="H8" s="165"/>
      <c r="I8" s="165"/>
      <c r="J8" s="165"/>
      <c r="K8" s="165"/>
      <c r="L8" s="165"/>
      <c r="M8" s="165"/>
      <c r="N8" s="165"/>
      <c r="O8" s="167" t="str">
        <f t="shared" si="0"/>
        <v/>
      </c>
      <c r="P8" s="168" t="str">
        <f t="shared" si="1"/>
        <v/>
      </c>
      <c r="Q8" s="169" t="str">
        <f t="shared" si="2"/>
        <v/>
      </c>
      <c r="R8" s="376" t="str">
        <f t="shared" si="3"/>
        <v/>
      </c>
      <c r="S8" s="855" t="s">
        <v>994</v>
      </c>
      <c r="W8" s="91" t="str">
        <f t="shared" si="4"/>
        <v/>
      </c>
    </row>
    <row r="9" spans="1:23" ht="15.75" thickBot="1" x14ac:dyDescent="0.25">
      <c r="A9" s="363">
        <v>6</v>
      </c>
      <c r="B9" s="436">
        <f>'утеш фин'!B27</f>
        <v>55</v>
      </c>
      <c r="C9" s="152" t="str">
        <f>IF(B9="","",VLOOKUP(B9,'Списки участников'!A:P,12,FALSE))</f>
        <v>ПОДЛАЗОВ В.</v>
      </c>
      <c r="D9" s="164">
        <f>'утеш фин'!B29</f>
        <v>46</v>
      </c>
      <c r="E9" s="391" t="str">
        <f>IF(D9="",D9,VLOOKUP(D9,'Списки участников'!A:P,12,FALSE))</f>
        <v>САВИЧЕВ Д.</v>
      </c>
      <c r="F9" s="408"/>
      <c r="G9" s="414" t="str">
        <f>IF(F9="","",VLOOKUP(F9,'Списки участников'!A:P,12,FALSE))</f>
        <v/>
      </c>
      <c r="H9" s="165"/>
      <c r="I9" s="165"/>
      <c r="J9" s="165"/>
      <c r="K9" s="165"/>
      <c r="L9" s="165"/>
      <c r="M9" s="165"/>
      <c r="N9" s="165"/>
      <c r="O9" s="167" t="str">
        <f t="shared" si="0"/>
        <v/>
      </c>
      <c r="P9" s="168" t="str">
        <f t="shared" si="1"/>
        <v/>
      </c>
      <c r="Q9" s="169" t="str">
        <f t="shared" si="2"/>
        <v/>
      </c>
      <c r="R9" s="376" t="str">
        <f t="shared" si="3"/>
        <v/>
      </c>
      <c r="S9" s="855" t="s">
        <v>994</v>
      </c>
      <c r="W9" s="91" t="str">
        <f t="shared" si="4"/>
        <v/>
      </c>
    </row>
    <row r="10" spans="1:23" ht="15.75" thickBot="1" x14ac:dyDescent="0.25">
      <c r="A10" s="363">
        <v>7</v>
      </c>
      <c r="B10" s="436">
        <f>'утеш фин'!B31</f>
        <v>104</v>
      </c>
      <c r="C10" s="152" t="str">
        <f>IF(B10="","",VLOOKUP(B10,'Списки участников'!A:P,12,FALSE))</f>
        <v>ВАСИКОВ Е.</v>
      </c>
      <c r="D10" s="164">
        <f>'утеш фин'!B33</f>
        <v>52</v>
      </c>
      <c r="E10" s="391" t="e">
        <f>IF(D10="",D10,VLOOKUP(D10,'Списки участников'!A:P,12,FALSE))</f>
        <v>#REF!</v>
      </c>
      <c r="F10" s="409"/>
      <c r="G10" s="414" t="str">
        <f>IF(F10="","",VLOOKUP(F10,'Списки участников'!A:P,12,FALSE))</f>
        <v/>
      </c>
      <c r="H10" s="165"/>
      <c r="I10" s="165"/>
      <c r="J10" s="165"/>
      <c r="K10" s="165"/>
      <c r="L10" s="165"/>
      <c r="M10" s="165"/>
      <c r="N10" s="165"/>
      <c r="O10" s="167" t="str">
        <f t="shared" si="0"/>
        <v/>
      </c>
      <c r="P10" s="168" t="str">
        <f t="shared" si="1"/>
        <v/>
      </c>
      <c r="Q10" s="169" t="str">
        <f t="shared" si="2"/>
        <v/>
      </c>
      <c r="R10" s="376" t="str">
        <f t="shared" si="3"/>
        <v/>
      </c>
      <c r="S10" s="855" t="s">
        <v>994</v>
      </c>
      <c r="W10" s="91" t="str">
        <f t="shared" si="4"/>
        <v/>
      </c>
    </row>
    <row r="11" spans="1:23" ht="15.75" thickBot="1" x14ac:dyDescent="0.25">
      <c r="A11" s="363">
        <v>8</v>
      </c>
      <c r="B11" s="436">
        <f>'утеш фин'!B35</f>
        <v>87</v>
      </c>
      <c r="C11" s="152" t="str">
        <f>IF(B11="","",VLOOKUP(B11,'Списки участников'!A:P,12,FALSE))</f>
        <v>ДИНИСЕНКО Т.</v>
      </c>
      <c r="D11" s="164">
        <f>'утеш фин'!B37</f>
        <v>40</v>
      </c>
      <c r="E11" s="391" t="str">
        <f>IF(D11="",D11,VLOOKUP(D11,'Списки участников'!A:P,12,FALSE))</f>
        <v>ШУКЛИН А.</v>
      </c>
      <c r="F11" s="408"/>
      <c r="G11" s="414" t="str">
        <f>IF(F11="","",VLOOKUP(F11,'Списки участников'!A:P,12,FALSE))</f>
        <v/>
      </c>
      <c r="H11" s="165"/>
      <c r="I11" s="165"/>
      <c r="J11" s="165"/>
      <c r="K11" s="165"/>
      <c r="L11" s="165"/>
      <c r="M11" s="165"/>
      <c r="N11" s="165"/>
      <c r="O11" s="167" t="str">
        <f t="shared" si="0"/>
        <v/>
      </c>
      <c r="P11" s="168" t="str">
        <f t="shared" si="1"/>
        <v/>
      </c>
      <c r="Q11" s="169" t="str">
        <f t="shared" si="2"/>
        <v/>
      </c>
      <c r="R11" s="376" t="str">
        <f t="shared" si="3"/>
        <v/>
      </c>
      <c r="S11" s="855" t="s">
        <v>994</v>
      </c>
      <c r="T11" s="171"/>
      <c r="W11" s="91" t="str">
        <f t="shared" si="4"/>
        <v/>
      </c>
    </row>
    <row r="12" spans="1:23" ht="15.75" thickBot="1" x14ac:dyDescent="0.25">
      <c r="A12" s="363">
        <v>9</v>
      </c>
      <c r="B12" s="436">
        <f>'утеш фин'!B39</f>
        <v>63</v>
      </c>
      <c r="C12" s="152" t="str">
        <f>IF(B12="","",VLOOKUP(B12,'Списки участников'!A:P,12,FALSE))</f>
        <v>ПИВОВАРОВ И.</v>
      </c>
      <c r="D12" s="164">
        <f>'утеш фин'!B41</f>
        <v>86</v>
      </c>
      <c r="E12" s="391" t="str">
        <f>IF(D12="",D12,VLOOKUP(D12,'Списки участников'!A:P,12,FALSE))</f>
        <v>РЫЖОВ П.</v>
      </c>
      <c r="F12" s="409"/>
      <c r="G12" s="414" t="str">
        <f>IF(F12="","",VLOOKUP(F12,'Списки участников'!A:P,12,FALSE))</f>
        <v/>
      </c>
      <c r="H12" s="207"/>
      <c r="I12" s="207"/>
      <c r="J12" s="207"/>
      <c r="K12" s="165"/>
      <c r="L12" s="165"/>
      <c r="M12" s="165"/>
      <c r="N12" s="165"/>
      <c r="O12" s="167" t="str">
        <f t="shared" si="0"/>
        <v/>
      </c>
      <c r="P12" s="168" t="str">
        <f t="shared" si="1"/>
        <v/>
      </c>
      <c r="Q12" s="169" t="str">
        <f t="shared" si="2"/>
        <v/>
      </c>
      <c r="R12" s="376" t="str">
        <f t="shared" si="3"/>
        <v/>
      </c>
      <c r="S12" s="855" t="s">
        <v>994</v>
      </c>
      <c r="W12" s="91" t="str">
        <f t="shared" si="4"/>
        <v/>
      </c>
    </row>
    <row r="13" spans="1:23" ht="15.75" thickBot="1" x14ac:dyDescent="0.25">
      <c r="A13" s="363">
        <v>10</v>
      </c>
      <c r="B13" s="436">
        <f>'утеш фин'!B43</f>
        <v>65</v>
      </c>
      <c r="C13" s="152" t="str">
        <f>IF(B13="","",VLOOKUP(B13,'Списки участников'!A:P,12,FALSE))</f>
        <v>СВИРЩЕВСКИЙ Ю.</v>
      </c>
      <c r="D13" s="164">
        <f>'утеш фин'!B45</f>
        <v>98</v>
      </c>
      <c r="E13" s="391" t="str">
        <f>IF(D13="",D13,VLOOKUP(D13,'Списки участников'!A:P,12,FALSE))</f>
        <v>УШКАРЕВ М.</v>
      </c>
      <c r="F13" s="408"/>
      <c r="G13" s="414" t="str">
        <f>IF(F13="","",VLOOKUP(F13,'Списки участников'!A:P,12,FALSE))</f>
        <v/>
      </c>
      <c r="H13" s="165"/>
      <c r="I13" s="165"/>
      <c r="J13" s="166"/>
      <c r="K13" s="165"/>
      <c r="L13" s="165"/>
      <c r="M13" s="165"/>
      <c r="N13" s="165"/>
      <c r="O13" s="167" t="str">
        <f t="shared" si="0"/>
        <v/>
      </c>
      <c r="P13" s="168" t="str">
        <f t="shared" si="1"/>
        <v/>
      </c>
      <c r="Q13" s="169" t="str">
        <f t="shared" si="2"/>
        <v/>
      </c>
      <c r="R13" s="376" t="str">
        <f t="shared" si="3"/>
        <v/>
      </c>
      <c r="S13" s="855" t="s">
        <v>994</v>
      </c>
      <c r="W13" s="91" t="str">
        <f t="shared" si="4"/>
        <v/>
      </c>
    </row>
    <row r="14" spans="1:23" ht="15.75" thickBot="1" x14ac:dyDescent="0.25">
      <c r="A14" s="363">
        <v>11</v>
      </c>
      <c r="B14" s="436">
        <f>'утеш фин'!B47</f>
        <v>53</v>
      </c>
      <c r="C14" s="152" t="e">
        <f>IF(B14="","",VLOOKUP(B14,'Списки участников'!A:P,12,FALSE))</f>
        <v>#REF!</v>
      </c>
      <c r="D14" s="164">
        <f>'утеш фин'!B49</f>
        <v>85</v>
      </c>
      <c r="E14" s="391" t="str">
        <f>IF(D14="",D14,VLOOKUP(D14,'Списки участников'!A:P,12,FALSE))</f>
        <v>ЦЫГАНКОВ Е.</v>
      </c>
      <c r="F14" s="409"/>
      <c r="G14" s="414" t="str">
        <f>IF(F14="","",VLOOKUP(F14,'Списки участников'!A:P,12,FALSE))</f>
        <v/>
      </c>
      <c r="H14" s="165"/>
      <c r="I14" s="165"/>
      <c r="J14" s="165"/>
      <c r="K14" s="165"/>
      <c r="L14" s="165"/>
      <c r="M14" s="165"/>
      <c r="N14" s="165"/>
      <c r="O14" s="167" t="str">
        <f t="shared" si="0"/>
        <v/>
      </c>
      <c r="P14" s="168" t="str">
        <f t="shared" si="1"/>
        <v/>
      </c>
      <c r="Q14" s="169" t="str">
        <f t="shared" si="2"/>
        <v/>
      </c>
      <c r="R14" s="376" t="str">
        <f t="shared" si="3"/>
        <v/>
      </c>
      <c r="S14" s="855" t="s">
        <v>994</v>
      </c>
      <c r="W14" s="91" t="str">
        <f t="shared" si="4"/>
        <v/>
      </c>
    </row>
    <row r="15" spans="1:23" ht="15.75" thickBot="1" x14ac:dyDescent="0.25">
      <c r="A15" s="363">
        <v>12</v>
      </c>
      <c r="B15" s="436">
        <f>'утеш фин'!B51</f>
        <v>80</v>
      </c>
      <c r="C15" s="152" t="str">
        <f>IF(B15="","",VLOOKUP(B15,'Списки участников'!A:P,12,FALSE))</f>
        <v>АНДРОНОВ Ф.</v>
      </c>
      <c r="D15" s="164">
        <f>'утеш фин'!B53</f>
        <v>44</v>
      </c>
      <c r="E15" s="391" t="str">
        <f>IF(D15="",D15,VLOOKUP(D15,'Списки участников'!A:P,12,FALSE))</f>
        <v>МАКЕЕВ А.</v>
      </c>
      <c r="F15" s="408"/>
      <c r="G15" s="414" t="str">
        <f>IF(F15="","",VLOOKUP(F15,'Списки участников'!A:P,12,FALSE))</f>
        <v/>
      </c>
      <c r="H15" s="165"/>
      <c r="I15" s="165"/>
      <c r="J15" s="165"/>
      <c r="K15" s="165"/>
      <c r="L15" s="165"/>
      <c r="M15" s="165"/>
      <c r="N15" s="165"/>
      <c r="O15" s="167" t="str">
        <f t="shared" si="0"/>
        <v/>
      </c>
      <c r="P15" s="168" t="str">
        <f t="shared" si="1"/>
        <v/>
      </c>
      <c r="Q15" s="169" t="str">
        <f t="shared" si="2"/>
        <v/>
      </c>
      <c r="R15" s="376" t="str">
        <f t="shared" si="3"/>
        <v/>
      </c>
      <c r="S15" s="855" t="s">
        <v>994</v>
      </c>
      <c r="W15" s="91" t="str">
        <f t="shared" si="4"/>
        <v/>
      </c>
    </row>
    <row r="16" spans="1:23" ht="15.75" thickBot="1" x14ac:dyDescent="0.25">
      <c r="A16" s="363">
        <v>13</v>
      </c>
      <c r="B16" s="436">
        <f>'утеш фин'!B55</f>
        <v>9</v>
      </c>
      <c r="C16" s="152" t="str">
        <f>IF(B16="","",VLOOKUP(B16,'Списки участников'!A:P,12,FALSE))</f>
        <v>САВЕЛЬЕВ Н.</v>
      </c>
      <c r="D16" s="164">
        <f>'утеш фин'!B57</f>
        <v>23</v>
      </c>
      <c r="E16" s="391" t="str">
        <f>IF(D16="",D16,VLOOKUP(D16,'Списки участников'!A:P,12,FALSE))</f>
        <v>КОМИССАРОВ Д.</v>
      </c>
      <c r="F16" s="409"/>
      <c r="G16" s="414" t="str">
        <f>IF(F16="","",VLOOKUP(F16,'Списки участников'!A:P,12,FALSE))</f>
        <v/>
      </c>
      <c r="H16" s="165"/>
      <c r="I16" s="165"/>
      <c r="J16" s="165"/>
      <c r="K16" s="165"/>
      <c r="L16" s="165"/>
      <c r="M16" s="165"/>
      <c r="N16" s="165"/>
      <c r="O16" s="167" t="str">
        <f t="shared" si="0"/>
        <v/>
      </c>
      <c r="P16" s="168" t="str">
        <f t="shared" si="1"/>
        <v/>
      </c>
      <c r="Q16" s="169" t="str">
        <f t="shared" si="2"/>
        <v/>
      </c>
      <c r="R16" s="376" t="str">
        <f t="shared" si="3"/>
        <v/>
      </c>
      <c r="S16" s="855" t="s">
        <v>994</v>
      </c>
      <c r="W16" s="91" t="str">
        <f t="shared" si="4"/>
        <v/>
      </c>
    </row>
    <row r="17" spans="1:23" ht="15.75" thickBot="1" x14ac:dyDescent="0.25">
      <c r="A17" s="363">
        <v>14</v>
      </c>
      <c r="B17" s="436">
        <f>'утеш фин'!B59</f>
        <v>91</v>
      </c>
      <c r="C17" s="152" t="str">
        <f>IF(B17="","",VLOOKUP(B17,'Списки участников'!A:P,12,FALSE))</f>
        <v>АМУРСКИЙ В.</v>
      </c>
      <c r="D17" s="164">
        <f>'утеш фин'!B61</f>
        <v>54</v>
      </c>
      <c r="E17" s="391" t="str">
        <f>IF(D17="",D17,VLOOKUP(D17,'Списки участников'!A:P,12,FALSE))</f>
        <v>СИТНИКОВ К.</v>
      </c>
      <c r="F17" s="408"/>
      <c r="G17" s="414" t="str">
        <f>IF(F17="","",VLOOKUP(F17,'Списки участников'!A:P,12,FALSE))</f>
        <v/>
      </c>
      <c r="H17" s="165"/>
      <c r="I17" s="165"/>
      <c r="J17" s="165"/>
      <c r="K17" s="165"/>
      <c r="L17" s="165"/>
      <c r="M17" s="165"/>
      <c r="N17" s="165"/>
      <c r="O17" s="167" t="str">
        <f t="shared" si="0"/>
        <v/>
      </c>
      <c r="P17" s="168" t="str">
        <f t="shared" si="1"/>
        <v/>
      </c>
      <c r="Q17" s="169" t="str">
        <f t="shared" si="2"/>
        <v/>
      </c>
      <c r="R17" s="376" t="str">
        <f t="shared" si="3"/>
        <v/>
      </c>
      <c r="S17" s="855" t="s">
        <v>994</v>
      </c>
      <c r="W17" s="91" t="str">
        <f t="shared" si="4"/>
        <v/>
      </c>
    </row>
    <row r="18" spans="1:23" ht="15.75" thickBot="1" x14ac:dyDescent="0.25">
      <c r="A18" s="363">
        <v>15</v>
      </c>
      <c r="B18" s="436">
        <f>'утеш фин'!B63</f>
        <v>84</v>
      </c>
      <c r="C18" s="152" t="str">
        <f>IF(B18="","",VLOOKUP(B18,'Списки участников'!A:P,12,FALSE))</f>
        <v>ЦЫГАНКОВ В.</v>
      </c>
      <c r="D18" s="164">
        <f>'утеш фин'!B65</f>
        <v>58</v>
      </c>
      <c r="E18" s="391" t="str">
        <f>IF(D18="",D18,VLOOKUP(D18,'Списки участников'!A:P,12,FALSE))</f>
        <v>ПЛАХОТНИК А.</v>
      </c>
      <c r="F18" s="409"/>
      <c r="G18" s="414" t="str">
        <f>IF(F18="","",VLOOKUP(F18,'Списки участников'!A:P,12,FALSE))</f>
        <v/>
      </c>
      <c r="H18" s="165"/>
      <c r="I18" s="165"/>
      <c r="J18" s="165"/>
      <c r="K18" s="165"/>
      <c r="L18" s="165"/>
      <c r="M18" s="165"/>
      <c r="N18" s="165"/>
      <c r="O18" s="167" t="str">
        <f t="shared" si="0"/>
        <v/>
      </c>
      <c r="P18" s="168" t="str">
        <f t="shared" si="1"/>
        <v/>
      </c>
      <c r="Q18" s="169" t="str">
        <f t="shared" si="2"/>
        <v/>
      </c>
      <c r="R18" s="376" t="str">
        <f t="shared" si="3"/>
        <v/>
      </c>
      <c r="S18" s="855" t="s">
        <v>994</v>
      </c>
      <c r="W18" s="91" t="str">
        <f t="shared" si="4"/>
        <v/>
      </c>
    </row>
    <row r="19" spans="1:23" ht="15.75" thickBot="1" x14ac:dyDescent="0.25">
      <c r="A19" s="364">
        <v>16</v>
      </c>
      <c r="B19" s="437">
        <f>'утеш фин'!B67</f>
        <v>94</v>
      </c>
      <c r="C19" s="155" t="str">
        <f>IF(B19="","",VLOOKUP(B19,'Списки участников'!A:P,12,FALSE))</f>
        <v>ОСТАШОВ А.</v>
      </c>
      <c r="D19" s="350">
        <f>'утеш фин'!B69</f>
        <v>36</v>
      </c>
      <c r="E19" s="392" t="str">
        <f>IF(D19="",D19,VLOOKUP(D19,'Списки участников'!A:P,12,FALSE))</f>
        <v>МАРКИН И.</v>
      </c>
      <c r="F19" s="410"/>
      <c r="G19" s="415" t="str">
        <f>IF(F19="","",VLOOKUP(F19,'Списки участников'!A:P,12,FALSE))</f>
        <v/>
      </c>
      <c r="H19" s="351"/>
      <c r="I19" s="351"/>
      <c r="J19" s="351"/>
      <c r="K19" s="351"/>
      <c r="L19" s="351"/>
      <c r="M19" s="351"/>
      <c r="N19" s="351"/>
      <c r="O19" s="366" t="str">
        <f t="shared" si="0"/>
        <v/>
      </c>
      <c r="P19" s="367" t="str">
        <f t="shared" si="1"/>
        <v/>
      </c>
      <c r="Q19" s="368" t="str">
        <f t="shared" si="2"/>
        <v/>
      </c>
      <c r="R19" s="377" t="str">
        <f t="shared" si="3"/>
        <v/>
      </c>
      <c r="S19" s="855" t="s">
        <v>994</v>
      </c>
      <c r="W19" s="91" t="str">
        <f t="shared" si="4"/>
        <v/>
      </c>
    </row>
    <row r="20" spans="1:23" ht="15.75" thickBot="1" x14ac:dyDescent="0.25">
      <c r="A20" s="359">
        <v>17</v>
      </c>
      <c r="B20" s="393" t="str">
        <f>IF(F4="","",F4)</f>
        <v/>
      </c>
      <c r="C20" s="342" t="str">
        <f>IF(B20="","",VLOOKUP(B20,'Списки участников'!A:P,12,FALSE))</f>
        <v/>
      </c>
      <c r="D20" s="341" t="str">
        <f>IF(F5="","",F5)</f>
        <v/>
      </c>
      <c r="E20" s="394" t="str">
        <f>IF(D20="",D20,VLOOKUP(D20,'Списки участников'!A:P,12,FALSE))</f>
        <v/>
      </c>
      <c r="F20" s="407"/>
      <c r="G20" s="413" t="str">
        <f>IF(F20="","",VLOOKUP(F20,'Списки участников'!A:P,12,FALSE))</f>
        <v/>
      </c>
      <c r="H20" s="344"/>
      <c r="I20" s="344"/>
      <c r="J20" s="344"/>
      <c r="K20" s="344"/>
      <c r="L20" s="344"/>
      <c r="M20" s="344"/>
      <c r="N20" s="344"/>
      <c r="O20" s="356" t="str">
        <f t="shared" si="0"/>
        <v/>
      </c>
      <c r="P20" s="357" t="str">
        <f t="shared" si="1"/>
        <v/>
      </c>
      <c r="Q20" s="358" t="str">
        <f t="shared" si="2"/>
        <v/>
      </c>
      <c r="R20" s="375" t="str">
        <f t="shared" si="3"/>
        <v/>
      </c>
      <c r="S20" s="856" t="s">
        <v>2482</v>
      </c>
      <c r="W20" s="91" t="str">
        <f t="shared" si="4"/>
        <v/>
      </c>
    </row>
    <row r="21" spans="1:23" ht="15.75" thickBot="1" x14ac:dyDescent="0.25">
      <c r="A21" s="363">
        <v>18</v>
      </c>
      <c r="B21" s="395" t="str">
        <f>IF(F6="","",F6)</f>
        <v/>
      </c>
      <c r="C21" s="152" t="str">
        <f>IF(B21="","",VLOOKUP(B21,'Списки участников'!A:P,12,FALSE))</f>
        <v/>
      </c>
      <c r="D21" s="209" t="str">
        <f>IF(F7="","",F7)</f>
        <v/>
      </c>
      <c r="E21" s="396" t="str">
        <f>IF(D21="",D21,VLOOKUP(D21,'Списки участников'!A:P,12,FALSE))</f>
        <v/>
      </c>
      <c r="F21" s="408"/>
      <c r="G21" s="414" t="str">
        <f>IF(F21="","",VLOOKUP(F21,'Списки участников'!A:P,12,FALSE))</f>
        <v/>
      </c>
      <c r="H21" s="165"/>
      <c r="I21" s="165"/>
      <c r="J21" s="166"/>
      <c r="K21" s="165"/>
      <c r="L21" s="165"/>
      <c r="M21" s="165"/>
      <c r="N21" s="165"/>
      <c r="O21" s="167" t="str">
        <f t="shared" si="0"/>
        <v/>
      </c>
      <c r="P21" s="168" t="str">
        <f t="shared" si="1"/>
        <v/>
      </c>
      <c r="Q21" s="169" t="str">
        <f t="shared" si="2"/>
        <v/>
      </c>
      <c r="R21" s="376" t="str">
        <f t="shared" si="3"/>
        <v/>
      </c>
      <c r="S21" s="856" t="s">
        <v>2482</v>
      </c>
      <c r="W21" s="91" t="str">
        <f t="shared" si="4"/>
        <v/>
      </c>
    </row>
    <row r="22" spans="1:23" ht="15.75" thickBot="1" x14ac:dyDescent="0.25">
      <c r="A22" s="363">
        <v>19</v>
      </c>
      <c r="B22" s="395" t="str">
        <f>IF(F8="","",F8)</f>
        <v/>
      </c>
      <c r="C22" s="152" t="str">
        <f>IF(B22="","",VLOOKUP(B22,'Списки участников'!A:P,12,FALSE))</f>
        <v/>
      </c>
      <c r="D22" s="209" t="str">
        <f>IF(F9="","",F9)</f>
        <v/>
      </c>
      <c r="E22" s="396" t="str">
        <f>IF(D22="",D22,VLOOKUP(D22,'Списки участников'!A:P,12,FALSE))</f>
        <v/>
      </c>
      <c r="F22" s="408"/>
      <c r="G22" s="414" t="str">
        <f>IF(F22="","",VLOOKUP(F22,'Списки участников'!A:P,12,FALSE))</f>
        <v/>
      </c>
      <c r="H22" s="165"/>
      <c r="I22" s="165"/>
      <c r="J22" s="165"/>
      <c r="K22" s="172"/>
      <c r="L22" s="172"/>
      <c r="M22" s="172"/>
      <c r="N22" s="172"/>
      <c r="O22" s="167" t="str">
        <f t="shared" si="0"/>
        <v/>
      </c>
      <c r="P22" s="168" t="str">
        <f t="shared" si="1"/>
        <v/>
      </c>
      <c r="Q22" s="169" t="str">
        <f t="shared" si="2"/>
        <v/>
      </c>
      <c r="R22" s="376" t="str">
        <f t="shared" si="3"/>
        <v/>
      </c>
      <c r="S22" s="856" t="s">
        <v>2482</v>
      </c>
    </row>
    <row r="23" spans="1:23" ht="15.75" thickBot="1" x14ac:dyDescent="0.25">
      <c r="A23" s="363">
        <v>20</v>
      </c>
      <c r="B23" s="395" t="str">
        <f>IF(F10="","",F10)</f>
        <v/>
      </c>
      <c r="C23" s="152" t="str">
        <f>IF(B23="","",VLOOKUP(B23,'Списки участников'!A:P,12,FALSE))</f>
        <v/>
      </c>
      <c r="D23" s="209" t="str">
        <f>IF(F11="","",F11)</f>
        <v/>
      </c>
      <c r="E23" s="396" t="str">
        <f>IF(D23="",D23,VLOOKUP(D23,'Списки участников'!A:P,12,FALSE))</f>
        <v/>
      </c>
      <c r="F23" s="408"/>
      <c r="G23" s="414" t="str">
        <f>IF(F23="","",VLOOKUP(F23,'Списки участников'!A:P,12,FALSE))</f>
        <v/>
      </c>
      <c r="H23" s="165"/>
      <c r="I23" s="165"/>
      <c r="J23" s="165"/>
      <c r="K23" s="172"/>
      <c r="L23" s="172"/>
      <c r="M23" s="172"/>
      <c r="N23" s="172"/>
      <c r="O23" s="167" t="str">
        <f t="shared" si="0"/>
        <v/>
      </c>
      <c r="P23" s="168" t="str">
        <f t="shared" si="1"/>
        <v/>
      </c>
      <c r="Q23" s="169" t="str">
        <f t="shared" si="2"/>
        <v/>
      </c>
      <c r="R23" s="376" t="str">
        <f t="shared" si="3"/>
        <v/>
      </c>
      <c r="S23" s="856" t="s">
        <v>2482</v>
      </c>
    </row>
    <row r="24" spans="1:23" ht="15.75" thickBot="1" x14ac:dyDescent="0.25">
      <c r="A24" s="363">
        <v>21</v>
      </c>
      <c r="B24" s="395" t="str">
        <f>IF(F12="","",F12)</f>
        <v/>
      </c>
      <c r="C24" s="152" t="str">
        <f>IF(B24="","",VLOOKUP(B24,'Списки участников'!A:P,12,FALSE))</f>
        <v/>
      </c>
      <c r="D24" s="209" t="str">
        <f>IF(F13="","",F13)</f>
        <v/>
      </c>
      <c r="E24" s="396" t="str">
        <f>IF(D24="",D24,VLOOKUP(D24,'Списки участников'!A:P,12,FALSE))</f>
        <v/>
      </c>
      <c r="F24" s="408"/>
      <c r="G24" s="414" t="str">
        <f>IF(F24="","",VLOOKUP(F24,'Списки участников'!A:P,12,FALSE))</f>
        <v/>
      </c>
      <c r="H24" s="165"/>
      <c r="I24" s="165"/>
      <c r="J24" s="165"/>
      <c r="K24" s="172"/>
      <c r="L24" s="172"/>
      <c r="M24" s="172"/>
      <c r="N24" s="172"/>
      <c r="O24" s="167" t="str">
        <f t="shared" si="0"/>
        <v/>
      </c>
      <c r="P24" s="168" t="str">
        <f t="shared" si="1"/>
        <v/>
      </c>
      <c r="Q24" s="169" t="str">
        <f t="shared" si="2"/>
        <v/>
      </c>
      <c r="R24" s="376" t="str">
        <f t="shared" si="3"/>
        <v/>
      </c>
      <c r="S24" s="856" t="s">
        <v>2482</v>
      </c>
    </row>
    <row r="25" spans="1:23" ht="15.75" thickBot="1" x14ac:dyDescent="0.25">
      <c r="A25" s="363">
        <v>22</v>
      </c>
      <c r="B25" s="395" t="str">
        <f>IF(F14="","",F14)</f>
        <v/>
      </c>
      <c r="C25" s="152" t="str">
        <f>IF(B25="","",VLOOKUP(B25,'Списки участников'!A:P,12,FALSE))</f>
        <v/>
      </c>
      <c r="D25" s="209" t="str">
        <f>IF(F15="","",F15)</f>
        <v/>
      </c>
      <c r="E25" s="396" t="str">
        <f>IF(D25="",D25,VLOOKUP(D25,'Списки участников'!A:P,12,FALSE))</f>
        <v/>
      </c>
      <c r="F25" s="408"/>
      <c r="G25" s="414" t="str">
        <f>IF(F25="","",VLOOKUP(F25,'Списки участников'!A:P,12,FALSE))</f>
        <v/>
      </c>
      <c r="H25" s="165"/>
      <c r="I25" s="165"/>
      <c r="J25" s="165"/>
      <c r="K25" s="172"/>
      <c r="L25" s="172"/>
      <c r="M25" s="172"/>
      <c r="N25" s="172"/>
      <c r="O25" s="167" t="str">
        <f t="shared" si="0"/>
        <v/>
      </c>
      <c r="P25" s="168" t="str">
        <f t="shared" si="1"/>
        <v/>
      </c>
      <c r="Q25" s="169" t="str">
        <f t="shared" si="2"/>
        <v/>
      </c>
      <c r="R25" s="376" t="str">
        <f t="shared" si="3"/>
        <v/>
      </c>
      <c r="S25" s="856" t="s">
        <v>2482</v>
      </c>
    </row>
    <row r="26" spans="1:23" ht="15.75" thickBot="1" x14ac:dyDescent="0.25">
      <c r="A26" s="363">
        <v>23</v>
      </c>
      <c r="B26" s="395" t="str">
        <f>IF(F16="","",F16)</f>
        <v/>
      </c>
      <c r="C26" s="152" t="str">
        <f>IF(B26="","",VLOOKUP(B26,'Списки участников'!A:P,12,FALSE))</f>
        <v/>
      </c>
      <c r="D26" s="209" t="str">
        <f>IF(F17="","",F17)</f>
        <v/>
      </c>
      <c r="E26" s="396" t="str">
        <f>IF(D26="",D26,VLOOKUP(D26,'Списки участников'!A:P,12,FALSE))</f>
        <v/>
      </c>
      <c r="F26" s="408"/>
      <c r="G26" s="414" t="str">
        <f>IF(F26="","",VLOOKUP(F26,'Списки участников'!A:P,12,FALSE))</f>
        <v/>
      </c>
      <c r="H26" s="165"/>
      <c r="I26" s="165"/>
      <c r="J26" s="165"/>
      <c r="K26" s="172"/>
      <c r="L26" s="172"/>
      <c r="M26" s="172"/>
      <c r="N26" s="172"/>
      <c r="O26" s="167" t="str">
        <f t="shared" si="0"/>
        <v/>
      </c>
      <c r="P26" s="168" t="str">
        <f t="shared" si="1"/>
        <v/>
      </c>
      <c r="Q26" s="169" t="str">
        <f t="shared" si="2"/>
        <v/>
      </c>
      <c r="R26" s="376" t="str">
        <f t="shared" si="3"/>
        <v/>
      </c>
      <c r="S26" s="856" t="s">
        <v>2482</v>
      </c>
    </row>
    <row r="27" spans="1:23" ht="15.75" thickBot="1" x14ac:dyDescent="0.25">
      <c r="A27" s="364">
        <v>24</v>
      </c>
      <c r="B27" s="397" t="str">
        <f>IF(F18="","",F18)</f>
        <v/>
      </c>
      <c r="C27" s="155" t="str">
        <f>IF(B27="","",VLOOKUP(B27,'Списки участников'!A:P,12,FALSE))</f>
        <v/>
      </c>
      <c r="D27" s="349" t="str">
        <f>IF(F19="","",F19)</f>
        <v/>
      </c>
      <c r="E27" s="398" t="str">
        <f>IF(D27="",D27,VLOOKUP(D27,'Списки участников'!A:P,12,FALSE))</f>
        <v/>
      </c>
      <c r="F27" s="410"/>
      <c r="G27" s="415" t="str">
        <f>IF(F27="","",VLOOKUP(F27,'Списки участников'!A:P,12,FALSE))</f>
        <v/>
      </c>
      <c r="H27" s="351"/>
      <c r="I27" s="351"/>
      <c r="J27" s="351"/>
      <c r="K27" s="352"/>
      <c r="L27" s="352"/>
      <c r="M27" s="352"/>
      <c r="N27" s="352"/>
      <c r="O27" s="366" t="str">
        <f t="shared" si="0"/>
        <v/>
      </c>
      <c r="P27" s="367" t="str">
        <f t="shared" si="1"/>
        <v/>
      </c>
      <c r="Q27" s="368" t="str">
        <f t="shared" si="2"/>
        <v/>
      </c>
      <c r="R27" s="377" t="str">
        <f t="shared" si="3"/>
        <v/>
      </c>
      <c r="S27" s="856" t="s">
        <v>2482</v>
      </c>
    </row>
    <row r="28" spans="1:23" ht="15.75" thickBot="1" x14ac:dyDescent="0.25">
      <c r="A28" s="359">
        <v>25</v>
      </c>
      <c r="B28" s="393" t="str">
        <f>IF(F20="","",F20)</f>
        <v/>
      </c>
      <c r="C28" s="342" t="str">
        <f>IF(B28="","",VLOOKUP(B28,'Списки участников'!A:P,12,FALSE))</f>
        <v/>
      </c>
      <c r="D28" s="341" t="str">
        <f>IF(F21="","",F21)</f>
        <v/>
      </c>
      <c r="E28" s="394" t="str">
        <f>IF(D28="",D28,VLOOKUP(D28,'Списки участников'!A:P,12,FALSE))</f>
        <v/>
      </c>
      <c r="F28" s="407"/>
      <c r="G28" s="413" t="str">
        <f>IF(F28="","",VLOOKUP(F28,'Списки участников'!A:P,12,FALSE))</f>
        <v/>
      </c>
      <c r="H28" s="344"/>
      <c r="I28" s="344"/>
      <c r="J28" s="344"/>
      <c r="K28" s="345"/>
      <c r="L28" s="345"/>
      <c r="M28" s="345"/>
      <c r="N28" s="345"/>
      <c r="O28" s="356" t="str">
        <f t="shared" si="0"/>
        <v/>
      </c>
      <c r="P28" s="357" t="str">
        <f t="shared" si="1"/>
        <v/>
      </c>
      <c r="Q28" s="358" t="str">
        <f t="shared" si="2"/>
        <v/>
      </c>
      <c r="R28" s="375" t="str">
        <f t="shared" si="3"/>
        <v/>
      </c>
      <c r="S28" s="856" t="s">
        <v>2485</v>
      </c>
    </row>
    <row r="29" spans="1:23" ht="15.75" thickBot="1" x14ac:dyDescent="0.25">
      <c r="A29" s="363">
        <v>26</v>
      </c>
      <c r="B29" s="395" t="str">
        <f>IF(F22="","",F22)</f>
        <v/>
      </c>
      <c r="C29" s="152" t="str">
        <f>IF(B29="","",VLOOKUP(B29,'Списки участников'!A:P,12,FALSE))</f>
        <v/>
      </c>
      <c r="D29" s="209" t="str">
        <f>IF(F23="","",F23)</f>
        <v/>
      </c>
      <c r="E29" s="396" t="str">
        <f>IF(D29="",D29,VLOOKUP(D29,'Списки участников'!A:P,12,FALSE))</f>
        <v/>
      </c>
      <c r="F29" s="408"/>
      <c r="G29" s="414" t="str">
        <f>IF(F29="","",VLOOKUP(F29,'Списки участников'!A:P,12,FALSE))</f>
        <v/>
      </c>
      <c r="H29" s="165"/>
      <c r="I29" s="165"/>
      <c r="J29" s="166"/>
      <c r="K29" s="172"/>
      <c r="L29" s="172"/>
      <c r="M29" s="172"/>
      <c r="N29" s="172"/>
      <c r="O29" s="167" t="str">
        <f t="shared" si="0"/>
        <v/>
      </c>
      <c r="P29" s="168" t="str">
        <f t="shared" si="1"/>
        <v/>
      </c>
      <c r="Q29" s="169" t="str">
        <f t="shared" si="2"/>
        <v/>
      </c>
      <c r="R29" s="376" t="str">
        <f t="shared" si="3"/>
        <v/>
      </c>
      <c r="S29" s="856" t="s">
        <v>2485</v>
      </c>
    </row>
    <row r="30" spans="1:23" ht="15.75" thickBot="1" x14ac:dyDescent="0.25">
      <c r="A30" s="363">
        <v>27</v>
      </c>
      <c r="B30" s="395" t="str">
        <f>IF(F24="","",F24)</f>
        <v/>
      </c>
      <c r="C30" s="152" t="str">
        <f>IF(B30="","",VLOOKUP(B30,'Списки участников'!A:P,12,FALSE))</f>
        <v/>
      </c>
      <c r="D30" s="209" t="str">
        <f>IF(F25="","",F25)</f>
        <v/>
      </c>
      <c r="E30" s="396" t="str">
        <f>IF(D30="",D30,VLOOKUP(D30,'Списки участников'!A:P,12,FALSE))</f>
        <v/>
      </c>
      <c r="F30" s="408"/>
      <c r="G30" s="414" t="str">
        <f>IF(F30="","",VLOOKUP(F30,'Списки участников'!A:P,12,FALSE))</f>
        <v/>
      </c>
      <c r="H30" s="165"/>
      <c r="I30" s="165"/>
      <c r="J30" s="165"/>
      <c r="K30" s="172"/>
      <c r="L30" s="172"/>
      <c r="M30" s="172"/>
      <c r="N30" s="172"/>
      <c r="O30" s="175" t="str">
        <f t="shared" si="0"/>
        <v/>
      </c>
      <c r="P30" s="176" t="str">
        <f t="shared" si="1"/>
        <v/>
      </c>
      <c r="Q30" s="177" t="str">
        <f t="shared" si="2"/>
        <v/>
      </c>
      <c r="R30" s="376" t="str">
        <f t="shared" si="3"/>
        <v/>
      </c>
      <c r="S30" s="856" t="s">
        <v>2485</v>
      </c>
    </row>
    <row r="31" spans="1:23" ht="15.75" thickBot="1" x14ac:dyDescent="0.25">
      <c r="A31" s="364">
        <v>28</v>
      </c>
      <c r="B31" s="397" t="str">
        <f>IF(F26="","",F26)</f>
        <v/>
      </c>
      <c r="C31" s="155" t="str">
        <f>IF(B31="","",VLOOKUP(B31,'Списки участников'!A:P,12,FALSE))</f>
        <v/>
      </c>
      <c r="D31" s="349" t="str">
        <f>IF(F27="","",F27)</f>
        <v/>
      </c>
      <c r="E31" s="398" t="str">
        <f>IF(D31="",D31,VLOOKUP(D31,'Списки участников'!A:P,12,FALSE))</f>
        <v/>
      </c>
      <c r="F31" s="410"/>
      <c r="G31" s="415" t="str">
        <f>IF(F31="","",VLOOKUP(F31,'Списки участников'!A:P,12,FALSE))</f>
        <v/>
      </c>
      <c r="H31" s="351"/>
      <c r="I31" s="351"/>
      <c r="J31" s="351"/>
      <c r="K31" s="352"/>
      <c r="L31" s="352"/>
      <c r="M31" s="352"/>
      <c r="N31" s="352"/>
      <c r="O31" s="353" t="str">
        <f t="shared" si="0"/>
        <v/>
      </c>
      <c r="P31" s="354" t="str">
        <f t="shared" si="1"/>
        <v/>
      </c>
      <c r="Q31" s="355" t="str">
        <f t="shared" si="2"/>
        <v/>
      </c>
      <c r="R31" s="377" t="str">
        <f t="shared" si="3"/>
        <v/>
      </c>
      <c r="S31" s="856" t="s">
        <v>2485</v>
      </c>
    </row>
    <row r="32" spans="1:23" ht="15.75" thickBot="1" x14ac:dyDescent="0.25">
      <c r="A32" s="359">
        <v>29</v>
      </c>
      <c r="B32" s="393" t="str">
        <f>IF(F28="","",F28)</f>
        <v/>
      </c>
      <c r="C32" s="342" t="str">
        <f>IF(B32="","",VLOOKUP(B32,'Списки участников'!A:P,12,FALSE))</f>
        <v/>
      </c>
      <c r="D32" s="341" t="str">
        <f>IF(F29="","",F29)</f>
        <v/>
      </c>
      <c r="E32" s="394" t="str">
        <f>IF(D32="",D32,VLOOKUP(D32,'Списки участников'!A:P,12,FALSE))</f>
        <v/>
      </c>
      <c r="F32" s="407"/>
      <c r="G32" s="413" t="str">
        <f>IF(F32="","",VLOOKUP(F32,'Списки участников'!A:P,12,FALSE))</f>
        <v/>
      </c>
      <c r="H32" s="344"/>
      <c r="I32" s="344"/>
      <c r="J32" s="344"/>
      <c r="K32" s="345"/>
      <c r="L32" s="345"/>
      <c r="M32" s="345"/>
      <c r="N32" s="345"/>
      <c r="O32" s="346" t="str">
        <f t="shared" si="0"/>
        <v/>
      </c>
      <c r="P32" s="347" t="str">
        <f t="shared" si="1"/>
        <v/>
      </c>
      <c r="Q32" s="348" t="str">
        <f t="shared" si="2"/>
        <v/>
      </c>
      <c r="R32" s="375" t="str">
        <f t="shared" si="3"/>
        <v/>
      </c>
      <c r="S32" s="856" t="s">
        <v>2484</v>
      </c>
    </row>
    <row r="33" spans="1:19" ht="15.75" thickBot="1" x14ac:dyDescent="0.25">
      <c r="A33" s="364">
        <v>30</v>
      </c>
      <c r="B33" s="397" t="str">
        <f>IF(F30="","",F30)</f>
        <v/>
      </c>
      <c r="C33" s="155" t="str">
        <f>IF(B33="","",VLOOKUP(B33,'Списки участников'!A:P,12,FALSE))</f>
        <v/>
      </c>
      <c r="D33" s="349" t="str">
        <f>IF(F31="","",F31)</f>
        <v/>
      </c>
      <c r="E33" s="398" t="str">
        <f>IF(D33="",D33,VLOOKUP(D33,'Списки участников'!A:P,12,FALSE))</f>
        <v/>
      </c>
      <c r="F33" s="410"/>
      <c r="G33" s="415" t="str">
        <f>IF(F33="","",VLOOKUP(F33,'Списки участников'!A:P,12,FALSE))</f>
        <v/>
      </c>
      <c r="H33" s="351"/>
      <c r="I33" s="351"/>
      <c r="J33" s="351"/>
      <c r="K33" s="352"/>
      <c r="L33" s="352"/>
      <c r="M33" s="352"/>
      <c r="N33" s="352"/>
      <c r="O33" s="353" t="str">
        <f t="shared" si="0"/>
        <v/>
      </c>
      <c r="P33" s="354" t="str">
        <f t="shared" si="1"/>
        <v/>
      </c>
      <c r="Q33" s="355" t="str">
        <f t="shared" si="2"/>
        <v/>
      </c>
      <c r="R33" s="377" t="str">
        <f t="shared" si="3"/>
        <v/>
      </c>
      <c r="S33" s="856" t="s">
        <v>2484</v>
      </c>
    </row>
    <row r="34" spans="1:19" ht="15.75" thickBot="1" x14ac:dyDescent="0.25">
      <c r="A34" s="389">
        <v>31</v>
      </c>
      <c r="B34" s="399" t="str">
        <f>IF(F32="","",F32)</f>
        <v/>
      </c>
      <c r="C34" s="380" t="str">
        <f>IF(B34="","",VLOOKUP(B34,'Списки участников'!A:P,12,FALSE))</f>
        <v/>
      </c>
      <c r="D34" s="369" t="str">
        <f>IF(F33="","",F33)</f>
        <v/>
      </c>
      <c r="E34" s="400" t="str">
        <f>IF(D34="",D34,VLOOKUP(D34,'Списки участников'!A:P,12,FALSE))</f>
        <v/>
      </c>
      <c r="F34" s="411"/>
      <c r="G34" s="416" t="str">
        <f>IF(F34="","",VLOOKUP(F34,'Списки участников'!A:P,12,FALSE))</f>
        <v/>
      </c>
      <c r="H34" s="370"/>
      <c r="I34" s="370"/>
      <c r="J34" s="370"/>
      <c r="K34" s="371"/>
      <c r="L34" s="371"/>
      <c r="M34" s="371"/>
      <c r="N34" s="371"/>
      <c r="O34" s="372" t="str">
        <f t="shared" si="0"/>
        <v/>
      </c>
      <c r="P34" s="373" t="str">
        <f t="shared" si="1"/>
        <v/>
      </c>
      <c r="Q34" s="374" t="str">
        <f t="shared" si="2"/>
        <v/>
      </c>
      <c r="R34" s="378" t="str">
        <f t="shared" si="3"/>
        <v/>
      </c>
      <c r="S34" s="856" t="s">
        <v>2483</v>
      </c>
    </row>
    <row r="35" spans="1:19" ht="15.75" thickBot="1" x14ac:dyDescent="0.25">
      <c r="A35" s="364">
        <v>32</v>
      </c>
      <c r="B35" s="401" t="str">
        <f>IF(F32="","",IF(F32=D32,B32,IF(F32=B32,D32)))</f>
        <v/>
      </c>
      <c r="C35" s="342" t="str">
        <f>IF(B35="","",VLOOKUP(B35,'Списки участников'!A:P,12,FALSE))</f>
        <v/>
      </c>
      <c r="D35" s="343" t="str">
        <f>IF(F33="","",IF(F33=B33,D33,IF(F33=D33,B33)))</f>
        <v/>
      </c>
      <c r="E35" s="394" t="str">
        <f>IF(D35="",D35,VLOOKUP(D35,'Списки участников'!A:P,12,FALSE))</f>
        <v/>
      </c>
      <c r="F35" s="407"/>
      <c r="G35" s="413" t="str">
        <f>IF(F35="","",VLOOKUP(F35,'Списки участников'!A:P,12,FALSE))</f>
        <v/>
      </c>
      <c r="H35" s="344"/>
      <c r="I35" s="344"/>
      <c r="J35" s="344"/>
      <c r="K35" s="345"/>
      <c r="L35" s="345"/>
      <c r="M35" s="345"/>
      <c r="N35" s="345"/>
      <c r="O35" s="346" t="str">
        <f t="shared" si="0"/>
        <v/>
      </c>
      <c r="P35" s="347" t="str">
        <f t="shared" si="1"/>
        <v/>
      </c>
      <c r="Q35" s="348" t="str">
        <f t="shared" si="2"/>
        <v/>
      </c>
      <c r="R35" s="375" t="str">
        <f t="shared" si="3"/>
        <v/>
      </c>
      <c r="S35" s="856" t="s">
        <v>2486</v>
      </c>
    </row>
    <row r="36" spans="1:19" ht="15.75" thickBot="1" x14ac:dyDescent="0.25">
      <c r="A36" s="389">
        <v>33</v>
      </c>
      <c r="B36" s="402" t="str">
        <f>IF(F28="","",IF(F28=D28,B28,IF(F28=B28,D28)))</f>
        <v/>
      </c>
      <c r="C36" s="152" t="str">
        <f>IF(B36="","",VLOOKUP(B36,'Списки участников'!A:P,12,FALSE))</f>
        <v/>
      </c>
      <c r="D36" s="164" t="str">
        <f>IF(F29="","",IF(F29=B29,D29,IF(F29=D29,B29)))</f>
        <v/>
      </c>
      <c r="E36" s="396" t="str">
        <f>IF(D36="",D36,VLOOKUP(D36,'Списки участников'!A:P,12,FALSE))</f>
        <v/>
      </c>
      <c r="F36" s="408"/>
      <c r="G36" s="414" t="str">
        <f>IF(F36="","",VLOOKUP(F36,'Списки участников'!A:P,12,FALSE))</f>
        <v/>
      </c>
      <c r="H36" s="207"/>
      <c r="I36" s="207"/>
      <c r="J36" s="207"/>
      <c r="K36" s="172"/>
      <c r="L36" s="172"/>
      <c r="M36" s="172"/>
      <c r="N36" s="172"/>
      <c r="O36" s="175" t="str">
        <f t="shared" si="0"/>
        <v/>
      </c>
      <c r="P36" s="210" t="str">
        <f t="shared" si="1"/>
        <v/>
      </c>
      <c r="Q36" s="178" t="str">
        <f t="shared" si="2"/>
        <v/>
      </c>
      <c r="R36" s="376" t="str">
        <f t="shared" si="3"/>
        <v/>
      </c>
      <c r="S36" s="856"/>
    </row>
    <row r="37" spans="1:19" ht="15.75" thickBot="1" x14ac:dyDescent="0.25">
      <c r="A37" s="364">
        <v>34</v>
      </c>
      <c r="B37" s="402" t="str">
        <f>IF(F30="","",IF(F30=D30,B30,IF(F30=B30,D30)))</f>
        <v/>
      </c>
      <c r="C37" s="152" t="str">
        <f>IF(B37="","",VLOOKUP(B37,'Списки участников'!A:P,12,FALSE))</f>
        <v/>
      </c>
      <c r="D37" s="164" t="str">
        <f>IF(F31="","",IF(F31=B31,D31,IF(F31=D31,B31)))</f>
        <v/>
      </c>
      <c r="E37" s="396" t="str">
        <f>IF(D37="",D37,VLOOKUP(D37,'Списки участников'!A:P,12,FALSE))</f>
        <v/>
      </c>
      <c r="F37" s="408"/>
      <c r="G37" s="414" t="str">
        <f>IF(F37="","",VLOOKUP(F37,'Списки участников'!A:P,12,FALSE))</f>
        <v/>
      </c>
      <c r="H37" s="165"/>
      <c r="I37" s="165"/>
      <c r="J37" s="166"/>
      <c r="K37" s="172"/>
      <c r="L37" s="172"/>
      <c r="M37" s="172"/>
      <c r="N37" s="172"/>
      <c r="O37" s="175" t="str">
        <f t="shared" si="0"/>
        <v/>
      </c>
      <c r="P37" s="210" t="str">
        <f t="shared" si="1"/>
        <v/>
      </c>
      <c r="Q37" s="178" t="str">
        <f t="shared" si="2"/>
        <v/>
      </c>
      <c r="R37" s="376" t="str">
        <f t="shared" si="3"/>
        <v/>
      </c>
      <c r="S37" s="856"/>
    </row>
    <row r="38" spans="1:19" ht="15.75" thickBot="1" x14ac:dyDescent="0.25">
      <c r="A38" s="389">
        <v>35</v>
      </c>
      <c r="B38" s="402">
        <f>F36</f>
        <v>0</v>
      </c>
      <c r="C38" s="152" t="e">
        <f>IF(B38="","",VLOOKUP(B38,'Списки участников'!A:P,12,FALSE))</f>
        <v>#N/A</v>
      </c>
      <c r="D38" s="164">
        <f>F37</f>
        <v>0</v>
      </c>
      <c r="E38" s="396" t="e">
        <f>IF(D38="",D38,VLOOKUP(D38,'Списки участников'!A:P,12,FALSE))</f>
        <v>#N/A</v>
      </c>
      <c r="F38" s="408"/>
      <c r="G38" s="414" t="str">
        <f>IF(F38="","",VLOOKUP(F38,'Списки участников'!A:P,12,FALSE))</f>
        <v/>
      </c>
      <c r="H38" s="165"/>
      <c r="I38" s="165"/>
      <c r="J38" s="165"/>
      <c r="K38" s="172"/>
      <c r="L38" s="172"/>
      <c r="M38" s="172"/>
      <c r="N38" s="172"/>
      <c r="O38" s="175" t="str">
        <f t="shared" si="0"/>
        <v/>
      </c>
      <c r="P38" s="210" t="str">
        <f t="shared" si="1"/>
        <v/>
      </c>
      <c r="Q38" s="178" t="str">
        <f t="shared" si="2"/>
        <v/>
      </c>
      <c r="R38" s="376" t="str">
        <f t="shared" si="3"/>
        <v/>
      </c>
      <c r="S38" s="856" t="s">
        <v>2487</v>
      </c>
    </row>
    <row r="39" spans="1:19" ht="15.75" thickBot="1" x14ac:dyDescent="0.25">
      <c r="A39" s="364">
        <v>36</v>
      </c>
      <c r="B39" s="395" t="str">
        <f>IF(F37="","",IF(F37=D37,B37,IF(F37=B37,D37)))</f>
        <v/>
      </c>
      <c r="C39" s="152" t="str">
        <f>IF(B39="","",VLOOKUP(B39,'Списки участников'!A:P,12,FALSE))</f>
        <v/>
      </c>
      <c r="D39" s="209" t="str">
        <f>IF(F38="","",IF(F38=B38,D38,IF(F38=D38,B38)))</f>
        <v/>
      </c>
      <c r="E39" s="396" t="str">
        <f>IF(D39="",D39,VLOOKUP(D39,'Списки участников'!A:P,12,FALSE))</f>
        <v/>
      </c>
      <c r="F39" s="408"/>
      <c r="G39" s="414" t="str">
        <f>IF(F39="","",VLOOKUP(F39,'Списки участников'!A:P,12,FALSE))</f>
        <v/>
      </c>
      <c r="H39" s="165"/>
      <c r="I39" s="165"/>
      <c r="J39" s="165"/>
      <c r="K39" s="172"/>
      <c r="L39" s="172"/>
      <c r="M39" s="172"/>
      <c r="N39" s="172"/>
      <c r="O39" s="175" t="str">
        <f t="shared" si="0"/>
        <v/>
      </c>
      <c r="P39" s="210" t="str">
        <f t="shared" si="1"/>
        <v/>
      </c>
      <c r="Q39" s="178" t="str">
        <f t="shared" si="2"/>
        <v/>
      </c>
      <c r="R39" s="376" t="str">
        <f t="shared" si="3"/>
        <v/>
      </c>
      <c r="S39" s="856" t="s">
        <v>2488</v>
      </c>
    </row>
    <row r="40" spans="1:19" ht="15.75" thickBot="1" x14ac:dyDescent="0.25">
      <c r="A40" s="389">
        <v>37</v>
      </c>
      <c r="B40" s="395" t="str">
        <f>IF(F20="","",IF(F20=D20,B20,IF(F20=B20,D20)))</f>
        <v/>
      </c>
      <c r="C40" s="152" t="str">
        <f>IF(B40="","",VLOOKUP(B40,'Списки участников'!A:P,12,FALSE))</f>
        <v/>
      </c>
      <c r="D40" s="209" t="str">
        <f>IF(F21="","",IF(F21=B21,D21,IF(F21=D21,B21)))</f>
        <v/>
      </c>
      <c r="E40" s="396" t="str">
        <f>IF(D40="",D40,VLOOKUP(D40,'Списки участников'!A:P,12,FALSE))</f>
        <v/>
      </c>
      <c r="F40" s="408"/>
      <c r="G40" s="414" t="str">
        <f>IF(F40="","",VLOOKUP(F40,'Списки участников'!A:P,12,FALSE))</f>
        <v/>
      </c>
      <c r="H40" s="165"/>
      <c r="I40" s="165"/>
      <c r="J40" s="165"/>
      <c r="K40" s="172"/>
      <c r="L40" s="172"/>
      <c r="M40" s="172"/>
      <c r="N40" s="172"/>
      <c r="O40" s="175" t="str">
        <f t="shared" si="0"/>
        <v/>
      </c>
      <c r="P40" s="210" t="str">
        <f t="shared" si="1"/>
        <v/>
      </c>
      <c r="Q40" s="178" t="str">
        <f t="shared" si="2"/>
        <v/>
      </c>
      <c r="R40" s="376" t="str">
        <f t="shared" si="3"/>
        <v/>
      </c>
      <c r="S40" s="856"/>
    </row>
    <row r="41" spans="1:19" ht="15.75" thickBot="1" x14ac:dyDescent="0.25">
      <c r="A41" s="364">
        <v>38</v>
      </c>
      <c r="B41" s="395" t="str">
        <f>IF(F22="","",IF(F22=D22,B22,IF(F22=B22,D22)))</f>
        <v/>
      </c>
      <c r="C41" s="152" t="str">
        <f>IF(B41="","",VLOOKUP(B41,'Списки участников'!A:P,12,FALSE))</f>
        <v/>
      </c>
      <c r="D41" s="209" t="str">
        <f>IF(F23="","",IF(F23=B23,D23,IF(F23=D23,B23)))</f>
        <v/>
      </c>
      <c r="E41" s="396" t="str">
        <f>IF(D41="",D41,VLOOKUP(D41,'Списки участников'!A:P,12,FALSE))</f>
        <v/>
      </c>
      <c r="F41" s="408"/>
      <c r="G41" s="414" t="str">
        <f>IF(F41="","",VLOOKUP(F41,'Списки участников'!A:P,12,FALSE))</f>
        <v/>
      </c>
      <c r="H41" s="165"/>
      <c r="I41" s="165"/>
      <c r="J41" s="165"/>
      <c r="K41" s="172"/>
      <c r="L41" s="172"/>
      <c r="M41" s="172"/>
      <c r="N41" s="172"/>
      <c r="O41" s="175" t="str">
        <f t="shared" si="0"/>
        <v/>
      </c>
      <c r="P41" s="210" t="str">
        <f t="shared" si="1"/>
        <v/>
      </c>
      <c r="Q41" s="178" t="str">
        <f t="shared" si="2"/>
        <v/>
      </c>
      <c r="R41" s="376" t="str">
        <f t="shared" si="3"/>
        <v/>
      </c>
      <c r="S41" s="856"/>
    </row>
    <row r="42" spans="1:19" ht="15.75" thickBot="1" x14ac:dyDescent="0.25">
      <c r="A42" s="389">
        <v>39</v>
      </c>
      <c r="B42" s="397" t="str">
        <f>IF(F24="","",IF(F24=D24,B24,IF(F24=B24,D24)))</f>
        <v/>
      </c>
      <c r="C42" s="155" t="str">
        <f>IF(B42="","",VLOOKUP(B42,'Списки участников'!A:P,12,FALSE))</f>
        <v/>
      </c>
      <c r="D42" s="349" t="str">
        <f>IF(F25="","",IF(F25=B25,D25,IF(F25=D25,B25)))</f>
        <v/>
      </c>
      <c r="E42" s="398" t="str">
        <f>IF(D42="",D42,VLOOKUP(D42,'Списки участников'!A:P,12,FALSE))</f>
        <v/>
      </c>
      <c r="F42" s="410"/>
      <c r="G42" s="415" t="str">
        <f>IF(F42="","",VLOOKUP(F42,'Списки участников'!A:P,12,FALSE))</f>
        <v/>
      </c>
      <c r="H42" s="351"/>
      <c r="I42" s="351"/>
      <c r="J42" s="351"/>
      <c r="K42" s="352"/>
      <c r="L42" s="352"/>
      <c r="M42" s="352"/>
      <c r="N42" s="352"/>
      <c r="O42" s="353" t="str">
        <f t="shared" si="0"/>
        <v/>
      </c>
      <c r="P42" s="354" t="str">
        <f t="shared" si="1"/>
        <v/>
      </c>
      <c r="Q42" s="355" t="str">
        <f t="shared" si="2"/>
        <v/>
      </c>
      <c r="R42" s="377" t="str">
        <f t="shared" si="3"/>
        <v/>
      </c>
      <c r="S42" s="856"/>
    </row>
    <row r="43" spans="1:19" ht="15.75" thickBot="1" x14ac:dyDescent="0.25">
      <c r="A43" s="364">
        <v>40</v>
      </c>
      <c r="B43" s="397" t="str">
        <f>IF(F26="","",IF(F26=D26,B26,IF(F26=B26,D26)))</f>
        <v/>
      </c>
      <c r="C43" s="342" t="str">
        <f>IF(B43="","",VLOOKUP(B43,'Списки участников'!A:P,12,FALSE))</f>
        <v/>
      </c>
      <c r="D43" s="349" t="str">
        <f>IF(F27="","",IF(F27=B27,D27,IF(F27=D27,B27)))</f>
        <v/>
      </c>
      <c r="E43" s="394" t="str">
        <f>IF(D43="",D43,VLOOKUP(D43,'Списки участников'!A:P,12,FALSE))</f>
        <v/>
      </c>
      <c r="F43" s="407"/>
      <c r="G43" s="413" t="str">
        <f>IF(F43="","",VLOOKUP(F43,'Списки участников'!A:P,12,FALSE))</f>
        <v/>
      </c>
      <c r="H43" s="344"/>
      <c r="I43" s="344"/>
      <c r="J43" s="344"/>
      <c r="K43" s="345"/>
      <c r="L43" s="345"/>
      <c r="M43" s="345"/>
      <c r="N43" s="345"/>
      <c r="O43" s="346" t="str">
        <f t="shared" si="0"/>
        <v/>
      </c>
      <c r="P43" s="347" t="str">
        <f t="shared" si="1"/>
        <v/>
      </c>
      <c r="Q43" s="348" t="str">
        <f t="shared" si="2"/>
        <v/>
      </c>
      <c r="R43" s="375" t="str">
        <f t="shared" si="3"/>
        <v/>
      </c>
      <c r="S43" s="856"/>
    </row>
    <row r="44" spans="1:19" ht="15.75" thickBot="1" x14ac:dyDescent="0.25">
      <c r="A44" s="389">
        <v>41</v>
      </c>
      <c r="B44" s="402">
        <f>F40</f>
        <v>0</v>
      </c>
      <c r="C44" s="152" t="e">
        <f>IF(B44="","",VLOOKUP(B44,'Списки участников'!A:P,12,FALSE))</f>
        <v>#N/A</v>
      </c>
      <c r="D44" s="164">
        <f>F41</f>
        <v>0</v>
      </c>
      <c r="E44" s="396" t="e">
        <f>IF(D44="",D44,VLOOKUP(D44,'Списки участников'!A:P,12,FALSE))</f>
        <v>#N/A</v>
      </c>
      <c r="F44" s="408"/>
      <c r="G44" s="414" t="str">
        <f>IF(F44="","",VLOOKUP(F44,'Списки участников'!A:P,12,FALSE))</f>
        <v/>
      </c>
      <c r="H44" s="207"/>
      <c r="I44" s="207"/>
      <c r="J44" s="207"/>
      <c r="K44" s="172"/>
      <c r="L44" s="172"/>
      <c r="M44" s="172"/>
      <c r="N44" s="172"/>
      <c r="O44" s="175" t="str">
        <f t="shared" si="0"/>
        <v/>
      </c>
      <c r="P44" s="210" t="str">
        <f t="shared" si="1"/>
        <v/>
      </c>
      <c r="Q44" s="178" t="str">
        <f t="shared" si="2"/>
        <v/>
      </c>
      <c r="R44" s="376" t="str">
        <f t="shared" si="3"/>
        <v/>
      </c>
      <c r="S44" s="856"/>
    </row>
    <row r="45" spans="1:19" ht="15.75" thickBot="1" x14ac:dyDescent="0.25">
      <c r="A45" s="364">
        <v>42</v>
      </c>
      <c r="B45" s="402">
        <f>F42</f>
        <v>0</v>
      </c>
      <c r="C45" s="152" t="e">
        <f>IF(B45="","",VLOOKUP(B45,'Списки участников'!A:P,12,FALSE))</f>
        <v>#N/A</v>
      </c>
      <c r="D45" s="164">
        <f>F43</f>
        <v>0</v>
      </c>
      <c r="E45" s="396" t="e">
        <f>IF(D45="",D45,VLOOKUP(D45,'Списки участников'!A:P,12,FALSE))</f>
        <v>#N/A</v>
      </c>
      <c r="F45" s="408"/>
      <c r="G45" s="414" t="str">
        <f>IF(F45="","",VLOOKUP(F45,'Списки участников'!A:P,12,FALSE))</f>
        <v/>
      </c>
      <c r="H45" s="165"/>
      <c r="I45" s="165"/>
      <c r="J45" s="166"/>
      <c r="K45" s="172"/>
      <c r="L45" s="172"/>
      <c r="M45" s="172"/>
      <c r="N45" s="172"/>
      <c r="O45" s="175" t="str">
        <f t="shared" si="0"/>
        <v/>
      </c>
      <c r="P45" s="210" t="str">
        <f t="shared" si="1"/>
        <v/>
      </c>
      <c r="Q45" s="178" t="str">
        <f t="shared" si="2"/>
        <v/>
      </c>
      <c r="R45" s="376" t="str">
        <f t="shared" si="3"/>
        <v/>
      </c>
      <c r="S45" s="856"/>
    </row>
    <row r="46" spans="1:19" ht="15.75" thickBot="1" x14ac:dyDescent="0.25">
      <c r="A46" s="389">
        <v>43</v>
      </c>
      <c r="B46" s="403">
        <f>F44</f>
        <v>0</v>
      </c>
      <c r="C46" s="155" t="e">
        <f>IF(B46="","",VLOOKUP(B46,'Списки участников'!A:P,12,FALSE))</f>
        <v>#N/A</v>
      </c>
      <c r="D46" s="350">
        <f>F45</f>
        <v>0</v>
      </c>
      <c r="E46" s="398" t="e">
        <f>IF(D46="",D46,VLOOKUP(D46,'Списки участников'!A:P,12,FALSE))</f>
        <v>#N/A</v>
      </c>
      <c r="F46" s="410"/>
      <c r="G46" s="415" t="str">
        <f>IF(F46="","",VLOOKUP(F46,'Списки участников'!A:P,12,FALSE))</f>
        <v/>
      </c>
      <c r="H46" s="351"/>
      <c r="I46" s="351"/>
      <c r="J46" s="351"/>
      <c r="K46" s="352"/>
      <c r="L46" s="352"/>
      <c r="M46" s="352"/>
      <c r="N46" s="352"/>
      <c r="O46" s="353" t="str">
        <f t="shared" si="0"/>
        <v/>
      </c>
      <c r="P46" s="354" t="str">
        <f t="shared" si="1"/>
        <v/>
      </c>
      <c r="Q46" s="355" t="str">
        <f t="shared" si="2"/>
        <v/>
      </c>
      <c r="R46" s="377" t="str">
        <f t="shared" si="3"/>
        <v/>
      </c>
      <c r="S46" s="856" t="s">
        <v>2489</v>
      </c>
    </row>
    <row r="47" spans="1:19" ht="15.75" thickBot="1" x14ac:dyDescent="0.25">
      <c r="A47" s="364">
        <v>44</v>
      </c>
      <c r="B47" s="393" t="str">
        <f>IF(F44="","",IF(F44=D44,B44,IF(F44=B44,D44)))</f>
        <v/>
      </c>
      <c r="C47" s="342" t="str">
        <f>IF(B47="","",VLOOKUP(B47,'Списки участников'!A:P,12,FALSE))</f>
        <v/>
      </c>
      <c r="D47" s="341" t="str">
        <f>IF(F45="","",IF(F45=B45,D45,IF(F45=D45,B45)))</f>
        <v/>
      </c>
      <c r="E47" s="394" t="str">
        <f>IF(D47="",D47,VLOOKUP(D47,'Списки участников'!A:P,12,FALSE))</f>
        <v/>
      </c>
      <c r="F47" s="407"/>
      <c r="G47" s="413" t="str">
        <f>IF(F47="","",VLOOKUP(F47,'Списки участников'!A:P,12,FALSE))</f>
        <v/>
      </c>
      <c r="H47" s="344"/>
      <c r="I47" s="344"/>
      <c r="J47" s="344"/>
      <c r="K47" s="345"/>
      <c r="L47" s="345"/>
      <c r="M47" s="345"/>
      <c r="N47" s="345"/>
      <c r="O47" s="346" t="str">
        <f t="shared" si="0"/>
        <v/>
      </c>
      <c r="P47" s="347" t="str">
        <f t="shared" si="1"/>
        <v/>
      </c>
      <c r="Q47" s="348" t="str">
        <f t="shared" si="2"/>
        <v/>
      </c>
      <c r="R47" s="375" t="str">
        <f t="shared" si="3"/>
        <v/>
      </c>
      <c r="S47" s="856" t="s">
        <v>2490</v>
      </c>
    </row>
    <row r="48" spans="1:19" ht="15.75" thickBot="1" x14ac:dyDescent="0.25">
      <c r="A48" s="389">
        <v>45</v>
      </c>
      <c r="B48" s="397" t="str">
        <f>IF(F40="","",IF(F40=B40,D40,IF(F40=D40,B40)))</f>
        <v/>
      </c>
      <c r="C48" s="155" t="str">
        <f>IF(B48="","",VLOOKUP(B48,'Списки участников'!A:P,12,FALSE))</f>
        <v/>
      </c>
      <c r="D48" s="349" t="str">
        <f>IF(F41="","",IF(F41=B41,D41,IF(F41=D41,B41)))</f>
        <v/>
      </c>
      <c r="E48" s="398" t="str">
        <f>IF(D48="",D48,VLOOKUP(D48,'Списки участников'!A:P,12,FALSE))</f>
        <v/>
      </c>
      <c r="F48" s="410"/>
      <c r="G48" s="415" t="str">
        <f>IF(F48="","",VLOOKUP(F48,'Списки участников'!A:P,12,FALSE))</f>
        <v/>
      </c>
      <c r="H48" s="351"/>
      <c r="I48" s="351"/>
      <c r="J48" s="351"/>
      <c r="K48" s="352"/>
      <c r="L48" s="352"/>
      <c r="M48" s="352"/>
      <c r="N48" s="352"/>
      <c r="O48" s="353" t="str">
        <f t="shared" si="0"/>
        <v/>
      </c>
      <c r="P48" s="354" t="str">
        <f t="shared" si="1"/>
        <v/>
      </c>
      <c r="Q48" s="355" t="str">
        <f t="shared" si="2"/>
        <v/>
      </c>
      <c r="R48" s="377" t="str">
        <f t="shared" si="3"/>
        <v/>
      </c>
      <c r="S48" s="856"/>
    </row>
    <row r="49" spans="1:19" ht="15.75" thickBot="1" x14ac:dyDescent="0.25">
      <c r="A49" s="364">
        <v>46</v>
      </c>
      <c r="B49" s="397" t="str">
        <f>IF(F42="","",IF(F42=B42,D42,IF(F42=D42,B42)))</f>
        <v/>
      </c>
      <c r="C49" s="380" t="str">
        <f>IF(B49="","",VLOOKUP(B49,'Списки участников'!A:P,12,FALSE))</f>
        <v/>
      </c>
      <c r="D49" s="349" t="str">
        <f>IF(F43="","",IF(F43=B43,D43,IF(F43=D43,B43)))</f>
        <v/>
      </c>
      <c r="E49" s="405" t="str">
        <f>IF(D49="",D49,VLOOKUP(D49,'Списки участников'!A:P,12,FALSE))</f>
        <v/>
      </c>
      <c r="F49" s="412"/>
      <c r="G49" s="417" t="str">
        <f>IF(F49="","",VLOOKUP(F49,'Списки участников'!A:P,12,FALSE))</f>
        <v/>
      </c>
      <c r="H49" s="382"/>
      <c r="I49" s="382"/>
      <c r="J49" s="382"/>
      <c r="K49" s="383"/>
      <c r="L49" s="383"/>
      <c r="M49" s="383"/>
      <c r="N49" s="383"/>
      <c r="O49" s="384" t="str">
        <f t="shared" si="0"/>
        <v/>
      </c>
      <c r="P49" s="385" t="str">
        <f t="shared" si="1"/>
        <v/>
      </c>
      <c r="Q49" s="386" t="str">
        <f t="shared" si="2"/>
        <v/>
      </c>
      <c r="R49" s="387" t="str">
        <f t="shared" si="3"/>
        <v/>
      </c>
      <c r="S49" s="856"/>
    </row>
    <row r="50" spans="1:19" ht="15.75" thickBot="1" x14ac:dyDescent="0.25">
      <c r="A50" s="389">
        <v>47</v>
      </c>
      <c r="B50" s="452">
        <f>F48</f>
        <v>0</v>
      </c>
      <c r="C50" s="380" t="e">
        <f>IF(B50="","",VLOOKUP(B50,'Списки участников'!A:P,12,FALSE))</f>
        <v>#N/A</v>
      </c>
      <c r="D50" s="381">
        <f>F49</f>
        <v>0</v>
      </c>
      <c r="E50" s="405" t="e">
        <f>IF(D50="",D50,VLOOKUP(D50,'Списки участников'!A:P,12,FALSE))</f>
        <v>#N/A</v>
      </c>
      <c r="F50" s="412"/>
      <c r="G50" s="417" t="str">
        <f>IF(F50="","",VLOOKUP(F50,'Списки участников'!A:P,12,FALSE))</f>
        <v/>
      </c>
      <c r="H50" s="382"/>
      <c r="I50" s="382"/>
      <c r="J50" s="382"/>
      <c r="K50" s="383"/>
      <c r="L50" s="383"/>
      <c r="M50" s="383"/>
      <c r="N50" s="383"/>
      <c r="O50" s="384" t="str">
        <f t="shared" si="0"/>
        <v/>
      </c>
      <c r="P50" s="385" t="str">
        <f t="shared" si="1"/>
        <v/>
      </c>
      <c r="Q50" s="386" t="str">
        <f t="shared" si="2"/>
        <v/>
      </c>
      <c r="R50" s="387" t="str">
        <f t="shared" si="3"/>
        <v/>
      </c>
      <c r="S50" s="856" t="s">
        <v>2491</v>
      </c>
    </row>
    <row r="51" spans="1:19" ht="15.75" thickBot="1" x14ac:dyDescent="0.25">
      <c r="A51" s="364">
        <v>48</v>
      </c>
      <c r="B51" s="419" t="str">
        <f>IF(B48=F48,D48,B48)</f>
        <v/>
      </c>
      <c r="C51" s="342" t="str">
        <f>IF(B51="","",VLOOKUP(B51,'Списки участников'!A:P,12,FALSE))</f>
        <v/>
      </c>
      <c r="D51" s="420" t="str">
        <f>IF(B49=F49,D49,B49)</f>
        <v/>
      </c>
      <c r="E51" s="421" t="str">
        <f>IF(D51="","",VLOOKUP(D51,'Списки участников'!A:P,12,FALSE))</f>
        <v/>
      </c>
      <c r="F51" s="422"/>
      <c r="G51" s="423" t="str">
        <f>IF(F51="","",VLOOKUP(F51,'Списки участников'!A:P,12,FALSE))</f>
        <v/>
      </c>
      <c r="H51" s="344"/>
      <c r="I51" s="344"/>
      <c r="J51" s="344"/>
      <c r="K51" s="344"/>
      <c r="L51" s="344"/>
      <c r="M51" s="344"/>
      <c r="N51" s="344"/>
      <c r="O51" s="424" t="str">
        <f t="shared" si="0"/>
        <v/>
      </c>
      <c r="P51" s="425" t="str">
        <f t="shared" si="1"/>
        <v/>
      </c>
      <c r="Q51" s="426" t="str">
        <f t="shared" si="2"/>
        <v/>
      </c>
      <c r="R51" s="375" t="str">
        <f t="shared" si="3"/>
        <v/>
      </c>
      <c r="S51" s="856" t="s">
        <v>2492</v>
      </c>
    </row>
    <row r="52" spans="1:19" ht="15.75" thickBot="1" x14ac:dyDescent="0.25">
      <c r="A52" s="389">
        <v>49</v>
      </c>
      <c r="B52" s="427" t="str">
        <f>IF(F4="","",(B4=F4,D4,B4))</f>
        <v/>
      </c>
      <c r="C52" s="155" t="str">
        <f>IF(B52="","",VLOOKUP(B52,'Списки участников'!A:P,12,FALSE))</f>
        <v/>
      </c>
      <c r="D52" s="428" t="str">
        <f>IF(F5="","",(B5=F5,D5,B5))</f>
        <v/>
      </c>
      <c r="E52" s="429" t="str">
        <f>IF(D52="","",VLOOKUP(D52,'Списки участников'!A:P,12,FALSE))</f>
        <v/>
      </c>
      <c r="F52" s="430"/>
      <c r="G52" s="431" t="str">
        <f>IF(F52="","",VLOOKUP(F52,'Списки участников'!A:P,12,FALSE))</f>
        <v/>
      </c>
      <c r="H52" s="370"/>
      <c r="I52" s="370"/>
      <c r="J52" s="370"/>
      <c r="K52" s="351"/>
      <c r="L52" s="351"/>
      <c r="M52" s="351"/>
      <c r="N52" s="351"/>
      <c r="O52" s="432" t="str">
        <f t="shared" si="0"/>
        <v/>
      </c>
      <c r="P52" s="433" t="str">
        <f t="shared" si="1"/>
        <v/>
      </c>
      <c r="Q52" s="434" t="str">
        <f t="shared" si="2"/>
        <v/>
      </c>
      <c r="R52" s="377" t="str">
        <f t="shared" si="3"/>
        <v/>
      </c>
      <c r="S52" s="856"/>
    </row>
    <row r="53" spans="1:19" ht="15.75" thickBot="1" x14ac:dyDescent="0.25">
      <c r="A53" s="364">
        <v>50</v>
      </c>
      <c r="B53" s="427" t="str">
        <f>IF(F6="","",(B6=F6,D6,B6))</f>
        <v/>
      </c>
      <c r="C53" s="380" t="str">
        <f>IF(B53="","",VLOOKUP(B53,'Списки участников'!A:P,12,FALSE))</f>
        <v/>
      </c>
      <c r="D53" s="428" t="str">
        <f>IF(F7="","",(B7=F7,D7,B7))</f>
        <v/>
      </c>
      <c r="E53" s="439" t="str">
        <f>IF(D53="","",VLOOKUP(D53,'Списки участников'!A:P,12,FALSE))</f>
        <v/>
      </c>
      <c r="F53" s="440"/>
      <c r="G53" s="417" t="str">
        <f>IF(F53="","",VLOOKUP(F53,'Списки участников'!A:P,12,FALSE))</f>
        <v/>
      </c>
      <c r="H53" s="382"/>
      <c r="I53" s="382"/>
      <c r="J53" s="441"/>
      <c r="K53" s="383"/>
      <c r="L53" s="383"/>
      <c r="M53" s="383"/>
      <c r="N53" s="383"/>
      <c r="O53" s="432" t="str">
        <f t="shared" si="0"/>
        <v/>
      </c>
      <c r="P53" s="385" t="str">
        <f t="shared" si="1"/>
        <v/>
      </c>
      <c r="Q53" s="386" t="str">
        <f t="shared" si="2"/>
        <v/>
      </c>
      <c r="R53" s="387" t="str">
        <f t="shared" si="3"/>
        <v/>
      </c>
      <c r="S53" s="857"/>
    </row>
    <row r="54" spans="1:19" ht="15.75" thickBot="1" x14ac:dyDescent="0.25">
      <c r="A54" s="389">
        <v>51</v>
      </c>
      <c r="B54" s="427" t="str">
        <f>IF(F8="","",(B8=F8,D8,B8))</f>
        <v/>
      </c>
      <c r="C54" s="380" t="str">
        <f>IF(B54="","",VLOOKUP(B54,'Списки участников'!A:P,12,FALSE))</f>
        <v/>
      </c>
      <c r="D54" s="428" t="str">
        <f>IF(F9="","",(B9=F9,D9,B9))</f>
        <v/>
      </c>
      <c r="E54" s="439" t="str">
        <f>IF(D54="","",VLOOKUP(D54,'Списки участников'!A:P,12,FALSE))</f>
        <v/>
      </c>
      <c r="F54" s="440"/>
      <c r="G54" s="417" t="str">
        <f>IF(F54="","",VLOOKUP(F54,'Списки участников'!A:P,12,FALSE))</f>
        <v/>
      </c>
      <c r="H54" s="382"/>
      <c r="I54" s="382"/>
      <c r="J54" s="382"/>
      <c r="K54" s="383"/>
      <c r="L54" s="383"/>
      <c r="M54" s="383"/>
      <c r="N54" s="383"/>
      <c r="O54" s="432" t="str">
        <f t="shared" si="0"/>
        <v/>
      </c>
      <c r="P54" s="385" t="str">
        <f t="shared" si="1"/>
        <v/>
      </c>
      <c r="Q54" s="386" t="str">
        <f t="shared" si="2"/>
        <v/>
      </c>
      <c r="R54" s="387" t="str">
        <f t="shared" si="3"/>
        <v/>
      </c>
      <c r="S54" s="856"/>
    </row>
    <row r="55" spans="1:19" ht="15.75" thickBot="1" x14ac:dyDescent="0.25">
      <c r="A55" s="364">
        <v>52</v>
      </c>
      <c r="B55" s="427" t="str">
        <f>IF(F10="","",(B10=F10,D10,B10))</f>
        <v/>
      </c>
      <c r="C55" s="360" t="str">
        <f>IF(B55="","",VLOOKUP(B55,'Списки участников'!A:P,12,FALSE))</f>
        <v/>
      </c>
      <c r="D55" s="428" t="str">
        <f>IF(F11="","",(B11=F11,D11,B11))</f>
        <v/>
      </c>
      <c r="E55" s="421" t="str">
        <f>IF(D55="","",VLOOKUP(D55,'Списки участников'!A:P,12,FALSE))</f>
        <v/>
      </c>
      <c r="F55" s="407"/>
      <c r="G55" s="413" t="str">
        <f>IF(F55="","",VLOOKUP(F55,'Списки участников'!A:P,12,FALSE))</f>
        <v/>
      </c>
      <c r="H55" s="344"/>
      <c r="I55" s="344"/>
      <c r="J55" s="344"/>
      <c r="K55" s="345"/>
      <c r="L55" s="345"/>
      <c r="M55" s="345"/>
      <c r="N55" s="345"/>
      <c r="O55" s="432" t="str">
        <f t="shared" si="0"/>
        <v/>
      </c>
      <c r="P55" s="347" t="str">
        <f t="shared" si="1"/>
        <v/>
      </c>
      <c r="Q55" s="348" t="str">
        <f t="shared" si="2"/>
        <v/>
      </c>
      <c r="R55" s="375" t="str">
        <f t="shared" si="3"/>
        <v/>
      </c>
      <c r="S55" s="856"/>
    </row>
    <row r="56" spans="1:19" ht="15.75" thickBot="1" x14ac:dyDescent="0.25">
      <c r="A56" s="389">
        <v>53</v>
      </c>
      <c r="B56" s="427" t="str">
        <f>IF(F12="","",(B12=F12,D12,B12))</f>
        <v/>
      </c>
      <c r="C56" s="174" t="str">
        <f>IF(B56="","",VLOOKUP(B56,'Списки участников'!A:P,12,FALSE))</f>
        <v/>
      </c>
      <c r="D56" s="428" t="str">
        <f>IF(F13="","",(B13=F13,D13,B13))</f>
        <v/>
      </c>
      <c r="E56" s="438" t="str">
        <f>IF(D56="","",VLOOKUP(D56,'Списки участников'!A:P,12,FALSE))</f>
        <v/>
      </c>
      <c r="F56" s="408"/>
      <c r="G56" s="414" t="str">
        <f>IF(F56="","",VLOOKUP(F56,'Списки участников'!A:P,12,FALSE))</f>
        <v/>
      </c>
      <c r="H56" s="165"/>
      <c r="I56" s="165"/>
      <c r="J56" s="165"/>
      <c r="K56" s="172"/>
      <c r="L56" s="172"/>
      <c r="M56" s="172"/>
      <c r="N56" s="172"/>
      <c r="O56" s="432" t="str">
        <f t="shared" si="0"/>
        <v/>
      </c>
      <c r="P56" s="210" t="str">
        <f t="shared" si="1"/>
        <v/>
      </c>
      <c r="Q56" s="178" t="str">
        <f t="shared" si="2"/>
        <v/>
      </c>
      <c r="R56" s="376" t="str">
        <f t="shared" si="3"/>
        <v/>
      </c>
      <c r="S56" s="856"/>
    </row>
    <row r="57" spans="1:19" ht="15.75" thickBot="1" x14ac:dyDescent="0.25">
      <c r="A57" s="364">
        <v>54</v>
      </c>
      <c r="B57" s="427" t="str">
        <f>IF(F14="","",(B14=F14,D14,B14))</f>
        <v/>
      </c>
      <c r="C57" s="174" t="str">
        <f>IF(B57="","",VLOOKUP(B57,'Списки участников'!A:P,12,FALSE))</f>
        <v/>
      </c>
      <c r="D57" s="428" t="str">
        <f>IF(F15="","",(B15=F15,D15,B15))</f>
        <v/>
      </c>
      <c r="E57" s="438" t="str">
        <f>IF(D57="","",VLOOKUP(D57,'Списки участников'!A:P,12,FALSE))</f>
        <v/>
      </c>
      <c r="F57" s="408"/>
      <c r="G57" s="414" t="str">
        <f>IF(F57="","",VLOOKUP(F57,'Списки участников'!A:P,12,FALSE))</f>
        <v/>
      </c>
      <c r="H57" s="165"/>
      <c r="I57" s="165"/>
      <c r="J57" s="165"/>
      <c r="K57" s="172"/>
      <c r="L57" s="172"/>
      <c r="M57" s="172"/>
      <c r="N57" s="172"/>
      <c r="O57" s="432" t="str">
        <f t="shared" si="0"/>
        <v/>
      </c>
      <c r="P57" s="210" t="str">
        <f t="shared" si="1"/>
        <v/>
      </c>
      <c r="Q57" s="178" t="str">
        <f t="shared" si="2"/>
        <v/>
      </c>
      <c r="R57" s="376" t="str">
        <f t="shared" si="3"/>
        <v/>
      </c>
      <c r="S57" s="856"/>
    </row>
    <row r="58" spans="1:19" ht="15.75" thickBot="1" x14ac:dyDescent="0.25">
      <c r="A58" s="389">
        <v>55</v>
      </c>
      <c r="B58" s="427" t="str">
        <f>IF(F16="","",(B16=F16,D16,B16))</f>
        <v/>
      </c>
      <c r="C58" s="365" t="str">
        <f>IF(B58="","",VLOOKUP(B58,'Списки участников'!A:P,12,FALSE))</f>
        <v/>
      </c>
      <c r="D58" s="428" t="str">
        <f>IF(F17="","",(B17=F17,D17,B17))</f>
        <v/>
      </c>
      <c r="E58" s="429" t="str">
        <f>IF(D58="","",VLOOKUP(D58,'Списки участников'!A:P,12,FALSE))</f>
        <v/>
      </c>
      <c r="F58" s="410"/>
      <c r="G58" s="415" t="str">
        <f>IF(F58="","",VLOOKUP(F58,'Списки участников'!A:P,12,FALSE))</f>
        <v/>
      </c>
      <c r="H58" s="351"/>
      <c r="I58" s="351"/>
      <c r="J58" s="351"/>
      <c r="K58" s="352"/>
      <c r="L58" s="352"/>
      <c r="M58" s="352"/>
      <c r="N58" s="352"/>
      <c r="O58" s="432" t="str">
        <f t="shared" si="0"/>
        <v/>
      </c>
      <c r="P58" s="354" t="str">
        <f t="shared" si="1"/>
        <v/>
      </c>
      <c r="Q58" s="355" t="str">
        <f t="shared" si="2"/>
        <v/>
      </c>
      <c r="R58" s="377" t="str">
        <f t="shared" si="3"/>
        <v/>
      </c>
      <c r="S58" s="856"/>
    </row>
    <row r="59" spans="1:19" ht="15.75" thickBot="1" x14ac:dyDescent="0.25">
      <c r="A59" s="364">
        <v>56</v>
      </c>
      <c r="B59" s="427" t="str">
        <f>IF(F18="","",(B18=F18,D18,B18))</f>
        <v/>
      </c>
      <c r="C59" s="342" t="str">
        <f>IF(B59="","",VLOOKUP(B59,'Списки участников'!A:P,12,FALSE))</f>
        <v/>
      </c>
      <c r="D59" s="428" t="str">
        <f>IF(F19="","",(B19=F19,D19,B19))</f>
        <v/>
      </c>
      <c r="E59" s="421" t="str">
        <f>IF(D59="","",VLOOKUP(D59,'Списки участников'!A:P,12,FALSE))</f>
        <v/>
      </c>
      <c r="F59" s="407"/>
      <c r="G59" s="413" t="str">
        <f>IF(F59="","",VLOOKUP(F59,'Списки участников'!A:P,12,FALSE))</f>
        <v/>
      </c>
      <c r="H59" s="344"/>
      <c r="I59" s="344"/>
      <c r="J59" s="344"/>
      <c r="K59" s="345"/>
      <c r="L59" s="345"/>
      <c r="M59" s="345"/>
      <c r="N59" s="345"/>
      <c r="O59" s="432" t="str">
        <f t="shared" si="0"/>
        <v/>
      </c>
      <c r="P59" s="347" t="str">
        <f t="shared" si="1"/>
        <v/>
      </c>
      <c r="Q59" s="348" t="str">
        <f t="shared" si="2"/>
        <v/>
      </c>
      <c r="R59" s="375" t="str">
        <f t="shared" si="3"/>
        <v/>
      </c>
      <c r="S59" s="857"/>
    </row>
    <row r="60" spans="1:19" ht="15.75" thickBot="1" x14ac:dyDescent="0.25">
      <c r="A60" s="389">
        <v>57</v>
      </c>
      <c r="B60" s="403" t="str">
        <f>IF(F52="","",F52)</f>
        <v/>
      </c>
      <c r="C60" s="155" t="str">
        <f>IF(B60="","",VLOOKUP(B60,'Списки участников'!A:P,12,FALSE))</f>
        <v/>
      </c>
      <c r="D60" s="350" t="str">
        <f>IF(F53="","",F53)</f>
        <v/>
      </c>
      <c r="E60" s="429" t="str">
        <f>IF(D60="","",VLOOKUP(D60,'Списки участников'!A:P,12,FALSE))</f>
        <v/>
      </c>
      <c r="F60" s="410"/>
      <c r="G60" s="415" t="str">
        <f>IF(F60="","",VLOOKUP(F60,'Списки участников'!A:P,12,FALSE))</f>
        <v/>
      </c>
      <c r="H60" s="370"/>
      <c r="I60" s="370"/>
      <c r="J60" s="370"/>
      <c r="K60" s="352"/>
      <c r="L60" s="352"/>
      <c r="M60" s="352"/>
      <c r="N60" s="352"/>
      <c r="O60" s="432" t="str">
        <f t="shared" si="0"/>
        <v/>
      </c>
      <c r="P60" s="354" t="str">
        <f t="shared" si="1"/>
        <v/>
      </c>
      <c r="Q60" s="355" t="str">
        <f t="shared" si="2"/>
        <v/>
      </c>
      <c r="R60" s="377" t="str">
        <f t="shared" si="3"/>
        <v/>
      </c>
      <c r="S60" s="856"/>
    </row>
    <row r="61" spans="1:19" ht="15.75" thickBot="1" x14ac:dyDescent="0.25">
      <c r="A61" s="364">
        <v>58</v>
      </c>
      <c r="B61" s="381">
        <f>F54</f>
        <v>0</v>
      </c>
      <c r="C61" s="380" t="e">
        <f>IF(B61="","",VLOOKUP(B61,'Списки участников'!A:P,12,FALSE))</f>
        <v>#N/A</v>
      </c>
      <c r="D61" s="381">
        <f>F55</f>
        <v>0</v>
      </c>
      <c r="E61" s="442" t="e">
        <f>IF(D61="","",VLOOKUP(D61,'Списки участников'!A:P,12,FALSE))</f>
        <v>#N/A</v>
      </c>
      <c r="F61" s="409"/>
      <c r="G61" s="388" t="str">
        <f>IF(F61="","",VLOOKUP(F61,'Списки участников'!A:P,12,FALSE))</f>
        <v/>
      </c>
      <c r="H61" s="382"/>
      <c r="I61" s="382"/>
      <c r="J61" s="441"/>
      <c r="K61" s="383"/>
      <c r="L61" s="383"/>
      <c r="M61" s="383"/>
      <c r="N61" s="383"/>
      <c r="O61" s="432" t="str">
        <f t="shared" si="0"/>
        <v/>
      </c>
      <c r="P61" s="385" t="str">
        <f t="shared" si="1"/>
        <v/>
      </c>
      <c r="Q61" s="386" t="str">
        <f t="shared" si="2"/>
        <v/>
      </c>
      <c r="R61" s="387" t="str">
        <f t="shared" si="3"/>
        <v/>
      </c>
      <c r="S61" s="856"/>
    </row>
    <row r="62" spans="1:19" ht="15.75" thickBot="1" x14ac:dyDescent="0.25">
      <c r="A62" s="389">
        <v>59</v>
      </c>
      <c r="B62" s="211">
        <f>F56</f>
        <v>0</v>
      </c>
      <c r="C62" s="443" t="e">
        <f>IF(B62="","",VLOOKUP(B62,'Списки участников'!A:P,12,FALSE))</f>
        <v>#N/A</v>
      </c>
      <c r="D62" s="211">
        <f>F57</f>
        <v>0</v>
      </c>
      <c r="E62" s="444" t="e">
        <f>IF(D62="","",VLOOKUP(D62,'Списки участников'!A:P,12,FALSE))</f>
        <v>#N/A</v>
      </c>
      <c r="F62" s="445"/>
      <c r="G62" s="446" t="str">
        <f>IF(F62="","",VLOOKUP(F62,'Списки участников'!A:P,12,FALSE))</f>
        <v/>
      </c>
      <c r="H62" s="447"/>
      <c r="I62" s="447"/>
      <c r="J62" s="447"/>
      <c r="K62" s="448"/>
      <c r="L62" s="448"/>
      <c r="M62" s="448"/>
      <c r="N62" s="448"/>
      <c r="O62" s="432" t="str">
        <f t="shared" si="0"/>
        <v/>
      </c>
      <c r="P62" s="449" t="str">
        <f t="shared" si="1"/>
        <v/>
      </c>
      <c r="Q62" s="450" t="str">
        <f t="shared" si="2"/>
        <v/>
      </c>
      <c r="R62" s="451" t="str">
        <f t="shared" si="3"/>
        <v/>
      </c>
      <c r="S62" s="858"/>
    </row>
    <row r="63" spans="1:19" ht="15.75" thickBot="1" x14ac:dyDescent="0.25">
      <c r="A63" s="364">
        <v>60</v>
      </c>
      <c r="B63" s="401">
        <f>F58</f>
        <v>0</v>
      </c>
      <c r="C63" s="342" t="e">
        <f>IF(B63="","",VLOOKUP(B63,'Списки участников'!A:P,12,FALSE))</f>
        <v>#N/A</v>
      </c>
      <c r="D63" s="401">
        <f>F59</f>
        <v>0</v>
      </c>
      <c r="E63" s="421" t="e">
        <f>IF(D63="","",VLOOKUP(D63,'Списки участников'!A:P,12,FALSE))</f>
        <v>#N/A</v>
      </c>
      <c r="F63" s="407"/>
      <c r="G63" s="413" t="str">
        <f>IF(F63="","",VLOOKUP(F63,'Списки участников'!A:P,12,FALSE))</f>
        <v/>
      </c>
      <c r="H63" s="344"/>
      <c r="I63" s="344"/>
      <c r="J63" s="344"/>
      <c r="K63" s="345"/>
      <c r="L63" s="345"/>
      <c r="M63" s="345"/>
      <c r="N63" s="345"/>
      <c r="O63" s="432" t="str">
        <f t="shared" si="0"/>
        <v/>
      </c>
      <c r="P63" s="347" t="str">
        <f t="shared" si="1"/>
        <v/>
      </c>
      <c r="Q63" s="348" t="str">
        <f t="shared" si="2"/>
        <v/>
      </c>
      <c r="R63" s="375" t="str">
        <f t="shared" si="3"/>
        <v/>
      </c>
      <c r="S63" s="856"/>
    </row>
    <row r="64" spans="1:19" ht="15.75" thickBot="1" x14ac:dyDescent="0.25">
      <c r="A64" s="389">
        <v>61</v>
      </c>
      <c r="B64" s="403">
        <f>F60</f>
        <v>0</v>
      </c>
      <c r="C64" s="155" t="e">
        <f>IF(B64="","",VLOOKUP(B64,'Списки участников'!A:P,12,FALSE))</f>
        <v>#N/A</v>
      </c>
      <c r="D64" s="350">
        <f>F61</f>
        <v>0</v>
      </c>
      <c r="E64" s="429" t="e">
        <f>IF(D64="","",VLOOKUP(D64,'Списки участников'!A:P,12,FALSE))</f>
        <v>#N/A</v>
      </c>
      <c r="F64" s="410"/>
      <c r="G64" s="415" t="str">
        <f>IF(F64="","",VLOOKUP(F64,'Списки участников'!A:P,12,FALSE))</f>
        <v/>
      </c>
      <c r="H64" s="351"/>
      <c r="I64" s="351"/>
      <c r="J64" s="351"/>
      <c r="K64" s="352"/>
      <c r="L64" s="352"/>
      <c r="M64" s="352"/>
      <c r="N64" s="352"/>
      <c r="O64" s="432" t="str">
        <f t="shared" si="0"/>
        <v/>
      </c>
      <c r="P64" s="354" t="str">
        <f t="shared" si="1"/>
        <v/>
      </c>
      <c r="Q64" s="355" t="str">
        <f t="shared" si="2"/>
        <v/>
      </c>
      <c r="R64" s="377" t="str">
        <f t="shared" si="3"/>
        <v/>
      </c>
      <c r="S64" s="856"/>
    </row>
    <row r="65" spans="1:19" ht="15.75" thickBot="1" x14ac:dyDescent="0.25">
      <c r="A65" s="364">
        <v>62</v>
      </c>
      <c r="B65" s="452">
        <f>F62</f>
        <v>0</v>
      </c>
      <c r="C65" s="380" t="e">
        <f>IF(B65="","",VLOOKUP(B65,'Списки участников'!A:P,12,FALSE))</f>
        <v>#N/A</v>
      </c>
      <c r="D65" s="381">
        <f>F63</f>
        <v>0</v>
      </c>
      <c r="E65" s="439" t="e">
        <f>IF(D65="","",VLOOKUP(D65,'Списки участников'!A:P,12,FALSE))</f>
        <v>#N/A</v>
      </c>
      <c r="F65" s="412"/>
      <c r="G65" s="417" t="str">
        <f>IF(F65="","",VLOOKUP(F65,'Списки участников'!A:P,12,FALSE))</f>
        <v/>
      </c>
      <c r="H65" s="382"/>
      <c r="I65" s="382"/>
      <c r="J65" s="382"/>
      <c r="K65" s="383"/>
      <c r="L65" s="383"/>
      <c r="M65" s="383"/>
      <c r="N65" s="383"/>
      <c r="O65" s="432" t="str">
        <f t="shared" si="0"/>
        <v/>
      </c>
      <c r="P65" s="385" t="str">
        <f t="shared" si="1"/>
        <v/>
      </c>
      <c r="Q65" s="386" t="str">
        <f t="shared" si="2"/>
        <v/>
      </c>
      <c r="R65" s="387" t="str">
        <f t="shared" si="3"/>
        <v/>
      </c>
      <c r="S65" s="857"/>
    </row>
    <row r="66" spans="1:19" ht="15.75" thickBot="1" x14ac:dyDescent="0.25">
      <c r="A66" s="389">
        <v>63</v>
      </c>
      <c r="B66" s="452">
        <f>F64</f>
        <v>0</v>
      </c>
      <c r="C66" s="380" t="e">
        <f>IF(B66="","",VLOOKUP(B66,'Списки участников'!A:P,12,FALSE))</f>
        <v>#N/A</v>
      </c>
      <c r="D66" s="381">
        <f>F65</f>
        <v>0</v>
      </c>
      <c r="E66" s="439" t="e">
        <f>IF(D66="","",VLOOKUP(D66,'Списки участников'!A:P,12,FALSE))</f>
        <v>#N/A</v>
      </c>
      <c r="F66" s="412"/>
      <c r="G66" s="417" t="str">
        <f>IF(F66="","",VLOOKUP(F66,'Списки участников'!A:P,12,FALSE))</f>
        <v/>
      </c>
      <c r="H66" s="382"/>
      <c r="I66" s="382"/>
      <c r="J66" s="382"/>
      <c r="K66" s="383"/>
      <c r="L66" s="383"/>
      <c r="M66" s="383"/>
      <c r="N66" s="383"/>
      <c r="O66" s="432" t="str">
        <f t="shared" si="0"/>
        <v/>
      </c>
      <c r="P66" s="385" t="str">
        <f t="shared" si="1"/>
        <v/>
      </c>
      <c r="Q66" s="386" t="str">
        <f t="shared" si="2"/>
        <v/>
      </c>
      <c r="R66" s="387" t="str">
        <f t="shared" si="3"/>
        <v/>
      </c>
      <c r="S66" s="856" t="s">
        <v>2493</v>
      </c>
    </row>
    <row r="67" spans="1:19" ht="15.75" thickBot="1" x14ac:dyDescent="0.25">
      <c r="A67" s="364">
        <v>64</v>
      </c>
      <c r="B67" s="404" t="str">
        <f>IF(F64="","",IF(F64=B64,D64,IF(F64=D64,B64)))</f>
        <v/>
      </c>
      <c r="C67" s="380" t="str">
        <f>IF(B67="","",VLOOKUP(B67,'Списки участников'!A:P,12,FALSE))</f>
        <v/>
      </c>
      <c r="D67" s="379" t="str">
        <f>IF(F65="","",IF(F65=B65,D65,IF(F65=D65,B65)))</f>
        <v/>
      </c>
      <c r="E67" s="439" t="str">
        <f>IF(D67="","",VLOOKUP(D67,'Списки участников'!A:P,12,FALSE))</f>
        <v/>
      </c>
      <c r="F67" s="412"/>
      <c r="G67" s="417" t="str">
        <f>IF(F67="","",VLOOKUP(F67,'Списки участников'!A:P,12,FALSE))</f>
        <v/>
      </c>
      <c r="H67" s="382"/>
      <c r="I67" s="382"/>
      <c r="J67" s="382"/>
      <c r="K67" s="383"/>
      <c r="L67" s="383"/>
      <c r="M67" s="383"/>
      <c r="N67" s="383"/>
      <c r="O67" s="432" t="str">
        <f t="shared" si="0"/>
        <v/>
      </c>
      <c r="P67" s="385" t="str">
        <f t="shared" si="1"/>
        <v/>
      </c>
      <c r="Q67" s="386" t="str">
        <f t="shared" si="2"/>
        <v/>
      </c>
      <c r="R67" s="387" t="str">
        <f t="shared" si="3"/>
        <v/>
      </c>
      <c r="S67" s="856" t="s">
        <v>2494</v>
      </c>
    </row>
    <row r="68" spans="1:19" ht="15.75" thickBot="1" x14ac:dyDescent="0.25">
      <c r="A68" s="389">
        <v>65</v>
      </c>
      <c r="B68" s="404" t="str">
        <f>IF(F60="","",IF(F60=B60,D60,IF(F60=D60,B60)))</f>
        <v/>
      </c>
      <c r="C68" s="342" t="str">
        <f>IF(B68="","",VLOOKUP(B68,'Списки участников'!A:P,12,FALSE))</f>
        <v/>
      </c>
      <c r="D68" s="379" t="str">
        <f>IF(F61="","",IF(F61=B61,D61,IF(F61=D61,B61)))</f>
        <v/>
      </c>
      <c r="E68" s="421" t="str">
        <f>IF(D68="","",VLOOKUP(D68,'Списки участников'!A:P,12,FALSE))</f>
        <v/>
      </c>
      <c r="F68" s="407"/>
      <c r="G68" s="413" t="str">
        <f>IF(F68="","",VLOOKUP(F68,'Списки участников'!A:P,12,FALSE))</f>
        <v/>
      </c>
      <c r="H68" s="344"/>
      <c r="I68" s="344"/>
      <c r="J68" s="344"/>
      <c r="K68" s="345"/>
      <c r="L68" s="345"/>
      <c r="M68" s="345"/>
      <c r="N68" s="345"/>
      <c r="O68" s="432" t="str">
        <f t="shared" si="0"/>
        <v/>
      </c>
      <c r="P68" s="347" t="str">
        <f t="shared" si="1"/>
        <v/>
      </c>
      <c r="Q68" s="348" t="str">
        <f t="shared" si="2"/>
        <v/>
      </c>
      <c r="R68" s="375" t="str">
        <f t="shared" si="3"/>
        <v/>
      </c>
      <c r="S68" s="857"/>
    </row>
    <row r="69" spans="1:19" ht="15.75" thickBot="1" x14ac:dyDescent="0.25">
      <c r="A69" s="364">
        <v>66</v>
      </c>
      <c r="B69" s="404" t="str">
        <f>IF(F62="","",IF(F62=B62,D62,IF(F62=D62,B62)))</f>
        <v/>
      </c>
      <c r="C69" s="155" t="str">
        <f>IF(B69="","",VLOOKUP(B69,'Списки участников'!A:P,12,FALSE))</f>
        <v/>
      </c>
      <c r="D69" s="379" t="str">
        <f>IF(F63="","",IF(F63=B63,D63,IF(F63=D63,B63)))</f>
        <v/>
      </c>
      <c r="E69" s="429" t="str">
        <f>IF(D69="","",VLOOKUP(D69,'Списки участников'!A:P,12,FALSE))</f>
        <v/>
      </c>
      <c r="F69" s="410"/>
      <c r="G69" s="415" t="str">
        <f>IF(F69="","",VLOOKUP(F69,'Списки участников'!A:P,12,FALSE))</f>
        <v/>
      </c>
      <c r="H69" s="351"/>
      <c r="I69" s="351"/>
      <c r="J69" s="469"/>
      <c r="K69" s="352"/>
      <c r="L69" s="352"/>
      <c r="M69" s="352"/>
      <c r="N69" s="352"/>
      <c r="O69" s="432" t="str">
        <f t="shared" ref="O69:O83" si="5">IF(F69="","",COUNTIF(H69:N69,"&gt;=0"))</f>
        <v/>
      </c>
      <c r="P69" s="354" t="str">
        <f t="shared" ref="P69:P83" si="6">IF(F69="","",":")</f>
        <v/>
      </c>
      <c r="Q69" s="355" t="str">
        <f t="shared" si="2"/>
        <v/>
      </c>
      <c r="R69" s="377" t="str">
        <f t="shared" ref="R69:R83" si="7">IF(F69="","",IF(K69="",CONCATENATE(O69,"-",Q69,"(",H69,",",I69,",",J69,")"),IF(L69="",CONCATENATE(O69,"-",Q69,"(",H69,",",I69,",",J69,",",K69,")"),IF(M69="",CONCATENATE(O69,"-",Q69,"(",H69,",",I69,",",J69,",",K69,",",L69,")"),IF(N69="",CONCATENATE(O69,"-",Q69,"(",H69,",",I69,",",J69,",",K69,",",L69,",",M69,")"),IF(N69&lt;&gt;0,CONCATENATE(O69,"-",Q69,"(",H69,",",I69,",",J69,",",K69,",",L69,",",M69,",",N69,")")))))))</f>
        <v/>
      </c>
      <c r="S69" s="856"/>
    </row>
    <row r="70" spans="1:19" ht="15.75" thickBot="1" x14ac:dyDescent="0.25">
      <c r="A70" s="389">
        <v>67</v>
      </c>
      <c r="B70" s="452">
        <f>F68</f>
        <v>0</v>
      </c>
      <c r="C70" s="380" t="e">
        <f>IF(B70="","",VLOOKUP(B70,'Списки участников'!A:P,12,FALSE))</f>
        <v>#N/A</v>
      </c>
      <c r="D70" s="381">
        <f>F69</f>
        <v>0</v>
      </c>
      <c r="E70" s="439" t="e">
        <f>IF(D70="","",VLOOKUP(D70,'Списки участников'!A:P,12,FALSE))</f>
        <v>#N/A</v>
      </c>
      <c r="F70" s="412"/>
      <c r="G70" s="417" t="str">
        <f>IF(F70="","",VLOOKUP(F70,'Списки участников'!A:P,12,FALSE))</f>
        <v/>
      </c>
      <c r="H70" s="382"/>
      <c r="I70" s="382"/>
      <c r="J70" s="382"/>
      <c r="K70" s="383"/>
      <c r="L70" s="383"/>
      <c r="M70" s="383"/>
      <c r="N70" s="383"/>
      <c r="O70" s="432" t="str">
        <f t="shared" si="5"/>
        <v/>
      </c>
      <c r="P70" s="385" t="str">
        <f t="shared" si="6"/>
        <v/>
      </c>
      <c r="Q70" s="386" t="str">
        <f t="shared" si="2"/>
        <v/>
      </c>
      <c r="R70" s="387" t="str">
        <f t="shared" si="7"/>
        <v/>
      </c>
      <c r="S70" s="856" t="s">
        <v>2495</v>
      </c>
    </row>
    <row r="71" spans="1:19" ht="15.75" thickBot="1" x14ac:dyDescent="0.25">
      <c r="A71" s="364">
        <v>68</v>
      </c>
      <c r="B71" s="404" t="str">
        <f>IF(F68="","",IF(F68=B68,D68,IF(F68=D68,B68)))</f>
        <v/>
      </c>
      <c r="C71" s="380" t="str">
        <f>IF(B71="","",VLOOKUP(B71,'Списки участников'!A:P,12,FALSE))</f>
        <v/>
      </c>
      <c r="D71" s="379" t="str">
        <f>IF(F69="","",IF(F69=B69,D69,IF(F69=D69,B69)))</f>
        <v/>
      </c>
      <c r="E71" s="439" t="str">
        <f>IF(D71="","",VLOOKUP(D71,'Списки участников'!A:P,12,FALSE))</f>
        <v/>
      </c>
      <c r="F71" s="412"/>
      <c r="G71" s="417" t="str">
        <f>IF(F71="","",VLOOKUP(F71,'Списки участников'!A:P,12,FALSE))</f>
        <v/>
      </c>
      <c r="H71" s="382"/>
      <c r="I71" s="382"/>
      <c r="J71" s="382"/>
      <c r="K71" s="383"/>
      <c r="L71" s="383"/>
      <c r="M71" s="383"/>
      <c r="N71" s="383"/>
      <c r="O71" s="432" t="str">
        <f t="shared" si="5"/>
        <v/>
      </c>
      <c r="P71" s="385" t="str">
        <f t="shared" si="6"/>
        <v/>
      </c>
      <c r="Q71" s="386" t="str">
        <f t="shared" si="2"/>
        <v/>
      </c>
      <c r="R71" s="387" t="str">
        <f t="shared" si="7"/>
        <v/>
      </c>
      <c r="S71" s="856" t="s">
        <v>2496</v>
      </c>
    </row>
    <row r="72" spans="1:19" ht="15.75" thickBot="1" x14ac:dyDescent="0.25">
      <c r="A72" s="389">
        <v>69</v>
      </c>
      <c r="B72" s="404" t="str">
        <f>IF(F52="","",IF(F52=B52,D52,IF(F52=D52,B52)))</f>
        <v/>
      </c>
      <c r="C72" s="342" t="str">
        <f>IF(B72="","",VLOOKUP(B72,'Списки участников'!A:P,12,FALSE))</f>
        <v/>
      </c>
      <c r="D72" s="379" t="str">
        <f>IF(F53="","",IF(F53=B53,D53,IF(F53=D53,B53)))</f>
        <v/>
      </c>
      <c r="E72" s="421" t="str">
        <f>IF(D72="","",VLOOKUP(D72,'Списки участников'!A:P,12,FALSE))</f>
        <v/>
      </c>
      <c r="F72" s="407"/>
      <c r="G72" s="413" t="str">
        <f>IF(F72="","",VLOOKUP(F72,'Списки участников'!A:P,12,FALSE))</f>
        <v/>
      </c>
      <c r="H72" s="344"/>
      <c r="I72" s="344"/>
      <c r="J72" s="344"/>
      <c r="K72" s="345"/>
      <c r="L72" s="345"/>
      <c r="M72" s="345"/>
      <c r="N72" s="345"/>
      <c r="O72" s="432" t="str">
        <f t="shared" si="5"/>
        <v/>
      </c>
      <c r="P72" s="347" t="str">
        <f t="shared" si="6"/>
        <v/>
      </c>
      <c r="Q72" s="348" t="str">
        <f t="shared" si="2"/>
        <v/>
      </c>
      <c r="R72" s="375" t="str">
        <f t="shared" si="7"/>
        <v/>
      </c>
      <c r="S72" s="856"/>
    </row>
    <row r="73" spans="1:19" ht="15.75" thickBot="1" x14ac:dyDescent="0.25">
      <c r="A73" s="364">
        <v>70</v>
      </c>
      <c r="B73" s="404" t="str">
        <f>IF(F54="","",IF(F54=B54,D54,IF(F54=D54,B54)))</f>
        <v/>
      </c>
      <c r="C73" s="152" t="str">
        <f>IF(B73="","",VLOOKUP(B73,'Списки участников'!A:P,12,FALSE))</f>
        <v/>
      </c>
      <c r="D73" s="379" t="str">
        <f>IF(F55="","",IF(F55=B55,D55,IF(F55=D55,B55)))</f>
        <v/>
      </c>
      <c r="E73" s="438" t="str">
        <f>IF(D73="","",VLOOKUP(D73,'Списки участников'!A:P,12,FALSE))</f>
        <v/>
      </c>
      <c r="F73" s="408"/>
      <c r="G73" s="414" t="str">
        <f>IF(F73="","",VLOOKUP(F73,'Списки участников'!A:P,12,FALSE))</f>
        <v/>
      </c>
      <c r="H73" s="165"/>
      <c r="I73" s="165"/>
      <c r="J73" s="165"/>
      <c r="K73" s="172"/>
      <c r="L73" s="172"/>
      <c r="M73" s="172"/>
      <c r="N73" s="172"/>
      <c r="O73" s="432" t="str">
        <f t="shared" si="5"/>
        <v/>
      </c>
      <c r="P73" s="210" t="str">
        <f t="shared" si="6"/>
        <v/>
      </c>
      <c r="Q73" s="178" t="str">
        <f t="shared" si="2"/>
        <v/>
      </c>
      <c r="R73" s="376" t="str">
        <f t="shared" si="7"/>
        <v/>
      </c>
      <c r="S73" s="856"/>
    </row>
    <row r="74" spans="1:19" ht="15.75" thickBot="1" x14ac:dyDescent="0.25">
      <c r="A74" s="389">
        <v>71</v>
      </c>
      <c r="B74" s="404" t="str">
        <f>IF(F56="","",IF(F56=B56,D56,IF(F56=D56,B56)))</f>
        <v/>
      </c>
      <c r="C74" s="152" t="str">
        <f>IF(B74="","",VLOOKUP(B74,'Списки участников'!A:P,12,FALSE))</f>
        <v/>
      </c>
      <c r="D74" s="379" t="str">
        <f>IF(F57="","",IF(F57=B57,D57,IF(F57=D57,B57)))</f>
        <v/>
      </c>
      <c r="E74" s="438" t="str">
        <f>IF(D74="","",VLOOKUP(D74,'Списки участников'!A:P,12,FALSE))</f>
        <v/>
      </c>
      <c r="F74" s="408"/>
      <c r="G74" s="414" t="str">
        <f>IF(F74="","",VLOOKUP(F74,'Списки участников'!A:P,12,FALSE))</f>
        <v/>
      </c>
      <c r="H74" s="165"/>
      <c r="I74" s="165"/>
      <c r="J74" s="165"/>
      <c r="K74" s="172"/>
      <c r="L74" s="172"/>
      <c r="M74" s="172"/>
      <c r="N74" s="172"/>
      <c r="O74" s="432" t="str">
        <f t="shared" si="5"/>
        <v/>
      </c>
      <c r="P74" s="210" t="str">
        <f t="shared" si="6"/>
        <v/>
      </c>
      <c r="Q74" s="178" t="str">
        <f t="shared" si="2"/>
        <v/>
      </c>
      <c r="R74" s="376" t="str">
        <f t="shared" si="7"/>
        <v/>
      </c>
      <c r="S74" s="856"/>
    </row>
    <row r="75" spans="1:19" ht="15.75" thickBot="1" x14ac:dyDescent="0.25">
      <c r="A75" s="364">
        <v>72</v>
      </c>
      <c r="B75" s="404" t="str">
        <f>IF(F58="","",IF(F58=B58,D58,IF(F58=D58,B58)))</f>
        <v/>
      </c>
      <c r="C75" s="155" t="str">
        <f>IF(B75="","",VLOOKUP(B75,'Списки участников'!A:P,12,FALSE))</f>
        <v/>
      </c>
      <c r="D75" s="379" t="str">
        <f>IF(F59="","",IF(F59=B59,D59,IF(F59=D59,B59)))</f>
        <v/>
      </c>
      <c r="E75" s="429" t="str">
        <f>IF(D75="","",VLOOKUP(D75,'Списки участников'!A:P,12,FALSE))</f>
        <v/>
      </c>
      <c r="F75" s="410"/>
      <c r="G75" s="415" t="str">
        <f>IF(F75="","",VLOOKUP(F75,'Списки участников'!A:P,12,FALSE))</f>
        <v/>
      </c>
      <c r="H75" s="351"/>
      <c r="I75" s="351"/>
      <c r="J75" s="351"/>
      <c r="K75" s="352"/>
      <c r="L75" s="352"/>
      <c r="M75" s="352"/>
      <c r="N75" s="352"/>
      <c r="O75" s="432" t="str">
        <f t="shared" si="5"/>
        <v/>
      </c>
      <c r="P75" s="354" t="str">
        <f t="shared" si="6"/>
        <v/>
      </c>
      <c r="Q75" s="355" t="str">
        <f t="shared" si="2"/>
        <v/>
      </c>
      <c r="R75" s="377" t="str">
        <f t="shared" si="7"/>
        <v/>
      </c>
      <c r="S75" s="856"/>
    </row>
    <row r="76" spans="1:19" ht="15.75" thickBot="1" x14ac:dyDescent="0.25">
      <c r="A76" s="389">
        <v>73</v>
      </c>
      <c r="B76" s="401">
        <f>F72</f>
        <v>0</v>
      </c>
      <c r="C76" s="342" t="e">
        <f>IF(B76="","",VLOOKUP(B76,'Списки участников'!A:P,12,FALSE))</f>
        <v>#N/A</v>
      </c>
      <c r="D76" s="343">
        <f>F73</f>
        <v>0</v>
      </c>
      <c r="E76" s="421" t="e">
        <f>IF(D76="","",VLOOKUP(D76,'Списки участников'!A:P,12,FALSE))</f>
        <v>#N/A</v>
      </c>
      <c r="F76" s="407"/>
      <c r="G76" s="413" t="str">
        <f>IF(F76="","",VLOOKUP(F76,'Списки участников'!A:P,12,FALSE))</f>
        <v/>
      </c>
      <c r="H76" s="344"/>
      <c r="I76" s="344"/>
      <c r="J76" s="344"/>
      <c r="K76" s="345"/>
      <c r="L76" s="345"/>
      <c r="M76" s="345"/>
      <c r="N76" s="345"/>
      <c r="O76" s="432" t="str">
        <f t="shared" si="5"/>
        <v/>
      </c>
      <c r="P76" s="347" t="str">
        <f t="shared" si="6"/>
        <v/>
      </c>
      <c r="Q76" s="348" t="str">
        <f t="shared" si="2"/>
        <v/>
      </c>
      <c r="R76" s="375" t="str">
        <f t="shared" si="7"/>
        <v/>
      </c>
      <c r="S76" s="856"/>
    </row>
    <row r="77" spans="1:19" ht="15.75" thickBot="1" x14ac:dyDescent="0.25">
      <c r="A77" s="364">
        <v>74</v>
      </c>
      <c r="B77" s="403">
        <f>F74</f>
        <v>0</v>
      </c>
      <c r="C77" s="155" t="e">
        <f>IF(B77="","",VLOOKUP(B77,'Списки участников'!A:P,12,FALSE))</f>
        <v>#N/A</v>
      </c>
      <c r="D77" s="350">
        <f>F75</f>
        <v>0</v>
      </c>
      <c r="E77" s="429" t="e">
        <f>IF(D77="","",VLOOKUP(D77,'Списки участников'!A:P,12,FALSE))</f>
        <v>#N/A</v>
      </c>
      <c r="F77" s="410"/>
      <c r="G77" s="415" t="str">
        <f>IF(F77="","",VLOOKUP(F77,'Списки участников'!A:P,12,FALSE))</f>
        <v/>
      </c>
      <c r="H77" s="351"/>
      <c r="I77" s="351"/>
      <c r="J77" s="469"/>
      <c r="K77" s="352"/>
      <c r="L77" s="352"/>
      <c r="M77" s="352"/>
      <c r="N77" s="352"/>
      <c r="O77" s="432" t="str">
        <f t="shared" si="5"/>
        <v/>
      </c>
      <c r="P77" s="354" t="str">
        <f t="shared" si="6"/>
        <v/>
      </c>
      <c r="Q77" s="355" t="str">
        <f t="shared" si="2"/>
        <v/>
      </c>
      <c r="R77" s="377" t="str">
        <f t="shared" si="7"/>
        <v/>
      </c>
      <c r="S77" s="856"/>
    </row>
    <row r="78" spans="1:19" ht="15.75" thickBot="1" x14ac:dyDescent="0.25">
      <c r="A78" s="389">
        <v>75</v>
      </c>
      <c r="B78" s="452">
        <f>F76</f>
        <v>0</v>
      </c>
      <c r="C78" s="380" t="e">
        <f>IF(B78="","",VLOOKUP(B78,'Списки участников'!A:P,12,FALSE))</f>
        <v>#N/A</v>
      </c>
      <c r="D78" s="381">
        <f>F77</f>
        <v>0</v>
      </c>
      <c r="E78" s="439" t="e">
        <f>IF(D78="","",VLOOKUP(D78,'Списки участников'!A:P,12,FALSE))</f>
        <v>#N/A</v>
      </c>
      <c r="F78" s="412"/>
      <c r="G78" s="417" t="str">
        <f>IF(F78="","",VLOOKUP(F78,'Списки участников'!A:P,12,FALSE))</f>
        <v/>
      </c>
      <c r="H78" s="382"/>
      <c r="I78" s="382"/>
      <c r="J78" s="382"/>
      <c r="K78" s="383"/>
      <c r="L78" s="383"/>
      <c r="M78" s="383"/>
      <c r="N78" s="383"/>
      <c r="O78" s="432" t="str">
        <f t="shared" si="5"/>
        <v/>
      </c>
      <c r="P78" s="385" t="str">
        <f t="shared" si="6"/>
        <v/>
      </c>
      <c r="Q78" s="386" t="str">
        <f t="shared" si="2"/>
        <v/>
      </c>
      <c r="R78" s="387" t="str">
        <f t="shared" si="7"/>
        <v/>
      </c>
      <c r="S78" s="856" t="s">
        <v>2497</v>
      </c>
    </row>
    <row r="79" spans="1:19" ht="15.75" thickBot="1" x14ac:dyDescent="0.25">
      <c r="A79" s="364">
        <v>76</v>
      </c>
      <c r="B79" s="404">
        <f>IF(B76=F76,D76,B76)</f>
        <v>0</v>
      </c>
      <c r="C79" s="380" t="e">
        <f>IF(B79="","",VLOOKUP(B79,'Списки участников'!A:P,12,FALSE))</f>
        <v>#N/A</v>
      </c>
      <c r="D79" s="379">
        <f>IF(B77=F77,D77,B77)</f>
        <v>0</v>
      </c>
      <c r="E79" s="439" t="e">
        <f>IF(D79="","",VLOOKUP(D79,'Списки участников'!A:P,12,FALSE))</f>
        <v>#N/A</v>
      </c>
      <c r="F79" s="412"/>
      <c r="G79" s="417" t="str">
        <f>IF(F79="","",VLOOKUP(F79,'Списки участников'!A:P,12,FALSE))</f>
        <v/>
      </c>
      <c r="H79" s="382"/>
      <c r="I79" s="382"/>
      <c r="J79" s="382"/>
      <c r="K79" s="383"/>
      <c r="L79" s="383"/>
      <c r="M79" s="383"/>
      <c r="N79" s="383"/>
      <c r="O79" s="432" t="str">
        <f t="shared" si="5"/>
        <v/>
      </c>
      <c r="P79" s="385" t="str">
        <f t="shared" si="6"/>
        <v/>
      </c>
      <c r="Q79" s="386" t="str">
        <f t="shared" si="2"/>
        <v/>
      </c>
      <c r="R79" s="387" t="str">
        <f t="shared" si="7"/>
        <v/>
      </c>
      <c r="S79" s="856" t="s">
        <v>2498</v>
      </c>
    </row>
    <row r="80" spans="1:19" ht="15.75" thickBot="1" x14ac:dyDescent="0.25">
      <c r="A80" s="389">
        <v>77</v>
      </c>
      <c r="B80" s="401" t="str">
        <f>IF(B72=F72,D72,B72)</f>
        <v/>
      </c>
      <c r="C80" s="342" t="str">
        <f>IF(B80="","",VLOOKUP(B80,'Списки участников'!A:P,12,FALSE))</f>
        <v/>
      </c>
      <c r="D80" s="343" t="str">
        <f>IF(B73=F73,D73,B73)</f>
        <v/>
      </c>
      <c r="E80" s="421" t="str">
        <f>IF(D80="","",VLOOKUP(D80,'Списки участников'!A:P,12,FALSE))</f>
        <v/>
      </c>
      <c r="F80" s="407"/>
      <c r="G80" s="413" t="str">
        <f>IF(F80="","",VLOOKUP(F80,'Списки участников'!A:P,12,FALSE))</f>
        <v/>
      </c>
      <c r="H80" s="344"/>
      <c r="I80" s="344"/>
      <c r="J80" s="344"/>
      <c r="K80" s="345"/>
      <c r="L80" s="345"/>
      <c r="M80" s="345"/>
      <c r="N80" s="345"/>
      <c r="O80" s="432" t="str">
        <f t="shared" si="5"/>
        <v/>
      </c>
      <c r="P80" s="347" t="str">
        <f t="shared" si="6"/>
        <v/>
      </c>
      <c r="Q80" s="348" t="str">
        <f t="shared" si="2"/>
        <v/>
      </c>
      <c r="R80" s="375" t="str">
        <f t="shared" si="7"/>
        <v/>
      </c>
      <c r="S80" s="856"/>
    </row>
    <row r="81" spans="1:19" ht="15.75" thickBot="1" x14ac:dyDescent="0.25">
      <c r="A81" s="364">
        <v>78</v>
      </c>
      <c r="B81" s="403" t="str">
        <f>IF(B74=F74,D74,B74)</f>
        <v/>
      </c>
      <c r="C81" s="155" t="str">
        <f>IF(B81="","",VLOOKUP(B81,'Списки участников'!A:P,12,FALSE))</f>
        <v/>
      </c>
      <c r="D81" s="350" t="str">
        <f>IF(B75=F75,D75,B75)</f>
        <v/>
      </c>
      <c r="E81" s="429" t="str">
        <f>IF(D81="","",VLOOKUP(D81,'Списки участников'!A:P,12,FALSE))</f>
        <v/>
      </c>
      <c r="F81" s="410"/>
      <c r="G81" s="415" t="str">
        <f>IF(F81="","",VLOOKUP(F81,'Списки участников'!A:P,12,FALSE))</f>
        <v/>
      </c>
      <c r="H81" s="351"/>
      <c r="I81" s="351"/>
      <c r="J81" s="351"/>
      <c r="K81" s="352"/>
      <c r="L81" s="352"/>
      <c r="M81" s="352"/>
      <c r="N81" s="352"/>
      <c r="O81" s="432" t="str">
        <f t="shared" si="5"/>
        <v/>
      </c>
      <c r="P81" s="354" t="str">
        <f t="shared" si="6"/>
        <v/>
      </c>
      <c r="Q81" s="355" t="str">
        <f t="shared" si="2"/>
        <v/>
      </c>
      <c r="R81" s="377" t="str">
        <f t="shared" si="7"/>
        <v/>
      </c>
      <c r="S81" s="856"/>
    </row>
    <row r="82" spans="1:19" ht="15.75" thickBot="1" x14ac:dyDescent="0.25">
      <c r="A82" s="389">
        <v>79</v>
      </c>
      <c r="B82" s="452">
        <f>F80</f>
        <v>0</v>
      </c>
      <c r="C82" s="380" t="e">
        <f>IF(B82="","",VLOOKUP(B82,'Списки участников'!A:P,12,FALSE))</f>
        <v>#N/A</v>
      </c>
      <c r="D82" s="381">
        <f>F81</f>
        <v>0</v>
      </c>
      <c r="E82" s="439" t="e">
        <f>IF(D82="","",VLOOKUP(D82,'Списки участников'!A:P,12,FALSE))</f>
        <v>#N/A</v>
      </c>
      <c r="F82" s="412"/>
      <c r="G82" s="417" t="str">
        <f>IF(F82="","",VLOOKUP(F82,'Списки участников'!A:P,12,FALSE))</f>
        <v/>
      </c>
      <c r="H82" s="382"/>
      <c r="I82" s="382"/>
      <c r="J82" s="382"/>
      <c r="K82" s="383"/>
      <c r="L82" s="383"/>
      <c r="M82" s="383"/>
      <c r="N82" s="383"/>
      <c r="O82" s="432" t="str">
        <f t="shared" si="5"/>
        <v/>
      </c>
      <c r="P82" s="385" t="str">
        <f t="shared" si="6"/>
        <v/>
      </c>
      <c r="Q82" s="386" t="str">
        <f t="shared" si="2"/>
        <v/>
      </c>
      <c r="R82" s="387" t="str">
        <f t="shared" si="7"/>
        <v/>
      </c>
      <c r="S82" s="856" t="s">
        <v>2499</v>
      </c>
    </row>
    <row r="83" spans="1:19" ht="15.75" thickBot="1" x14ac:dyDescent="0.25">
      <c r="A83" s="364">
        <v>80</v>
      </c>
      <c r="B83" s="471" t="str">
        <f>IF(B80=F80,D80,B80)</f>
        <v/>
      </c>
      <c r="C83" s="472" t="str">
        <f>IF(B83="","",VLOOKUP(B83,'Списки участников'!A:P,12,FALSE))</f>
        <v/>
      </c>
      <c r="D83" s="473" t="str">
        <f>IF(B81=F81,D81,B81)</f>
        <v/>
      </c>
      <c r="E83" s="474" t="str">
        <f>IF(D83="","",VLOOKUP(D83,'Списки участников'!A:P,12,FALSE))</f>
        <v/>
      </c>
      <c r="F83" s="411"/>
      <c r="G83" s="416" t="str">
        <f>IF(F83="","",VLOOKUP(F83,'Списки участников'!A:P,12,FALSE))</f>
        <v/>
      </c>
      <c r="H83" s="370"/>
      <c r="I83" s="370"/>
      <c r="J83" s="370"/>
      <c r="K83" s="371"/>
      <c r="L83" s="371"/>
      <c r="M83" s="371"/>
      <c r="N83" s="371"/>
      <c r="O83" s="432" t="str">
        <f t="shared" si="5"/>
        <v/>
      </c>
      <c r="P83" s="373" t="str">
        <f t="shared" si="6"/>
        <v/>
      </c>
      <c r="Q83" s="374" t="str">
        <f t="shared" si="2"/>
        <v/>
      </c>
      <c r="R83" s="378" t="str">
        <f t="shared" si="7"/>
        <v/>
      </c>
      <c r="S83" s="856" t="s">
        <v>2500</v>
      </c>
    </row>
    <row r="84" spans="1:19" ht="15" x14ac:dyDescent="0.2">
      <c r="A84" s="481"/>
      <c r="B84" s="482"/>
      <c r="C84" s="482"/>
      <c r="D84" s="482"/>
      <c r="E84" s="483"/>
      <c r="F84" s="482"/>
      <c r="G84" s="484"/>
      <c r="H84" s="485"/>
      <c r="I84" s="485"/>
      <c r="J84" s="485"/>
      <c r="K84" s="486"/>
      <c r="L84" s="486"/>
      <c r="M84" s="486"/>
      <c r="N84" s="486"/>
      <c r="O84" s="486"/>
      <c r="P84" s="486"/>
      <c r="Q84" s="486"/>
      <c r="R84" s="487"/>
      <c r="S84" s="483"/>
    </row>
    <row r="85" spans="1:19" ht="15" x14ac:dyDescent="0.2">
      <c r="A85" s="475"/>
      <c r="B85" s="476"/>
      <c r="C85" s="476"/>
      <c r="D85" s="476"/>
      <c r="E85" s="189"/>
      <c r="F85" s="476"/>
      <c r="G85" s="477"/>
      <c r="H85" s="478"/>
      <c r="I85" s="478"/>
      <c r="J85" s="478"/>
      <c r="K85" s="479"/>
      <c r="L85" s="479"/>
      <c r="M85" s="479"/>
      <c r="N85" s="479"/>
      <c r="O85" s="479"/>
      <c r="P85" s="479"/>
      <c r="Q85" s="479"/>
      <c r="R85" s="480"/>
      <c r="S85" s="189"/>
    </row>
    <row r="86" spans="1:19" ht="15" x14ac:dyDescent="0.2">
      <c r="A86" s="475"/>
      <c r="B86" s="476"/>
      <c r="C86" s="476"/>
      <c r="D86" s="476"/>
      <c r="E86" s="189"/>
      <c r="F86" s="476"/>
      <c r="G86" s="477"/>
      <c r="H86" s="478"/>
      <c r="I86" s="478"/>
      <c r="J86" s="478"/>
      <c r="K86" s="479"/>
      <c r="L86" s="479"/>
      <c r="M86" s="479"/>
      <c r="N86" s="479"/>
      <c r="O86" s="479"/>
      <c r="P86" s="479"/>
      <c r="Q86" s="479"/>
      <c r="R86" s="480"/>
      <c r="S86" s="189"/>
    </row>
    <row r="87" spans="1:19" ht="15" x14ac:dyDescent="0.2">
      <c r="A87" s="475"/>
      <c r="B87" s="476"/>
      <c r="C87" s="476"/>
      <c r="D87" s="476"/>
      <c r="E87" s="189"/>
      <c r="F87" s="476"/>
      <c r="G87" s="477"/>
      <c r="H87" s="478"/>
      <c r="I87" s="478"/>
      <c r="J87" s="478"/>
      <c r="K87" s="479"/>
      <c r="L87" s="479"/>
      <c r="M87" s="479"/>
      <c r="N87" s="479"/>
      <c r="O87" s="479"/>
      <c r="P87" s="479"/>
      <c r="Q87" s="479"/>
      <c r="R87" s="480"/>
      <c r="S87" s="189"/>
    </row>
    <row r="88" spans="1:19" ht="15" x14ac:dyDescent="0.2">
      <c r="A88" s="475"/>
      <c r="B88" s="476"/>
      <c r="C88" s="476"/>
      <c r="D88" s="476"/>
      <c r="E88" s="189"/>
      <c r="F88" s="476"/>
      <c r="G88" s="477"/>
      <c r="H88" s="478"/>
      <c r="I88" s="478"/>
      <c r="J88" s="478"/>
      <c r="K88" s="479"/>
      <c r="L88" s="479"/>
      <c r="M88" s="479"/>
      <c r="N88" s="479"/>
      <c r="O88" s="479"/>
      <c r="P88" s="479"/>
      <c r="Q88" s="479"/>
      <c r="R88" s="480"/>
      <c r="S88" s="189"/>
    </row>
    <row r="89" spans="1:19" ht="15" x14ac:dyDescent="0.2">
      <c r="A89" s="475"/>
      <c r="B89" s="476"/>
      <c r="C89" s="476"/>
      <c r="D89" s="476"/>
      <c r="E89" s="189"/>
      <c r="F89" s="476"/>
      <c r="G89" s="477"/>
      <c r="H89" s="478"/>
      <c r="I89" s="478"/>
      <c r="J89" s="478"/>
      <c r="K89" s="479"/>
      <c r="L89" s="479"/>
      <c r="M89" s="479"/>
      <c r="N89" s="479"/>
      <c r="O89" s="479"/>
      <c r="P89" s="479"/>
      <c r="Q89" s="479"/>
      <c r="R89" s="480"/>
      <c r="S89" s="189"/>
    </row>
    <row r="90" spans="1:19" ht="15" x14ac:dyDescent="0.2">
      <c r="A90" s="475"/>
      <c r="B90" s="476"/>
      <c r="C90" s="476"/>
      <c r="D90" s="476"/>
      <c r="E90" s="189"/>
      <c r="F90" s="476"/>
      <c r="G90" s="477"/>
      <c r="H90" s="478"/>
      <c r="I90" s="478"/>
      <c r="J90" s="478"/>
      <c r="K90" s="479"/>
      <c r="L90" s="479"/>
      <c r="M90" s="479"/>
      <c r="N90" s="479"/>
      <c r="O90" s="479"/>
      <c r="P90" s="479"/>
      <c r="Q90" s="479"/>
      <c r="R90" s="480"/>
      <c r="S90" s="189"/>
    </row>
    <row r="91" spans="1:19" ht="15" x14ac:dyDescent="0.2">
      <c r="A91" s="475"/>
      <c r="B91" s="476"/>
      <c r="C91" s="476"/>
      <c r="D91" s="476"/>
      <c r="E91" s="189"/>
      <c r="F91" s="476"/>
      <c r="G91" s="477"/>
      <c r="H91" s="478"/>
      <c r="I91" s="478"/>
      <c r="J91" s="478"/>
      <c r="K91" s="479"/>
      <c r="L91" s="479"/>
      <c r="M91" s="479"/>
      <c r="N91" s="479"/>
      <c r="O91" s="479"/>
      <c r="P91" s="479"/>
      <c r="Q91" s="479"/>
      <c r="R91" s="480"/>
      <c r="S91" s="189"/>
    </row>
    <row r="92" spans="1:19" ht="15" x14ac:dyDescent="0.2">
      <c r="A92" s="475"/>
      <c r="B92" s="476"/>
      <c r="C92" s="476"/>
      <c r="D92" s="476"/>
      <c r="E92" s="189"/>
      <c r="F92" s="476"/>
      <c r="G92" s="477"/>
      <c r="H92" s="478"/>
      <c r="I92" s="478"/>
      <c r="J92" s="478"/>
      <c r="K92" s="479"/>
      <c r="L92" s="479"/>
      <c r="M92" s="479"/>
      <c r="N92" s="479"/>
      <c r="O92" s="479"/>
      <c r="P92" s="479"/>
      <c r="Q92" s="479"/>
      <c r="R92" s="480"/>
      <c r="S92" s="189"/>
    </row>
    <row r="93" spans="1:19" ht="15" x14ac:dyDescent="0.2">
      <c r="A93" s="475"/>
      <c r="B93" s="476"/>
      <c r="C93" s="476"/>
      <c r="D93" s="476"/>
      <c r="E93" s="189"/>
      <c r="F93" s="476"/>
      <c r="G93" s="477"/>
      <c r="H93" s="478"/>
      <c r="I93" s="478"/>
      <c r="J93" s="478"/>
      <c r="K93" s="479"/>
      <c r="L93" s="479"/>
      <c r="M93" s="479"/>
      <c r="N93" s="479"/>
      <c r="O93" s="479"/>
      <c r="P93" s="479"/>
      <c r="Q93" s="479"/>
      <c r="R93" s="480"/>
      <c r="S93" s="189"/>
    </row>
    <row r="94" spans="1:19" ht="15" x14ac:dyDescent="0.2">
      <c r="A94" s="475"/>
      <c r="B94" s="476"/>
      <c r="C94" s="476"/>
      <c r="D94" s="476"/>
      <c r="E94" s="189"/>
      <c r="F94" s="476"/>
      <c r="G94" s="477"/>
      <c r="H94" s="478"/>
      <c r="I94" s="478"/>
      <c r="J94" s="478"/>
      <c r="K94" s="479"/>
      <c r="L94" s="479"/>
      <c r="M94" s="479"/>
      <c r="N94" s="479"/>
      <c r="O94" s="479"/>
      <c r="P94" s="479"/>
      <c r="Q94" s="479"/>
      <c r="R94" s="480"/>
      <c r="S94" s="189"/>
    </row>
    <row r="95" spans="1:19" ht="15" x14ac:dyDescent="0.2">
      <c r="A95" s="475"/>
      <c r="B95" s="476"/>
      <c r="C95" s="476"/>
      <c r="D95" s="476"/>
      <c r="E95" s="189"/>
      <c r="F95" s="476"/>
      <c r="G95" s="477"/>
      <c r="H95" s="478"/>
      <c r="I95" s="478"/>
      <c r="J95" s="478"/>
      <c r="K95" s="479"/>
      <c r="L95" s="479"/>
      <c r="M95" s="479"/>
      <c r="N95" s="479"/>
      <c r="O95" s="479"/>
      <c r="P95" s="479"/>
      <c r="Q95" s="479"/>
      <c r="R95" s="480"/>
      <c r="S95" s="189"/>
    </row>
    <row r="96" spans="1:19" ht="15" x14ac:dyDescent="0.2">
      <c r="A96" s="475"/>
      <c r="B96" s="476"/>
      <c r="C96" s="476"/>
      <c r="D96" s="476"/>
      <c r="E96" s="189"/>
      <c r="F96" s="476"/>
      <c r="G96" s="477"/>
      <c r="H96" s="478"/>
      <c r="I96" s="478"/>
      <c r="J96" s="478"/>
      <c r="K96" s="479"/>
      <c r="L96" s="479"/>
      <c r="M96" s="479"/>
      <c r="N96" s="479"/>
      <c r="O96" s="479"/>
      <c r="P96" s="479"/>
      <c r="Q96" s="479"/>
      <c r="R96" s="480"/>
      <c r="S96" s="189"/>
    </row>
    <row r="97" spans="1:19" ht="15" x14ac:dyDescent="0.2">
      <c r="A97" s="475"/>
      <c r="B97" s="476"/>
      <c r="C97" s="476"/>
      <c r="D97" s="476"/>
      <c r="E97" s="189"/>
      <c r="F97" s="476"/>
      <c r="G97" s="477"/>
      <c r="H97" s="478"/>
      <c r="I97" s="478"/>
      <c r="J97" s="478"/>
      <c r="K97" s="479"/>
      <c r="L97" s="479"/>
      <c r="M97" s="479"/>
      <c r="N97" s="479"/>
      <c r="O97" s="479"/>
      <c r="P97" s="479"/>
      <c r="Q97" s="479"/>
      <c r="R97" s="480"/>
      <c r="S97" s="189"/>
    </row>
  </sheetData>
  <mergeCells count="9">
    <mergeCell ref="R2:R3"/>
    <mergeCell ref="S2:S3"/>
    <mergeCell ref="H2:N2"/>
    <mergeCell ref="A2:A3"/>
    <mergeCell ref="B2:B3"/>
    <mergeCell ref="C2:C3"/>
    <mergeCell ref="D2:D3"/>
    <mergeCell ref="E2:E3"/>
    <mergeCell ref="G2:G3"/>
  </mergeCells>
  <pageMargins left="0.7" right="0.7" top="0.75" bottom="0.75" header="0.3" footer="0.3"/>
  <pageSetup paperSize="9" orientation="portrait" verticalDpi="0" r:id="rId1"/>
  <ignoredErrors>
    <ignoredError sqref="D51" formula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E72"/>
  <sheetViews>
    <sheetView showZeros="0" view="pageBreakPreview" zoomScale="90" zoomScaleNormal="100" zoomScaleSheetLayoutView="90" workbookViewId="0">
      <selection activeCell="B7" sqref="B7:B69"/>
    </sheetView>
  </sheetViews>
  <sheetFormatPr defaultColWidth="10.6640625" defaultRowHeight="12.75" outlineLevelCol="1" x14ac:dyDescent="0.2"/>
  <cols>
    <col min="1" max="1" width="3.83203125" style="216" customWidth="1"/>
    <col min="2" max="2" width="4.6640625" style="216" hidden="1" customWidth="1" outlineLevel="1"/>
    <col min="3" max="3" width="14.83203125" style="216" customWidth="1" collapsed="1"/>
    <col min="4" max="4" width="3.83203125" style="219" customWidth="1"/>
    <col min="5" max="5" width="4.5" style="216" hidden="1" customWidth="1" outlineLevel="1"/>
    <col min="6" max="6" width="14.83203125" style="216" customWidth="1" collapsed="1"/>
    <col min="7" max="7" width="3.83203125" style="216" customWidth="1"/>
    <col min="8" max="8" width="3" style="216" hidden="1" customWidth="1" outlineLevel="1"/>
    <col min="9" max="9" width="14.83203125" style="216" customWidth="1" collapsed="1"/>
    <col min="10" max="10" width="3.83203125" style="216" customWidth="1"/>
    <col min="11" max="11" width="2.83203125" style="216" hidden="1" customWidth="1" outlineLevel="1"/>
    <col min="12" max="12" width="14.83203125" style="216" customWidth="1" collapsed="1"/>
    <col min="13" max="13" width="4.5" style="216" customWidth="1"/>
    <col min="14" max="14" width="2.83203125" style="216" hidden="1" customWidth="1" outlineLevel="1"/>
    <col min="15" max="15" width="14.83203125" style="216" customWidth="1" collapsed="1"/>
    <col min="16" max="16" width="3.83203125" style="216" customWidth="1"/>
    <col min="17" max="17" width="2.83203125" style="216" hidden="1" customWidth="1" outlineLevel="1"/>
    <col min="18" max="18" width="20.83203125" style="216" customWidth="1" collapsed="1"/>
    <col min="19" max="19" width="3.83203125" style="2" customWidth="1"/>
    <col min="20" max="20" width="3.33203125" style="5" hidden="1" customWidth="1" outlineLevel="1"/>
    <col min="21" max="21" width="13.1640625" style="2" customWidth="1" collapsed="1"/>
    <col min="22" max="22" width="3.83203125" style="2" customWidth="1"/>
    <col min="23" max="23" width="3.6640625" style="5" hidden="1" customWidth="1" outlineLevel="1"/>
    <col min="24" max="24" width="13.1640625" style="2" customWidth="1" collapsed="1"/>
    <col min="25" max="25" width="3.83203125" style="5" customWidth="1"/>
    <col min="26" max="26" width="4.1640625" style="5" hidden="1" customWidth="1" outlineLevel="1"/>
    <col min="27" max="27" width="13.1640625" style="2" customWidth="1" collapsed="1"/>
    <col min="28" max="28" width="3.83203125" style="2" customWidth="1"/>
    <col min="29" max="29" width="3.6640625" style="5" hidden="1" customWidth="1" outlineLevel="1"/>
    <col min="30" max="30" width="13.1640625" style="2" customWidth="1" collapsed="1"/>
    <col min="31" max="31" width="3.83203125" style="2" customWidth="1"/>
    <col min="32" max="32" width="3.83203125" style="5" hidden="1" customWidth="1" outlineLevel="1"/>
    <col min="33" max="33" width="13.1640625" style="2" customWidth="1" collapsed="1"/>
    <col min="34" max="34" width="3.83203125" style="2" customWidth="1"/>
    <col min="35" max="35" width="3.6640625" style="5" hidden="1" customWidth="1" outlineLevel="1"/>
    <col min="36" max="36" width="13.1640625" style="2" customWidth="1" collapsed="1"/>
    <col min="37" max="37" width="3.83203125" style="90" customWidth="1"/>
    <col min="38" max="38" width="4.1640625" style="5" hidden="1" customWidth="1" outlineLevel="1"/>
    <col min="39" max="39" width="13.1640625" style="2" customWidth="1" collapsed="1"/>
    <col min="40" max="40" width="3.83203125" style="2" customWidth="1"/>
    <col min="41" max="41" width="4" style="2" hidden="1" customWidth="1" outlineLevel="1"/>
    <col min="42" max="42" width="16.1640625" style="2" customWidth="1" collapsed="1"/>
    <col min="43" max="43" width="3.83203125" style="88" customWidth="1"/>
    <col min="44" max="44" width="3.6640625" style="2" hidden="1" customWidth="1" outlineLevel="1"/>
    <col min="45" max="45" width="16.1640625" style="2" customWidth="1" collapsed="1"/>
    <col min="46" max="46" width="3.83203125" style="89" customWidth="1"/>
    <col min="47" max="47" width="2.83203125" style="2" hidden="1" customWidth="1" outlineLevel="1"/>
    <col min="48" max="48" width="16.1640625" style="2" customWidth="1" collapsed="1"/>
    <col min="49" max="49" width="3.83203125" style="89" customWidth="1"/>
    <col min="50" max="50" width="4.1640625" style="2" hidden="1" customWidth="1" outlineLevel="1"/>
    <col min="51" max="51" width="16.1640625" style="2" customWidth="1" collapsed="1"/>
    <col min="52" max="52" width="3.83203125" style="2" customWidth="1"/>
    <col min="53" max="53" width="4" style="2" hidden="1" customWidth="1" outlineLevel="1"/>
    <col min="54" max="54" width="15.6640625" style="2" customWidth="1" collapsed="1"/>
    <col min="55" max="55" width="3.5" style="89" customWidth="1"/>
    <col min="56" max="56" width="4.1640625" style="2" hidden="1" customWidth="1" outlineLevel="1"/>
    <col min="57" max="57" width="17.6640625" style="2" customWidth="1" collapsed="1"/>
    <col min="58" max="16384" width="10.6640625" style="2"/>
  </cols>
  <sheetData>
    <row r="1" spans="1:57" s="1" customFormat="1" ht="18.75" x14ac:dyDescent="0.2">
      <c r="A1" s="1251" t="str">
        <f>'Списки участников'!A1</f>
        <v>IV Мемориал Заслуженного тренера России В.А.Воробьева</v>
      </c>
      <c r="B1" s="1251"/>
      <c r="C1" s="1251"/>
      <c r="D1" s="1251"/>
      <c r="E1" s="1251"/>
      <c r="F1" s="1251"/>
      <c r="G1" s="1251"/>
      <c r="H1" s="1251"/>
      <c r="I1" s="1251"/>
      <c r="J1" s="1251"/>
      <c r="K1" s="1251"/>
      <c r="L1" s="1251"/>
      <c r="M1" s="1251"/>
      <c r="N1" s="1251"/>
      <c r="O1" s="1251"/>
      <c r="P1" s="1251"/>
      <c r="Q1" s="1251"/>
      <c r="R1" s="1251"/>
      <c r="S1" s="1273" t="str">
        <f>A1</f>
        <v>IV Мемориал Заслуженного тренера России В.А.Воробьева</v>
      </c>
      <c r="T1" s="1273"/>
      <c r="U1" s="1274"/>
      <c r="V1" s="1274"/>
      <c r="W1" s="1274"/>
      <c r="X1" s="1274"/>
      <c r="Y1" s="1274"/>
      <c r="Z1" s="1274"/>
      <c r="AA1" s="1274"/>
      <c r="AB1" s="1274"/>
      <c r="AC1" s="1274"/>
      <c r="AD1" s="1274"/>
      <c r="AE1" s="1274"/>
      <c r="AF1" s="1274"/>
      <c r="AG1" s="1274"/>
      <c r="AH1" s="1274"/>
      <c r="AI1" s="1274"/>
      <c r="AJ1" s="1274"/>
      <c r="AK1" s="1274"/>
      <c r="AL1" s="1274"/>
      <c r="AM1" s="1274"/>
      <c r="AN1" s="1273" t="str">
        <f>A1</f>
        <v>IV Мемориал Заслуженного тренера России В.А.Воробьева</v>
      </c>
      <c r="AO1" s="1273"/>
      <c r="AP1" s="1274"/>
      <c r="AQ1" s="1274"/>
      <c r="AR1" s="1274"/>
      <c r="AS1" s="1274"/>
      <c r="AT1" s="1274"/>
      <c r="AU1" s="1274"/>
      <c r="AV1" s="1274"/>
      <c r="AW1" s="1274"/>
      <c r="AX1" s="1274"/>
      <c r="AY1" s="1274"/>
      <c r="AZ1" s="1274"/>
      <c r="BA1" s="1274"/>
      <c r="BB1" s="1274"/>
      <c r="BC1" s="1274"/>
      <c r="BD1" s="1274"/>
      <c r="BE1" s="1274"/>
    </row>
    <row r="2" spans="1:57" ht="16.5" thickBot="1" x14ac:dyDescent="0.25">
      <c r="A2" s="1252" t="str">
        <f>'Списки участников'!A2</f>
        <v>среди юношей и девушек 2002 г.р. и моложе</v>
      </c>
      <c r="B2" s="1252"/>
      <c r="C2" s="1252"/>
      <c r="D2" s="1252"/>
      <c r="E2" s="1252"/>
      <c r="F2" s="1252"/>
      <c r="G2" s="1252"/>
      <c r="H2" s="1252"/>
      <c r="I2" s="1252"/>
      <c r="J2" s="1252"/>
      <c r="K2" s="1252"/>
      <c r="L2" s="1252"/>
      <c r="M2" s="1252"/>
      <c r="N2" s="1252"/>
      <c r="O2" s="1252"/>
      <c r="P2" s="1252"/>
      <c r="Q2" s="1252"/>
      <c r="R2" s="1252"/>
      <c r="S2" s="1252" t="str">
        <f>A2</f>
        <v>среди юношей и девушек 2002 г.р. и моложе</v>
      </c>
      <c r="T2" s="1252"/>
      <c r="U2" s="1252"/>
      <c r="V2" s="1252"/>
      <c r="W2" s="1252"/>
      <c r="X2" s="1252"/>
      <c r="Y2" s="1252"/>
      <c r="Z2" s="1252"/>
      <c r="AA2" s="1252"/>
      <c r="AB2" s="1252"/>
      <c r="AC2" s="1252"/>
      <c r="AD2" s="1252"/>
      <c r="AE2" s="1252"/>
      <c r="AF2" s="1252"/>
      <c r="AG2" s="1252"/>
      <c r="AH2" s="1252"/>
      <c r="AI2" s="1252"/>
      <c r="AJ2" s="1252"/>
      <c r="AK2" s="1252"/>
      <c r="AL2" s="1252"/>
      <c r="AM2" s="1252"/>
      <c r="AN2" s="1252" t="str">
        <f>A2</f>
        <v>среди юношей и девушек 2002 г.р. и моложе</v>
      </c>
      <c r="AO2" s="1252"/>
      <c r="AP2" s="1252"/>
      <c r="AQ2" s="1252"/>
      <c r="AR2" s="1252"/>
      <c r="AS2" s="1252"/>
      <c r="AT2" s="1252"/>
      <c r="AU2" s="1252"/>
      <c r="AV2" s="1252"/>
      <c r="AW2" s="1252"/>
      <c r="AX2" s="1252"/>
      <c r="AY2" s="1252"/>
      <c r="AZ2" s="1252"/>
      <c r="BA2" s="1252"/>
      <c r="BB2" s="1252"/>
      <c r="BC2" s="1252"/>
      <c r="BD2" s="1252"/>
      <c r="BE2" s="1252"/>
    </row>
    <row r="3" spans="1:57" ht="15.75" x14ac:dyDescent="0.2">
      <c r="A3" s="1275" t="str">
        <f>'Списки участников'!C3</f>
        <v>26-29 мая 2016 г.</v>
      </c>
      <c r="B3" s="1275"/>
      <c r="C3" s="1275"/>
      <c r="D3" s="1275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13" t="str">
        <f>'Списки участников'!I3</f>
        <v>г. Москва</v>
      </c>
      <c r="P3" s="200"/>
      <c r="Q3" s="200"/>
      <c r="R3" s="3" t="s">
        <v>89</v>
      </c>
      <c r="S3" s="200"/>
      <c r="T3" s="200"/>
      <c r="U3" s="4"/>
      <c r="V3" s="200"/>
      <c r="W3" s="200"/>
      <c r="X3" s="4"/>
      <c r="Y3" s="200"/>
      <c r="Z3" s="200"/>
      <c r="AA3" s="4"/>
      <c r="AB3" s="200"/>
      <c r="AC3" s="200"/>
      <c r="AD3" s="4"/>
      <c r="AE3" s="200"/>
      <c r="AF3" s="200"/>
      <c r="AG3" s="4"/>
      <c r="AH3" s="200"/>
      <c r="AI3" s="200"/>
      <c r="AJ3" s="4"/>
      <c r="AK3" s="200"/>
      <c r="AL3" s="200"/>
      <c r="AM3" s="214" t="s">
        <v>90</v>
      </c>
      <c r="AN3" s="200"/>
      <c r="AO3" s="200"/>
      <c r="AP3" s="4"/>
      <c r="AQ3" s="200"/>
      <c r="AR3" s="200"/>
      <c r="AS3" s="4"/>
      <c r="AT3" s="200"/>
      <c r="AU3" s="200"/>
      <c r="AV3" s="4"/>
      <c r="AW3" s="200"/>
      <c r="AX3" s="200"/>
      <c r="AY3" s="200"/>
      <c r="AZ3" s="200"/>
      <c r="BA3" s="200"/>
      <c r="BB3" s="4"/>
      <c r="BC3" s="200"/>
      <c r="BD3" s="200"/>
      <c r="BE3" s="214" t="s">
        <v>91</v>
      </c>
    </row>
    <row r="4" spans="1:57" ht="11.45" customHeight="1" x14ac:dyDescent="0.2">
      <c r="A4" s="805"/>
      <c r="B4" s="805"/>
      <c r="C4" s="805"/>
      <c r="D4" s="805"/>
      <c r="E4" s="805"/>
      <c r="F4" s="805"/>
      <c r="G4" s="805"/>
      <c r="H4" s="805"/>
      <c r="I4" s="806" t="str">
        <f>'Списки участников'!D6</f>
        <v>ЮНОШИ</v>
      </c>
      <c r="J4" s="805"/>
      <c r="K4" s="805"/>
      <c r="L4" s="807" t="s">
        <v>2596</v>
      </c>
      <c r="M4" s="807">
        <v>12</v>
      </c>
      <c r="N4" s="805"/>
      <c r="O4" s="809" t="s">
        <v>2597</v>
      </c>
      <c r="P4" s="805"/>
      <c r="Q4" s="805"/>
      <c r="R4" s="805"/>
      <c r="S4" s="200"/>
      <c r="T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  <c r="AN4" s="6">
        <v>-40</v>
      </c>
      <c r="AO4" s="7" t="str">
        <f>IF(Z7="","",IF(Z7=W6,W8,IF(Z7=W8,W6)))</f>
        <v/>
      </c>
      <c r="AP4" s="8" t="str">
        <f>IF(AO4="",AO4,VLOOKUP(AO4,'Списки участников'!A:L,12,FALSE))</f>
        <v/>
      </c>
      <c r="AQ4" s="9"/>
      <c r="AR4" s="10"/>
      <c r="AS4" s="10"/>
      <c r="AT4" s="11"/>
      <c r="AU4" s="10"/>
      <c r="AV4" s="10"/>
      <c r="AW4" s="11"/>
      <c r="AX4" s="10"/>
      <c r="AY4" s="10"/>
      <c r="AZ4" s="10"/>
      <c r="BA4" s="10"/>
      <c r="BB4" s="12"/>
      <c r="BC4" s="13"/>
      <c r="BD4" s="12"/>
    </row>
    <row r="5" spans="1:57" ht="11.45" customHeight="1" x14ac:dyDescent="0.2">
      <c r="A5" s="2"/>
      <c r="B5" s="2"/>
      <c r="C5" s="4"/>
      <c r="D5" s="2"/>
      <c r="E5" s="2"/>
      <c r="F5" s="4"/>
      <c r="I5" s="4"/>
      <c r="L5" s="4"/>
      <c r="O5" s="4"/>
      <c r="P5" s="2"/>
      <c r="Q5" s="2"/>
      <c r="R5" s="2"/>
      <c r="S5" s="10"/>
      <c r="T5" s="10"/>
      <c r="U5" s="10"/>
      <c r="V5" s="10"/>
      <c r="W5" s="10"/>
      <c r="X5" s="10"/>
      <c r="Y5" s="10"/>
      <c r="Z5" s="10"/>
      <c r="AA5" s="10"/>
      <c r="AB5" s="6" t="s">
        <v>58</v>
      </c>
      <c r="AC5" s="7" t="str">
        <f>IF('Протокол 5ф'!F29="","",IF(K30=H26,H34,IF(K30=H34,H26)))</f>
        <v/>
      </c>
      <c r="AD5" s="217" t="str">
        <f>IF(AC5="",AC5,VLOOKUP(AC5,'Списки участников'!A:L,12,FALSE))</f>
        <v/>
      </c>
      <c r="AE5" s="10"/>
      <c r="AF5" s="10"/>
      <c r="AG5" s="14"/>
      <c r="AH5" s="6">
        <v>-30</v>
      </c>
      <c r="AI5" s="7" t="str">
        <f>IF('Протокол 5ф'!F33="","",IF(N54=K46,K62,IF(N54=K62,K46)))</f>
        <v/>
      </c>
      <c r="AJ5" s="217" t="str">
        <f>IF(AI5="",AI5,VLOOKUP(AI5,'Списки участников'!A:L,12,FALSE))</f>
        <v/>
      </c>
      <c r="AK5" s="15"/>
      <c r="AL5" s="16"/>
      <c r="AM5" s="4"/>
      <c r="AN5" s="17"/>
      <c r="AO5" s="17"/>
      <c r="AP5" s="302"/>
      <c r="AQ5" s="218" t="s">
        <v>82</v>
      </c>
      <c r="AR5" s="18" t="str">
        <f>IF('Протокол 5ф'!F74="","",'Протокол 5ф'!F74)</f>
        <v/>
      </c>
      <c r="AS5" s="19" t="str">
        <f>IF(AR5="",AR5,VLOOKUP(AR5,'Списки участников'!A:L,12,FALSE))</f>
        <v/>
      </c>
      <c r="AT5" s="11"/>
      <c r="AU5" s="10"/>
      <c r="AV5" s="10"/>
      <c r="AW5" s="11"/>
      <c r="AX5" s="10"/>
      <c r="AY5" s="10"/>
      <c r="AZ5" s="10"/>
      <c r="BA5" s="10"/>
      <c r="BB5" s="10"/>
      <c r="BC5" s="11"/>
      <c r="BD5" s="10"/>
      <c r="BE5" s="20"/>
    </row>
    <row r="6" spans="1:57" ht="11.45" customHeight="1" x14ac:dyDescent="0.2">
      <c r="S6" s="10"/>
      <c r="T6" s="10"/>
      <c r="U6" s="10"/>
      <c r="V6" s="6">
        <v>-24</v>
      </c>
      <c r="W6" s="7" t="str">
        <f>IF('Протокол 5ф'!F27="","",IF(H66=E68,E64,IF(H66=E64,E68)))</f>
        <v/>
      </c>
      <c r="X6" s="217" t="str">
        <f>IF(W6="",W6,VLOOKUP(W6,'Списки участников'!A:L,12,FALSE))</f>
        <v/>
      </c>
      <c r="Y6" s="6"/>
      <c r="Z6" s="6"/>
      <c r="AA6" s="10"/>
      <c r="AB6" s="17"/>
      <c r="AC6" s="17"/>
      <c r="AD6" s="21"/>
      <c r="AE6" s="22"/>
      <c r="AF6" s="10"/>
      <c r="AG6" s="10"/>
      <c r="AH6" s="17"/>
      <c r="AI6" s="17"/>
      <c r="AJ6" s="21"/>
      <c r="AK6" s="23"/>
      <c r="AL6" s="16"/>
      <c r="AM6" s="10"/>
      <c r="AN6" s="24">
        <v>-41</v>
      </c>
      <c r="AO6" s="25" t="str">
        <f>IF(Z11="","",IF(Z11=W10,W12,IF(Z11=W12,W10)))</f>
        <v/>
      </c>
      <c r="AP6" s="220" t="str">
        <f>IF(AO6="",AO6,VLOOKUP(AO6,'Списки участников'!A:L,12,FALSE))</f>
        <v/>
      </c>
      <c r="AQ6" s="26"/>
      <c r="AR6" s="21"/>
      <c r="AS6" s="221" t="str">
        <f>'Протокол 5ф'!R74</f>
        <v/>
      </c>
      <c r="AT6" s="27"/>
      <c r="AU6" s="10"/>
      <c r="AV6" s="10"/>
      <c r="AW6" s="11"/>
      <c r="AX6" s="10"/>
      <c r="AY6" s="10"/>
      <c r="AZ6" s="10"/>
      <c r="BA6" s="10"/>
      <c r="BB6" s="10"/>
      <c r="BC6" s="11"/>
      <c r="BD6" s="10"/>
      <c r="BE6" s="10"/>
    </row>
    <row r="7" spans="1:57" ht="11.45" customHeight="1" x14ac:dyDescent="0.2">
      <c r="A7" s="222">
        <v>1</v>
      </c>
      <c r="B7" s="223"/>
      <c r="C7" s="224">
        <f>IF(B7="",B7,VLOOKUP(B7,'Списки участников'!A:L,12,FALSE))</f>
        <v>0</v>
      </c>
      <c r="D7" s="225">
        <f>IF(B7="",B7,VLOOKUP(B7,'Списки участников'!A:L,6,FALSE))</f>
        <v>0</v>
      </c>
      <c r="E7" s="226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8"/>
      <c r="Q7" s="228"/>
      <c r="R7" s="229"/>
      <c r="S7" s="6">
        <v>-1</v>
      </c>
      <c r="T7" s="7" t="str">
        <f>IF('Протокол 5ф'!F4="","",IF(E8=B9,B7,IF(E8=B7,B9)))</f>
        <v/>
      </c>
      <c r="U7" s="19" t="str">
        <f>IF(T7="",T7,VLOOKUP(T7,'Списки участников'!A:L,12,FALSE))</f>
        <v/>
      </c>
      <c r="V7" s="17"/>
      <c r="W7" s="17"/>
      <c r="X7" s="302"/>
      <c r="Y7" s="230">
        <v>40</v>
      </c>
      <c r="Z7" s="28" t="str">
        <f>IF('Протокол 5ф'!F43="","",'Протокол 5ф'!F43)</f>
        <v/>
      </c>
      <c r="AA7" s="217" t="str">
        <f>IF(Z7="",Z7,VLOOKUP(Z7,'Списки участников'!A:L,12,FALSE))</f>
        <v/>
      </c>
      <c r="AB7" s="29"/>
      <c r="AC7" s="29"/>
      <c r="AD7" s="1276"/>
      <c r="AE7" s="1277" t="s">
        <v>62</v>
      </c>
      <c r="AF7" s="18" t="str">
        <f>IF('Протокол 5ф'!F55="","",'Протокол 5ф'!F55)</f>
        <v/>
      </c>
      <c r="AG7" s="217" t="str">
        <f>IF(AF7="",AF7,VLOOKUP(AF7,'Списки участников'!A:L,12,FALSE))</f>
        <v/>
      </c>
      <c r="AH7" s="29"/>
      <c r="AI7" s="29"/>
      <c r="AJ7" s="30"/>
      <c r="AK7" s="31"/>
      <c r="AL7" s="16"/>
      <c r="AM7" s="10"/>
      <c r="AN7" s="6"/>
      <c r="AO7" s="6"/>
      <c r="AP7" s="10"/>
      <c r="AQ7" s="32"/>
      <c r="AR7" s="30"/>
      <c r="AS7" s="1276"/>
      <c r="AT7" s="1278">
        <v>75</v>
      </c>
      <c r="AU7" s="18" t="str">
        <f>IF('Протокол 5ф'!F78="","",'Протокол 5ф'!F78)</f>
        <v/>
      </c>
      <c r="AV7" s="19" t="str">
        <f>IF(AU7="",AU7,VLOOKUP(AU7,'Списки участников'!A:L,12,FALSE))</f>
        <v/>
      </c>
      <c r="AW7" s="33"/>
      <c r="AX7" s="34"/>
      <c r="AZ7" s="10"/>
      <c r="BA7" s="10"/>
      <c r="BB7" s="10"/>
      <c r="BC7" s="11"/>
      <c r="BD7" s="10"/>
      <c r="BE7" s="10"/>
    </row>
    <row r="8" spans="1:57" ht="11.45" customHeight="1" x14ac:dyDescent="0.2">
      <c r="A8" s="231"/>
      <c r="B8" s="231"/>
      <c r="C8" s="302"/>
      <c r="D8" s="232">
        <v>1</v>
      </c>
      <c r="E8" s="233">
        <f>'Протокол 5ф'!F4</f>
        <v>0</v>
      </c>
      <c r="F8" s="224">
        <f>IF('Протокол 5ф'!F4="",E8,VLOOKUP(E8,'Списки участников'!A:L,12,FALSE))</f>
        <v>0</v>
      </c>
      <c r="G8" s="234"/>
      <c r="H8" s="234"/>
      <c r="I8" s="227"/>
      <c r="J8" s="227"/>
      <c r="K8" s="227"/>
      <c r="L8" s="227"/>
      <c r="M8" s="227"/>
      <c r="N8" s="227"/>
      <c r="O8" s="227"/>
      <c r="P8" s="227"/>
      <c r="Q8" s="227"/>
      <c r="R8" s="235"/>
      <c r="S8" s="17"/>
      <c r="T8" s="17"/>
      <c r="U8" s="302"/>
      <c r="V8" s="38" t="s">
        <v>34</v>
      </c>
      <c r="W8" s="35" t="str">
        <f>IF('Протокол 5ф'!F35="","",'Протокол 5ф'!F35)</f>
        <v/>
      </c>
      <c r="X8" s="236" t="str">
        <f>IF(W8="",W8,VLOOKUP(W8,'Списки участников'!A:L,12,FALSE))</f>
        <v/>
      </c>
      <c r="Y8" s="36"/>
      <c r="Z8" s="37"/>
      <c r="AA8" s="17" t="str">
        <f>'Протокол 5ф'!R43</f>
        <v/>
      </c>
      <c r="AB8" s="38"/>
      <c r="AC8" s="29"/>
      <c r="AD8" s="1276"/>
      <c r="AE8" s="1277"/>
      <c r="AF8" s="39"/>
      <c r="AG8" s="290" t="str">
        <f>'Протокол 5ф'!R55</f>
        <v/>
      </c>
      <c r="AH8" s="38"/>
      <c r="AI8" s="29"/>
      <c r="AJ8" s="1276"/>
      <c r="AK8" s="1279">
        <v>58</v>
      </c>
      <c r="AL8" s="40" t="str">
        <f>IF('Протокол 5ф'!F61="","",'Протокол 5ф'!F61)</f>
        <v/>
      </c>
      <c r="AM8" s="217" t="str">
        <f>IF(AL8="",AL8,VLOOKUP(AL8,'Списки участников'!A:L,12,FALSE))</f>
        <v/>
      </c>
      <c r="AN8" s="6">
        <v>-42</v>
      </c>
      <c r="AO8" s="7" t="str">
        <f>IF(Z15="","",IF(Z15=W14,W16,IF(Z15=W16,W14)))</f>
        <v/>
      </c>
      <c r="AP8" s="8" t="str">
        <f>IF(AO8="",AO8,VLOOKUP(AO8,'Списки участников'!A:L,12,FALSE))</f>
        <v/>
      </c>
      <c r="AQ8" s="32"/>
      <c r="AR8" s="30"/>
      <c r="AS8" s="1276"/>
      <c r="AT8" s="1278"/>
      <c r="AU8" s="21"/>
      <c r="AV8" s="221" t="str">
        <f>'Протокол 5ф'!R78</f>
        <v/>
      </c>
      <c r="AW8" s="27"/>
      <c r="AX8" s="30"/>
      <c r="AY8" s="9"/>
      <c r="AZ8" s="10"/>
      <c r="BA8" s="10"/>
      <c r="BB8" s="10"/>
      <c r="BC8" s="11"/>
      <c r="BD8" s="10"/>
      <c r="BE8" s="10"/>
    </row>
    <row r="9" spans="1:57" ht="11.45" customHeight="1" x14ac:dyDescent="0.2">
      <c r="A9" s="237">
        <v>2</v>
      </c>
      <c r="B9" s="238"/>
      <c r="C9" s="239">
        <f>IF(B9="",B9,VLOOKUP(B9,'Списки участников'!A:L,12,FALSE))</f>
        <v>0</v>
      </c>
      <c r="D9" s="240">
        <f>IF(B9="",B9,VLOOKUP(B9,'Списки участников'!A:L,6,FALSE))</f>
        <v>0</v>
      </c>
      <c r="E9" s="241"/>
      <c r="F9" s="242">
        <f>'Протокол 5ф'!R4</f>
        <v>0</v>
      </c>
      <c r="G9" s="243"/>
      <c r="H9" s="244"/>
      <c r="I9" s="245"/>
      <c r="J9" s="245"/>
      <c r="K9" s="245"/>
      <c r="L9" s="245"/>
      <c r="M9" s="245"/>
      <c r="N9" s="245"/>
      <c r="O9" s="808"/>
      <c r="P9" s="245"/>
      <c r="Q9" s="245"/>
      <c r="R9" s="229"/>
      <c r="S9" s="24">
        <v>-2</v>
      </c>
      <c r="T9" s="25" t="str">
        <f>IF('Протокол 5ф'!F5="","",IF(E12=B11,B13,IF(E12=B13,B11)))</f>
        <v/>
      </c>
      <c r="U9" s="236" t="str">
        <f>IF(T9="",T9,VLOOKUP(T9,'Списки участников'!A:L,12,FALSE))</f>
        <v/>
      </c>
      <c r="V9" s="41"/>
      <c r="W9" s="6"/>
      <c r="X9" s="203">
        <f>'Протокол 5ф'!R35</f>
        <v>0</v>
      </c>
      <c r="Y9" s="9"/>
      <c r="Z9" s="9"/>
      <c r="AA9" s="1276"/>
      <c r="AB9" s="1277" t="s">
        <v>55</v>
      </c>
      <c r="AC9" s="35" t="str">
        <f>IF('Протокол 5ф'!F51="","",'Протокол 5ф'!F51)</f>
        <v/>
      </c>
      <c r="AD9" s="236" t="str">
        <f>IF(AC9="",AC9,VLOOKUP(AC9,'Списки участников'!A:L,12,FALSE))</f>
        <v/>
      </c>
      <c r="AE9" s="42"/>
      <c r="AF9" s="43"/>
      <c r="AG9" s="43"/>
      <c r="AH9" s="44"/>
      <c r="AI9" s="29"/>
      <c r="AJ9" s="1276"/>
      <c r="AK9" s="1279"/>
      <c r="AL9" s="16"/>
      <c r="AM9" s="291" t="str">
        <f>'Протокол 5ф'!R61</f>
        <v/>
      </c>
      <c r="AN9" s="17"/>
      <c r="AO9" s="17"/>
      <c r="AP9" s="302"/>
      <c r="AQ9" s="218" t="s">
        <v>86</v>
      </c>
      <c r="AR9" s="45" t="str">
        <f>IF('Протокол 5ф'!F75="","",'Протокол 5ф'!F75)</f>
        <v/>
      </c>
      <c r="AS9" s="246" t="str">
        <f>IF(AR9="",AR9,VLOOKUP(AR9,'Списки участников'!A:L,12,FALSE))</f>
        <v/>
      </c>
      <c r="AT9" s="46"/>
      <c r="AU9" s="30"/>
      <c r="AV9" s="30"/>
      <c r="AW9" s="47"/>
      <c r="AX9" s="30"/>
      <c r="AY9" s="888" t="str">
        <f>CONCATENATE(M4+16," ","место")</f>
        <v>28 место</v>
      </c>
      <c r="AZ9" s="10"/>
      <c r="BA9" s="10"/>
      <c r="BB9" s="10"/>
      <c r="BC9" s="11"/>
      <c r="BD9" s="10"/>
      <c r="BE9" s="10"/>
    </row>
    <row r="10" spans="1:57" ht="11.45" customHeight="1" x14ac:dyDescent="0.2">
      <c r="A10" s="222"/>
      <c r="B10" s="222"/>
      <c r="C10" s="227"/>
      <c r="D10" s="247"/>
      <c r="E10" s="245"/>
      <c r="F10" s="1276"/>
      <c r="G10" s="1247">
        <v>17</v>
      </c>
      <c r="H10" s="249">
        <f>'Протокол 5ф'!F20</f>
        <v>0</v>
      </c>
      <c r="I10" s="224">
        <f>IF('Протокол 5ф'!F20="",H10,VLOOKUP(H10,'Списки участников'!A:L,12,FALSE))</f>
        <v>0</v>
      </c>
      <c r="J10" s="234"/>
      <c r="K10" s="234"/>
      <c r="L10" s="245"/>
      <c r="M10" s="245"/>
      <c r="N10" s="245"/>
      <c r="O10" s="245"/>
      <c r="P10" s="245"/>
      <c r="Q10" s="245"/>
      <c r="R10" s="229"/>
      <c r="S10" s="6"/>
      <c r="T10" s="6"/>
      <c r="U10" s="14"/>
      <c r="V10" s="6">
        <v>-23</v>
      </c>
      <c r="W10" s="7" t="str">
        <f>IF('Протокол 5ф'!F26="","",IF(H58=E60,E56,IF(H58=E56,E60)))</f>
        <v/>
      </c>
      <c r="X10" s="217" t="str">
        <f>IF(W10="",W10,VLOOKUP(W10,'Списки участников'!A:L,12,FALSE))</f>
        <v/>
      </c>
      <c r="Y10" s="6"/>
      <c r="Z10" s="6"/>
      <c r="AA10" s="1276"/>
      <c r="AB10" s="1277"/>
      <c r="AC10" s="6"/>
      <c r="AD10" s="6" t="str">
        <f>'Протокол 5ф'!R51</f>
        <v/>
      </c>
      <c r="AE10" s="43"/>
      <c r="AF10" s="43"/>
      <c r="AG10" s="43"/>
      <c r="AH10" s="44"/>
      <c r="AI10" s="29"/>
      <c r="AJ10" s="43"/>
      <c r="AK10" s="31"/>
      <c r="AL10" s="16"/>
      <c r="AM10" s="48"/>
      <c r="AN10" s="24">
        <v>-43</v>
      </c>
      <c r="AO10" s="25" t="str">
        <f>IF(Z19="","",IF(Z19=W18,W20,IF(Z19=W20,W18)))</f>
        <v/>
      </c>
      <c r="AP10" s="220" t="str">
        <f>IF(AO10="",AO10,VLOOKUP(AO10,'Списки участников'!A:L,12,FALSE))</f>
        <v/>
      </c>
      <c r="AQ10" s="26"/>
      <c r="AR10" s="10"/>
      <c r="AS10" s="203" t="str">
        <f>'Протокол 5ф'!R75</f>
        <v/>
      </c>
      <c r="AT10" s="49"/>
      <c r="AU10" s="30"/>
      <c r="AV10" s="30"/>
      <c r="AW10" s="47"/>
      <c r="AX10" s="30"/>
      <c r="AY10" s="50" t="str">
        <f>IF(AX11="",AX11,VLOOKUP(AX11,'Списки участников'!A:L,6,FALSE))</f>
        <v/>
      </c>
      <c r="AZ10" s="10"/>
      <c r="BA10" s="10"/>
      <c r="BB10" s="10"/>
      <c r="BC10" s="11"/>
      <c r="BD10" s="10"/>
      <c r="BE10" s="10"/>
    </row>
    <row r="11" spans="1:57" ht="11.45" customHeight="1" x14ac:dyDescent="0.2">
      <c r="A11" s="222">
        <v>3</v>
      </c>
      <c r="B11" s="223"/>
      <c r="C11" s="250">
        <f>IF(B11="",B11,VLOOKUP(B11,'Списки участников'!A:L,12,FALSE))</f>
        <v>0</v>
      </c>
      <c r="D11" s="251">
        <f>IF(B11="",B11,VLOOKUP(B11,'Списки участников'!A:L,6,FALSE))</f>
        <v>0</v>
      </c>
      <c r="E11" s="226"/>
      <c r="F11" s="1276"/>
      <c r="G11" s="1247"/>
      <c r="H11" s="252"/>
      <c r="I11" s="292" t="str">
        <f>'Протокол 5ф'!R20</f>
        <v/>
      </c>
      <c r="J11" s="243"/>
      <c r="K11" s="244"/>
      <c r="L11" s="245"/>
      <c r="M11" s="245"/>
      <c r="N11" s="245"/>
      <c r="O11" s="245"/>
      <c r="P11" s="245"/>
      <c r="Q11" s="245"/>
      <c r="R11" s="229"/>
      <c r="S11" s="6">
        <v>-3</v>
      </c>
      <c r="T11" s="7" t="str">
        <f>IF('Протокол 5ф'!F6="","",IF(E16=B17,B15,IF(E16=B15,B17)))</f>
        <v/>
      </c>
      <c r="U11" s="217" t="str">
        <f>IF(T11="",T11,VLOOKUP(T11,'Списки участников'!A:L,12,FALSE))</f>
        <v/>
      </c>
      <c r="V11" s="17"/>
      <c r="W11" s="17"/>
      <c r="X11" s="302"/>
      <c r="Y11" s="230">
        <v>41</v>
      </c>
      <c r="Z11" s="51" t="str">
        <f>IF('Протокол 5ф'!F44="","",'Протокол 5ф'!F44)</f>
        <v/>
      </c>
      <c r="AA11" s="236" t="str">
        <f>IF(Z11="",Z11,VLOOKUP(Z11,'Списки участников'!A:L,12,FALSE))</f>
        <v/>
      </c>
      <c r="AB11" s="41"/>
      <c r="AC11" s="6"/>
      <c r="AD11" s="14"/>
      <c r="AE11" s="43"/>
      <c r="AF11" s="43"/>
      <c r="AG11" s="1276"/>
      <c r="AH11" s="1277" t="s">
        <v>66</v>
      </c>
      <c r="AI11" s="35" t="str">
        <f>IF('Протокол 5ф'!F59="","",'Протокол 5ф'!F59)</f>
        <v/>
      </c>
      <c r="AJ11" s="236" t="str">
        <f>IF(AI11="",AI11,VLOOKUP(AI11,'Списки участников'!A:L,12,FALSE))</f>
        <v/>
      </c>
      <c r="AK11" s="52"/>
      <c r="AL11" s="16"/>
      <c r="AM11" s="48"/>
      <c r="AN11" s="6"/>
      <c r="AO11" s="6"/>
      <c r="AP11" s="10"/>
      <c r="AQ11" s="9"/>
      <c r="AR11" s="10"/>
      <c r="AS11" s="10"/>
      <c r="AT11" s="49"/>
      <c r="AU11" s="30"/>
      <c r="AV11" s="1276"/>
      <c r="AW11" s="1278">
        <v>77</v>
      </c>
      <c r="AX11" s="53" t="str">
        <f>IF('Протокол 5ф'!F80="","",'Протокол 5ф'!F80)</f>
        <v/>
      </c>
      <c r="AY11" s="253" t="str">
        <f>IF(AX11="",AX11,VLOOKUP(AX11,'Списки участников'!A:L,12,FALSE))</f>
        <v/>
      </c>
      <c r="AZ11" s="10"/>
      <c r="BA11" s="10"/>
      <c r="BB11" s="10"/>
      <c r="BC11" s="11"/>
      <c r="BD11" s="10"/>
      <c r="BE11" s="10"/>
    </row>
    <row r="12" spans="1:57" ht="11.45" customHeight="1" x14ac:dyDescent="0.2">
      <c r="A12" s="231"/>
      <c r="B12" s="231"/>
      <c r="C12" s="302"/>
      <c r="D12" s="232">
        <v>2</v>
      </c>
      <c r="E12" s="293">
        <f>'Протокол 5ф'!F5</f>
        <v>0</v>
      </c>
      <c r="F12" s="254">
        <f>IF('Протокол 5ф'!F5="",E12,VLOOKUP(E12,'Списки участников'!A:L,12,FALSE))</f>
        <v>0</v>
      </c>
      <c r="G12" s="255"/>
      <c r="H12" s="256"/>
      <c r="I12" s="257"/>
      <c r="J12" s="258"/>
      <c r="K12" s="257"/>
      <c r="L12" s="245"/>
      <c r="M12" s="245"/>
      <c r="N12" s="245"/>
      <c r="O12" s="245"/>
      <c r="P12" s="245"/>
      <c r="Q12" s="245"/>
      <c r="R12" s="229"/>
      <c r="S12" s="17"/>
      <c r="T12" s="17"/>
      <c r="U12" s="302"/>
      <c r="V12" s="38" t="s">
        <v>24</v>
      </c>
      <c r="W12" s="35" t="str">
        <f>IF('Протокол 5ф'!F36="","",'Протокол 5ф'!F36)</f>
        <v/>
      </c>
      <c r="X12" s="236" t="str">
        <f>IF(W12="",W12,VLOOKUP(W12,'Списки участников'!A:L,12,FALSE))</f>
        <v/>
      </c>
      <c r="Y12" s="36"/>
      <c r="Z12" s="32"/>
      <c r="AA12" s="6">
        <f>'Протокол 5ф'!R44</f>
        <v>0</v>
      </c>
      <c r="AB12" s="6"/>
      <c r="AC12" s="6"/>
      <c r="AD12" s="14"/>
      <c r="AE12" s="43"/>
      <c r="AF12" s="43"/>
      <c r="AG12" s="1276"/>
      <c r="AH12" s="1277"/>
      <c r="AI12" s="6"/>
      <c r="AJ12" s="6" t="str">
        <f>'Протокол 5ф'!R59</f>
        <v/>
      </c>
      <c r="AK12" s="15"/>
      <c r="AL12" s="16"/>
      <c r="AM12" s="48"/>
      <c r="AN12" s="6">
        <v>-44</v>
      </c>
      <c r="AO12" s="7" t="str">
        <f>IF(Z23="","",IF(Z23=W22,W24,IF(Z23=W24,W22)))</f>
        <v/>
      </c>
      <c r="AP12" s="8" t="str">
        <f>IF(AO12="",AO12,VLOOKUP(AO12,'Списки участников'!A:L,12,FALSE))</f>
        <v/>
      </c>
      <c r="AQ12" s="9"/>
      <c r="AR12" s="10"/>
      <c r="AS12" s="10"/>
      <c r="AT12" s="49"/>
      <c r="AU12" s="30"/>
      <c r="AV12" s="1276"/>
      <c r="AW12" s="1278"/>
      <c r="AX12" s="54"/>
      <c r="AY12" s="204" t="str">
        <f>'Протокол 5ф'!R80</f>
        <v/>
      </c>
      <c r="AZ12" s="10"/>
      <c r="BA12" s="10"/>
      <c r="BB12" s="10"/>
      <c r="BC12" s="11"/>
      <c r="BD12" s="10"/>
      <c r="BE12" s="10"/>
    </row>
    <row r="13" spans="1:57" ht="11.45" customHeight="1" x14ac:dyDescent="0.2">
      <c r="A13" s="237">
        <v>4</v>
      </c>
      <c r="B13" s="238"/>
      <c r="C13" s="239">
        <f>IF(B13="",B13,VLOOKUP(B13,'Списки участников'!A:L,12,FALSE))</f>
        <v>0</v>
      </c>
      <c r="D13" s="240">
        <f>IF(B13="",B13,VLOOKUP(B13,'Списки участников'!A:L,6,FALSE))</f>
        <v>0</v>
      </c>
      <c r="E13" s="241"/>
      <c r="F13" s="259" t="str">
        <f>'Протокол 5ф'!R5</f>
        <v/>
      </c>
      <c r="G13" s="260"/>
      <c r="H13" s="260"/>
      <c r="I13" s="257"/>
      <c r="J13" s="258"/>
      <c r="K13" s="257"/>
      <c r="L13" s="245"/>
      <c r="M13" s="245"/>
      <c r="N13" s="245"/>
      <c r="O13" s="245"/>
      <c r="P13" s="245"/>
      <c r="Q13" s="245"/>
      <c r="R13" s="229"/>
      <c r="S13" s="24">
        <v>-4</v>
      </c>
      <c r="T13" s="25" t="str">
        <f>IF('Протокол 5ф'!F7="","",IF(E20=B21,B19,IF(E20=B19,B21)))</f>
        <v/>
      </c>
      <c r="U13" s="236" t="str">
        <f>IF(T13="",T13,VLOOKUP(T13,'Списки участников'!A:L,12,FALSE))</f>
        <v/>
      </c>
      <c r="V13" s="41"/>
      <c r="W13" s="6"/>
      <c r="X13" s="6">
        <f>'Протокол 5ф'!R36</f>
        <v>0</v>
      </c>
      <c r="Y13" s="9"/>
      <c r="Z13" s="9"/>
      <c r="AA13" s="14"/>
      <c r="AB13" s="6" t="s">
        <v>92</v>
      </c>
      <c r="AC13" s="7" t="str">
        <f>IF('Протокол 5ф'!F28="","",IF(K14=H10,H18,IF(K14=H18,H10)))</f>
        <v/>
      </c>
      <c r="AD13" s="217" t="str">
        <f>IF(AC13="",AC13,VLOOKUP(AC13,'Списки участников'!A:L,12,FALSE))</f>
        <v/>
      </c>
      <c r="AE13" s="43"/>
      <c r="AF13" s="43"/>
      <c r="AG13" s="43"/>
      <c r="AH13" s="44"/>
      <c r="AI13" s="6"/>
      <c r="AJ13" s="14"/>
      <c r="AK13" s="15"/>
      <c r="AL13" s="16"/>
      <c r="AM13" s="48"/>
      <c r="AN13" s="17"/>
      <c r="AO13" s="17"/>
      <c r="AP13" s="302"/>
      <c r="AQ13" s="218" t="s">
        <v>87</v>
      </c>
      <c r="AR13" s="18" t="str">
        <f>IF('Протокол 5ф'!F76="","",'Протокол 5ф'!F76)</f>
        <v/>
      </c>
      <c r="AS13" s="19" t="str">
        <f>IF(AR13="",AR13,VLOOKUP(AR13,'Списки участников'!A:L,12,FALSE))</f>
        <v/>
      </c>
      <c r="AT13" s="49"/>
      <c r="AU13" s="30"/>
      <c r="AV13" s="30"/>
      <c r="AW13" s="47"/>
      <c r="AX13" s="30"/>
      <c r="AY13" s="9"/>
      <c r="AZ13" s="10"/>
      <c r="BA13" s="10"/>
      <c r="BB13" s="10"/>
      <c r="BC13" s="11"/>
      <c r="BD13" s="10"/>
      <c r="BE13" s="10"/>
    </row>
    <row r="14" spans="1:57" ht="11.45" customHeight="1" x14ac:dyDescent="0.2">
      <c r="A14" s="222"/>
      <c r="B14" s="222"/>
      <c r="C14" s="227"/>
      <c r="D14" s="247"/>
      <c r="E14" s="245"/>
      <c r="F14" s="245"/>
      <c r="G14" s="245"/>
      <c r="H14" s="245"/>
      <c r="I14" s="1276"/>
      <c r="J14" s="1247">
        <v>25</v>
      </c>
      <c r="K14" s="249">
        <f>'Протокол 5ф'!F28</f>
        <v>0</v>
      </c>
      <c r="L14" s="224">
        <f>IF('Протокол 5ф'!F28="",K14,VLOOKUP(K14,'Списки участников'!A:L,12,FALSE))</f>
        <v>0</v>
      </c>
      <c r="M14" s="234"/>
      <c r="N14" s="234"/>
      <c r="O14" s="245"/>
      <c r="P14" s="245"/>
      <c r="Q14" s="245"/>
      <c r="R14" s="245"/>
      <c r="S14" s="6"/>
      <c r="T14" s="6"/>
      <c r="U14" s="14"/>
      <c r="V14" s="6">
        <v>-22</v>
      </c>
      <c r="W14" s="7" t="str">
        <f>IF('Протокол 5ф'!F25="","",IF(H50=E48,E52,IF(H50=E52,E48)))</f>
        <v/>
      </c>
      <c r="X14" s="217" t="str">
        <f>IF(W14="",W14,VLOOKUP(W14,'Списки участников'!A:L,12,FALSE))</f>
        <v/>
      </c>
      <c r="Y14" s="6"/>
      <c r="Z14" s="6"/>
      <c r="AA14" s="14"/>
      <c r="AB14" s="17"/>
      <c r="AC14" s="17"/>
      <c r="AD14" s="39"/>
      <c r="AE14" s="22"/>
      <c r="AF14" s="43"/>
      <c r="AG14" s="43"/>
      <c r="AH14" s="44"/>
      <c r="AI14" s="6"/>
      <c r="AJ14" s="14"/>
      <c r="AK14" s="15"/>
      <c r="AL14" s="16"/>
      <c r="AM14" s="889" t="str">
        <f>CONCATENATE(M4+2," ","место")</f>
        <v>14 место</v>
      </c>
      <c r="AN14" s="24">
        <v>-45</v>
      </c>
      <c r="AO14" s="25" t="str">
        <f>IF(Z27="","",IF(Z27=W26,W28,IF(Z27=W28,W26)))</f>
        <v/>
      </c>
      <c r="AP14" s="220" t="str">
        <f>IF(AO14="",AO14,VLOOKUP(AO14,'Списки участников'!A:L,12,FALSE))</f>
        <v/>
      </c>
      <c r="AQ14" s="26"/>
      <c r="AR14" s="21"/>
      <c r="AS14" s="221" t="str">
        <f>'Протокол 5ф'!R76</f>
        <v/>
      </c>
      <c r="AT14" s="27"/>
      <c r="AU14" s="30"/>
      <c r="AV14" s="30"/>
      <c r="AW14" s="47"/>
      <c r="AX14" s="30"/>
      <c r="AY14" s="9"/>
      <c r="AZ14" s="10"/>
      <c r="BA14" s="10"/>
      <c r="BB14" s="10"/>
      <c r="BC14" s="11"/>
      <c r="BD14" s="10"/>
      <c r="BE14" s="10"/>
    </row>
    <row r="15" spans="1:57" ht="11.45" customHeight="1" x14ac:dyDescent="0.2">
      <c r="A15" s="222">
        <v>5</v>
      </c>
      <c r="B15" s="223"/>
      <c r="C15" s="250">
        <f>IF(B15="",B15,VLOOKUP(B15,'Списки участников'!A:L,12,FALSE))</f>
        <v>0</v>
      </c>
      <c r="D15" s="251">
        <f>IF(B15="",B15,VLOOKUP(B15,'Списки участников'!A:L,6,FALSE))</f>
        <v>0</v>
      </c>
      <c r="E15" s="226"/>
      <c r="F15" s="245"/>
      <c r="G15" s="245"/>
      <c r="H15" s="245"/>
      <c r="I15" s="1276"/>
      <c r="J15" s="1247"/>
      <c r="K15" s="252"/>
      <c r="L15" s="292" t="str">
        <f>'Протокол 5ф'!R28</f>
        <v/>
      </c>
      <c r="M15" s="243"/>
      <c r="N15" s="244"/>
      <c r="O15" s="245"/>
      <c r="P15" s="245"/>
      <c r="Q15" s="245"/>
      <c r="R15" s="229"/>
      <c r="S15" s="6">
        <v>-5</v>
      </c>
      <c r="T15" s="7" t="str">
        <f>IF('Протокол 5ф'!F8="","",IF(E24=B25,B23,IF(E24=B23,B25)))</f>
        <v/>
      </c>
      <c r="U15" s="217" t="str">
        <f>IF(T15="",T15,VLOOKUP(T15,'Списки участников'!A:L,12,FALSE))</f>
        <v/>
      </c>
      <c r="V15" s="17"/>
      <c r="W15" s="17"/>
      <c r="X15" s="302"/>
      <c r="Y15" s="230">
        <v>42</v>
      </c>
      <c r="Z15" s="28" t="str">
        <f>IF('Протокол 5ф'!F45="","",'Протокол 5ф'!F45)</f>
        <v/>
      </c>
      <c r="AA15" s="217" t="str">
        <f>IF(Z15="",Z15,VLOOKUP(Z15,'Списки участников'!A:L,12,FALSE))</f>
        <v/>
      </c>
      <c r="AB15" s="29"/>
      <c r="AC15" s="29"/>
      <c r="AD15" s="1276"/>
      <c r="AE15" s="1277" t="s">
        <v>63</v>
      </c>
      <c r="AF15" s="55" t="str">
        <f>IF('Протокол 5ф'!F56="","",'Протокол 5ф'!F56)</f>
        <v/>
      </c>
      <c r="AG15" s="236" t="str">
        <f>IF(AF15="",AF15,VLOOKUP(AF15,'Списки участников'!A:L,12,FALSE))</f>
        <v/>
      </c>
      <c r="AH15" s="41"/>
      <c r="AI15" s="6"/>
      <c r="AJ15" s="14"/>
      <c r="AK15" s="15"/>
      <c r="AL15" s="16"/>
      <c r="AM15" s="56" t="str">
        <f>IF(AL16="",AL16,VLOOKUP(AL16,'Списки участников'!A:L,6,FALSE))</f>
        <v/>
      </c>
      <c r="AN15" s="6"/>
      <c r="AO15" s="6"/>
      <c r="AP15" s="10"/>
      <c r="AQ15" s="32"/>
      <c r="AR15" s="30"/>
      <c r="AS15" s="1276"/>
      <c r="AT15" s="1278">
        <v>76</v>
      </c>
      <c r="AU15" s="45" t="str">
        <f>IF('Протокол 5ф'!F79="","",'Протокол 5ф'!F79)</f>
        <v/>
      </c>
      <c r="AV15" s="246" t="str">
        <f>IF(AU15="",AU15,VLOOKUP(AU15,'Списки участников'!A:L,12,FALSE))</f>
        <v/>
      </c>
      <c r="AW15" s="57"/>
      <c r="AX15" s="58"/>
      <c r="AY15" s="9"/>
      <c r="AZ15" s="10"/>
      <c r="BA15" s="10"/>
      <c r="BB15" s="10"/>
      <c r="BC15" s="11"/>
      <c r="BD15" s="10"/>
      <c r="BE15" s="10"/>
    </row>
    <row r="16" spans="1:57" ht="11.45" customHeight="1" x14ac:dyDescent="0.2">
      <c r="A16" s="231"/>
      <c r="B16" s="231"/>
      <c r="C16" s="302"/>
      <c r="D16" s="232">
        <v>3</v>
      </c>
      <c r="E16" s="233">
        <f>'Протокол 5ф'!F6</f>
        <v>0</v>
      </c>
      <c r="F16" s="224">
        <f>IF('Протокол 5ф'!F6="",E16,VLOOKUP(E16,'Списки участников'!A:L,12,FALSE))</f>
        <v>0</v>
      </c>
      <c r="G16" s="234"/>
      <c r="H16" s="234"/>
      <c r="I16" s="257"/>
      <c r="J16" s="258"/>
      <c r="K16" s="257"/>
      <c r="L16" s="257"/>
      <c r="M16" s="258"/>
      <c r="N16" s="257"/>
      <c r="O16" s="245"/>
      <c r="P16" s="245"/>
      <c r="Q16" s="245"/>
      <c r="R16" s="229"/>
      <c r="S16" s="17"/>
      <c r="T16" s="17"/>
      <c r="U16" s="302"/>
      <c r="V16" s="38" t="s">
        <v>20</v>
      </c>
      <c r="W16" s="35" t="str">
        <f>IF('Протокол 5ф'!F37="","",'Протокол 5ф'!F37)</f>
        <v/>
      </c>
      <c r="X16" s="236" t="str">
        <f>IF(W16="",W16,VLOOKUP(W16,'Списки участников'!A:L,12,FALSE))</f>
        <v/>
      </c>
      <c r="Y16" s="36"/>
      <c r="Z16" s="37"/>
      <c r="AA16" s="17" t="str">
        <f>'Протокол 5ф'!R45</f>
        <v/>
      </c>
      <c r="AB16" s="38"/>
      <c r="AC16" s="29"/>
      <c r="AD16" s="1276"/>
      <c r="AE16" s="1277"/>
      <c r="AF16" s="14"/>
      <c r="AG16" s="6" t="str">
        <f>'Протокол 5ф'!R56</f>
        <v/>
      </c>
      <c r="AH16" s="6"/>
      <c r="AI16" s="6"/>
      <c r="AJ16" s="14"/>
      <c r="AK16" s="59"/>
      <c r="AL16" s="40" t="str">
        <f>IF('Протокол 5ф'!F63="","",'Протокол 5ф'!F63)</f>
        <v/>
      </c>
      <c r="AM16" s="261" t="str">
        <f>IF(AL16="",AL16,VLOOKUP(AL16,'Списки участников'!A:L,12,FALSE))</f>
        <v/>
      </c>
      <c r="AN16" s="6">
        <v>-46</v>
      </c>
      <c r="AO16" s="7" t="str">
        <f>IF(Z31="","",IF(Z31=W30,W32,IF(Z31=W32,W30)))</f>
        <v/>
      </c>
      <c r="AP16" s="8" t="str">
        <f>IF(AO16="",AO16,VLOOKUP(AO16,'Списки участников'!A:L,12,FALSE))</f>
        <v/>
      </c>
      <c r="AQ16" s="32"/>
      <c r="AR16" s="30"/>
      <c r="AS16" s="1276"/>
      <c r="AT16" s="1278"/>
      <c r="AU16" s="10"/>
      <c r="AV16" s="262">
        <f>'Протокол 5ф'!R79</f>
        <v>0</v>
      </c>
      <c r="AW16" s="11"/>
      <c r="AX16" s="10"/>
      <c r="AY16" s="888" t="str">
        <f>CONCATENATE(M4+17," ","место")</f>
        <v>29 место</v>
      </c>
      <c r="AZ16" s="10"/>
      <c r="BA16" s="10"/>
      <c r="BB16" s="10"/>
      <c r="BC16" s="11"/>
      <c r="BD16" s="10"/>
      <c r="BE16" s="10"/>
    </row>
    <row r="17" spans="1:57" ht="11.45" customHeight="1" x14ac:dyDescent="0.2">
      <c r="A17" s="237">
        <v>6</v>
      </c>
      <c r="B17" s="238"/>
      <c r="C17" s="239">
        <f>IF(B17="",B17,VLOOKUP(B17,'Списки участников'!A:L,12,FALSE))</f>
        <v>0</v>
      </c>
      <c r="D17" s="240">
        <f>IF(B17="",B17,VLOOKUP(B17,'Списки участников'!A:L,6,FALSE))</f>
        <v>0</v>
      </c>
      <c r="E17" s="241"/>
      <c r="F17" s="242">
        <f>'Протокол 5ф'!R6</f>
        <v>0</v>
      </c>
      <c r="G17" s="243"/>
      <c r="H17" s="244"/>
      <c r="I17" s="257"/>
      <c r="J17" s="258"/>
      <c r="K17" s="257"/>
      <c r="L17" s="257"/>
      <c r="M17" s="258"/>
      <c r="N17" s="257"/>
      <c r="O17" s="245"/>
      <c r="P17" s="245"/>
      <c r="Q17" s="245"/>
      <c r="R17" s="229"/>
      <c r="S17" s="24">
        <v>-6</v>
      </c>
      <c r="T17" s="25" t="str">
        <f>IF('Протокол 5ф'!F9="","",IF(E28=B27,B29,IF(E28=B29,B27)))</f>
        <v/>
      </c>
      <c r="U17" s="236" t="str">
        <f>IF(T17="",T17,VLOOKUP(T17,'Списки участников'!A:L,12,FALSE))</f>
        <v/>
      </c>
      <c r="V17" s="41"/>
      <c r="W17" s="6"/>
      <c r="X17" s="203">
        <f>'Протокол 5ф'!R37</f>
        <v>0</v>
      </c>
      <c r="Y17" s="9"/>
      <c r="Z17" s="9"/>
      <c r="AA17" s="1276"/>
      <c r="AB17" s="1277" t="s">
        <v>59</v>
      </c>
      <c r="AC17" s="35" t="str">
        <f>IF('Протокол 5ф'!F52="","",'Протокол 5ф'!F52)</f>
        <v/>
      </c>
      <c r="AD17" s="236" t="str">
        <f>IF(AC17="",AC17,VLOOKUP(AC17,'Списки участников'!A:L,12,FALSE))</f>
        <v/>
      </c>
      <c r="AE17" s="42"/>
      <c r="AF17" s="14"/>
      <c r="AG17" s="14"/>
      <c r="AH17" s="6"/>
      <c r="AI17" s="6"/>
      <c r="AJ17" s="14"/>
      <c r="AK17" s="15"/>
      <c r="AL17" s="16"/>
      <c r="AM17" s="48" t="str">
        <f>'Протокол 5ф'!R63</f>
        <v/>
      </c>
      <c r="AN17" s="17"/>
      <c r="AO17" s="17"/>
      <c r="AP17" s="302"/>
      <c r="AQ17" s="218" t="s">
        <v>88</v>
      </c>
      <c r="AR17" s="45" t="str">
        <f>IF('Протокол 5ф'!F77="","",'Протокол 5ф'!F77)</f>
        <v/>
      </c>
      <c r="AS17" s="246" t="str">
        <f>IF(AR17="",AR17,VLOOKUP(AR17,'Списки участников'!A:L,12,FALSE))</f>
        <v/>
      </c>
      <c r="AT17" s="46"/>
      <c r="AU17" s="10"/>
      <c r="AV17" s="10"/>
      <c r="AW17" s="11"/>
      <c r="AX17" s="10"/>
      <c r="AY17" s="50" t="str">
        <f>IF(AX18="",AX18,VLOOKUP(AX18,'Списки участников'!A:L,6,FALSE))</f>
        <v/>
      </c>
      <c r="AZ17" s="10"/>
      <c r="BA17" s="10"/>
      <c r="BB17" s="10"/>
      <c r="BC17" s="11"/>
      <c r="BD17" s="10"/>
      <c r="BE17" s="10"/>
    </row>
    <row r="18" spans="1:57" ht="11.45" customHeight="1" x14ac:dyDescent="0.2">
      <c r="A18" s="222"/>
      <c r="B18" s="222"/>
      <c r="C18" s="227"/>
      <c r="D18" s="247"/>
      <c r="E18" s="245"/>
      <c r="F18" s="1276"/>
      <c r="G18" s="1247" t="s">
        <v>14</v>
      </c>
      <c r="H18" s="249">
        <f>'Протокол 5ф'!F21</f>
        <v>0</v>
      </c>
      <c r="I18" s="254">
        <f>IF('Протокол 5ф'!F21="",H18,VLOOKUP(H18,'Списки участников'!A:L,12,FALSE))</f>
        <v>0</v>
      </c>
      <c r="J18" s="255"/>
      <c r="K18" s="256"/>
      <c r="L18" s="257"/>
      <c r="M18" s="258"/>
      <c r="N18" s="257"/>
      <c r="O18" s="245"/>
      <c r="P18" s="245"/>
      <c r="Q18" s="245"/>
      <c r="R18" s="229"/>
      <c r="S18" s="6"/>
      <c r="T18" s="6"/>
      <c r="U18" s="60"/>
      <c r="V18" s="6">
        <v>-21</v>
      </c>
      <c r="W18" s="7" t="str">
        <f>IF('Протокол 5ф'!F24="","",IF(H42=E44,E40,IF(H42=E40,E44)))</f>
        <v/>
      </c>
      <c r="X18" s="217" t="str">
        <f>IF(W18="",W18,VLOOKUP(W18,'Списки участников'!A:L,12,FALSE))</f>
        <v/>
      </c>
      <c r="Y18" s="6"/>
      <c r="Z18" s="6"/>
      <c r="AA18" s="1276"/>
      <c r="AB18" s="1277"/>
      <c r="AC18" s="6"/>
      <c r="AD18" s="6" t="str">
        <f>'Протокол 5ф'!R52</f>
        <v/>
      </c>
      <c r="AE18" s="14"/>
      <c r="AF18" s="14"/>
      <c r="AG18" s="14"/>
      <c r="AH18" s="6"/>
      <c r="AI18" s="6"/>
      <c r="AJ18" s="14"/>
      <c r="AK18" s="15"/>
      <c r="AL18" s="16"/>
      <c r="AM18" s="1276"/>
      <c r="AN18" s="24">
        <v>-47</v>
      </c>
      <c r="AO18" s="25" t="str">
        <f>IF(Z35="","",IF(Z35=W34,W36,IF(Z35=W36,W34)))</f>
        <v/>
      </c>
      <c r="AP18" s="220" t="str">
        <f>IF(AO18="",AO18,VLOOKUP(AO18,'Списки участников'!A:L,12,FALSE))</f>
        <v/>
      </c>
      <c r="AQ18" s="26"/>
      <c r="AR18" s="10"/>
      <c r="AS18" s="262" t="str">
        <f>'Протокол 5ф'!R77</f>
        <v/>
      </c>
      <c r="AT18" s="11"/>
      <c r="AU18" s="10"/>
      <c r="AV18" s="10"/>
      <c r="AW18" s="61"/>
      <c r="AX18" s="62" t="str">
        <f>IF(AX11="","",IF(AX11=AU7,AU15,IF(AX11=AU15,AU7)))</f>
        <v/>
      </c>
      <c r="AY18" s="253" t="str">
        <f>IF(AX18="",AX18,VLOOKUP(AX18,'Списки участников'!A:L,12,FALSE))</f>
        <v/>
      </c>
      <c r="AZ18" s="10"/>
      <c r="BA18" s="10"/>
      <c r="BB18" s="10"/>
      <c r="BC18" s="11"/>
      <c r="BD18" s="10"/>
      <c r="BE18" s="10"/>
    </row>
    <row r="19" spans="1:57" ht="11.45" customHeight="1" x14ac:dyDescent="0.2">
      <c r="A19" s="222">
        <v>7</v>
      </c>
      <c r="B19" s="223"/>
      <c r="C19" s="250">
        <f>IF(B19="",B19,VLOOKUP(B19,'Списки участников'!A:L,12,FALSE))</f>
        <v>0</v>
      </c>
      <c r="D19" s="251">
        <f>IF(B19="",B19,VLOOKUP(B19,'Списки участников'!A:L,6,FALSE))</f>
        <v>0</v>
      </c>
      <c r="E19" s="226"/>
      <c r="F19" s="1276"/>
      <c r="G19" s="1247"/>
      <c r="H19" s="252"/>
      <c r="I19" s="245" t="str">
        <f>'Протокол 5ф'!R21</f>
        <v/>
      </c>
      <c r="J19" s="260"/>
      <c r="K19" s="260"/>
      <c r="L19" s="257"/>
      <c r="M19" s="258"/>
      <c r="N19" s="257"/>
      <c r="O19" s="245"/>
      <c r="P19" s="245"/>
      <c r="Q19" s="245"/>
      <c r="R19" s="229"/>
      <c r="S19" s="6">
        <v>-7</v>
      </c>
      <c r="T19" s="7" t="str">
        <f>IF('Протокол 5ф'!F10="","",IF(E32=B31,B33,IF(E32=B33,B31)))</f>
        <v/>
      </c>
      <c r="U19" s="217" t="str">
        <f>IF(T19="",T19,VLOOKUP(T19,'Списки участников'!A:L,12,FALSE))</f>
        <v/>
      </c>
      <c r="V19" s="17"/>
      <c r="W19" s="17"/>
      <c r="X19" s="302"/>
      <c r="Y19" s="230">
        <v>43</v>
      </c>
      <c r="Z19" s="51" t="str">
        <f>IF('Протокол 5ф'!F46="","",'Протокол 5ф'!F46)</f>
        <v/>
      </c>
      <c r="AA19" s="236" t="str">
        <f>IF(Z19="",Z19,VLOOKUP(Z19,'Списки участников'!A:L,12,FALSE))</f>
        <v/>
      </c>
      <c r="AB19" s="41"/>
      <c r="AC19" s="6"/>
      <c r="AD19" s="14"/>
      <c r="AE19" s="14"/>
      <c r="AF19" s="14"/>
      <c r="AG19" s="14"/>
      <c r="AH19" s="6"/>
      <c r="AI19" s="6"/>
      <c r="AJ19" s="14"/>
      <c r="AK19" s="15"/>
      <c r="AL19" s="16"/>
      <c r="AM19" s="1276"/>
      <c r="AN19" s="10"/>
      <c r="AO19" s="10"/>
      <c r="AP19" s="10"/>
      <c r="AQ19" s="9"/>
      <c r="AR19" s="10"/>
      <c r="AS19" s="10"/>
      <c r="AT19" s="11"/>
      <c r="AU19" s="10"/>
      <c r="AV19" s="10"/>
      <c r="AW19" s="11"/>
      <c r="AX19" s="10"/>
      <c r="AY19" s="63"/>
      <c r="AZ19" s="10"/>
      <c r="BA19" s="10"/>
      <c r="BB19" s="10"/>
      <c r="BC19" s="11"/>
      <c r="BD19" s="10"/>
      <c r="BE19" s="888" t="str">
        <f>CONCATENATE(M4+18," ","место")</f>
        <v>30 место</v>
      </c>
    </row>
    <row r="20" spans="1:57" ht="11.45" customHeight="1" x14ac:dyDescent="0.2">
      <c r="A20" s="231"/>
      <c r="B20" s="231"/>
      <c r="C20" s="302"/>
      <c r="D20" s="232">
        <v>4</v>
      </c>
      <c r="E20" s="294">
        <f>'Протокол 5ф'!F7</f>
        <v>0</v>
      </c>
      <c r="F20" s="254">
        <f>IF('Протокол 5ф'!F7="",E20,VLOOKUP(E20,'Списки участников'!A:L,12,FALSE))</f>
        <v>0</v>
      </c>
      <c r="G20" s="255"/>
      <c r="H20" s="256"/>
      <c r="I20" s="245"/>
      <c r="J20" s="245"/>
      <c r="K20" s="245"/>
      <c r="L20" s="257"/>
      <c r="M20" s="258"/>
      <c r="N20" s="257"/>
      <c r="O20" s="245"/>
      <c r="P20" s="245"/>
      <c r="Q20" s="245"/>
      <c r="R20" s="229"/>
      <c r="S20" s="17"/>
      <c r="T20" s="17"/>
      <c r="U20" s="302"/>
      <c r="V20" s="38" t="s">
        <v>16</v>
      </c>
      <c r="W20" s="35" t="str">
        <f>IF('Протокол 5ф'!F38="","",'Протокол 5ф'!F38)</f>
        <v/>
      </c>
      <c r="X20" s="236" t="str">
        <f>IF(W20="",W20,VLOOKUP(W20,'Списки участников'!A:L,12,FALSE))</f>
        <v/>
      </c>
      <c r="Y20" s="36"/>
      <c r="Z20" s="32"/>
      <c r="AA20" s="6">
        <f>'Протокол 5ф'!R46</f>
        <v>0</v>
      </c>
      <c r="AB20" s="6"/>
      <c r="AC20" s="6"/>
      <c r="AD20" s="14"/>
      <c r="AE20" s="14"/>
      <c r="AF20" s="14"/>
      <c r="AG20" s="14"/>
      <c r="AH20" s="6"/>
      <c r="AI20" s="6"/>
      <c r="AJ20" s="14"/>
      <c r="AK20" s="15"/>
      <c r="AL20" s="16"/>
      <c r="AM20" s="48"/>
      <c r="AN20" s="10"/>
      <c r="AO20" s="10"/>
      <c r="AP20" s="10"/>
      <c r="AQ20" s="9"/>
      <c r="AR20" s="10"/>
      <c r="AS20" s="10"/>
      <c r="AT20" s="11"/>
      <c r="AU20" s="10"/>
      <c r="AV20" s="10"/>
      <c r="AW20" s="11"/>
      <c r="AX20" s="10"/>
      <c r="AY20" s="9"/>
      <c r="AZ20" s="6">
        <v>-75</v>
      </c>
      <c r="BA20" s="7" t="str">
        <f>IF(AU7="","",IF(AU7=AR5,AR9,IF(AU7=AR9,AR5)))</f>
        <v/>
      </c>
      <c r="BB20" s="19" t="str">
        <f>IF(BA20="",BA20,VLOOKUP(BA20,'Списки участников'!A:L,12,FALSE))</f>
        <v/>
      </c>
      <c r="BC20" s="64"/>
      <c r="BD20" s="19"/>
      <c r="BE20" s="50" t="str">
        <f>IF(BD21="",BD21,VLOOKUP(BD21,'Списки участников'!A:L,6,FALSE))</f>
        <v/>
      </c>
    </row>
    <row r="21" spans="1:57" ht="11.45" customHeight="1" x14ac:dyDescent="0.2">
      <c r="A21" s="237">
        <v>8</v>
      </c>
      <c r="B21" s="238"/>
      <c r="C21" s="239">
        <f>IF(B21="",B21,VLOOKUP(B21,'Списки участников'!A:L,12,FALSE))</f>
        <v>0</v>
      </c>
      <c r="D21" s="240">
        <f>IF(B21="",B21,VLOOKUP(B21,'Списки участников'!A:L,6,FALSE))</f>
        <v>0</v>
      </c>
      <c r="E21" s="241"/>
      <c r="F21" s="245">
        <f>'Протокол 5ф'!R7</f>
        <v>0</v>
      </c>
      <c r="G21" s="260"/>
      <c r="H21" s="260"/>
      <c r="I21" s="245"/>
      <c r="J21" s="245"/>
      <c r="K21" s="245"/>
      <c r="L21" s="257"/>
      <c r="M21" s="258"/>
      <c r="N21" s="257"/>
      <c r="O21" s="245"/>
      <c r="P21" s="245"/>
      <c r="Q21" s="245"/>
      <c r="R21" s="229"/>
      <c r="S21" s="24">
        <v>-8</v>
      </c>
      <c r="T21" s="25" t="str">
        <f>IF('Протокол 5ф'!F11="","",IF(E36=B37,B35,IF(E36=B35,B37)))</f>
        <v/>
      </c>
      <c r="U21" s="236" t="str">
        <f>IF(T21="",T21,VLOOKUP(T21,'Списки участников'!A:L,12,FALSE))</f>
        <v/>
      </c>
      <c r="V21" s="41"/>
      <c r="W21" s="6"/>
      <c r="X21" s="203">
        <f>'Протокол 5ф'!R38</f>
        <v>0</v>
      </c>
      <c r="Y21" s="9"/>
      <c r="Z21" s="9"/>
      <c r="AA21" s="14"/>
      <c r="AB21" s="6" t="s">
        <v>93</v>
      </c>
      <c r="AC21" s="7" t="str">
        <f>IF('Протокол 5ф'!F31="","",IF(K62=H58,H66,IF(K62=H66,H58)))</f>
        <v/>
      </c>
      <c r="AD21" s="217" t="str">
        <f>IF(AC21="",AC21,VLOOKUP(AC21,'Списки участников'!A:L,12,FALSE))</f>
        <v/>
      </c>
      <c r="AE21" s="14"/>
      <c r="AF21" s="14"/>
      <c r="AG21" s="14"/>
      <c r="AH21" s="6">
        <v>-29</v>
      </c>
      <c r="AI21" s="7" t="str">
        <f>IF('Протокол 5ф'!F32="","",IF(N22=K14,K30,IF(N22=K30,K14)))</f>
        <v/>
      </c>
      <c r="AJ21" s="217" t="str">
        <f>IF(AI21="",AI21,VLOOKUP(AI21,'Списки участников'!A:L,12,FALSE))</f>
        <v/>
      </c>
      <c r="AK21" s="15"/>
      <c r="AL21" s="16"/>
      <c r="AM21" s="48"/>
      <c r="AN21" s="10"/>
      <c r="AO21" s="10"/>
      <c r="AP21" s="10"/>
      <c r="AQ21" s="9"/>
      <c r="AR21" s="10"/>
      <c r="AS21" s="10"/>
      <c r="AT21" s="11"/>
      <c r="AU21" s="10"/>
      <c r="AV21" s="10"/>
      <c r="AW21" s="11"/>
      <c r="AX21" s="10"/>
      <c r="AY21" s="9"/>
      <c r="AZ21" s="17"/>
      <c r="BA21" s="17"/>
      <c r="BB21" s="302"/>
      <c r="BC21" s="230">
        <v>78</v>
      </c>
      <c r="BD21" s="28" t="str">
        <f>IF('Протокол 5ф'!F81="","",'Протокол 5ф'!F81)</f>
        <v/>
      </c>
      <c r="BE21" s="253" t="str">
        <f>IF(BD21="",BD21,VLOOKUP(BD21,'Списки участников'!A:L,12,FALSE))</f>
        <v/>
      </c>
    </row>
    <row r="22" spans="1:57" ht="11.45" customHeight="1" x14ac:dyDescent="0.2">
      <c r="A22" s="222"/>
      <c r="B22" s="222"/>
      <c r="C22" s="227"/>
      <c r="D22" s="247"/>
      <c r="E22" s="245"/>
      <c r="F22" s="245"/>
      <c r="G22" s="245"/>
      <c r="H22" s="245"/>
      <c r="I22" s="245"/>
      <c r="J22" s="245"/>
      <c r="K22" s="245"/>
      <c r="L22" s="1276"/>
      <c r="M22" s="1247">
        <v>29</v>
      </c>
      <c r="N22" s="263">
        <f>'Протокол 5ф'!F32</f>
        <v>0</v>
      </c>
      <c r="O22" s="254">
        <f>IF('Протокол 5ф'!F32="",N22,VLOOKUP(N22,'Списки участников'!A:L,12,FALSE))</f>
        <v>0</v>
      </c>
      <c r="P22" s="234"/>
      <c r="Q22" s="234"/>
      <c r="R22" s="229"/>
      <c r="S22" s="6"/>
      <c r="T22" s="6"/>
      <c r="U22" s="14"/>
      <c r="V22" s="6">
        <v>-20</v>
      </c>
      <c r="W22" s="7" t="str">
        <f>IF('Протокол 5ф'!F23="","",IF(H34=E32,E36,IF(H34=E36,E32)))</f>
        <v/>
      </c>
      <c r="X22" s="217" t="str">
        <f>IF(W22="",W22,VLOOKUP(W22,'Списки участников'!A:L,12,FALSE))</f>
        <v/>
      </c>
      <c r="Y22" s="6"/>
      <c r="Z22" s="6"/>
      <c r="AA22" s="14"/>
      <c r="AB22" s="17"/>
      <c r="AC22" s="17"/>
      <c r="AD22" s="39"/>
      <c r="AE22" s="22"/>
      <c r="AF22" s="14"/>
      <c r="AG22" s="14"/>
      <c r="AH22" s="39"/>
      <c r="AI22" s="39"/>
      <c r="AJ22" s="39"/>
      <c r="AK22" s="23"/>
      <c r="AL22" s="16"/>
      <c r="AM22" s="48"/>
      <c r="AN22" s="10"/>
      <c r="AO22" s="10"/>
      <c r="AP22" s="10"/>
      <c r="AQ22" s="9"/>
      <c r="AR22" s="10"/>
      <c r="AS22" s="10"/>
      <c r="AT22" s="11"/>
      <c r="AU22" s="10"/>
      <c r="AV22" s="10"/>
      <c r="AW22" s="11"/>
      <c r="AX22" s="10"/>
      <c r="AY22" s="9"/>
      <c r="AZ22" s="24">
        <v>-76</v>
      </c>
      <c r="BA22" s="25" t="str">
        <f>IF(AU15="","",IF(AU15=AR13,AR17,IF(AU15=AR17,AR13)))</f>
        <v/>
      </c>
      <c r="BB22" s="246" t="str">
        <f>IF(BA22="",BA22,VLOOKUP(BA22,'Списки участников'!A:L,12,FALSE))</f>
        <v/>
      </c>
      <c r="BC22" s="65"/>
      <c r="BD22" s="66"/>
      <c r="BE22" s="204">
        <f>'Протокол 5ф'!R81</f>
        <v>0</v>
      </c>
    </row>
    <row r="23" spans="1:57" ht="11.45" customHeight="1" x14ac:dyDescent="0.2">
      <c r="A23" s="222">
        <v>9</v>
      </c>
      <c r="B23" s="223"/>
      <c r="C23" s="250">
        <f>IF(B23="",B23,VLOOKUP(B23,'Списки участников'!A:L,12,FALSE))</f>
        <v>0</v>
      </c>
      <c r="D23" s="251">
        <f>IF(B23="",B23,VLOOKUP(B23,'Списки участников'!A:L,6,FALSE))</f>
        <v>0</v>
      </c>
      <c r="E23" s="226"/>
      <c r="F23" s="245"/>
      <c r="G23" s="245"/>
      <c r="H23" s="245"/>
      <c r="I23" s="245"/>
      <c r="J23" s="245"/>
      <c r="K23" s="245"/>
      <c r="L23" s="1276"/>
      <c r="M23" s="1247"/>
      <c r="N23" s="252"/>
      <c r="O23" s="245" t="str">
        <f>'Протокол 5ф'!R32</f>
        <v/>
      </c>
      <c r="P23" s="243"/>
      <c r="Q23" s="244"/>
      <c r="R23" s="229"/>
      <c r="S23" s="6">
        <v>-9</v>
      </c>
      <c r="T23" s="7" t="str">
        <f>IF('Протокол 5ф'!F12="","",IF(E40=B41,B39,IF(E40=B39,B41)))</f>
        <v/>
      </c>
      <c r="U23" s="217" t="str">
        <f>IF(T23="",T23,VLOOKUP(T23,'Списки участников'!A:L,12,FALSE))</f>
        <v/>
      </c>
      <c r="V23" s="17"/>
      <c r="W23" s="17"/>
      <c r="X23" s="302"/>
      <c r="Y23" s="230">
        <v>44</v>
      </c>
      <c r="Z23" s="28" t="str">
        <f>IF('Протокол 5ф'!F47="","",'Протокол 5ф'!F47)</f>
        <v/>
      </c>
      <c r="AA23" s="217" t="str">
        <f>IF(Z23="",Z23,VLOOKUP(Z23,'Списки участников'!A:L,12,FALSE))</f>
        <v/>
      </c>
      <c r="AB23" s="29"/>
      <c r="AC23" s="29"/>
      <c r="AD23" s="1276"/>
      <c r="AE23" s="1277" t="s">
        <v>64</v>
      </c>
      <c r="AF23" s="67" t="str">
        <f>IF('Протокол 5ф'!F57="","",'Протокол 5ф'!F57)</f>
        <v/>
      </c>
      <c r="AG23" s="217" t="str">
        <f>IF(AF23="",AF23,VLOOKUP(AF23,'Списки участников'!A:L,12,FALSE))</f>
        <v/>
      </c>
      <c r="AH23" s="43"/>
      <c r="AI23" s="43"/>
      <c r="AJ23" s="43"/>
      <c r="AK23" s="31"/>
      <c r="AL23" s="16"/>
      <c r="AM23" s="68"/>
      <c r="AN23" s="10"/>
      <c r="AO23" s="10"/>
      <c r="AP23" s="10"/>
      <c r="AQ23" s="9"/>
      <c r="AR23" s="10"/>
      <c r="AS23" s="10"/>
      <c r="AT23" s="11"/>
      <c r="AU23" s="10"/>
      <c r="AV23" s="10"/>
      <c r="AW23" s="11"/>
      <c r="AX23" s="10"/>
      <c r="AY23" s="9"/>
      <c r="AZ23" s="10"/>
      <c r="BA23" s="10"/>
      <c r="BB23" s="10"/>
      <c r="BC23" s="11"/>
      <c r="BD23" s="10"/>
      <c r="BE23" s="888" t="str">
        <f>CONCATENATE(M4+19," ","место")</f>
        <v>31 место</v>
      </c>
    </row>
    <row r="24" spans="1:57" ht="11.45" customHeight="1" x14ac:dyDescent="0.2">
      <c r="A24" s="231"/>
      <c r="B24" s="231"/>
      <c r="C24" s="302"/>
      <c r="D24" s="232">
        <v>5</v>
      </c>
      <c r="E24" s="233">
        <f>'Протокол 5ф'!F8</f>
        <v>0</v>
      </c>
      <c r="F24" s="224">
        <f>IF('Протокол 5ф'!F8="",E24,VLOOKUP(E24,'Списки участников'!A:L,12,FALSE))</f>
        <v>0</v>
      </c>
      <c r="G24" s="234"/>
      <c r="H24" s="234"/>
      <c r="I24" s="245"/>
      <c r="J24" s="245"/>
      <c r="K24" s="245"/>
      <c r="L24" s="257"/>
      <c r="M24" s="258"/>
      <c r="N24" s="257"/>
      <c r="O24" s="245"/>
      <c r="P24" s="258"/>
      <c r="Q24" s="257"/>
      <c r="R24" s="229"/>
      <c r="S24" s="17"/>
      <c r="T24" s="17"/>
      <c r="U24" s="302"/>
      <c r="V24" s="38" t="s">
        <v>11</v>
      </c>
      <c r="W24" s="35" t="str">
        <f>IF('Протокол 5ф'!F39="","",'Протокол 5ф'!F39)</f>
        <v/>
      </c>
      <c r="X24" s="236" t="str">
        <f>IF(W24="",W24,VLOOKUP(W24,'Списки участников'!A:L,12,FALSE))</f>
        <v/>
      </c>
      <c r="Y24" s="36"/>
      <c r="Z24" s="37"/>
      <c r="AA24" s="17">
        <f>'Протокол 5ф'!R47</f>
        <v>0</v>
      </c>
      <c r="AB24" s="38"/>
      <c r="AC24" s="29"/>
      <c r="AD24" s="1276"/>
      <c r="AE24" s="1277"/>
      <c r="AF24" s="39"/>
      <c r="AG24" s="204" t="str">
        <f>'Протокол 5ф'!R57</f>
        <v/>
      </c>
      <c r="AH24" s="38"/>
      <c r="AI24" s="43"/>
      <c r="AJ24" s="1276"/>
      <c r="AK24" s="1279">
        <v>59</v>
      </c>
      <c r="AL24" s="40" t="str">
        <f>IF('Протокол 5ф'!F62="","",'Протокол 5ф'!F62)</f>
        <v/>
      </c>
      <c r="AM24" s="264" t="str">
        <f>IF(AL24="",AL24,VLOOKUP(AL24,'Списки участников'!A:L,12,FALSE))</f>
        <v/>
      </c>
      <c r="AN24" s="10"/>
      <c r="AO24" s="10"/>
      <c r="AP24" s="10"/>
      <c r="AQ24" s="9"/>
      <c r="AR24" s="10"/>
      <c r="AS24" s="10"/>
      <c r="AT24" s="11"/>
      <c r="AU24" s="10"/>
      <c r="AV24" s="10"/>
      <c r="AW24" s="11"/>
      <c r="AX24" s="10"/>
      <c r="AY24" s="9"/>
      <c r="AZ24" s="10"/>
      <c r="BA24" s="10"/>
      <c r="BB24" s="10"/>
      <c r="BC24" s="11"/>
      <c r="BD24" s="10"/>
      <c r="BE24" s="50" t="str">
        <f>IF(BD25="",BD25,VLOOKUP(BD25,'Списки участников'!A:L,6,FALSE))</f>
        <v/>
      </c>
    </row>
    <row r="25" spans="1:57" ht="11.45" customHeight="1" x14ac:dyDescent="0.2">
      <c r="A25" s="237">
        <v>10</v>
      </c>
      <c r="B25" s="238"/>
      <c r="C25" s="239">
        <f>IF(B25="",B25,VLOOKUP(B25,'Списки участников'!A:L,12,FALSE))</f>
        <v>0</v>
      </c>
      <c r="D25" s="240">
        <f>IF(B25="",B25,VLOOKUP(B25,'Списки участников'!A:L,6,FALSE))</f>
        <v>0</v>
      </c>
      <c r="E25" s="241"/>
      <c r="F25" s="292">
        <f>'Протокол 5ф'!R8</f>
        <v>0</v>
      </c>
      <c r="G25" s="243"/>
      <c r="H25" s="244"/>
      <c r="I25" s="245"/>
      <c r="J25" s="245"/>
      <c r="K25" s="245"/>
      <c r="L25" s="257"/>
      <c r="M25" s="258"/>
      <c r="N25" s="257"/>
      <c r="O25" s="245"/>
      <c r="P25" s="258"/>
      <c r="Q25" s="257"/>
      <c r="R25" s="229"/>
      <c r="S25" s="24">
        <v>-10</v>
      </c>
      <c r="T25" s="25" t="str">
        <f>IF('Протокол 5ф'!F13="","",IF(E44=B43,B45,IF(E44=B45,B43)))</f>
        <v/>
      </c>
      <c r="U25" s="236" t="str">
        <f>IF(T25="",T25,VLOOKUP(T25,'Списки участников'!A:L,12,FALSE))</f>
        <v/>
      </c>
      <c r="V25" s="41"/>
      <c r="W25" s="6"/>
      <c r="X25" s="265">
        <f>'Протокол 5ф'!R39</f>
        <v>0</v>
      </c>
      <c r="Y25" s="9"/>
      <c r="Z25" s="9"/>
      <c r="AA25" s="1276"/>
      <c r="AB25" s="1277" t="s">
        <v>60</v>
      </c>
      <c r="AC25" s="35" t="str">
        <f>IF('Протокол 5ф'!F53="","",'Протокол 5ф'!F53)</f>
        <v/>
      </c>
      <c r="AD25" s="236" t="str">
        <f>IF(AC25="",AC25,VLOOKUP(AC25,'Списки участников'!A:L,12,FALSE))</f>
        <v/>
      </c>
      <c r="AE25" s="42"/>
      <c r="AF25" s="43"/>
      <c r="AG25" s="43"/>
      <c r="AH25" s="44"/>
      <c r="AI25" s="43"/>
      <c r="AJ25" s="1276"/>
      <c r="AK25" s="1279"/>
      <c r="AL25" s="16"/>
      <c r="AM25" s="295" t="str">
        <f>'Протокол 5ф'!R62</f>
        <v/>
      </c>
      <c r="AN25" s="10"/>
      <c r="AO25" s="10"/>
      <c r="AP25" s="10"/>
      <c r="AQ25" s="9">
        <v>-71</v>
      </c>
      <c r="AR25" s="7" t="str">
        <f>IF(AR5="","",IF(AR5=AO4,AO6,IF(AR5=AO6,AO4)))</f>
        <v/>
      </c>
      <c r="AS25" s="8" t="str">
        <f>IF(AR25="",AR25,VLOOKUP(AR25,'Списки участников'!A:L,12,FALSE))</f>
        <v/>
      </c>
      <c r="AT25" s="11"/>
      <c r="AU25" s="10"/>
      <c r="AV25" s="10"/>
      <c r="AW25" s="11"/>
      <c r="AX25" s="10"/>
      <c r="AZ25" s="10"/>
      <c r="BA25" s="10"/>
      <c r="BB25" s="10"/>
      <c r="BC25" s="61">
        <v>-78</v>
      </c>
      <c r="BD25" s="62" t="str">
        <f>IF(BD21="","",IF(BD21=BA20,BA22,IF(BD21=BA22,BA20)))</f>
        <v/>
      </c>
      <c r="BE25" s="253" t="str">
        <f>IF(BD25="",BD25,VLOOKUP(BD25,'Списки участников'!A:L,12,FALSE))</f>
        <v/>
      </c>
    </row>
    <row r="26" spans="1:57" ht="11.45" customHeight="1" x14ac:dyDescent="0.2">
      <c r="A26" s="222"/>
      <c r="B26" s="222"/>
      <c r="C26" s="227"/>
      <c r="D26" s="247"/>
      <c r="E26" s="245"/>
      <c r="F26" s="1276"/>
      <c r="G26" s="1247" t="s">
        <v>43</v>
      </c>
      <c r="H26" s="296">
        <f>'Протокол 5ф'!F22</f>
        <v>0</v>
      </c>
      <c r="I26" s="224">
        <f>IF('Протокол 5ф'!F22="",H26,VLOOKUP(H26,'Списки участников'!A:L,12,FALSE))</f>
        <v>0</v>
      </c>
      <c r="J26" s="234"/>
      <c r="K26" s="234"/>
      <c r="L26" s="257"/>
      <c r="M26" s="258"/>
      <c r="N26" s="257"/>
      <c r="O26" s="245"/>
      <c r="P26" s="258"/>
      <c r="Q26" s="257"/>
      <c r="R26" s="229"/>
      <c r="S26" s="6"/>
      <c r="T26" s="6"/>
      <c r="U26" s="14"/>
      <c r="V26" s="6">
        <v>-19</v>
      </c>
      <c r="W26" s="7" t="str">
        <f>IF('Протокол 5ф'!F22="","",IF(H26=E24,E28,IF(H26=E28,E24)))</f>
        <v/>
      </c>
      <c r="X26" s="217" t="str">
        <f>IF(W26="",W26,VLOOKUP(W26,'Списки участников'!A:L,12,FALSE))</f>
        <v/>
      </c>
      <c r="Y26" s="6"/>
      <c r="Z26" s="6"/>
      <c r="AA26" s="1276"/>
      <c r="AB26" s="1277"/>
      <c r="AC26" s="6"/>
      <c r="AD26" s="6" t="str">
        <f>'Протокол 5ф'!R53</f>
        <v/>
      </c>
      <c r="AE26" s="43"/>
      <c r="AF26" s="43"/>
      <c r="AG26" s="43"/>
      <c r="AH26" s="44"/>
      <c r="AI26" s="43"/>
      <c r="AJ26" s="43"/>
      <c r="AK26" s="31"/>
      <c r="AL26" s="16"/>
      <c r="AM26" s="14"/>
      <c r="AN26" s="10"/>
      <c r="AO26" s="10"/>
      <c r="AP26" s="10"/>
      <c r="AQ26" s="63"/>
      <c r="AR26" s="17"/>
      <c r="AS26" s="302"/>
      <c r="AT26" s="266">
        <v>79</v>
      </c>
      <c r="AU26" s="18" t="str">
        <f>IF('Протокол 5ф'!F82="","",'Протокол 5ф'!F82)</f>
        <v/>
      </c>
      <c r="AV26" s="19" t="str">
        <f>IF(AU26="",AU26,VLOOKUP(AU26,'Списки участников'!A:L,12,FALSE))</f>
        <v/>
      </c>
      <c r="AW26" s="33"/>
      <c r="AX26" s="34"/>
      <c r="AY26" s="888" t="str">
        <f>CONCATENATE(M4+20," ","место")</f>
        <v>32 место</v>
      </c>
      <c r="AZ26" s="10"/>
      <c r="BA26" s="10"/>
      <c r="BB26" s="10"/>
      <c r="BC26" s="11"/>
      <c r="BD26" s="10"/>
      <c r="BE26" s="63"/>
    </row>
    <row r="27" spans="1:57" ht="11.45" customHeight="1" x14ac:dyDescent="0.2">
      <c r="A27" s="222">
        <v>11</v>
      </c>
      <c r="B27" s="223"/>
      <c r="C27" s="250">
        <f>IF(B27="",B27,VLOOKUP(B27,'Списки участников'!A:L,12,FALSE))</f>
        <v>0</v>
      </c>
      <c r="D27" s="251">
        <f>IF(B27="",B27,VLOOKUP(B27,'Списки участников'!A:L,6,FALSE))</f>
        <v>0</v>
      </c>
      <c r="E27" s="226"/>
      <c r="F27" s="1276"/>
      <c r="G27" s="1247"/>
      <c r="H27" s="252"/>
      <c r="I27" s="292" t="str">
        <f>'Протокол 5ф'!R22</f>
        <v/>
      </c>
      <c r="J27" s="243"/>
      <c r="K27" s="244"/>
      <c r="L27" s="257"/>
      <c r="M27" s="258"/>
      <c r="N27" s="257"/>
      <c r="O27" s="245"/>
      <c r="P27" s="258"/>
      <c r="Q27" s="257"/>
      <c r="R27" s="229"/>
      <c r="S27" s="6" t="s">
        <v>2</v>
      </c>
      <c r="T27" s="7" t="str">
        <f>IF('Протокол 5ф'!F14="","",IF(E48=B47,B49,IF(E48=B49,B47)))</f>
        <v/>
      </c>
      <c r="U27" s="217" t="str">
        <f>IF(T27="",T27,VLOOKUP(T27,'Списки участников'!A:L,12,FALSE))</f>
        <v/>
      </c>
      <c r="V27" s="17"/>
      <c r="W27" s="17"/>
      <c r="X27" s="302"/>
      <c r="Y27" s="230">
        <v>45</v>
      </c>
      <c r="Z27" s="51" t="str">
        <f>IF('Протокол 5ф'!F48="","",'Протокол 5ф'!F48)</f>
        <v/>
      </c>
      <c r="AA27" s="236" t="str">
        <f>IF(Z27="",Z27,VLOOKUP(Z27,'Списки участников'!A:L,12,FALSE))</f>
        <v/>
      </c>
      <c r="AB27" s="41"/>
      <c r="AC27" s="6"/>
      <c r="AD27" s="14"/>
      <c r="AE27" s="43"/>
      <c r="AF27" s="43"/>
      <c r="AG27" s="1276"/>
      <c r="AH27" s="1277" t="s">
        <v>67</v>
      </c>
      <c r="AI27" s="55" t="str">
        <f>IF('Протокол 5ф'!F60="","",'Протокол 5ф'!F60)</f>
        <v/>
      </c>
      <c r="AJ27" s="267" t="str">
        <f>IF(AI27="",AI27,VLOOKUP(AI27,'Списки участников'!A:L,12,FALSE))</f>
        <v/>
      </c>
      <c r="AK27" s="52"/>
      <c r="AL27" s="16"/>
      <c r="AM27" s="14"/>
      <c r="AN27" s="10"/>
      <c r="AO27" s="10"/>
      <c r="AP27" s="10"/>
      <c r="AQ27" s="69">
        <v>-72</v>
      </c>
      <c r="AR27" s="25" t="str">
        <f>IF(AR9="","",IF(AR9=AO8,AO10,IF(AR9=AO10,AO8)))</f>
        <v/>
      </c>
      <c r="AS27" s="220" t="str">
        <f>IF(AR27="",AR27,VLOOKUP(AR27,'Списки участников'!A:L,12,FALSE))</f>
        <v/>
      </c>
      <c r="AT27" s="46"/>
      <c r="AU27" s="21"/>
      <c r="AV27" s="204">
        <f>'Протокол 5ф'!R82</f>
        <v>0</v>
      </c>
      <c r="AW27" s="70"/>
      <c r="AX27" s="32"/>
      <c r="AY27" s="50" t="str">
        <f>IF(AX28="",AX28,VLOOKUP(AX28,'Списки участников'!A:L,6,FALSE))</f>
        <v/>
      </c>
      <c r="AZ27" s="10"/>
      <c r="BA27" s="10"/>
      <c r="BB27" s="10"/>
      <c r="BC27" s="11"/>
      <c r="BD27" s="10"/>
      <c r="BE27" s="9"/>
    </row>
    <row r="28" spans="1:57" ht="11.45" customHeight="1" x14ac:dyDescent="0.2">
      <c r="A28" s="231"/>
      <c r="B28" s="231"/>
      <c r="C28" s="302"/>
      <c r="D28" s="232">
        <v>6</v>
      </c>
      <c r="E28" s="233">
        <f>'Протокол 5ф'!F9</f>
        <v>0</v>
      </c>
      <c r="F28" s="254">
        <f>IF('Протокол 5ф'!F9="",E28,VLOOKUP(E28,'Списки участников'!A:L,12,FALSE))</f>
        <v>0</v>
      </c>
      <c r="G28" s="255"/>
      <c r="H28" s="256"/>
      <c r="I28" s="257"/>
      <c r="J28" s="258"/>
      <c r="K28" s="257"/>
      <c r="L28" s="257"/>
      <c r="M28" s="258"/>
      <c r="N28" s="257"/>
      <c r="O28" s="245"/>
      <c r="P28" s="258"/>
      <c r="Q28" s="257"/>
      <c r="R28" s="229"/>
      <c r="S28" s="17"/>
      <c r="T28" s="17"/>
      <c r="U28" s="302"/>
      <c r="V28" s="38" t="s">
        <v>21</v>
      </c>
      <c r="W28" s="35" t="str">
        <f>IF('Протокол 5ф'!F40="","",'Протокол 5ф'!F40)</f>
        <v/>
      </c>
      <c r="X28" s="236" t="str">
        <f>IF(W28="",W28,VLOOKUP(W28,'Списки участников'!A:L,12,FALSE))</f>
        <v/>
      </c>
      <c r="Y28" s="36"/>
      <c r="Z28" s="32"/>
      <c r="AA28" s="6">
        <f>'Протокол 5ф'!R48</f>
        <v>0</v>
      </c>
      <c r="AB28" s="6"/>
      <c r="AC28" s="6"/>
      <c r="AD28" s="14"/>
      <c r="AE28" s="43"/>
      <c r="AF28" s="43"/>
      <c r="AG28" s="1276"/>
      <c r="AH28" s="1277"/>
      <c r="AI28" s="14"/>
      <c r="AJ28" s="6" t="str">
        <f>'Протокол 5ф'!R60</f>
        <v/>
      </c>
      <c r="AK28" s="15"/>
      <c r="AL28" s="16"/>
      <c r="AM28" s="14"/>
      <c r="AN28" s="10"/>
      <c r="AO28" s="10"/>
      <c r="AP28" s="10"/>
      <c r="AQ28" s="9"/>
      <c r="AR28" s="6"/>
      <c r="AS28" s="10"/>
      <c r="AT28" s="49"/>
      <c r="AU28" s="30"/>
      <c r="AV28" s="1276"/>
      <c r="AW28" s="1278">
        <v>81</v>
      </c>
      <c r="AX28" s="53" t="str">
        <f>IF('Протокол 5ф'!F84="","",'Протокол 5ф'!F84)</f>
        <v/>
      </c>
      <c r="AY28" s="253" t="str">
        <f>IF(AX28="",AX28,VLOOKUP(AX28,'Списки участников'!A:L,12,FALSE))</f>
        <v/>
      </c>
      <c r="AZ28" s="10"/>
      <c r="BA28" s="10"/>
      <c r="BB28" s="10"/>
      <c r="BC28" s="11"/>
      <c r="BD28" s="10"/>
      <c r="BE28" s="9"/>
    </row>
    <row r="29" spans="1:57" ht="11.45" customHeight="1" x14ac:dyDescent="0.2">
      <c r="A29" s="237">
        <v>12</v>
      </c>
      <c r="B29" s="238"/>
      <c r="C29" s="239">
        <f>IF(B29="",B29,VLOOKUP(B29,'Списки участников'!A:L,12,FALSE))</f>
        <v>0</v>
      </c>
      <c r="D29" s="240">
        <f>IF(B29="",B29,VLOOKUP(B29,'Списки участников'!A:L,6,FALSE))</f>
        <v>0</v>
      </c>
      <c r="E29" s="241"/>
      <c r="F29" s="245" t="str">
        <f>'Протокол 5ф'!R9</f>
        <v/>
      </c>
      <c r="G29" s="260"/>
      <c r="H29" s="260"/>
      <c r="I29" s="257"/>
      <c r="J29" s="258"/>
      <c r="K29" s="257"/>
      <c r="L29" s="257"/>
      <c r="M29" s="258"/>
      <c r="N29" s="257"/>
      <c r="O29" s="245"/>
      <c r="P29" s="258"/>
      <c r="Q29" s="257"/>
      <c r="R29" s="229"/>
      <c r="S29" s="24">
        <v>-12</v>
      </c>
      <c r="T29" s="25" t="str">
        <f>IF('Протокол 5ф'!F15="","",IF(E52=B53,B51,IF(E52=B51,B53)))</f>
        <v/>
      </c>
      <c r="U29" s="236" t="str">
        <f>IF(T29="",T29,VLOOKUP(T29,'Списки участников'!A:L,12,FALSE))</f>
        <v/>
      </c>
      <c r="V29" s="41"/>
      <c r="W29" s="6"/>
      <c r="X29" s="6">
        <f>'Протокол 5ф'!R40</f>
        <v>0</v>
      </c>
      <c r="Y29" s="9"/>
      <c r="Z29" s="9"/>
      <c r="AA29" s="14"/>
      <c r="AB29" s="6" t="s">
        <v>56</v>
      </c>
      <c r="AC29" s="7" t="str">
        <f>IF('Протокол 5ф'!F30="","",IF(K46=H42,H50,IF(K46=H50,H42)))</f>
        <v/>
      </c>
      <c r="AD29" s="217" t="str">
        <f>IF(AC29="",AC29,VLOOKUP(AC29,'Списки участников'!A:L,12,FALSE))</f>
        <v/>
      </c>
      <c r="AE29" s="43"/>
      <c r="AF29" s="43"/>
      <c r="AG29" s="43"/>
      <c r="AH29" s="44"/>
      <c r="AI29" s="14"/>
      <c r="AJ29" s="14"/>
      <c r="AK29" s="15"/>
      <c r="AL29" s="16"/>
      <c r="AM29" s="14"/>
      <c r="AN29" s="10"/>
      <c r="AO29" s="10"/>
      <c r="AP29" s="10"/>
      <c r="AQ29" s="9">
        <v>-73</v>
      </c>
      <c r="AR29" s="7" t="str">
        <f>IF(AR13="","",IF(AR13=AO12,AO14,IF(AR13=AO14,AO12)))</f>
        <v/>
      </c>
      <c r="AS29" s="8" t="str">
        <f>IF(AR29="",AR29,VLOOKUP(AR29,'Списки участников'!A:L,12,FALSE))</f>
        <v/>
      </c>
      <c r="AT29" s="49"/>
      <c r="AU29" s="30"/>
      <c r="AV29" s="1276"/>
      <c r="AW29" s="1278"/>
      <c r="AX29" s="43"/>
      <c r="AY29" s="204">
        <f>'Протокол 5ф'!R84</f>
        <v>0</v>
      </c>
      <c r="AZ29" s="10"/>
      <c r="BA29" s="10"/>
      <c r="BB29" s="10"/>
      <c r="BC29" s="11"/>
      <c r="BD29" s="10"/>
      <c r="BE29" s="9"/>
    </row>
    <row r="30" spans="1:57" ht="11.45" customHeight="1" x14ac:dyDescent="0.2">
      <c r="A30" s="222"/>
      <c r="B30" s="222"/>
      <c r="C30" s="227"/>
      <c r="D30" s="247"/>
      <c r="E30" s="245"/>
      <c r="F30" s="245"/>
      <c r="G30" s="245"/>
      <c r="H30" s="245"/>
      <c r="I30" s="1276"/>
      <c r="J30" s="1247">
        <v>26</v>
      </c>
      <c r="K30" s="296">
        <f>'Протокол 5ф'!F29</f>
        <v>0</v>
      </c>
      <c r="L30" s="254">
        <f>IF('Протокол 5ф'!F29="",K30,VLOOKUP(K30,'Списки участников'!A:L,12,FALSE))</f>
        <v>0</v>
      </c>
      <c r="M30" s="255"/>
      <c r="N30" s="256"/>
      <c r="O30" s="245"/>
      <c r="P30" s="258"/>
      <c r="Q30" s="257"/>
      <c r="R30" s="229"/>
      <c r="S30" s="6"/>
      <c r="T30" s="6"/>
      <c r="U30" s="14"/>
      <c r="V30" s="6">
        <v>-18</v>
      </c>
      <c r="W30" s="7" t="str">
        <f>IF('Протокол 5ф'!F21="","",IF(H18=E20,E16,IF(H18=E16,E20)))</f>
        <v/>
      </c>
      <c r="X30" s="217" t="str">
        <f>IF(W30="",W30,VLOOKUP(W30,'Списки участников'!A:L,12,FALSE))</f>
        <v/>
      </c>
      <c r="Y30" s="6"/>
      <c r="Z30" s="6"/>
      <c r="AA30" s="14"/>
      <c r="AB30" s="39"/>
      <c r="AC30" s="39"/>
      <c r="AD30" s="39"/>
      <c r="AE30" s="22"/>
      <c r="AF30" s="43"/>
      <c r="AG30" s="43"/>
      <c r="AH30" s="44"/>
      <c r="AI30" s="14"/>
      <c r="AJ30" s="14"/>
      <c r="AK30" s="15"/>
      <c r="AL30" s="16"/>
      <c r="AM30" s="888" t="str">
        <f>CONCATENATE(M4+3," ","место")</f>
        <v>15 место</v>
      </c>
      <c r="AN30" s="10"/>
      <c r="AO30" s="10"/>
      <c r="AP30" s="10"/>
      <c r="AQ30" s="63"/>
      <c r="AR30" s="17"/>
      <c r="AS30" s="302"/>
      <c r="AT30" s="266">
        <v>80</v>
      </c>
      <c r="AU30" s="45" t="str">
        <f>IF('Протокол 5ф'!F83="","",'Протокол 5ф'!F83)</f>
        <v/>
      </c>
      <c r="AV30" s="246" t="str">
        <f>IF(AU30="",AU30,VLOOKUP(AU30,'Списки участников'!A:L,12,FALSE))</f>
        <v/>
      </c>
      <c r="AW30" s="57"/>
      <c r="AX30" s="58"/>
      <c r="AY30" s="9"/>
      <c r="AZ30" s="10"/>
      <c r="BA30" s="10"/>
      <c r="BB30" s="10"/>
      <c r="BC30" s="11"/>
      <c r="BD30" s="10"/>
      <c r="BE30" s="9"/>
    </row>
    <row r="31" spans="1:57" ht="11.45" customHeight="1" x14ac:dyDescent="0.2">
      <c r="A31" s="222">
        <v>13</v>
      </c>
      <c r="B31" s="223"/>
      <c r="C31" s="250">
        <f>IF(B31="",B31,VLOOKUP(B31,'Списки участников'!A:L,12,FALSE))</f>
        <v>0</v>
      </c>
      <c r="D31" s="251">
        <f>IF(B31="",B31,VLOOKUP(B31,'Списки участников'!A:L,6,FALSE))</f>
        <v>0</v>
      </c>
      <c r="E31" s="226"/>
      <c r="F31" s="245"/>
      <c r="G31" s="245"/>
      <c r="H31" s="245"/>
      <c r="I31" s="1276"/>
      <c r="J31" s="1247"/>
      <c r="K31" s="252"/>
      <c r="L31" s="245" t="str">
        <f>'Протокол 5ф'!R29</f>
        <v/>
      </c>
      <c r="M31" s="260"/>
      <c r="N31" s="260"/>
      <c r="O31" s="245"/>
      <c r="P31" s="258"/>
      <c r="Q31" s="257"/>
      <c r="R31" s="229"/>
      <c r="S31" s="6">
        <v>-13</v>
      </c>
      <c r="T31" s="7" t="str">
        <f>IF('Протокол 5ф'!F16="","",IF(E56=B57,B55,IF(E56=B55,B57)))</f>
        <v/>
      </c>
      <c r="U31" s="217" t="str">
        <f>IF(T31="",T31,VLOOKUP(T31,'Списки участников'!A:L,12,FALSE))</f>
        <v/>
      </c>
      <c r="V31" s="17"/>
      <c r="W31" s="17"/>
      <c r="X31" s="302"/>
      <c r="Y31" s="230">
        <v>46</v>
      </c>
      <c r="Z31" s="28" t="str">
        <f>IF('Протокол 5ф'!F49="","",'Протокол 5ф'!F49)</f>
        <v/>
      </c>
      <c r="AA31" s="217" t="str">
        <f>IF(Z31="",Z31,VLOOKUP(Z31,'Списки участников'!A:L,12,FALSE))</f>
        <v/>
      </c>
      <c r="AB31" s="43"/>
      <c r="AC31" s="43"/>
      <c r="AD31" s="1276"/>
      <c r="AE31" s="1277" t="s">
        <v>65</v>
      </c>
      <c r="AF31" s="55" t="str">
        <f>IF('Протокол 5ф'!F58="","",'Протокол 5ф'!F58)</f>
        <v/>
      </c>
      <c r="AG31" s="236" t="str">
        <f>IF(AF31="",AF31,VLOOKUP(AF31,'Списки участников'!A:L,12,FALSE))</f>
        <v/>
      </c>
      <c r="AH31" s="41"/>
      <c r="AI31" s="14"/>
      <c r="AJ31" s="14"/>
      <c r="AK31" s="15"/>
      <c r="AL31" s="16"/>
      <c r="AM31" s="50" t="str">
        <f>IF(AL32="",AL32,VLOOKUP(AL32,'Списки участников'!A:L,6,FALSE))</f>
        <v/>
      </c>
      <c r="AN31" s="10"/>
      <c r="AO31" s="10"/>
      <c r="AP31" s="10"/>
      <c r="AQ31" s="69">
        <v>-74</v>
      </c>
      <c r="AR31" s="25" t="str">
        <f>IF(AR17="","",IF(AR17=AO16,AO18,IF(AR17=AO18,AO16)))</f>
        <v/>
      </c>
      <c r="AS31" s="220" t="str">
        <f>IF(AR31="",AR31,VLOOKUP(AR31,'Списки участников'!A:L,12,FALSE))</f>
        <v/>
      </c>
      <c r="AT31" s="46"/>
      <c r="AU31" s="10"/>
      <c r="AV31" s="203">
        <f>'Протокол 5ф'!R83</f>
        <v>0</v>
      </c>
      <c r="AW31" s="71"/>
      <c r="AX31" s="9"/>
      <c r="AY31" s="888" t="str">
        <f>CONCATENATE(M4+21," ","место")</f>
        <v>33 место</v>
      </c>
      <c r="AZ31" s="10"/>
      <c r="BA31" s="10"/>
      <c r="BB31" s="10"/>
      <c r="BC31" s="11"/>
      <c r="BD31" s="10"/>
      <c r="BE31" s="9"/>
    </row>
    <row r="32" spans="1:57" ht="11.45" customHeight="1" x14ac:dyDescent="0.2">
      <c r="A32" s="231"/>
      <c r="B32" s="231"/>
      <c r="C32" s="302"/>
      <c r="D32" s="232">
        <v>7</v>
      </c>
      <c r="E32" s="294">
        <f>'Протокол 5ф'!F10</f>
        <v>0</v>
      </c>
      <c r="F32" s="224">
        <f>IF('Протокол 5ф'!F10="",E32,VLOOKUP(E32,'Списки участников'!A:L,12,FALSE))</f>
        <v>0</v>
      </c>
      <c r="G32" s="234"/>
      <c r="H32" s="234"/>
      <c r="I32" s="257"/>
      <c r="J32" s="258"/>
      <c r="K32" s="257"/>
      <c r="L32" s="245"/>
      <c r="M32" s="245"/>
      <c r="N32" s="245"/>
      <c r="O32" s="245"/>
      <c r="P32" s="258"/>
      <c r="Q32" s="257"/>
      <c r="R32" s="229"/>
      <c r="S32" s="17"/>
      <c r="T32" s="17"/>
      <c r="U32" s="302"/>
      <c r="V32" s="38" t="s">
        <v>45</v>
      </c>
      <c r="W32" s="35" t="str">
        <f>IF('Протокол 5ф'!F41="","",'Протокол 5ф'!F41)</f>
        <v/>
      </c>
      <c r="X32" s="236" t="str">
        <f>IF(W32="",W32,VLOOKUP(W32,'Списки участников'!A:L,12,FALSE))</f>
        <v/>
      </c>
      <c r="Y32" s="36"/>
      <c r="Z32" s="37"/>
      <c r="AA32" s="39" t="str">
        <f>'Протокол 5ф'!R49</f>
        <v/>
      </c>
      <c r="AB32" s="38"/>
      <c r="AC32" s="43"/>
      <c r="AD32" s="1276"/>
      <c r="AE32" s="1277"/>
      <c r="AF32" s="14"/>
      <c r="AG32" s="9" t="str">
        <f>'Протокол 5ф'!R58</f>
        <v/>
      </c>
      <c r="AH32" s="14"/>
      <c r="AI32" s="14"/>
      <c r="AJ32" s="14"/>
      <c r="AK32" s="59">
        <v>-60</v>
      </c>
      <c r="AL32" s="72" t="str">
        <f>IF(AL16="","",IF(AL16=AL8,AL24,IF(AL16=AL24,AL8)))</f>
        <v/>
      </c>
      <c r="AM32" s="281" t="str">
        <f>IF(AL32="",AL32,VLOOKUP(AL32,'Списки участников'!A:L,12,FALSE))</f>
        <v/>
      </c>
      <c r="AN32" s="10"/>
      <c r="AO32" s="10"/>
      <c r="AP32" s="10"/>
      <c r="AQ32" s="9"/>
      <c r="AR32" s="10"/>
      <c r="AS32" s="10"/>
      <c r="AT32" s="11"/>
      <c r="AU32" s="10"/>
      <c r="AV32" s="10"/>
      <c r="AW32" s="11"/>
      <c r="AX32" s="10"/>
      <c r="AY32" s="50" t="str">
        <f>IF(AX33="",AX33,VLOOKUP(AX33,'Списки участников'!A:L,6,FALSE))</f>
        <v/>
      </c>
      <c r="AZ32" s="10"/>
      <c r="BA32" s="10"/>
      <c r="BB32" s="10"/>
      <c r="BC32" s="11"/>
      <c r="BD32" s="10"/>
      <c r="BE32" s="9"/>
    </row>
    <row r="33" spans="1:57" ht="11.45" customHeight="1" x14ac:dyDescent="0.2">
      <c r="A33" s="237">
        <v>14</v>
      </c>
      <c r="B33" s="238"/>
      <c r="C33" s="239">
        <f>IF(B33="",B33,VLOOKUP(B33,'Списки участников'!A:L,12,FALSE))</f>
        <v>0</v>
      </c>
      <c r="D33" s="240">
        <f>IF(B33="",B33,VLOOKUP(B33,'Списки участников'!A:L,6,FALSE))</f>
        <v>0</v>
      </c>
      <c r="E33" s="241"/>
      <c r="F33" s="292">
        <f>'Протокол 5ф'!R10</f>
        <v>0</v>
      </c>
      <c r="G33" s="243"/>
      <c r="H33" s="244"/>
      <c r="I33" s="257"/>
      <c r="J33" s="258"/>
      <c r="K33" s="257"/>
      <c r="L33" s="245"/>
      <c r="M33" s="245"/>
      <c r="N33" s="245"/>
      <c r="O33" s="245"/>
      <c r="P33" s="258"/>
      <c r="Q33" s="257"/>
      <c r="R33" s="229"/>
      <c r="S33" s="24">
        <v>-14</v>
      </c>
      <c r="T33" s="25" t="str">
        <f>IF('Протокол 5ф'!F17="","",IF(E60=B59,B61,IF(E60=B61,B59)))</f>
        <v/>
      </c>
      <c r="U33" s="236" t="str">
        <f>IF(T33="",T33,VLOOKUP(T33,'Списки участников'!A:L,12,FALSE))</f>
        <v/>
      </c>
      <c r="V33" s="41"/>
      <c r="W33" s="6"/>
      <c r="X33" s="297">
        <f>'Протокол 5ф'!R41</f>
        <v>0</v>
      </c>
      <c r="Y33" s="14"/>
      <c r="Z33" s="14"/>
      <c r="AA33" s="1276"/>
      <c r="AB33" s="1277" t="s">
        <v>61</v>
      </c>
      <c r="AC33" s="55" t="str">
        <f>IF('Протокол 5ф'!F54="","",'Протокол 5ф'!F54)</f>
        <v/>
      </c>
      <c r="AD33" s="236" t="str">
        <f>IF(AC33="",AC33,VLOOKUP(AC33,'Списки участников'!A:L,12,FALSE))</f>
        <v/>
      </c>
      <c r="AE33" s="42"/>
      <c r="AF33" s="14"/>
      <c r="AG33" s="14"/>
      <c r="AH33" s="14"/>
      <c r="AI33" s="14"/>
      <c r="AJ33" s="14"/>
      <c r="AK33" s="15"/>
      <c r="AL33" s="16"/>
      <c r="AM33" s="63"/>
      <c r="AN33" s="10"/>
      <c r="AO33" s="10"/>
      <c r="AP33" s="10"/>
      <c r="AQ33" s="9"/>
      <c r="AR33" s="10"/>
      <c r="AS33" s="10"/>
      <c r="AT33" s="11"/>
      <c r="AU33" s="10"/>
      <c r="AV33" s="10"/>
      <c r="AW33" s="61">
        <v>-81</v>
      </c>
      <c r="AX33" s="62" t="str">
        <f>IF(AX28="","",IF(AX28=AU26,AU30,IF(AX28=AU30,AU26)))</f>
        <v/>
      </c>
      <c r="AY33" s="268" t="str">
        <f>IF(AX33="",AX33,VLOOKUP(AX33,'Списки участников'!A:L,12,FALSE))</f>
        <v/>
      </c>
      <c r="AZ33" s="10"/>
      <c r="BA33" s="10"/>
      <c r="BB33" s="10"/>
      <c r="BC33" s="11"/>
      <c r="BD33" s="10"/>
      <c r="BE33" s="9"/>
    </row>
    <row r="34" spans="1:57" ht="11.45" customHeight="1" x14ac:dyDescent="0.2">
      <c r="A34" s="222"/>
      <c r="B34" s="222"/>
      <c r="C34" s="227"/>
      <c r="D34" s="247"/>
      <c r="E34" s="245"/>
      <c r="F34" s="1276"/>
      <c r="G34" s="1247" t="s">
        <v>19</v>
      </c>
      <c r="H34" s="296">
        <f>'Протокол 5ф'!F23</f>
        <v>0</v>
      </c>
      <c r="I34" s="254">
        <f>IF('Протокол 5ф'!F23="",H34,VLOOKUP(H34,'Списки участников'!A:L,12,FALSE))</f>
        <v>0</v>
      </c>
      <c r="J34" s="255"/>
      <c r="K34" s="256"/>
      <c r="L34" s="245"/>
      <c r="M34" s="245"/>
      <c r="N34" s="245"/>
      <c r="O34" s="245"/>
      <c r="P34" s="258"/>
      <c r="Q34" s="257"/>
      <c r="R34" s="229"/>
      <c r="S34" s="6"/>
      <c r="T34" s="6"/>
      <c r="U34" s="14"/>
      <c r="V34" s="6">
        <v>-17</v>
      </c>
      <c r="W34" s="7" t="str">
        <f>IF('Протокол 5ф'!F20="","",IF(H10=E8,E12,IF(H10=E12,E8)))</f>
        <v/>
      </c>
      <c r="X34" s="217" t="str">
        <f>IF(W34="",W34,VLOOKUP(W34,'Списки участников'!A:L,12,FALSE))</f>
        <v/>
      </c>
      <c r="Y34" s="6"/>
      <c r="Z34" s="6"/>
      <c r="AA34" s="1276"/>
      <c r="AB34" s="1277"/>
      <c r="AC34" s="14"/>
      <c r="AD34" s="6" t="str">
        <f>'Протокол 5ф'!R54</f>
        <v/>
      </c>
      <c r="AE34" s="14"/>
      <c r="AF34" s="14"/>
      <c r="AG34" s="14"/>
      <c r="AH34" s="14"/>
      <c r="AI34" s="14"/>
      <c r="AJ34" s="14"/>
      <c r="AK34" s="15"/>
      <c r="AL34" s="16"/>
      <c r="AM34" s="32"/>
      <c r="AN34" s="10"/>
      <c r="AO34" s="10"/>
      <c r="AP34" s="10"/>
      <c r="AQ34" s="9"/>
      <c r="AR34" s="10"/>
      <c r="AS34" s="10"/>
      <c r="AT34" s="11"/>
      <c r="AU34" s="10"/>
      <c r="AV34" s="10"/>
      <c r="AW34" s="11"/>
      <c r="AX34" s="10"/>
      <c r="AY34" s="10"/>
      <c r="AZ34" s="10"/>
      <c r="BA34" s="10"/>
      <c r="BB34" s="10"/>
      <c r="BC34" s="11"/>
      <c r="BD34" s="10"/>
      <c r="BE34" s="888" t="str">
        <f>CONCATENATE(M4+22," ","место")</f>
        <v>34 место</v>
      </c>
    </row>
    <row r="35" spans="1:57" ht="11.45" customHeight="1" x14ac:dyDescent="0.2">
      <c r="A35" s="222">
        <v>15</v>
      </c>
      <c r="B35" s="223"/>
      <c r="C35" s="250">
        <f>IF(B35="",B35,VLOOKUP(B35,'Списки участников'!A:L,12,FALSE))</f>
        <v>0</v>
      </c>
      <c r="D35" s="251">
        <f>IF(B35="",B35,VLOOKUP(B35,'Списки участников'!A:L,6,FALSE))</f>
        <v>0</v>
      </c>
      <c r="E35" s="226"/>
      <c r="F35" s="1276"/>
      <c r="G35" s="1247"/>
      <c r="H35" s="252"/>
      <c r="I35" s="245" t="str">
        <f>'Протокол 5ф'!R23</f>
        <v/>
      </c>
      <c r="J35" s="260"/>
      <c r="K35" s="260"/>
      <c r="L35" s="245"/>
      <c r="M35" s="245"/>
      <c r="N35" s="245"/>
      <c r="O35" s="245"/>
      <c r="P35" s="258"/>
      <c r="Q35" s="257"/>
      <c r="S35" s="6">
        <v>-15</v>
      </c>
      <c r="T35" s="7" t="str">
        <f>IF('Протокол 5ф'!F18="","",IF(E64=B63,B65,IF(E64=B65,B63)))</f>
        <v/>
      </c>
      <c r="U35" s="217" t="str">
        <f>IF(T35="",T35,VLOOKUP(T35,'Списки участников'!A:L,12,FALSE))</f>
        <v/>
      </c>
      <c r="V35" s="17"/>
      <c r="W35" s="17"/>
      <c r="X35" s="302"/>
      <c r="Y35" s="230">
        <v>47</v>
      </c>
      <c r="Z35" s="51" t="str">
        <f>IF('Протокол 5ф'!F50="","",'Протокол 5ф'!F50)</f>
        <v/>
      </c>
      <c r="AA35" s="236" t="str">
        <f>IF(Z35="",Z35,VLOOKUP(Z35,'Списки участников'!A:L,12,FALSE))</f>
        <v/>
      </c>
      <c r="AB35" s="41"/>
      <c r="AC35" s="14"/>
      <c r="AD35" s="14"/>
      <c r="AE35" s="14"/>
      <c r="AF35" s="14"/>
      <c r="AG35" s="14"/>
      <c r="AH35" s="14"/>
      <c r="AI35" s="14"/>
      <c r="AJ35" s="14"/>
      <c r="AK35" s="15"/>
      <c r="AL35" s="16"/>
      <c r="AM35" s="888" t="str">
        <f>CONCATENATE(M4+4," ","место")</f>
        <v>16 место</v>
      </c>
      <c r="AN35" s="10"/>
      <c r="AO35" s="10"/>
      <c r="AP35" s="10"/>
      <c r="AQ35" s="9"/>
      <c r="AR35" s="10"/>
      <c r="AS35" s="10"/>
      <c r="AT35" s="11"/>
      <c r="AU35" s="10"/>
      <c r="AV35" s="10"/>
      <c r="AW35" s="11"/>
      <c r="AX35" s="10"/>
      <c r="AY35" s="10"/>
      <c r="AZ35" s="6">
        <v>-79</v>
      </c>
      <c r="BA35" s="7" t="str">
        <f>IF(AU26="","",IF(AU26=AR25,AR27,IF(AU26=AR27,AR25)))</f>
        <v/>
      </c>
      <c r="BB35" s="8" t="str">
        <f>IF(BA35="",BA35,VLOOKUP(BA35,'Списки участников'!A:L,12,FALSE))</f>
        <v/>
      </c>
      <c r="BC35" s="73"/>
      <c r="BD35" s="8"/>
      <c r="BE35" s="50" t="str">
        <f>IF(BD36="",BD36,VLOOKUP(BD36,'Списки участников'!A:L,6,FALSE))</f>
        <v/>
      </c>
    </row>
    <row r="36" spans="1:57" ht="11.45" customHeight="1" x14ac:dyDescent="0.2">
      <c r="A36" s="231"/>
      <c r="B36" s="231"/>
      <c r="C36" s="302"/>
      <c r="D36" s="232">
        <v>8</v>
      </c>
      <c r="E36" s="294">
        <f>'Протокол 5ф'!F11</f>
        <v>0</v>
      </c>
      <c r="F36" s="254">
        <f>IF('Протокол 5ф'!F11="",E36,VLOOKUP(E36,'Списки участников'!A:L,12,FALSE))</f>
        <v>0</v>
      </c>
      <c r="G36" s="255"/>
      <c r="H36" s="256"/>
      <c r="I36" s="245"/>
      <c r="J36" s="245"/>
      <c r="K36" s="245"/>
      <c r="L36" s="245"/>
      <c r="M36" s="245"/>
      <c r="N36" s="245"/>
      <c r="O36" s="245"/>
      <c r="P36" s="258"/>
      <c r="Q36" s="257"/>
      <c r="R36" s="887" t="str">
        <f>CONCATENATE(M4," ","место")</f>
        <v>12 место</v>
      </c>
      <c r="S36" s="17"/>
      <c r="T36" s="17"/>
      <c r="U36" s="302"/>
      <c r="V36" s="38" t="s">
        <v>46</v>
      </c>
      <c r="W36" s="35" t="str">
        <f>IF('Протокол 5ф'!F42="","",'Протокол 5ф'!F42)</f>
        <v/>
      </c>
      <c r="X36" s="236" t="str">
        <f>IF(W36="",W36,VLOOKUP(W36,'Списки участников'!A:L,12,FALSE))</f>
        <v/>
      </c>
      <c r="Y36" s="36"/>
      <c r="Z36" s="32"/>
      <c r="AA36" s="6" t="str">
        <f>'Протокол 5ф'!R50</f>
        <v/>
      </c>
      <c r="AB36" s="10"/>
      <c r="AC36" s="10"/>
      <c r="AD36" s="10"/>
      <c r="AE36" s="10"/>
      <c r="AF36" s="10"/>
      <c r="AG36" s="10"/>
      <c r="AH36" s="6">
        <v>-58</v>
      </c>
      <c r="AI36" s="7" t="str">
        <f>IF(AL8="","",IF(AL8=AI5,AI11,IF(AL8=AI11,AI5)))</f>
        <v/>
      </c>
      <c r="AJ36" s="217" t="str">
        <f>IF(AI36="",AI36,VLOOKUP(AI36,'Списки участников'!A:L,12,FALSE))</f>
        <v/>
      </c>
      <c r="AK36" s="15"/>
      <c r="AL36" s="16"/>
      <c r="AM36" s="50" t="str">
        <f>IF(AL37="",AL37,VLOOKUP(AL37,'Списки участников'!A:L,6,FALSE))</f>
        <v/>
      </c>
      <c r="AN36" s="6">
        <v>-32</v>
      </c>
      <c r="AO36" s="7" t="str">
        <f>IF(W8="","",IF(W8=T7,T9,IF(W8=T9,T7)))</f>
        <v/>
      </c>
      <c r="AP36" s="8" t="str">
        <f>IF(AO36="",AO36,VLOOKUP(AO36,'Списки участников'!A:L,12,FALSE))</f>
        <v/>
      </c>
      <c r="AQ36" s="9"/>
      <c r="AR36" s="10"/>
      <c r="AS36" s="10"/>
      <c r="AT36" s="11"/>
      <c r="AU36" s="10"/>
      <c r="AV36" s="10"/>
      <c r="AW36" s="11"/>
      <c r="AX36" s="10"/>
      <c r="AY36" s="10"/>
      <c r="AZ36" s="17"/>
      <c r="BA36" s="17"/>
      <c r="BB36" s="302"/>
      <c r="BC36" s="230">
        <v>82</v>
      </c>
      <c r="BD36" s="28" t="str">
        <f>IF('Протокол 5ф'!F85="","",'Протокол 5ф'!F85)</f>
        <v/>
      </c>
      <c r="BE36" s="253" t="str">
        <f>IF(BD36="",BD36,VLOOKUP(BD36,'Списки участников'!A:L,12,FALSE))</f>
        <v/>
      </c>
    </row>
    <row r="37" spans="1:57" ht="11.45" customHeight="1" x14ac:dyDescent="0.2">
      <c r="A37" s="237">
        <v>16</v>
      </c>
      <c r="B37" s="238"/>
      <c r="C37" s="239">
        <f>IF(B37="",B37,VLOOKUP(B37,'Списки участников'!A:L,12,FALSE))</f>
        <v>0</v>
      </c>
      <c r="D37" s="240">
        <f>IF(B37="",B37,VLOOKUP(B37,'Списки участников'!A:L,6,FALSE))</f>
        <v>0</v>
      </c>
      <c r="E37" s="241"/>
      <c r="F37" s="245">
        <f>'Протокол 5ф'!R11</f>
        <v>0</v>
      </c>
      <c r="G37" s="260"/>
      <c r="H37" s="260"/>
      <c r="I37" s="245"/>
      <c r="J37" s="245"/>
      <c r="K37" s="245"/>
      <c r="L37" s="257"/>
      <c r="M37" s="257"/>
      <c r="N37" s="257"/>
      <c r="O37" s="257"/>
      <c r="P37" s="258"/>
      <c r="Q37" s="257"/>
      <c r="R37" s="270">
        <f>IF('Протокол 5ф'!F34="",Q38,VLOOKUP(Q38,'Списки участников'!A:L,6,FALSE))</f>
        <v>0</v>
      </c>
      <c r="S37" s="24">
        <v>-16</v>
      </c>
      <c r="T37" s="25" t="str">
        <f>IF('Протокол 5ф'!F19="","",IF(E68=B67,B69,IF(E68=B69,B67)))</f>
        <v/>
      </c>
      <c r="U37" s="236" t="str">
        <f>IF(T37="",T37,VLOOKUP(T37,'Списки участников'!A:L,12,FALSE))</f>
        <v/>
      </c>
      <c r="V37" s="41"/>
      <c r="W37" s="10"/>
      <c r="X37" s="6">
        <f>'Протокол 5ф'!R42</f>
        <v>0</v>
      </c>
      <c r="Y37" s="9"/>
      <c r="Z37" s="9"/>
      <c r="AA37" s="10"/>
      <c r="AB37" s="10"/>
      <c r="AC37" s="10"/>
      <c r="AD37" s="10"/>
      <c r="AE37" s="10"/>
      <c r="AF37" s="10"/>
      <c r="AG37" s="10"/>
      <c r="AH37" s="17"/>
      <c r="AI37" s="17"/>
      <c r="AJ37" s="302"/>
      <c r="AK37" s="271">
        <v>61</v>
      </c>
      <c r="AL37" s="40" t="str">
        <f>IF('Протокол 5ф'!F64="","",'Протокол 5ф'!F64)</f>
        <v/>
      </c>
      <c r="AM37" s="253" t="str">
        <f>IF(AL37="",AL37,VLOOKUP(AL37,'Списки участников'!A:L,12,FALSE))</f>
        <v/>
      </c>
      <c r="AN37" s="17"/>
      <c r="AO37" s="17"/>
      <c r="AP37" s="302"/>
      <c r="AQ37" s="218" t="s">
        <v>94</v>
      </c>
      <c r="AR37" s="18" t="str">
        <f>IF('Протокол 5ф'!F86="","",'Протокол 5ф'!F86)</f>
        <v/>
      </c>
      <c r="AS37" s="19" t="str">
        <f>IF(AR37="",AR37,VLOOKUP(AR37,'Списки участников'!A:L,12,FALSE))</f>
        <v/>
      </c>
      <c r="AT37" s="11"/>
      <c r="AU37" s="10"/>
      <c r="AV37" s="10"/>
      <c r="AW37" s="11"/>
      <c r="AX37" s="10"/>
      <c r="AY37" s="10"/>
      <c r="AZ37" s="24">
        <v>-80</v>
      </c>
      <c r="BA37" s="25" t="str">
        <f>IF(AU30="","",IF(AU30=AR29,AR31,IF(AU30=AR31,AR29)))</f>
        <v/>
      </c>
      <c r="BB37" s="220" t="str">
        <f>IF(BA37="",BA37,VLOOKUP(BA37,'Списки участников'!A:L,12,FALSE))</f>
        <v/>
      </c>
      <c r="BC37" s="65"/>
      <c r="BD37" s="74"/>
      <c r="BE37" s="272">
        <f>'Протокол 5ф'!R85</f>
        <v>0</v>
      </c>
    </row>
    <row r="38" spans="1:57" ht="11.45" customHeight="1" x14ac:dyDescent="0.2">
      <c r="A38" s="227"/>
      <c r="B38" s="227"/>
      <c r="C38" s="227"/>
      <c r="D38" s="273"/>
      <c r="E38" s="227"/>
      <c r="F38" s="227"/>
      <c r="G38" s="274"/>
      <c r="H38" s="274"/>
      <c r="I38" s="227"/>
      <c r="J38" s="227"/>
      <c r="K38" s="227"/>
      <c r="L38" s="275"/>
      <c r="M38" s="257"/>
      <c r="N38" s="257"/>
      <c r="O38" s="1276"/>
      <c r="P38" s="1247">
        <v>31</v>
      </c>
      <c r="Q38" s="298">
        <f>'Протокол 5ф'!F34</f>
        <v>0</v>
      </c>
      <c r="R38" s="276">
        <f>IF('Протокол 5ф'!F34="",Q38,VLOOKUP(Q38,'Списки участников'!A:L,12,FALSE))</f>
        <v>0</v>
      </c>
      <c r="S38" s="75"/>
      <c r="T38" s="10"/>
      <c r="U38" s="75"/>
      <c r="V38" s="75"/>
      <c r="W38" s="10"/>
      <c r="X38" s="75"/>
      <c r="Y38" s="10"/>
      <c r="Z38" s="10"/>
      <c r="AA38" s="75"/>
      <c r="AB38" s="75"/>
      <c r="AC38" s="10"/>
      <c r="AD38" s="75"/>
      <c r="AE38" s="75"/>
      <c r="AF38" s="10"/>
      <c r="AG38" s="75"/>
      <c r="AH38" s="24">
        <v>-59</v>
      </c>
      <c r="AI38" s="25" t="str">
        <f>IF(AL24="","",IF(AL24=AI21,AI27,IF(AL24=AI27,AI21)))</f>
        <v/>
      </c>
      <c r="AJ38" s="236" t="str">
        <f>IF(AI38="",AI38,VLOOKUP(AI38,'Списки участников'!A:L,12,FALSE))</f>
        <v/>
      </c>
      <c r="AK38" s="52"/>
      <c r="AL38" s="16"/>
      <c r="AM38" s="299" t="str">
        <f>'Протокол 5ф'!R64</f>
        <v/>
      </c>
      <c r="AN38" s="24">
        <v>-33</v>
      </c>
      <c r="AO38" s="25" t="str">
        <f>IF(W12="","",IF(W12=T11,T13,IF(W12=T13,T11)))</f>
        <v/>
      </c>
      <c r="AP38" s="220" t="str">
        <f>IF(AO38="",AO38,VLOOKUP(AO38,'Списки участников'!A:L,12,FALSE))</f>
        <v/>
      </c>
      <c r="AQ38" s="26"/>
      <c r="AR38" s="21"/>
      <c r="AS38" s="204">
        <f>'Протокол 5ф'!R86</f>
        <v>0</v>
      </c>
      <c r="AT38" s="27"/>
      <c r="AU38" s="10"/>
      <c r="AV38" s="10"/>
      <c r="AW38" s="11"/>
      <c r="AX38" s="10"/>
      <c r="AY38" s="10"/>
      <c r="AZ38" s="10"/>
      <c r="BA38" s="10"/>
      <c r="BB38" s="10"/>
      <c r="BC38" s="11"/>
      <c r="BD38" s="10"/>
      <c r="BE38" s="888" t="str">
        <f>CONCATENATE(M4+23," ","место")</f>
        <v>35 место</v>
      </c>
    </row>
    <row r="39" spans="1:57" ht="11.45" customHeight="1" x14ac:dyDescent="0.2">
      <c r="A39" s="222">
        <v>17</v>
      </c>
      <c r="B39" s="223"/>
      <c r="C39" s="250">
        <f>IF(B39="",B39,VLOOKUP(B39,'Списки участников'!A:L,12,FALSE))</f>
        <v>0</v>
      </c>
      <c r="D39" s="251">
        <f>IF(B39="",B39,VLOOKUP(B39,'Списки участников'!A:L,6,FALSE))</f>
        <v>0</v>
      </c>
      <c r="E39" s="226"/>
      <c r="F39" s="227"/>
      <c r="G39" s="227"/>
      <c r="H39" s="227"/>
      <c r="I39" s="227"/>
      <c r="J39" s="227"/>
      <c r="K39" s="227"/>
      <c r="L39" s="227"/>
      <c r="M39" s="227"/>
      <c r="N39" s="227"/>
      <c r="O39" s="1276"/>
      <c r="P39" s="1247"/>
      <c r="Q39" s="277"/>
      <c r="R39" s="300" t="str">
        <f>'Протокол 5ф'!R34</f>
        <v/>
      </c>
      <c r="S39" s="76"/>
      <c r="T39" s="10"/>
      <c r="U39" s="76"/>
      <c r="V39" s="76"/>
      <c r="W39" s="10"/>
      <c r="X39" s="76"/>
      <c r="Y39" s="10"/>
      <c r="Z39" s="10"/>
      <c r="AA39" s="76"/>
      <c r="AB39" s="76"/>
      <c r="AC39" s="10"/>
      <c r="AD39" s="76"/>
      <c r="AE39" s="76"/>
      <c r="AF39" s="10"/>
      <c r="AG39" s="76"/>
      <c r="AH39" s="75"/>
      <c r="AI39" s="10"/>
      <c r="AJ39" s="75"/>
      <c r="AK39" s="15"/>
      <c r="AL39" s="16"/>
      <c r="AM39" s="888" t="str">
        <f>CONCATENATE(M4+5," ","место")</f>
        <v>17 место</v>
      </c>
      <c r="AN39" s="6"/>
      <c r="AO39" s="6"/>
      <c r="AP39" s="10"/>
      <c r="AQ39" s="32"/>
      <c r="AR39" s="30"/>
      <c r="AS39" s="1276"/>
      <c r="AT39" s="1278">
        <v>87</v>
      </c>
      <c r="AU39" s="18" t="str">
        <f>IF('Протокол 5ф'!F90="","",'Протокол 5ф'!F90)</f>
        <v/>
      </c>
      <c r="AV39" s="19" t="str">
        <f>IF(AU39="",AU39,VLOOKUP(AU39,'Списки участников'!A:L,12,FALSE))</f>
        <v/>
      </c>
      <c r="AW39" s="33"/>
      <c r="AX39" s="34"/>
      <c r="AY39" s="9"/>
      <c r="AZ39" s="10"/>
      <c r="BA39" s="10"/>
      <c r="BB39" s="10"/>
      <c r="BC39" s="11"/>
      <c r="BD39" s="10"/>
      <c r="BE39" s="50" t="str">
        <f>IF(BD40="",BD40,VLOOKUP(BD40,'Списки участников'!A:L,6,FALSE))</f>
        <v/>
      </c>
    </row>
    <row r="40" spans="1:57" ht="11.45" customHeight="1" x14ac:dyDescent="0.2">
      <c r="A40" s="231"/>
      <c r="B40" s="231"/>
      <c r="C40" s="302"/>
      <c r="D40" s="232">
        <v>9</v>
      </c>
      <c r="E40" s="233">
        <f>'Протокол 5ф'!F12</f>
        <v>0</v>
      </c>
      <c r="F40" s="224">
        <f>IF('Протокол 5ф'!F12="",E40,VLOOKUP(E40,'Списки участников'!A:L,12,FALSE))</f>
        <v>0</v>
      </c>
      <c r="G40" s="234"/>
      <c r="H40" s="234"/>
      <c r="I40" s="227"/>
      <c r="J40" s="227"/>
      <c r="K40" s="227"/>
      <c r="L40" s="227"/>
      <c r="M40" s="227"/>
      <c r="N40" s="227"/>
      <c r="O40" s="227"/>
      <c r="P40" s="278"/>
      <c r="Q40" s="275"/>
      <c r="R40" s="229"/>
      <c r="S40" s="76"/>
      <c r="T40" s="10"/>
      <c r="U40" s="76"/>
      <c r="V40" s="76"/>
      <c r="W40" s="10"/>
      <c r="X40" s="76"/>
      <c r="Y40" s="10"/>
      <c r="Z40" s="10"/>
      <c r="AA40" s="76"/>
      <c r="AB40" s="76"/>
      <c r="AC40" s="10"/>
      <c r="AD40" s="76"/>
      <c r="AE40" s="76"/>
      <c r="AF40" s="10"/>
      <c r="AG40" s="76"/>
      <c r="AH40" s="76"/>
      <c r="AI40" s="10"/>
      <c r="AJ40" s="76"/>
      <c r="AK40" s="15"/>
      <c r="AL40" s="16"/>
      <c r="AM40" s="50" t="str">
        <f>IF(AL41="",AL41,VLOOKUP(AL41,'Списки участников'!A:L,6,FALSE))</f>
        <v/>
      </c>
      <c r="AN40" s="6">
        <v>-34</v>
      </c>
      <c r="AO40" s="7" t="str">
        <f>IF(W16="","",IF(W16=T15,T17,IF(W16=T17,T15)))</f>
        <v/>
      </c>
      <c r="AP40" s="8" t="str">
        <f>IF(AO40="",AO40,VLOOKUP(AO40,'Списки участников'!A:L,12,FALSE))</f>
        <v/>
      </c>
      <c r="AQ40" s="32"/>
      <c r="AR40" s="30"/>
      <c r="AS40" s="1276"/>
      <c r="AT40" s="1278"/>
      <c r="AU40" s="21"/>
      <c r="AV40" s="272">
        <f>'Протокол 5ф'!R90</f>
        <v>0</v>
      </c>
      <c r="AW40" s="27"/>
      <c r="AX40" s="32"/>
      <c r="AZ40" s="10"/>
      <c r="BA40" s="10"/>
      <c r="BB40" s="10"/>
      <c r="BC40" s="61">
        <v>-82</v>
      </c>
      <c r="BD40" s="62" t="str">
        <f>IF(BD36="","",IF(BD36=BA35,BA37,IF(BD36=BA37,BA35)))</f>
        <v/>
      </c>
      <c r="BE40" s="268" t="str">
        <f>IF(BD40="",BD40,VLOOKUP(BD40,'Списки участников'!A:L,12,FALSE))</f>
        <v/>
      </c>
    </row>
    <row r="41" spans="1:57" ht="11.45" customHeight="1" x14ac:dyDescent="0.2">
      <c r="A41" s="237">
        <v>18</v>
      </c>
      <c r="B41" s="238"/>
      <c r="C41" s="239">
        <f>IF(B41="",B41,VLOOKUP(B41,'Списки участников'!A:L,12,FALSE))</f>
        <v>0</v>
      </c>
      <c r="D41" s="240">
        <f>IF(B41="",B41,VLOOKUP(B41,'Списки участников'!A:L,6,FALSE))</f>
        <v>0</v>
      </c>
      <c r="E41" s="241"/>
      <c r="F41" s="292">
        <f>'Протокол 5ф'!R12</f>
        <v>0</v>
      </c>
      <c r="G41" s="243"/>
      <c r="H41" s="244"/>
      <c r="I41" s="245"/>
      <c r="J41" s="245"/>
      <c r="K41" s="245"/>
      <c r="L41" s="245"/>
      <c r="M41" s="245"/>
      <c r="N41" s="245"/>
      <c r="O41" s="245"/>
      <c r="P41" s="258"/>
      <c r="Q41" s="257"/>
      <c r="R41" s="229"/>
      <c r="S41" s="76"/>
      <c r="T41" s="10"/>
      <c r="U41" s="76"/>
      <c r="V41" s="76"/>
      <c r="W41" s="10"/>
      <c r="X41" s="76"/>
      <c r="Y41" s="10"/>
      <c r="Z41" s="10"/>
      <c r="AA41" s="76"/>
      <c r="AB41" s="76"/>
      <c r="AC41" s="10"/>
      <c r="AD41" s="76"/>
      <c r="AE41" s="76"/>
      <c r="AF41" s="10"/>
      <c r="AG41" s="76"/>
      <c r="AH41" s="76"/>
      <c r="AI41" s="10"/>
      <c r="AJ41" s="76"/>
      <c r="AK41" s="59">
        <v>-61</v>
      </c>
      <c r="AL41" s="72" t="str">
        <f>IF(AL37="","",IF(AL37=AI36,AI38,IF(AL37=AI38,AI36)))</f>
        <v/>
      </c>
      <c r="AM41" s="268" t="str">
        <f>IF(AL41="",AL41,VLOOKUP(AL41,'Списки участников'!A:L,12,FALSE))</f>
        <v/>
      </c>
      <c r="AN41" s="17"/>
      <c r="AO41" s="17"/>
      <c r="AP41" s="302"/>
      <c r="AQ41" s="218" t="s">
        <v>95</v>
      </c>
      <c r="AR41" s="45" t="str">
        <f>IF('Протокол 5ф'!F87="","",'Протокол 5ф'!F87)</f>
        <v/>
      </c>
      <c r="AS41" s="246" t="str">
        <f>IF(AR41="",AR41,VLOOKUP(AR41,'Списки участников'!A:L,12,FALSE))</f>
        <v/>
      </c>
      <c r="AT41" s="46"/>
      <c r="AU41" s="30"/>
      <c r="AV41" s="279"/>
      <c r="AW41" s="47"/>
      <c r="AX41" s="30"/>
      <c r="AY41" s="888" t="str">
        <f>CONCATENATE(M4+24," ","место")</f>
        <v>36 место</v>
      </c>
      <c r="AZ41" s="10"/>
      <c r="BA41" s="10"/>
      <c r="BB41" s="10"/>
      <c r="BC41" s="11"/>
      <c r="BD41" s="10"/>
      <c r="BE41" s="10"/>
    </row>
    <row r="42" spans="1:57" ht="11.45" customHeight="1" x14ac:dyDescent="0.2">
      <c r="A42" s="222"/>
      <c r="B42" s="222"/>
      <c r="C42" s="227"/>
      <c r="D42" s="247"/>
      <c r="E42" s="245"/>
      <c r="F42" s="1276"/>
      <c r="G42" s="1247" t="s">
        <v>36</v>
      </c>
      <c r="H42" s="249">
        <f>'Протокол 5ф'!F24</f>
        <v>0</v>
      </c>
      <c r="I42" s="224">
        <f>IF('Протокол 5ф'!F24="",H42,VLOOKUP(H42,'Списки участников'!A:L,12,FALSE))</f>
        <v>0</v>
      </c>
      <c r="J42" s="234"/>
      <c r="K42" s="234"/>
      <c r="L42" s="245"/>
      <c r="M42" s="245"/>
      <c r="N42" s="245"/>
      <c r="O42" s="245"/>
      <c r="P42" s="258"/>
      <c r="Q42" s="257"/>
      <c r="R42" s="229"/>
      <c r="S42" s="76"/>
      <c r="T42" s="10"/>
      <c r="U42" s="76"/>
      <c r="V42" s="76"/>
      <c r="W42" s="10"/>
      <c r="X42" s="76"/>
      <c r="Y42" s="10"/>
      <c r="Z42" s="10"/>
      <c r="AA42" s="76"/>
      <c r="AB42" s="76"/>
      <c r="AC42" s="10"/>
      <c r="AD42" s="76"/>
      <c r="AE42" s="76"/>
      <c r="AF42" s="10"/>
      <c r="AG42" s="76"/>
      <c r="AH42" s="14"/>
      <c r="AI42" s="14"/>
      <c r="AJ42" s="14"/>
      <c r="AK42" s="15"/>
      <c r="AL42" s="16"/>
      <c r="AM42" s="14"/>
      <c r="AN42" s="24">
        <v>-35</v>
      </c>
      <c r="AO42" s="25" t="str">
        <f>IF(W20="","",IF(W20=T19,T21,IF(W20=T21,T19)))</f>
        <v/>
      </c>
      <c r="AP42" s="220" t="str">
        <f>IF(AO42="",AO42,VLOOKUP(AO42,'Списки участников'!A:L,12,FALSE))</f>
        <v/>
      </c>
      <c r="AQ42" s="26"/>
      <c r="AR42" s="10"/>
      <c r="AS42" s="203">
        <f>'Протокол 5ф'!R87</f>
        <v>0</v>
      </c>
      <c r="AT42" s="49"/>
      <c r="AU42" s="30"/>
      <c r="AV42" s="30"/>
      <c r="AW42" s="47"/>
      <c r="AX42" s="30"/>
      <c r="AY42" s="50" t="str">
        <f>IF(AX43="",AX43,VLOOKUP(AX43,'Списки участников'!A:L,6,FALSE))</f>
        <v/>
      </c>
      <c r="AZ42" s="10"/>
      <c r="BA42" s="10"/>
      <c r="BB42" s="10"/>
      <c r="BC42" s="11"/>
      <c r="BD42" s="10"/>
      <c r="BE42" s="10"/>
    </row>
    <row r="43" spans="1:57" ht="11.45" customHeight="1" x14ac:dyDescent="0.2">
      <c r="A43" s="222">
        <v>19</v>
      </c>
      <c r="B43" s="223"/>
      <c r="C43" s="250">
        <f>IF(B43="",B43,VLOOKUP(B43,'Списки участников'!A:L,12,FALSE))</f>
        <v>0</v>
      </c>
      <c r="D43" s="251">
        <f>IF(B43="",B43,VLOOKUP(B43,'Списки участников'!A:L,6,FALSE))</f>
        <v>0</v>
      </c>
      <c r="E43" s="226"/>
      <c r="F43" s="1276"/>
      <c r="G43" s="1247"/>
      <c r="H43" s="252"/>
      <c r="I43" s="292" t="str">
        <f>'Протокол 5ф'!R24</f>
        <v/>
      </c>
      <c r="J43" s="243"/>
      <c r="K43" s="244"/>
      <c r="L43" s="245"/>
      <c r="M43" s="245"/>
      <c r="N43" s="245"/>
      <c r="O43" s="245"/>
      <c r="P43" s="258"/>
      <c r="Q43" s="257"/>
      <c r="R43" s="229"/>
      <c r="S43" s="76"/>
      <c r="T43" s="10"/>
      <c r="U43" s="4"/>
      <c r="V43" s="76"/>
      <c r="W43" s="10"/>
      <c r="X43" s="4"/>
      <c r="Y43" s="10"/>
      <c r="Z43" s="10"/>
      <c r="AA43" s="76"/>
      <c r="AB43" s="76"/>
      <c r="AC43" s="10"/>
      <c r="AD43" s="76"/>
      <c r="AE43" s="76"/>
      <c r="AF43" s="10"/>
      <c r="AG43" s="76"/>
      <c r="AH43" s="14"/>
      <c r="AI43" s="14"/>
      <c r="AJ43" s="14"/>
      <c r="AK43" s="15"/>
      <c r="AL43" s="16"/>
      <c r="AM43" s="888" t="str">
        <f>CONCATENATE(M4+6," ","место")</f>
        <v>18 место</v>
      </c>
      <c r="AN43" s="6"/>
      <c r="AO43" s="6"/>
      <c r="AP43" s="10"/>
      <c r="AQ43" s="9"/>
      <c r="AR43" s="10"/>
      <c r="AS43" s="10"/>
      <c r="AT43" s="49"/>
      <c r="AU43" s="30"/>
      <c r="AV43" s="1276"/>
      <c r="AW43" s="1278">
        <v>89</v>
      </c>
      <c r="AX43" s="53" t="str">
        <f>IF('Протокол 5ф'!F92="","",'Протокол 5ф'!F92)</f>
        <v/>
      </c>
      <c r="AY43" s="253" t="str">
        <f>IF(AX43="",AX43,VLOOKUP(AX43,'Списки участников'!A:L,12,FALSE))</f>
        <v/>
      </c>
      <c r="AZ43" s="10"/>
      <c r="BA43" s="10"/>
      <c r="BB43" s="10"/>
      <c r="BC43" s="11"/>
      <c r="BD43" s="10"/>
      <c r="BE43" s="10"/>
    </row>
    <row r="44" spans="1:57" ht="11.45" customHeight="1" x14ac:dyDescent="0.2">
      <c r="A44" s="231"/>
      <c r="B44" s="231"/>
      <c r="C44" s="302"/>
      <c r="D44" s="232">
        <v>10</v>
      </c>
      <c r="E44" s="233">
        <f>'Протокол 5ф'!F13</f>
        <v>0</v>
      </c>
      <c r="F44" s="254">
        <f>IF('Протокол 5ф'!F13="",E44,VLOOKUP(E44,'Списки участников'!A:L,12,FALSE))</f>
        <v>0</v>
      </c>
      <c r="G44" s="255"/>
      <c r="H44" s="256"/>
      <c r="I44" s="257"/>
      <c r="J44" s="258"/>
      <c r="K44" s="257"/>
      <c r="L44" s="245"/>
      <c r="M44" s="245"/>
      <c r="N44" s="245"/>
      <c r="O44" s="245"/>
      <c r="P44" s="258"/>
      <c r="Q44" s="257"/>
      <c r="R44" s="229"/>
      <c r="S44" s="76"/>
      <c r="T44" s="10"/>
      <c r="U44" s="76"/>
      <c r="V44" s="76"/>
      <c r="W44" s="10"/>
      <c r="X44" s="76"/>
      <c r="Y44" s="10"/>
      <c r="Z44" s="10"/>
      <c r="AA44" s="76"/>
      <c r="AB44" s="76"/>
      <c r="AC44" s="10"/>
      <c r="AD44" s="76"/>
      <c r="AE44" s="76"/>
      <c r="AF44" s="10"/>
      <c r="AG44" s="76"/>
      <c r="AH44" s="6">
        <v>-56</v>
      </c>
      <c r="AI44" s="7" t="str">
        <f>IF(AI11="","",IF(AI11=AF7,AF15,IF(AI11=AF15,AF7)))</f>
        <v/>
      </c>
      <c r="AJ44" s="217" t="str">
        <f>IF(AI44="",AI44,VLOOKUP(AI44,'Списки участников'!A:L,12,FALSE))</f>
        <v/>
      </c>
      <c r="AK44" s="15"/>
      <c r="AL44" s="16"/>
      <c r="AM44" s="50" t="str">
        <f>IF(AL45="",AL45,VLOOKUP(AL45,'Списки участников'!A:L,6,FALSE))</f>
        <v/>
      </c>
      <c r="AN44" s="6">
        <v>-36</v>
      </c>
      <c r="AO44" s="7" t="str">
        <f>IF(W24="","",IF(W24=T23,T25,IF(W24=T25,T23)))</f>
        <v/>
      </c>
      <c r="AP44" s="8" t="str">
        <f>IF(AO44="",AO44,VLOOKUP(AO44,'Списки участников'!A:L,12,FALSE))</f>
        <v/>
      </c>
      <c r="AQ44" s="9"/>
      <c r="AR44" s="10"/>
      <c r="AS44" s="10"/>
      <c r="AT44" s="49"/>
      <c r="AU44" s="30"/>
      <c r="AV44" s="1276"/>
      <c r="AW44" s="1278"/>
      <c r="AX44" s="54"/>
      <c r="AY44" s="204">
        <f>'Протокол 5ф'!R92</f>
        <v>0</v>
      </c>
      <c r="AZ44" s="10"/>
      <c r="BA44" s="10"/>
      <c r="BB44" s="10"/>
      <c r="BC44" s="11"/>
      <c r="BD44" s="10"/>
      <c r="BE44" s="10"/>
    </row>
    <row r="45" spans="1:57" ht="11.45" customHeight="1" x14ac:dyDescent="0.2">
      <c r="A45" s="237">
        <v>20</v>
      </c>
      <c r="B45" s="238"/>
      <c r="C45" s="239">
        <f>IF(B45="",B45,VLOOKUP(B45,'Списки участников'!A:L,12,FALSE))</f>
        <v>0</v>
      </c>
      <c r="D45" s="240">
        <f>IF(B45="",B45,VLOOKUP(B45,'Списки участников'!A:L,6,FALSE))</f>
        <v>0</v>
      </c>
      <c r="E45" s="241"/>
      <c r="F45" s="245">
        <f>'Протокол 5ф'!R13</f>
        <v>0</v>
      </c>
      <c r="G45" s="260"/>
      <c r="H45" s="260"/>
      <c r="I45" s="257"/>
      <c r="J45" s="258"/>
      <c r="K45" s="257"/>
      <c r="L45" s="245"/>
      <c r="M45" s="245"/>
      <c r="N45" s="245"/>
      <c r="O45" s="245"/>
      <c r="P45" s="258"/>
      <c r="Q45" s="257"/>
      <c r="R45" s="229"/>
      <c r="S45" s="76"/>
      <c r="T45" s="10"/>
      <c r="U45" s="76"/>
      <c r="V45" s="76"/>
      <c r="W45" s="10"/>
      <c r="X45" s="76"/>
      <c r="Y45" s="10"/>
      <c r="Z45" s="10"/>
      <c r="AA45" s="76"/>
      <c r="AB45" s="76"/>
      <c r="AC45" s="10"/>
      <c r="AD45" s="76"/>
      <c r="AE45" s="76"/>
      <c r="AF45" s="10"/>
      <c r="AG45" s="76"/>
      <c r="AH45" s="17"/>
      <c r="AI45" s="17"/>
      <c r="AJ45" s="302"/>
      <c r="AK45" s="271">
        <v>62</v>
      </c>
      <c r="AL45" s="40" t="str">
        <f>IF('Протокол 5ф'!F65="","",'Протокол 5ф'!F65)</f>
        <v/>
      </c>
      <c r="AM45" s="253" t="str">
        <f>IF(AL45="",AL45,VLOOKUP(AL45,'Списки участников'!A:L,12,FALSE))</f>
        <v/>
      </c>
      <c r="AN45" s="17"/>
      <c r="AO45" s="17"/>
      <c r="AP45" s="302"/>
      <c r="AQ45" s="218" t="s">
        <v>96</v>
      </c>
      <c r="AR45" s="18" t="str">
        <f>IF('Протокол 5ф'!F88="","",'Протокол 5ф'!F88)</f>
        <v/>
      </c>
      <c r="AS45" s="19" t="str">
        <f>IF(AR45="",AR45,VLOOKUP(AR45,'Списки участников'!A:L,12,FALSE))</f>
        <v/>
      </c>
      <c r="AT45" s="49"/>
      <c r="AU45" s="30"/>
      <c r="AV45" s="30"/>
      <c r="AW45" s="47"/>
      <c r="AX45" s="30"/>
      <c r="AY45" s="9"/>
      <c r="AZ45" s="10"/>
      <c r="BA45" s="10"/>
      <c r="BB45" s="10"/>
      <c r="BC45" s="11"/>
      <c r="BD45" s="10"/>
      <c r="BE45" s="10"/>
    </row>
    <row r="46" spans="1:57" ht="11.45" customHeight="1" x14ac:dyDescent="0.2">
      <c r="A46" s="222"/>
      <c r="B46" s="222"/>
      <c r="C46" s="227"/>
      <c r="D46" s="247"/>
      <c r="E46" s="245"/>
      <c r="F46" s="245"/>
      <c r="G46" s="245"/>
      <c r="H46" s="245"/>
      <c r="I46" s="1276"/>
      <c r="J46" s="1247">
        <v>27</v>
      </c>
      <c r="K46" s="296">
        <f>'Протокол 5ф'!F30</f>
        <v>0</v>
      </c>
      <c r="L46" s="224">
        <f>IF('Протокол 5ф'!F30="",K46,VLOOKUP(K46,'Списки участников'!A:L,12,FALSE))</f>
        <v>0</v>
      </c>
      <c r="M46" s="234"/>
      <c r="N46" s="234"/>
      <c r="O46" s="245"/>
      <c r="P46" s="258"/>
      <c r="Q46" s="257"/>
      <c r="R46" s="229"/>
      <c r="S46" s="76"/>
      <c r="T46" s="10"/>
      <c r="U46" s="76"/>
      <c r="V46" s="76"/>
      <c r="W46" s="10"/>
      <c r="X46" s="76"/>
      <c r="Y46" s="10"/>
      <c r="Z46" s="10"/>
      <c r="AA46" s="76"/>
      <c r="AB46" s="76"/>
      <c r="AC46" s="10"/>
      <c r="AD46" s="76"/>
      <c r="AE46" s="76"/>
      <c r="AF46" s="10"/>
      <c r="AG46" s="76"/>
      <c r="AH46" s="24">
        <v>-57</v>
      </c>
      <c r="AI46" s="25" t="str">
        <f>IF(AI27="","",IF(AI27=AF23,AF31,IF(AI27=AF31,AF23)))</f>
        <v/>
      </c>
      <c r="AJ46" s="236" t="str">
        <f>IF(AI46="",AI46,VLOOKUP(AI46,'Списки участников'!A:L,12,FALSE))</f>
        <v/>
      </c>
      <c r="AK46" s="52"/>
      <c r="AL46" s="16"/>
      <c r="AM46" s="63" t="str">
        <f>'Протокол 5ф'!R65</f>
        <v/>
      </c>
      <c r="AN46" s="24">
        <v>-37</v>
      </c>
      <c r="AO46" s="25" t="str">
        <f>IF(W28="","",IF(W28=T27,T29,IF(W28=T29,T27)))</f>
        <v/>
      </c>
      <c r="AP46" s="220" t="str">
        <f>IF(AO46="",AO46,VLOOKUP(AO46,'Списки участников'!A:L,12,FALSE))</f>
        <v/>
      </c>
      <c r="AQ46" s="26"/>
      <c r="AR46" s="21"/>
      <c r="AS46" s="204">
        <f>'Протокол 5ф'!R88</f>
        <v>0</v>
      </c>
      <c r="AT46" s="27"/>
      <c r="AU46" s="30"/>
      <c r="AV46" s="30"/>
      <c r="AW46" s="47"/>
      <c r="AX46" s="30"/>
      <c r="AY46" s="9"/>
      <c r="AZ46" s="10"/>
      <c r="BA46" s="10"/>
      <c r="BB46" s="10"/>
      <c r="BC46" s="11"/>
      <c r="BD46" s="10"/>
      <c r="BE46" s="10"/>
    </row>
    <row r="47" spans="1:57" ht="11.45" customHeight="1" x14ac:dyDescent="0.2">
      <c r="A47" s="222">
        <v>21</v>
      </c>
      <c r="B47" s="223"/>
      <c r="C47" s="250">
        <f>IF(B47="",B47,VLOOKUP(B47,'Списки участников'!A:L,12,FALSE))</f>
        <v>0</v>
      </c>
      <c r="D47" s="251">
        <f>IF(B47="",B47,VLOOKUP(B47,'Списки участников'!A:L,6,FALSE))</f>
        <v>0</v>
      </c>
      <c r="E47" s="226"/>
      <c r="F47" s="245"/>
      <c r="G47" s="245"/>
      <c r="H47" s="245"/>
      <c r="I47" s="1276"/>
      <c r="J47" s="1247"/>
      <c r="K47" s="252"/>
      <c r="L47" s="292" t="str">
        <f>'Протокол 5ф'!R30</f>
        <v/>
      </c>
      <c r="M47" s="243"/>
      <c r="N47" s="244"/>
      <c r="O47" s="245"/>
      <c r="P47" s="258"/>
      <c r="Q47" s="257"/>
      <c r="R47" s="229"/>
      <c r="S47" s="6">
        <v>-52</v>
      </c>
      <c r="T47" s="25" t="str">
        <f>IF(AF7="","",IF(AF7=AC5,AC9,IF(AF7=AC9,AC5)))</f>
        <v/>
      </c>
      <c r="U47" s="217" t="str">
        <f>IF(T47="",T47,VLOOKUP(T47,'Списки участников'!A:L,12,FALSE))</f>
        <v/>
      </c>
      <c r="V47" s="10"/>
      <c r="W47" s="10"/>
      <c r="X47" s="10"/>
      <c r="Y47" s="10"/>
      <c r="Z47" s="10"/>
      <c r="AB47" s="10"/>
      <c r="AC47" s="10"/>
      <c r="AD47" s="10"/>
      <c r="AE47" s="10"/>
      <c r="AF47" s="10"/>
      <c r="AG47" s="10"/>
      <c r="AH47" s="10"/>
      <c r="AI47" s="10"/>
      <c r="AJ47" s="10"/>
      <c r="AK47" s="15"/>
      <c r="AL47" s="16"/>
      <c r="AM47" s="888" t="str">
        <f>CONCATENATE(M4+7," ","место")</f>
        <v>19 место</v>
      </c>
      <c r="AN47" s="6"/>
      <c r="AO47" s="6"/>
      <c r="AP47" s="10"/>
      <c r="AQ47" s="32"/>
      <c r="AR47" s="30"/>
      <c r="AS47" s="1276"/>
      <c r="AT47" s="1278">
        <v>88</v>
      </c>
      <c r="AU47" s="45" t="str">
        <f>IF('Протокол 5ф'!F91="","",'Протокол 5ф'!F91)</f>
        <v/>
      </c>
      <c r="AV47" s="246" t="str">
        <f>IF(AU47="",AU47,VLOOKUP(AU47,'Списки участников'!A:L,12,FALSE))</f>
        <v/>
      </c>
      <c r="AW47" s="57"/>
      <c r="AX47" s="58"/>
      <c r="AY47" s="9"/>
      <c r="AZ47" s="10"/>
      <c r="BA47" s="10"/>
      <c r="BB47" s="10"/>
      <c r="BC47" s="11"/>
      <c r="BD47" s="10"/>
      <c r="BE47" s="10"/>
    </row>
    <row r="48" spans="1:57" ht="11.45" customHeight="1" x14ac:dyDescent="0.2">
      <c r="A48" s="231"/>
      <c r="B48" s="231"/>
      <c r="C48" s="302"/>
      <c r="D48" s="232">
        <v>11</v>
      </c>
      <c r="E48" s="294">
        <f>'Протокол 5ф'!F14</f>
        <v>0</v>
      </c>
      <c r="F48" s="224">
        <f>IF('Протокол 5ф'!F14="",E48,VLOOKUP(E48,'Списки участников'!A:L,12,FALSE))</f>
        <v>0</v>
      </c>
      <c r="G48" s="234"/>
      <c r="H48" s="234"/>
      <c r="I48" s="257"/>
      <c r="J48" s="258"/>
      <c r="K48" s="257"/>
      <c r="L48" s="257"/>
      <c r="M48" s="258"/>
      <c r="N48" s="257"/>
      <c r="O48" s="245"/>
      <c r="P48" s="258"/>
      <c r="Q48" s="257"/>
      <c r="R48" s="229"/>
      <c r="S48" s="17"/>
      <c r="T48" s="17"/>
      <c r="U48" s="302"/>
      <c r="V48" s="38" t="s">
        <v>68</v>
      </c>
      <c r="W48" s="18" t="str">
        <f>IF('Протокол 5ф'!F66="","",'Протокол 5ф'!F66)</f>
        <v/>
      </c>
      <c r="X48" s="217" t="str">
        <f>IF(W48="",W48,VLOOKUP(W48,'Списки участников'!A:L,12,FALSE))</f>
        <v/>
      </c>
      <c r="Y48" s="10"/>
      <c r="Z48" s="10"/>
      <c r="AA48" s="888" t="str">
        <f>CONCATENATE(M4+8," ","место")</f>
        <v>20 место</v>
      </c>
      <c r="AB48" s="10"/>
      <c r="AC48" s="10"/>
      <c r="AD48" s="10"/>
      <c r="AE48" s="10"/>
      <c r="AF48" s="10"/>
      <c r="AG48" s="10"/>
      <c r="AH48" s="10"/>
      <c r="AI48" s="10"/>
      <c r="AJ48" s="10"/>
      <c r="AK48" s="15"/>
      <c r="AL48" s="16"/>
      <c r="AM48" s="50" t="str">
        <f>IF(AL49="",AL49,VLOOKUP(AL49,'Списки участников'!A:L,6,FALSE))</f>
        <v/>
      </c>
      <c r="AN48" s="6">
        <v>-38</v>
      </c>
      <c r="AO48" s="7" t="str">
        <f>IF(W32="","",IF(W32=T31,T33,IF(W32=T33,T31)))</f>
        <v/>
      </c>
      <c r="AP48" s="8" t="str">
        <f>IF(AO48="",AO48,VLOOKUP(AO48,'Списки участников'!A:L,12,FALSE))</f>
        <v/>
      </c>
      <c r="AQ48" s="32"/>
      <c r="AR48" s="30"/>
      <c r="AS48" s="1276"/>
      <c r="AT48" s="1278"/>
      <c r="AU48" s="10"/>
      <c r="AV48" s="262">
        <f>'Протокол 5ф'!R91</f>
        <v>0</v>
      </c>
      <c r="AW48" s="11"/>
      <c r="AX48" s="10"/>
      <c r="AY48" s="888" t="str">
        <f>CONCATENATE(M4+25," ","место")</f>
        <v>37 место</v>
      </c>
      <c r="AZ48" s="10"/>
      <c r="BA48" s="10"/>
      <c r="BB48" s="10"/>
      <c r="BC48" s="11"/>
      <c r="BD48" s="10"/>
      <c r="BE48" s="10"/>
    </row>
    <row r="49" spans="1:57" ht="11.45" customHeight="1" x14ac:dyDescent="0.2">
      <c r="A49" s="237">
        <v>22</v>
      </c>
      <c r="B49" s="238"/>
      <c r="C49" s="239">
        <f>IF(B49="",B49,VLOOKUP(B49,'Списки участников'!A:L,12,FALSE))</f>
        <v>0</v>
      </c>
      <c r="D49" s="240">
        <f>IF(B49="",B49,VLOOKUP(B49,'Списки участников'!A:L,6,FALSE))</f>
        <v>0</v>
      </c>
      <c r="E49" s="241"/>
      <c r="F49" s="292">
        <f>'Протокол 5ф'!R14</f>
        <v>0</v>
      </c>
      <c r="G49" s="243"/>
      <c r="H49" s="244"/>
      <c r="I49" s="257"/>
      <c r="J49" s="258"/>
      <c r="K49" s="257"/>
      <c r="L49" s="257"/>
      <c r="M49" s="258"/>
      <c r="N49" s="257"/>
      <c r="O49" s="245"/>
      <c r="P49" s="258"/>
      <c r="Q49" s="257"/>
      <c r="R49" s="229"/>
      <c r="S49" s="24">
        <v>-53</v>
      </c>
      <c r="T49" s="25" t="str">
        <f>IF(AF15="","",IF(AF15=AC13,AC17,IF(AF15=AC17,AC13)))</f>
        <v/>
      </c>
      <c r="U49" s="236" t="str">
        <f>IF(T49="",T49,VLOOKUP(T49,'Списки участников'!A:L,12,FALSE))</f>
        <v/>
      </c>
      <c r="V49" s="41"/>
      <c r="W49" s="21"/>
      <c r="X49" s="21" t="str">
        <f>'Протокол 5ф'!R66</f>
        <v/>
      </c>
      <c r="Y49" s="22"/>
      <c r="Z49" s="30"/>
      <c r="AA49" s="50" t="str">
        <f>IF(Z50="",Z50,VLOOKUP(Z50,'Списки участников'!A:L,6,FALSE))</f>
        <v/>
      </c>
      <c r="AB49" s="10"/>
      <c r="AC49" s="10"/>
      <c r="AD49" s="10"/>
      <c r="AE49" s="10"/>
      <c r="AF49" s="10"/>
      <c r="AG49" s="10"/>
      <c r="AH49" s="10"/>
      <c r="AI49" s="10"/>
      <c r="AJ49" s="10"/>
      <c r="AK49" s="59">
        <v>-62</v>
      </c>
      <c r="AL49" s="72" t="str">
        <f>IF(AL45="","",IF(AL45=AI44,AI46,IF(AL45=AI46,AI44)))</f>
        <v/>
      </c>
      <c r="AM49" s="282" t="str">
        <f>IF(AL49="",AL49,VLOOKUP(AL49,'Списки участников'!A:L,12,FALSE))</f>
        <v/>
      </c>
      <c r="AN49" s="17"/>
      <c r="AO49" s="17"/>
      <c r="AP49" s="302"/>
      <c r="AQ49" s="218" t="s">
        <v>97</v>
      </c>
      <c r="AR49" s="45" t="str">
        <f>IF('Протокол 5ф'!F89="","",'Протокол 5ф'!F89)</f>
        <v/>
      </c>
      <c r="AS49" s="246" t="str">
        <f>IF(AR49="",AR49,VLOOKUP(AR49,'Списки участников'!A:L,12,FALSE))</f>
        <v/>
      </c>
      <c r="AT49" s="46"/>
      <c r="AU49" s="10"/>
      <c r="AV49" s="10"/>
      <c r="AW49" s="11"/>
      <c r="AX49" s="10"/>
      <c r="AY49" s="50" t="str">
        <f>IF(AX50="",AX50,VLOOKUP(AX50,'Списки участников'!A:L,6,FALSE))</f>
        <v/>
      </c>
      <c r="AZ49" s="10"/>
      <c r="BA49" s="10"/>
      <c r="BB49" s="10"/>
      <c r="BC49" s="11"/>
      <c r="BD49" s="10"/>
      <c r="BE49" s="10"/>
    </row>
    <row r="50" spans="1:57" ht="11.45" customHeight="1" x14ac:dyDescent="0.2">
      <c r="A50" s="222"/>
      <c r="B50" s="222"/>
      <c r="C50" s="227"/>
      <c r="D50" s="280"/>
      <c r="E50" s="226"/>
      <c r="F50" s="1276"/>
      <c r="G50" s="1247" t="s">
        <v>27</v>
      </c>
      <c r="H50" s="296">
        <f>'Протокол 5ф'!F25</f>
        <v>0</v>
      </c>
      <c r="I50" s="254">
        <f>IF('Протокол 5ф'!F25="",H50,VLOOKUP(H50,'Списки участников'!A:L,12,FALSE))</f>
        <v>0</v>
      </c>
      <c r="J50" s="255"/>
      <c r="K50" s="256"/>
      <c r="L50" s="257"/>
      <c r="M50" s="258"/>
      <c r="N50" s="257"/>
      <c r="O50" s="245"/>
      <c r="P50" s="258"/>
      <c r="Q50" s="257"/>
      <c r="R50" s="229"/>
      <c r="S50" s="6"/>
      <c r="T50" s="6"/>
      <c r="U50" s="10"/>
      <c r="V50" s="30"/>
      <c r="W50" s="30"/>
      <c r="X50" s="1276"/>
      <c r="Y50" s="1278">
        <v>65</v>
      </c>
      <c r="Z50" s="53" t="str">
        <f>IF('Протокол 5ф'!F68="","",'Протокол 5ф'!F68)</f>
        <v/>
      </c>
      <c r="AA50" s="281" t="str">
        <f>IF(Z50="",Z50,VLOOKUP(Z50,'Списки участников'!A:L,12,FALSE))</f>
        <v/>
      </c>
      <c r="AB50" s="10"/>
      <c r="AC50" s="10"/>
      <c r="AD50" s="10"/>
      <c r="AE50" s="10"/>
      <c r="AF50" s="10"/>
      <c r="AG50" s="4"/>
      <c r="AH50" s="10"/>
      <c r="AI50" s="10"/>
      <c r="AJ50" s="10"/>
      <c r="AK50" s="15"/>
      <c r="AL50" s="16"/>
      <c r="AM50" s="77"/>
      <c r="AN50" s="24">
        <v>-39</v>
      </c>
      <c r="AO50" s="25" t="str">
        <f>IF(W36="","",IF(W36=T35,T37,IF(W36=T37,T35)))</f>
        <v/>
      </c>
      <c r="AP50" s="220" t="str">
        <f>IF(AO50="",AO50,VLOOKUP(AO50,'Списки участников'!A:L,12,FALSE))</f>
        <v/>
      </c>
      <c r="AQ50" s="26"/>
      <c r="AR50" s="10"/>
      <c r="AS50" s="204">
        <f>'Протокол 5ф'!R89</f>
        <v>0</v>
      </c>
      <c r="AT50" s="11"/>
      <c r="AU50" s="10"/>
      <c r="AV50" s="10"/>
      <c r="AW50" s="61">
        <v>-89</v>
      </c>
      <c r="AX50" s="62" t="str">
        <f>IF(AX43="","",IF(AX43=AU39,AU47,IF(AX43=AU47,AU39)))</f>
        <v/>
      </c>
      <c r="AY50" s="281" t="str">
        <f>IF(AX50="",AX50,VLOOKUP(AX50,'Списки участников'!A:L,12,FALSE))</f>
        <v/>
      </c>
      <c r="AZ50" s="10"/>
      <c r="BA50" s="10"/>
      <c r="BB50" s="10"/>
      <c r="BC50" s="11"/>
      <c r="BD50" s="10"/>
      <c r="BE50" s="10"/>
    </row>
    <row r="51" spans="1:57" ht="11.45" customHeight="1" x14ac:dyDescent="0.2">
      <c r="A51" s="222">
        <v>23</v>
      </c>
      <c r="B51" s="223"/>
      <c r="C51" s="250">
        <f>IF(B51="",B51,VLOOKUP(B51,'Списки участников'!A:L,12,FALSE))</f>
        <v>0</v>
      </c>
      <c r="D51" s="251">
        <f>IF(B51="",B51,VLOOKUP(B51,'Списки участников'!A:L,6,FALSE))</f>
        <v>0</v>
      </c>
      <c r="E51" s="226"/>
      <c r="F51" s="1276"/>
      <c r="G51" s="1247"/>
      <c r="H51" s="252"/>
      <c r="I51" s="245" t="str">
        <f>'Протокол 5ф'!R25</f>
        <v/>
      </c>
      <c r="J51" s="260"/>
      <c r="K51" s="260"/>
      <c r="L51" s="257"/>
      <c r="M51" s="258"/>
      <c r="N51" s="257"/>
      <c r="O51" s="245"/>
      <c r="P51" s="258"/>
      <c r="Q51" s="257"/>
      <c r="R51" s="229"/>
      <c r="S51" s="6">
        <v>-54</v>
      </c>
      <c r="T51" s="7" t="str">
        <f>IF(AF23="","",IF(AF23=AC21,AC25,IF(AF23=AC25,AC21)))</f>
        <v/>
      </c>
      <c r="U51" s="217" t="str">
        <f>IF(T51="",T51,VLOOKUP(T51,'Списки участников'!A:L,12,FALSE))</f>
        <v/>
      </c>
      <c r="V51" s="30"/>
      <c r="W51" s="30"/>
      <c r="X51" s="1276"/>
      <c r="Y51" s="1278"/>
      <c r="Z51" s="43"/>
      <c r="AA51" s="17" t="str">
        <f>'Протокол 5ф'!R68</f>
        <v/>
      </c>
      <c r="AB51" s="10"/>
      <c r="AC51" s="10"/>
      <c r="AD51" s="10"/>
      <c r="AE51" s="10"/>
      <c r="AF51" s="10"/>
      <c r="AG51" s="10"/>
      <c r="AH51" s="10"/>
      <c r="AI51" s="10"/>
      <c r="AJ51" s="10"/>
      <c r="AK51" s="15"/>
      <c r="AL51" s="16"/>
      <c r="AM51" s="10"/>
      <c r="AN51" s="10"/>
      <c r="AO51" s="10"/>
      <c r="AP51" s="10"/>
      <c r="AQ51" s="9"/>
      <c r="AR51" s="10"/>
      <c r="AS51" s="10"/>
      <c r="AT51" s="11"/>
      <c r="AU51" s="10"/>
      <c r="AV51" s="10"/>
      <c r="AW51" s="11"/>
      <c r="AX51" s="10"/>
      <c r="AY51" s="63"/>
      <c r="AZ51" s="10"/>
      <c r="BA51" s="10"/>
      <c r="BB51" s="10"/>
      <c r="BC51" s="11"/>
      <c r="BD51" s="10"/>
      <c r="BE51" s="888" t="str">
        <f>CONCATENATE(M4+26," ","место")</f>
        <v>38 место</v>
      </c>
    </row>
    <row r="52" spans="1:57" ht="11.45" customHeight="1" x14ac:dyDescent="0.2">
      <c r="A52" s="231"/>
      <c r="B52" s="231"/>
      <c r="C52" s="302"/>
      <c r="D52" s="232">
        <v>12</v>
      </c>
      <c r="E52" s="294">
        <f>'Протокол 5ф'!F15</f>
        <v>0</v>
      </c>
      <c r="F52" s="254">
        <f>IF('Протокол 5ф'!F15="",E52,VLOOKUP(E52,'Списки участников'!A:L,12,FALSE))</f>
        <v>0</v>
      </c>
      <c r="G52" s="255"/>
      <c r="H52" s="256"/>
      <c r="I52" s="245"/>
      <c r="J52" s="245"/>
      <c r="K52" s="245"/>
      <c r="L52" s="257"/>
      <c r="M52" s="258"/>
      <c r="N52" s="257"/>
      <c r="O52" s="245"/>
      <c r="P52" s="258"/>
      <c r="Q52" s="257"/>
      <c r="R52" s="229"/>
      <c r="S52" s="17"/>
      <c r="T52" s="17"/>
      <c r="U52" s="302"/>
      <c r="V52" s="38" t="s">
        <v>69</v>
      </c>
      <c r="W52" s="45" t="str">
        <f>IF('Протокол 5ф'!F67="","",'Протокол 5ф'!F67)</f>
        <v/>
      </c>
      <c r="X52" s="236" t="str">
        <f>IF(W52="",W52,VLOOKUP(W52,'Списки участников'!A:L,12,FALSE))</f>
        <v/>
      </c>
      <c r="Y52" s="78"/>
      <c r="Z52" s="30"/>
      <c r="AA52" s="9"/>
      <c r="AB52" s="10"/>
      <c r="AC52" s="10"/>
      <c r="AD52" s="10"/>
      <c r="AE52" s="10"/>
      <c r="AF52" s="10"/>
      <c r="AG52" s="10"/>
      <c r="AH52" s="10"/>
      <c r="AI52" s="10"/>
      <c r="AJ52" s="10"/>
      <c r="AK52" s="15"/>
      <c r="AL52" s="16"/>
      <c r="AM52" s="10"/>
      <c r="AN52" s="10"/>
      <c r="AO52" s="10"/>
      <c r="AP52" s="10"/>
      <c r="AQ52" s="9"/>
      <c r="AR52" s="10"/>
      <c r="AS52" s="10"/>
      <c r="AT52" s="11"/>
      <c r="AU52" s="10"/>
      <c r="AV52" s="10"/>
      <c r="AW52" s="11"/>
      <c r="AX52" s="10"/>
      <c r="AY52" s="9"/>
      <c r="AZ52" s="6">
        <v>-87</v>
      </c>
      <c r="BA52" s="7" t="str">
        <f>IF(AU39="","",IF(AU39=AR37,AR41,IF(AU39=AR41,AR37)))</f>
        <v/>
      </c>
      <c r="BB52" s="8" t="str">
        <f>IF(BA52="",BA52,VLOOKUP(BA52,'Списки участников'!A:L,12,FALSE))</f>
        <v/>
      </c>
      <c r="BC52" s="73"/>
      <c r="BD52" s="8"/>
      <c r="BE52" s="50" t="str">
        <f>IF(BD53="",BD53,VLOOKUP(BD53,'Списки участников'!A:L,6,FALSE))</f>
        <v/>
      </c>
    </row>
    <row r="53" spans="1:57" ht="11.45" customHeight="1" x14ac:dyDescent="0.2">
      <c r="A53" s="237">
        <v>24</v>
      </c>
      <c r="B53" s="238"/>
      <c r="C53" s="239">
        <f>IF(B53="",B53,VLOOKUP(B53,'Списки участников'!A:L,12,FALSE))</f>
        <v>0</v>
      </c>
      <c r="D53" s="240">
        <f>IF(B53="",B53,VLOOKUP(B53,'Списки участников'!A:L,6,FALSE))</f>
        <v>0</v>
      </c>
      <c r="E53" s="241"/>
      <c r="F53" s="245">
        <f>'Протокол 5ф'!R15</f>
        <v>0</v>
      </c>
      <c r="G53" s="260"/>
      <c r="H53" s="260"/>
      <c r="I53" s="245"/>
      <c r="J53" s="245"/>
      <c r="K53" s="245"/>
      <c r="L53" s="257"/>
      <c r="M53" s="258"/>
      <c r="N53" s="257"/>
      <c r="O53" s="245"/>
      <c r="P53" s="258"/>
      <c r="Q53" s="257"/>
      <c r="R53" s="229"/>
      <c r="S53" s="24">
        <v>-55</v>
      </c>
      <c r="T53" s="25" t="str">
        <f>IF(AF31="","",IF(AF31=AC29,AC33,IF(AF31=AC33,AC29)))</f>
        <v/>
      </c>
      <c r="U53" s="236" t="str">
        <f>IF(T53="",T53,VLOOKUP(T53,'Списки участников'!A:L,12,FALSE))</f>
        <v/>
      </c>
      <c r="V53" s="41"/>
      <c r="W53" s="10"/>
      <c r="X53" s="9" t="str">
        <f>'Протокол 5ф'!R67</f>
        <v/>
      </c>
      <c r="Y53" s="9"/>
      <c r="Z53" s="9"/>
      <c r="AA53" s="888" t="str">
        <f>CONCATENATE(M4+9," ","место")</f>
        <v>21 место</v>
      </c>
      <c r="AB53" s="10"/>
      <c r="AC53" s="10"/>
      <c r="AD53" s="10"/>
      <c r="AE53" s="10"/>
      <c r="AF53" s="10"/>
      <c r="AG53" s="10"/>
      <c r="AH53" s="10"/>
      <c r="AI53" s="10"/>
      <c r="AJ53" s="10"/>
      <c r="AK53" s="15"/>
      <c r="AL53" s="16"/>
      <c r="AM53" s="10"/>
      <c r="AN53" s="10"/>
      <c r="AO53" s="10"/>
      <c r="AP53" s="10"/>
      <c r="AQ53" s="9"/>
      <c r="AR53" s="10"/>
      <c r="AS53" s="10"/>
      <c r="AT53" s="11"/>
      <c r="AU53" s="10"/>
      <c r="AV53" s="10"/>
      <c r="AW53" s="11"/>
      <c r="AX53" s="10"/>
      <c r="AY53" s="9"/>
      <c r="AZ53" s="17"/>
      <c r="BA53" s="17"/>
      <c r="BB53" s="302"/>
      <c r="BC53" s="230">
        <v>90</v>
      </c>
      <c r="BD53" s="28" t="str">
        <f>IF('Протокол 5ф'!F93="","",'Протокол 5ф'!F93)</f>
        <v/>
      </c>
      <c r="BE53" s="281" t="str">
        <f>IF(BD53="",BD53,VLOOKUP(BD53,'Списки участников'!A:L,12,FALSE))</f>
        <v/>
      </c>
    </row>
    <row r="54" spans="1:57" ht="11.45" customHeight="1" x14ac:dyDescent="0.2">
      <c r="A54" s="222"/>
      <c r="B54" s="222"/>
      <c r="C54" s="227"/>
      <c r="D54" s="247"/>
      <c r="E54" s="245"/>
      <c r="F54" s="245"/>
      <c r="G54" s="245"/>
      <c r="H54" s="245"/>
      <c r="I54" s="245"/>
      <c r="J54" s="245"/>
      <c r="K54" s="245"/>
      <c r="L54" s="1276"/>
      <c r="M54" s="1247">
        <v>30</v>
      </c>
      <c r="N54" s="301">
        <f>'Протокол 5ф'!F33</f>
        <v>0</v>
      </c>
      <c r="O54" s="254">
        <f>IF('Протокол 5ф'!F33="",N54,VLOOKUP(N54,'Списки участников'!A:L,12,FALSE))</f>
        <v>0</v>
      </c>
      <c r="P54" s="255"/>
      <c r="Q54" s="256"/>
      <c r="R54" s="229"/>
      <c r="S54" s="10"/>
      <c r="T54" s="10"/>
      <c r="U54" s="10"/>
      <c r="V54" s="10"/>
      <c r="W54" s="10"/>
      <c r="X54" s="10"/>
      <c r="Y54" s="10"/>
      <c r="Z54" s="10"/>
      <c r="AA54" s="50" t="str">
        <f>IF(Z55="",Z55,VLOOKUP(Z55,'Списки участников'!A:L,6,FALSE))</f>
        <v/>
      </c>
      <c r="AB54" s="10"/>
      <c r="AC54" s="10"/>
      <c r="AD54" s="10"/>
      <c r="AE54" s="10"/>
      <c r="AF54" s="10"/>
      <c r="AG54" s="10"/>
      <c r="AH54" s="10"/>
      <c r="AI54" s="10"/>
      <c r="AJ54" s="888" t="str">
        <f>CONCATENATE(M4+10," ","место")</f>
        <v>22 место</v>
      </c>
      <c r="AK54" s="15"/>
      <c r="AL54" s="16"/>
      <c r="AM54" s="10"/>
      <c r="AN54" s="10"/>
      <c r="AO54" s="10"/>
      <c r="AP54" s="10"/>
      <c r="AQ54" s="9"/>
      <c r="AR54" s="10"/>
      <c r="AS54" s="10"/>
      <c r="AT54" s="11"/>
      <c r="AU54" s="10"/>
      <c r="AV54" s="10"/>
      <c r="AW54" s="11"/>
      <c r="AX54" s="10"/>
      <c r="AY54" s="9"/>
      <c r="AZ54" s="24">
        <v>-88</v>
      </c>
      <c r="BA54" s="25" t="str">
        <f>IF(AU47="","",IF(AU47=AR45,AR49,IF(AU47=AR49,AR45)))</f>
        <v/>
      </c>
      <c r="BB54" s="220" t="str">
        <f>IF(BA54="",BA54,VLOOKUP(BA54,'Списки участников'!A:L,12,FALSE))</f>
        <v/>
      </c>
      <c r="BC54" s="65"/>
      <c r="BD54" s="74"/>
      <c r="BE54" s="204">
        <f>'Протокол 5ф'!R93</f>
        <v>0</v>
      </c>
    </row>
    <row r="55" spans="1:57" ht="11.45" customHeight="1" x14ac:dyDescent="0.2">
      <c r="A55" s="222">
        <v>25</v>
      </c>
      <c r="B55" s="223"/>
      <c r="C55" s="250">
        <f>IF(B55="",B55,VLOOKUP(B55,'Списки участников'!A:L,12,FALSE))</f>
        <v>0</v>
      </c>
      <c r="D55" s="251">
        <f>IF(B55="",B55,VLOOKUP(B55,'Списки участников'!A:L,6,FALSE))</f>
        <v>0</v>
      </c>
      <c r="E55" s="226"/>
      <c r="F55" s="245"/>
      <c r="G55" s="245"/>
      <c r="H55" s="245"/>
      <c r="I55" s="245"/>
      <c r="J55" s="245"/>
      <c r="K55" s="245"/>
      <c r="L55" s="1276"/>
      <c r="M55" s="1247"/>
      <c r="N55" s="252"/>
      <c r="O55" s="245" t="str">
        <f>'Протокол 5ф'!R33</f>
        <v/>
      </c>
      <c r="P55" s="260"/>
      <c r="Q55" s="260"/>
      <c r="R55" s="229"/>
      <c r="S55" s="10"/>
      <c r="T55" s="10"/>
      <c r="U55" s="10"/>
      <c r="V55" s="10"/>
      <c r="W55" s="10"/>
      <c r="X55" s="10"/>
      <c r="Y55" s="61">
        <v>-65</v>
      </c>
      <c r="Z55" s="62" t="str">
        <f>IF(Z50="","",IF(Z50=W48,W52,IF(Z50=W52,W48)))</f>
        <v/>
      </c>
      <c r="AA55" s="282" t="str">
        <f>IF(Z55="",Z55,VLOOKUP(Z55,'Списки участников'!A:L,12,FALSE))</f>
        <v/>
      </c>
      <c r="AB55" s="10"/>
      <c r="AC55" s="10"/>
      <c r="AD55" s="10"/>
      <c r="AE55" s="6">
        <v>-63</v>
      </c>
      <c r="AF55" s="7" t="str">
        <f>IF(W48="","",IF(W48=T47,T49,IF(W48=T49,T47)))</f>
        <v/>
      </c>
      <c r="AG55" s="217" t="str">
        <f>IF(AF55="",AF55,VLOOKUP(AF55,'Списки участников'!A:L,12,FALSE))</f>
        <v/>
      </c>
      <c r="AH55" s="10"/>
      <c r="AI55" s="10"/>
      <c r="AJ55" s="50" t="str">
        <f>IF(AI56="",AI56,VLOOKUP(AI56,'Списки участников'!A:L,6,FALSE))</f>
        <v/>
      </c>
      <c r="AK55" s="15"/>
      <c r="AL55" s="16"/>
      <c r="AM55" s="10"/>
      <c r="AN55" s="10"/>
      <c r="AO55" s="10"/>
      <c r="AP55" s="10"/>
      <c r="AQ55" s="9"/>
      <c r="AR55" s="10"/>
      <c r="AS55" s="10"/>
      <c r="AT55" s="11"/>
      <c r="AU55" s="10"/>
      <c r="AV55" s="10"/>
      <c r="AW55" s="11"/>
      <c r="AX55" s="10"/>
      <c r="AY55" s="9"/>
      <c r="AZ55" s="10"/>
      <c r="BA55" s="10"/>
      <c r="BB55" s="10"/>
      <c r="BC55" s="11"/>
      <c r="BD55" s="10"/>
      <c r="BE55" s="888" t="str">
        <f>CONCATENATE(M4+27," ","место")</f>
        <v>39 место</v>
      </c>
    </row>
    <row r="56" spans="1:57" ht="11.45" customHeight="1" x14ac:dyDescent="0.2">
      <c r="A56" s="231"/>
      <c r="B56" s="231"/>
      <c r="C56" s="302"/>
      <c r="D56" s="232">
        <v>13</v>
      </c>
      <c r="E56" s="233">
        <f>'Протокол 5ф'!F16</f>
        <v>0</v>
      </c>
      <c r="F56" s="224">
        <f>IF('Протокол 5ф'!F16="",E56,VLOOKUP(E56,'Списки участников'!A:L,12,FALSE))</f>
        <v>0</v>
      </c>
      <c r="G56" s="234"/>
      <c r="H56" s="234"/>
      <c r="I56" s="245"/>
      <c r="J56" s="245"/>
      <c r="K56" s="245"/>
      <c r="L56" s="257"/>
      <c r="M56" s="258"/>
      <c r="N56" s="257"/>
      <c r="O56" s="245"/>
      <c r="P56" s="245"/>
      <c r="Q56" s="245"/>
      <c r="R56" s="229"/>
      <c r="S56" s="10"/>
      <c r="T56" s="10"/>
      <c r="U56" s="10"/>
      <c r="V56" s="10"/>
      <c r="W56" s="10"/>
      <c r="X56" s="10"/>
      <c r="Y56" s="10"/>
      <c r="Z56" s="10"/>
      <c r="AA56" s="9"/>
      <c r="AB56" s="10"/>
      <c r="AC56" s="10"/>
      <c r="AD56" s="10"/>
      <c r="AE56" s="17"/>
      <c r="AF56" s="17"/>
      <c r="AG56" s="302"/>
      <c r="AH56" s="22" t="s">
        <v>77</v>
      </c>
      <c r="AI56" s="18" t="str">
        <f>IF('Протокол 5ф'!F69="","",'Протокол 5ф'!F69)</f>
        <v/>
      </c>
      <c r="AJ56" s="253" t="str">
        <f>IF(AI56="",AI56,VLOOKUP(AI56,'Списки участников'!A:L,12,FALSE))</f>
        <v/>
      </c>
      <c r="AK56" s="15"/>
      <c r="AL56" s="16"/>
      <c r="AM56" s="10"/>
      <c r="AN56" s="10"/>
      <c r="AO56" s="10"/>
      <c r="AP56" s="10"/>
      <c r="AQ56" s="9"/>
      <c r="AR56" s="10"/>
      <c r="AS56" s="10"/>
      <c r="AT56" s="11"/>
      <c r="AU56" s="10"/>
      <c r="AV56" s="10"/>
      <c r="AW56" s="11"/>
      <c r="AX56" s="10"/>
      <c r="AY56" s="9"/>
      <c r="AZ56" s="10"/>
      <c r="BA56" s="10"/>
      <c r="BB56" s="10"/>
      <c r="BC56" s="11"/>
      <c r="BD56" s="10"/>
      <c r="BE56" s="50" t="str">
        <f>IF(BD57="",BD57,VLOOKUP(BD57,'Списки участников'!A:L,6,FALSE))</f>
        <v/>
      </c>
    </row>
    <row r="57" spans="1:57" ht="11.45" customHeight="1" x14ac:dyDescent="0.2">
      <c r="A57" s="237">
        <v>26</v>
      </c>
      <c r="B57" s="238"/>
      <c r="C57" s="239">
        <f>IF(B57="",B57,VLOOKUP(B57,'Списки участников'!A:L,12,FALSE))</f>
        <v>0</v>
      </c>
      <c r="D57" s="240">
        <f>IF(B57="",B57,VLOOKUP(B57,'Списки участников'!A:L,6,FALSE))</f>
        <v>0</v>
      </c>
      <c r="E57" s="241"/>
      <c r="F57" s="292">
        <f>'Протокол 5ф'!R16</f>
        <v>0</v>
      </c>
      <c r="G57" s="243"/>
      <c r="H57" s="244"/>
      <c r="I57" s="245"/>
      <c r="J57" s="245"/>
      <c r="K57" s="245"/>
      <c r="L57" s="257"/>
      <c r="M57" s="258"/>
      <c r="N57" s="257"/>
      <c r="O57" s="245"/>
      <c r="P57" s="245"/>
      <c r="Q57" s="245"/>
      <c r="S57" s="10"/>
      <c r="T57" s="10"/>
      <c r="U57" s="10"/>
      <c r="V57" s="10"/>
      <c r="W57" s="10"/>
      <c r="X57" s="10"/>
      <c r="Y57" s="10"/>
      <c r="Z57" s="10"/>
      <c r="AA57" s="9"/>
      <c r="AB57" s="10"/>
      <c r="AC57" s="10"/>
      <c r="AD57" s="10"/>
      <c r="AE57" s="24">
        <v>-64</v>
      </c>
      <c r="AF57" s="25" t="str">
        <f>IF(W52="","",IF(W52=T51,T53,IF(W52=T53,T51)))</f>
        <v/>
      </c>
      <c r="AG57" s="236" t="str">
        <f>IF(AF57="",AF57,VLOOKUP(AF57,'Списки участников'!A:L,12,FALSE))</f>
        <v/>
      </c>
      <c r="AH57" s="78"/>
      <c r="AI57" s="21"/>
      <c r="AJ57" s="21" t="str">
        <f>'Протокол 5ф'!R69</f>
        <v/>
      </c>
      <c r="AK57" s="15"/>
      <c r="AL57" s="16"/>
      <c r="AM57" s="10"/>
      <c r="AN57" s="10"/>
      <c r="AO57" s="10"/>
      <c r="AP57" s="10"/>
      <c r="AQ57" s="9">
        <v>-83</v>
      </c>
      <c r="AR57" s="7" t="str">
        <f>IF(AR37="","",IF(AR37=AO36,AO38,IF(AR37=AO38,AO36)))</f>
        <v/>
      </c>
      <c r="AS57" s="8" t="str">
        <f>IF(AR57="",AR57,VLOOKUP(AR57,'Списки участников'!A:L,12,FALSE))</f>
        <v/>
      </c>
      <c r="AT57" s="11"/>
      <c r="AU57" s="10"/>
      <c r="AV57" s="10"/>
      <c r="AW57" s="11"/>
      <c r="AX57" s="10"/>
      <c r="AZ57" s="10"/>
      <c r="BA57" s="10"/>
      <c r="BB57" s="10"/>
      <c r="BC57" s="61">
        <v>-90</v>
      </c>
      <c r="BD57" s="62" t="str">
        <f>IF(BD53="","",IF(BD53=BA52,BA54,IF(BD53=BA54,BA52)))</f>
        <v/>
      </c>
      <c r="BE57" s="253" t="str">
        <f>IF(BD57="",BD57,VLOOKUP(BD57,'Списки участников'!A:L,12,FALSE))</f>
        <v/>
      </c>
    </row>
    <row r="58" spans="1:57" ht="11.45" customHeight="1" x14ac:dyDescent="0.2">
      <c r="A58" s="222"/>
      <c r="B58" s="222"/>
      <c r="C58" s="227"/>
      <c r="D58" s="247"/>
      <c r="E58" s="245"/>
      <c r="F58" s="1276"/>
      <c r="G58" s="1247" t="s">
        <v>40</v>
      </c>
      <c r="H58" s="296">
        <f>'Протокол 5ф'!F26</f>
        <v>0</v>
      </c>
      <c r="I58" s="224">
        <f>IF('Протокол 5ф'!F26="",H58,VLOOKUP(H58,'Списки участников'!A:L,12,FALSE))</f>
        <v>0</v>
      </c>
      <c r="J58" s="234"/>
      <c r="K58" s="234"/>
      <c r="L58" s="257"/>
      <c r="M58" s="258"/>
      <c r="N58" s="257"/>
      <c r="O58" s="245"/>
      <c r="P58" s="245"/>
      <c r="Q58" s="245"/>
      <c r="R58" s="887" t="str">
        <f>CONCATENATE(M4+1," ","место")</f>
        <v>13 место</v>
      </c>
      <c r="S58" s="10"/>
      <c r="T58" s="10"/>
      <c r="U58" s="10"/>
      <c r="V58" s="10"/>
      <c r="W58" s="10"/>
      <c r="X58" s="10"/>
      <c r="Y58" s="10"/>
      <c r="Z58" s="10"/>
      <c r="AA58" s="9"/>
      <c r="AB58" s="10"/>
      <c r="AC58" s="10"/>
      <c r="AD58" s="10"/>
      <c r="AE58" s="10"/>
      <c r="AF58" s="10"/>
      <c r="AG58" s="10"/>
      <c r="AH58" s="10"/>
      <c r="AI58" s="10"/>
      <c r="AJ58" s="888" t="str">
        <f>CONCATENATE(M4+11," ","место")</f>
        <v>23 место</v>
      </c>
      <c r="AK58" s="15"/>
      <c r="AL58" s="16"/>
      <c r="AM58" s="10"/>
      <c r="AN58" s="10"/>
      <c r="AO58" s="10"/>
      <c r="AP58" s="10"/>
      <c r="AQ58" s="63"/>
      <c r="AR58" s="79"/>
      <c r="AS58" s="302"/>
      <c r="AT58" s="266">
        <v>91</v>
      </c>
      <c r="AU58" s="18" t="str">
        <f>IF('Протокол 5ф'!F94="","",'Протокол 5ф'!F94)</f>
        <v/>
      </c>
      <c r="AV58" s="19" t="str">
        <f>IF(AU58="",AU58,VLOOKUP(AU58,'Списки участников'!A:L,12,FALSE))</f>
        <v/>
      </c>
      <c r="AW58" s="33"/>
      <c r="AX58" s="34"/>
      <c r="AY58" s="888" t="str">
        <f>CONCATENATE(M4+28," ","место")</f>
        <v>40 место</v>
      </c>
      <c r="AZ58" s="10"/>
      <c r="BA58" s="10"/>
      <c r="BB58" s="10"/>
      <c r="BC58" s="11"/>
      <c r="BD58" s="10"/>
      <c r="BE58" s="63"/>
    </row>
    <row r="59" spans="1:57" ht="11.45" customHeight="1" x14ac:dyDescent="0.2">
      <c r="A59" s="222">
        <v>27</v>
      </c>
      <c r="B59" s="223"/>
      <c r="C59" s="250">
        <f>IF(B59="",B59,VLOOKUP(B59,'Списки участников'!A:L,12,FALSE))</f>
        <v>0</v>
      </c>
      <c r="D59" s="251">
        <f>IF(B59="",B59,VLOOKUP(B59,'Списки участников'!A:L,6,FALSE))</f>
        <v>0</v>
      </c>
      <c r="E59" s="226"/>
      <c r="F59" s="1276"/>
      <c r="G59" s="1247"/>
      <c r="H59" s="252"/>
      <c r="I59" s="292" t="str">
        <f>'Протокол 5ф'!R26</f>
        <v/>
      </c>
      <c r="J59" s="243"/>
      <c r="K59" s="244"/>
      <c r="L59" s="257"/>
      <c r="M59" s="258"/>
      <c r="N59" s="257"/>
      <c r="O59" s="245"/>
      <c r="P59" s="245"/>
      <c r="Q59" s="245"/>
      <c r="R59" s="50" t="str">
        <f>IF(Q60="",Q60,VLOOKUP(Q60,'Списки участников'!A:L,6,FALSE))</f>
        <v/>
      </c>
      <c r="S59" s="6">
        <v>-48</v>
      </c>
      <c r="T59" s="7" t="str">
        <f>IF(AC9="","",IF(AC9=Z7,Z11,IF(AC9=Z11,Z7)))</f>
        <v/>
      </c>
      <c r="U59" s="217" t="str">
        <f>IF(T59="",T59,VLOOKUP(T59,'Списки участников'!A:L,12,FALSE))</f>
        <v/>
      </c>
      <c r="V59" s="10"/>
      <c r="W59" s="10"/>
      <c r="X59" s="10"/>
      <c r="Y59" s="10"/>
      <c r="Z59" s="10"/>
      <c r="AB59" s="10"/>
      <c r="AC59" s="10"/>
      <c r="AD59" s="10"/>
      <c r="AE59" s="10"/>
      <c r="AF59" s="10"/>
      <c r="AG59" s="10"/>
      <c r="AH59" s="10"/>
      <c r="AI59" s="10"/>
      <c r="AJ59" s="50" t="str">
        <f>IF(AI60="",AI60,VLOOKUP(AI60,'Списки участников'!A:L,6,FALSE))</f>
        <v/>
      </c>
      <c r="AK59" s="15"/>
      <c r="AL59" s="16"/>
      <c r="AM59" s="10"/>
      <c r="AN59" s="10"/>
      <c r="AO59" s="10"/>
      <c r="AP59" s="10"/>
      <c r="AQ59" s="69">
        <v>-84</v>
      </c>
      <c r="AR59" s="25" t="str">
        <f>IF(AR41="","",IF(AR41=AO40,AO42,IF(AR41=AO42,AO40)))</f>
        <v/>
      </c>
      <c r="AS59" s="220" t="str">
        <f>IF(AR59="",AR59,VLOOKUP(AR59,'Списки участников'!A:L,12,FALSE))</f>
        <v/>
      </c>
      <c r="AT59" s="46"/>
      <c r="AU59" s="21"/>
      <c r="AV59" s="272">
        <f>'Протокол 5ф'!R94</f>
        <v>0</v>
      </c>
      <c r="AW59" s="70"/>
      <c r="AX59" s="32"/>
      <c r="AY59" s="50" t="str">
        <f>IF(AX60="",AX60,VLOOKUP(AX60,'Списки участников'!A:L,6,FALSE))</f>
        <v/>
      </c>
      <c r="AZ59" s="10"/>
      <c r="BA59" s="10"/>
      <c r="BB59" s="10"/>
      <c r="BC59" s="11"/>
      <c r="BD59" s="10"/>
      <c r="BE59" s="9"/>
    </row>
    <row r="60" spans="1:57" ht="11.45" customHeight="1" x14ac:dyDescent="0.2">
      <c r="A60" s="231"/>
      <c r="B60" s="231"/>
      <c r="C60" s="302"/>
      <c r="D60" s="232">
        <v>14</v>
      </c>
      <c r="E60" s="233">
        <f>'Протокол 5ф'!F17</f>
        <v>0</v>
      </c>
      <c r="F60" s="254">
        <f>IF('Протокол 5ф'!F17="",E60,VLOOKUP(E60,'Списки участников'!A:L,12,FALSE))</f>
        <v>0</v>
      </c>
      <c r="G60" s="255"/>
      <c r="H60" s="256"/>
      <c r="I60" s="257"/>
      <c r="J60" s="258"/>
      <c r="K60" s="257"/>
      <c r="L60" s="257"/>
      <c r="M60" s="258"/>
      <c r="N60" s="257"/>
      <c r="O60" s="245"/>
      <c r="P60" s="245" t="s">
        <v>70</v>
      </c>
      <c r="Q60" s="283" t="str">
        <f>IF('Протокол 5ф'!F34="","",IF(Q38=N22,N54,IF(Q38=N54,N22)))</f>
        <v/>
      </c>
      <c r="R60" s="253" t="str">
        <f>IF(Q60="",Q60,VLOOKUP(Q60,'Списки участников'!A:L,12,FALSE))</f>
        <v/>
      </c>
      <c r="S60" s="17"/>
      <c r="T60" s="17"/>
      <c r="U60" s="302"/>
      <c r="V60" s="38" t="s">
        <v>78</v>
      </c>
      <c r="W60" s="18" t="str">
        <f>IF('Протокол 5ф'!F70="","",'Протокол 5ф'!F70)</f>
        <v/>
      </c>
      <c r="X60" s="217" t="str">
        <f>IF(W60="",W60,VLOOKUP(W60,'Списки участников'!A:L,12,FALSE))</f>
        <v/>
      </c>
      <c r="Y60" s="9"/>
      <c r="Z60" s="9"/>
      <c r="AA60" s="888" t="str">
        <f>CONCATENATE(M4+12," ","место")</f>
        <v>24 место</v>
      </c>
      <c r="AB60" s="10"/>
      <c r="AC60" s="10"/>
      <c r="AD60" s="10"/>
      <c r="AE60" s="10"/>
      <c r="AF60" s="10"/>
      <c r="AG60" s="10"/>
      <c r="AH60" s="80" t="s">
        <v>98</v>
      </c>
      <c r="AI60" s="81" t="str">
        <f>IF(AI56="","",IF(AI56=AF55,AF57,IF(AI56=AF57,AF55)))</f>
        <v/>
      </c>
      <c r="AJ60" s="282" t="str">
        <f>IF(AI60="",AI60,VLOOKUP(AI60,'Списки участников'!A:L,12,FALSE))</f>
        <v/>
      </c>
      <c r="AK60" s="15"/>
      <c r="AL60" s="16"/>
      <c r="AM60" s="10"/>
      <c r="AN60" s="10"/>
      <c r="AO60" s="10"/>
      <c r="AP60" s="10"/>
      <c r="AQ60" s="9"/>
      <c r="AR60" s="6"/>
      <c r="AS60" s="10"/>
      <c r="AT60" s="49"/>
      <c r="AU60" s="30"/>
      <c r="AV60" s="1276"/>
      <c r="AW60" s="1278">
        <v>93</v>
      </c>
      <c r="AX60" s="53" t="str">
        <f>IF('Протокол 5ф'!F96="","",'Протокол 5ф'!F96)</f>
        <v/>
      </c>
      <c r="AY60" s="253" t="str">
        <f>IF(AX60="",AX60,VLOOKUP(AX60,'Списки участников'!A:L,12,FALSE))</f>
        <v/>
      </c>
      <c r="AZ60" s="10"/>
      <c r="BA60" s="10"/>
      <c r="BB60" s="10"/>
      <c r="BC60" s="11"/>
      <c r="BD60" s="10"/>
      <c r="BE60" s="9"/>
    </row>
    <row r="61" spans="1:57" ht="11.45" customHeight="1" x14ac:dyDescent="0.2">
      <c r="A61" s="237">
        <v>28</v>
      </c>
      <c r="B61" s="238"/>
      <c r="C61" s="239">
        <f>IF(B61="",B61,VLOOKUP(B61,'Списки участников'!A:L,12,FALSE))</f>
        <v>0</v>
      </c>
      <c r="D61" s="240">
        <f>IF(B61="",B61,VLOOKUP(B61,'Списки участников'!A:L,6,FALSE))</f>
        <v>0</v>
      </c>
      <c r="E61" s="241"/>
      <c r="F61" s="245" t="str">
        <f>'Протокол 5ф'!R17</f>
        <v/>
      </c>
      <c r="G61" s="260"/>
      <c r="H61" s="260"/>
      <c r="I61" s="257"/>
      <c r="J61" s="258"/>
      <c r="K61" s="257"/>
      <c r="L61" s="257"/>
      <c r="M61" s="258"/>
      <c r="N61" s="257"/>
      <c r="O61" s="245"/>
      <c r="P61" s="245"/>
      <c r="Q61" s="245"/>
      <c r="R61" s="284"/>
      <c r="S61" s="24">
        <v>-49</v>
      </c>
      <c r="T61" s="25" t="str">
        <f>IF(AC17="","",IF(AC17=Z15,Z19,IF(AC17=Z19,Z15)))</f>
        <v/>
      </c>
      <c r="U61" s="236" t="str">
        <f>IF(T61="",T61,VLOOKUP(T61,'Списки участников'!A:L,12,FALSE))</f>
        <v/>
      </c>
      <c r="V61" s="41"/>
      <c r="W61" s="21"/>
      <c r="X61" s="21" t="str">
        <f>'Протокол 5ф'!R70</f>
        <v/>
      </c>
      <c r="Y61" s="22"/>
      <c r="Z61" s="30"/>
      <c r="AA61" s="50" t="str">
        <f>IF(Z62="",Z62,VLOOKUP(Z62,'Списки участников'!A:L,6,FALSE))</f>
        <v/>
      </c>
      <c r="AB61" s="10"/>
      <c r="AC61" s="10"/>
      <c r="AD61" s="10"/>
      <c r="AE61" s="10"/>
      <c r="AF61" s="10"/>
      <c r="AG61" s="10"/>
      <c r="AH61" s="10"/>
      <c r="AI61" s="10"/>
      <c r="AJ61" s="10"/>
      <c r="AK61" s="15"/>
      <c r="AL61" s="16"/>
      <c r="AM61" s="10"/>
      <c r="AN61" s="10"/>
      <c r="AO61" s="10"/>
      <c r="AP61" s="10"/>
      <c r="AQ61" s="9">
        <v>-85</v>
      </c>
      <c r="AR61" s="7" t="str">
        <f>IF(AR45="","",IF(AR45=AO44,AO46,IF(AR45=AO46,AO44)))</f>
        <v/>
      </c>
      <c r="AS61" s="8" t="str">
        <f>IF(AR61="",AR61,VLOOKUP(AR61,'Списки участников'!A:L,12,FALSE))</f>
        <v/>
      </c>
      <c r="AT61" s="49"/>
      <c r="AU61" s="30"/>
      <c r="AV61" s="1276"/>
      <c r="AW61" s="1278"/>
      <c r="AX61" s="54"/>
      <c r="AY61" s="204">
        <f>'Протокол 5ф'!R96</f>
        <v>0</v>
      </c>
      <c r="AZ61" s="10"/>
      <c r="BA61" s="10"/>
      <c r="BB61" s="10"/>
      <c r="BC61" s="11"/>
      <c r="BD61" s="10"/>
      <c r="BE61" s="9"/>
    </row>
    <row r="62" spans="1:57" ht="11.45" customHeight="1" x14ac:dyDescent="0.2">
      <c r="A62" s="222"/>
      <c r="B62" s="222"/>
      <c r="C62" s="227"/>
      <c r="D62" s="247"/>
      <c r="E62" s="245"/>
      <c r="F62" s="245"/>
      <c r="G62" s="260"/>
      <c r="H62" s="260"/>
      <c r="I62" s="1276"/>
      <c r="J62" s="1247">
        <v>28</v>
      </c>
      <c r="K62" s="296">
        <f>'Протокол 5ф'!F31</f>
        <v>0</v>
      </c>
      <c r="L62" s="254">
        <f>IF('Протокол 5ф'!F31="",K62,VLOOKUP(K62,'Списки участников'!A:L,12,FALSE))</f>
        <v>0</v>
      </c>
      <c r="M62" s="255"/>
      <c r="N62" s="256"/>
      <c r="O62" s="245"/>
      <c r="P62" s="245"/>
      <c r="Q62" s="245"/>
      <c r="R62" s="229"/>
      <c r="S62" s="6"/>
      <c r="T62" s="6"/>
      <c r="U62" s="10"/>
      <c r="V62" s="30"/>
      <c r="W62" s="30"/>
      <c r="X62" s="1276"/>
      <c r="Y62" s="1278">
        <v>69</v>
      </c>
      <c r="Z62" s="53" t="str">
        <f>IF('Протокол 5ф'!F72="","",'Протокол 5ф'!F72)</f>
        <v/>
      </c>
      <c r="AA62" s="253" t="str">
        <f>IF(Z62="",Z62,VLOOKUP(Z62,'Списки участников'!A:L,12,FALSE))</f>
        <v/>
      </c>
      <c r="AB62" s="10"/>
      <c r="AC62" s="10"/>
      <c r="AD62" s="10"/>
      <c r="AE62" s="10"/>
      <c r="AF62" s="10"/>
      <c r="AG62" s="10"/>
      <c r="AH62" s="10"/>
      <c r="AI62" s="10"/>
      <c r="AJ62" s="10"/>
      <c r="AK62" s="15"/>
      <c r="AL62" s="16"/>
      <c r="AM62" s="10"/>
      <c r="AN62" s="10"/>
      <c r="AO62" s="10"/>
      <c r="AP62" s="10"/>
      <c r="AQ62" s="63"/>
      <c r="AR62" s="17"/>
      <c r="AS62" s="302"/>
      <c r="AT62" s="266">
        <v>92</v>
      </c>
      <c r="AU62" s="45" t="str">
        <f>IF('Протокол 5ф'!F95="","",'Протокол 5ф'!F95)</f>
        <v/>
      </c>
      <c r="AV62" s="246" t="str">
        <f>IF(AU62="",AU62,VLOOKUP(AU62,'Списки участников'!A:L,12,FALSE))</f>
        <v/>
      </c>
      <c r="AW62" s="57"/>
      <c r="AX62" s="58"/>
      <c r="AY62" s="9"/>
      <c r="AZ62" s="10"/>
      <c r="BA62" s="10"/>
      <c r="BB62" s="10"/>
      <c r="BC62" s="11"/>
      <c r="BD62" s="10"/>
      <c r="BE62" s="9"/>
    </row>
    <row r="63" spans="1:57" ht="11.45" customHeight="1" x14ac:dyDescent="0.2">
      <c r="A63" s="222">
        <v>29</v>
      </c>
      <c r="B63" s="223"/>
      <c r="C63" s="250">
        <f>IF(B63="",B63,VLOOKUP(B63,'Списки участников'!A:L,12,FALSE))</f>
        <v>0</v>
      </c>
      <c r="D63" s="251">
        <f>IF(B63="",B63,VLOOKUP(B63,'Списки участников'!A:L,6,FALSE))</f>
        <v>0</v>
      </c>
      <c r="E63" s="226"/>
      <c r="F63" s="245"/>
      <c r="G63" s="245"/>
      <c r="H63" s="245"/>
      <c r="I63" s="1276"/>
      <c r="J63" s="1247"/>
      <c r="K63" s="252"/>
      <c r="L63" s="245" t="str">
        <f>'Протокол 5ф'!R31</f>
        <v/>
      </c>
      <c r="M63" s="260"/>
      <c r="N63" s="260"/>
      <c r="O63" s="245"/>
      <c r="P63" s="245"/>
      <c r="Q63" s="245"/>
      <c r="R63" s="245"/>
      <c r="S63" s="6">
        <v>-50</v>
      </c>
      <c r="T63" s="7" t="str">
        <f>IF(AC25="","",IF(AC25=Z23,Z27,IF(AC25=Z27,Z23)))</f>
        <v/>
      </c>
      <c r="U63" s="217" t="str">
        <f>IF(T63="",T63,VLOOKUP(T63,'Списки участников'!A:L,12,FALSE))</f>
        <v/>
      </c>
      <c r="V63" s="30"/>
      <c r="W63" s="30"/>
      <c r="X63" s="1276"/>
      <c r="Y63" s="1278"/>
      <c r="Z63" s="43"/>
      <c r="AA63" s="272" t="str">
        <f>'Протокол 5ф'!R72</f>
        <v/>
      </c>
      <c r="AB63" s="10"/>
      <c r="AC63" s="10"/>
      <c r="AD63" s="10"/>
      <c r="AE63" s="10"/>
      <c r="AF63" s="10"/>
      <c r="AG63" s="10"/>
      <c r="AH63" s="10"/>
      <c r="AI63" s="10"/>
      <c r="AJ63" s="10"/>
      <c r="AK63" s="15"/>
      <c r="AL63" s="16"/>
      <c r="AM63" s="10"/>
      <c r="AN63" s="10"/>
      <c r="AO63" s="10"/>
      <c r="AP63" s="10"/>
      <c r="AQ63" s="69">
        <v>-86</v>
      </c>
      <c r="AR63" s="25" t="str">
        <f>IF(AR49="","",IF(AR49=AO48,AO50,IF(AR49=AO50,AO48)))</f>
        <v/>
      </c>
      <c r="AS63" s="220" t="str">
        <f>IF(AR63="",AR63,VLOOKUP(AR63,'Списки участников'!A:L,12,FALSE))</f>
        <v/>
      </c>
      <c r="AT63" s="46"/>
      <c r="AU63" s="10"/>
      <c r="AV63" s="203">
        <f>'Протокол 5ф'!R95</f>
        <v>0</v>
      </c>
      <c r="AW63" s="71"/>
      <c r="AX63" s="9"/>
      <c r="AY63" s="888" t="str">
        <f>CONCATENATE(M4+29," ","место")</f>
        <v>41 место</v>
      </c>
      <c r="AZ63" s="10"/>
      <c r="BA63" s="10"/>
      <c r="BB63" s="10"/>
      <c r="BC63" s="11"/>
      <c r="BD63" s="10"/>
      <c r="BE63" s="9"/>
    </row>
    <row r="64" spans="1:57" ht="11.45" customHeight="1" x14ac:dyDescent="0.2">
      <c r="A64" s="231"/>
      <c r="B64" s="231"/>
      <c r="C64" s="302"/>
      <c r="D64" s="232">
        <v>15</v>
      </c>
      <c r="E64" s="294">
        <f>'Протокол 5ф'!F18</f>
        <v>0</v>
      </c>
      <c r="F64" s="224">
        <f>IF('Протокол 5ф'!F18="",E64,VLOOKUP(E64,'Списки участников'!A:L,12,FALSE))</f>
        <v>0</v>
      </c>
      <c r="G64" s="234"/>
      <c r="H64" s="234"/>
      <c r="I64" s="257"/>
      <c r="J64" s="258"/>
      <c r="K64" s="257"/>
      <c r="L64" s="245"/>
      <c r="M64" s="245"/>
      <c r="N64" s="245"/>
      <c r="O64" s="245"/>
      <c r="P64" s="245"/>
      <c r="Q64" s="245"/>
      <c r="R64" s="229"/>
      <c r="S64" s="17"/>
      <c r="T64" s="17"/>
      <c r="U64" s="302"/>
      <c r="V64" s="38" t="s">
        <v>79</v>
      </c>
      <c r="W64" s="45" t="str">
        <f>IF('Протокол 5ф'!F71="","",'Протокол 5ф'!F71)</f>
        <v/>
      </c>
      <c r="X64" s="236" t="str">
        <f>IF(W64="",W64,VLOOKUP(W64,'Списки участников'!A:L,12,FALSE))</f>
        <v/>
      </c>
      <c r="Y64" s="78"/>
      <c r="Z64" s="32"/>
      <c r="AA64" s="9"/>
      <c r="AB64" s="10"/>
      <c r="AC64" s="10"/>
      <c r="AD64" s="10"/>
      <c r="AE64" s="10"/>
      <c r="AF64" s="10"/>
      <c r="AG64" s="10"/>
      <c r="AH64" s="10"/>
      <c r="AI64" s="10"/>
      <c r="AJ64" s="10"/>
      <c r="AK64" s="15"/>
      <c r="AL64" s="16"/>
      <c r="AM64" s="10"/>
      <c r="AN64" s="10"/>
      <c r="AO64" s="10"/>
      <c r="AP64" s="10"/>
      <c r="AQ64" s="9"/>
      <c r="AR64" s="10"/>
      <c r="AS64" s="10"/>
      <c r="AT64" s="11"/>
      <c r="AU64" s="10"/>
      <c r="AV64" s="10"/>
      <c r="AW64" s="11"/>
      <c r="AX64" s="10"/>
      <c r="AY64" s="50" t="str">
        <f>IF(AX65="",AX65,VLOOKUP(AX65,'Списки участников'!A:L,6,FALSE))</f>
        <v/>
      </c>
      <c r="AZ64" s="10"/>
      <c r="BA64" s="10"/>
      <c r="BB64" s="10"/>
      <c r="BC64" s="11"/>
      <c r="BD64" s="10"/>
      <c r="BE64" s="9"/>
    </row>
    <row r="65" spans="1:57" ht="11.45" customHeight="1" x14ac:dyDescent="0.2">
      <c r="A65" s="237">
        <v>30</v>
      </c>
      <c r="B65" s="238"/>
      <c r="C65" s="239">
        <f>IF(B65="",B65,VLOOKUP(B65,'Списки участников'!A:L,12,FALSE))</f>
        <v>0</v>
      </c>
      <c r="D65" s="240">
        <f>IF(B65="",B65,VLOOKUP(B65,'Списки участников'!A:L,6,FALSE))</f>
        <v>0</v>
      </c>
      <c r="E65" s="241"/>
      <c r="F65" s="292" t="str">
        <f>'Протокол 5ф'!R18</f>
        <v/>
      </c>
      <c r="G65" s="243"/>
      <c r="H65" s="244"/>
      <c r="I65" s="257"/>
      <c r="J65" s="258"/>
      <c r="K65" s="257"/>
      <c r="L65" s="245"/>
      <c r="M65" s="245"/>
      <c r="N65" s="245"/>
      <c r="O65" s="245"/>
      <c r="P65" s="245"/>
      <c r="Q65" s="245"/>
      <c r="R65" s="229"/>
      <c r="S65" s="24">
        <v>-51</v>
      </c>
      <c r="T65" s="25" t="str">
        <f>IF(AC33="","",IF(AC33=Z31,Z35,IF(AC33=Z35,Z31)))</f>
        <v/>
      </c>
      <c r="U65" s="236" t="str">
        <f>IF(T65="",T65,VLOOKUP(T65,'Списки участников'!A:L,12,FALSE))</f>
        <v/>
      </c>
      <c r="V65" s="41"/>
      <c r="W65" s="10"/>
      <c r="X65" s="205" t="str">
        <f>'Протокол 5ф'!R71</f>
        <v/>
      </c>
      <c r="Y65" s="9"/>
      <c r="Z65" s="9"/>
      <c r="AA65" s="888" t="str">
        <f>CONCATENATE(M4+13," ","место")</f>
        <v>25 место</v>
      </c>
      <c r="AB65" s="10"/>
      <c r="AC65" s="10"/>
      <c r="AD65" s="10"/>
      <c r="AE65" s="10"/>
      <c r="AF65" s="10"/>
      <c r="AG65" s="10"/>
      <c r="AH65" s="10"/>
      <c r="AI65" s="10"/>
      <c r="AJ65" s="10"/>
      <c r="AK65" s="15"/>
      <c r="AL65" s="16"/>
      <c r="AM65" s="10"/>
      <c r="AN65" s="10"/>
      <c r="AO65" s="10"/>
      <c r="AP65" s="10"/>
      <c r="AQ65" s="9"/>
      <c r="AR65" s="10"/>
      <c r="AS65" s="10"/>
      <c r="AT65" s="11"/>
      <c r="AU65" s="10"/>
      <c r="AV65" s="10"/>
      <c r="AW65" s="61">
        <v>-93</v>
      </c>
      <c r="AX65" s="62" t="str">
        <f>IF(AX60="","",IF(AX60=AU58,AU62,IF(AX60=AU62,AU58)))</f>
        <v/>
      </c>
      <c r="AY65" s="268" t="str">
        <f>IF(AX65="",AX65,VLOOKUP(AX65,'Списки участников'!A:L,12,FALSE))</f>
        <v/>
      </c>
      <c r="AZ65" s="10"/>
      <c r="BA65" s="10"/>
      <c r="BB65" s="10"/>
      <c r="BC65" s="11"/>
      <c r="BD65" s="10"/>
      <c r="BE65" s="888" t="str">
        <f>CONCATENATE(M4+30," ","место")</f>
        <v>42 место</v>
      </c>
    </row>
    <row r="66" spans="1:57" ht="11.45" customHeight="1" x14ac:dyDescent="0.2">
      <c r="A66" s="222"/>
      <c r="B66" s="222"/>
      <c r="C66" s="227"/>
      <c r="D66" s="247"/>
      <c r="E66" s="245"/>
      <c r="F66" s="1276"/>
      <c r="G66" s="1247" t="s">
        <v>9</v>
      </c>
      <c r="H66" s="296">
        <f>'Протокол 5ф'!F27</f>
        <v>0</v>
      </c>
      <c r="I66" s="254">
        <f>IF('Протокол 5ф'!F27="",H66,VLOOKUP(H66,'Списки участников'!A:L,12,FALSE))</f>
        <v>0</v>
      </c>
      <c r="J66" s="255"/>
      <c r="K66" s="256"/>
      <c r="L66" s="245"/>
      <c r="M66" s="245"/>
      <c r="N66" s="245"/>
      <c r="O66" s="257"/>
      <c r="P66" s="257"/>
      <c r="Q66" s="257"/>
      <c r="R66" s="285"/>
      <c r="S66" s="10"/>
      <c r="T66" s="10"/>
      <c r="U66" s="10"/>
      <c r="V66" s="10"/>
      <c r="W66" s="10"/>
      <c r="X66" s="10"/>
      <c r="Y66" s="10"/>
      <c r="Z66" s="10"/>
      <c r="AA66" s="50" t="str">
        <f>IF(Z67="",Z67,VLOOKUP(Z67,'Списки участников'!A:L,6,FALSE))</f>
        <v/>
      </c>
      <c r="AB66" s="10"/>
      <c r="AC66" s="10"/>
      <c r="AD66" s="10"/>
      <c r="AE66" s="10"/>
      <c r="AF66" s="10"/>
      <c r="AG66" s="10"/>
      <c r="AH66" s="10"/>
      <c r="AI66" s="10"/>
      <c r="AJ66" s="888" t="str">
        <f>CONCATENATE(M4+14," ","место")</f>
        <v>26 место</v>
      </c>
      <c r="AK66" s="15"/>
      <c r="AL66" s="16"/>
      <c r="AM66" s="10"/>
      <c r="AN66" s="10"/>
      <c r="AO66" s="10"/>
      <c r="AP66" s="10"/>
      <c r="AQ66" s="9"/>
      <c r="AR66" s="10"/>
      <c r="AS66" s="10"/>
      <c r="AT66" s="11"/>
      <c r="AU66" s="10"/>
      <c r="AV66" s="10"/>
      <c r="AW66" s="11"/>
      <c r="AX66" s="10"/>
      <c r="AY66" s="10"/>
      <c r="AZ66" s="6">
        <v>-91</v>
      </c>
      <c r="BA66" s="7" t="str">
        <f>IF(AU58="","",IF(AU58=AR57,AR59,IF(AU58=AR59,AR57)))</f>
        <v/>
      </c>
      <c r="BB66" s="8" t="str">
        <f>IF(BA66="",BA66,VLOOKUP(BA66,'Списки участников'!A:L,12,FALSE))</f>
        <v/>
      </c>
      <c r="BC66" s="73"/>
      <c r="BD66" s="8"/>
      <c r="BE66" s="50" t="str">
        <f>IF(BD67="",BD67,VLOOKUP(BD67,'Списки участников'!A:L,6,FALSE))</f>
        <v/>
      </c>
    </row>
    <row r="67" spans="1:57" ht="11.45" customHeight="1" x14ac:dyDescent="0.2">
      <c r="A67" s="222">
        <v>31</v>
      </c>
      <c r="B67" s="223"/>
      <c r="C67" s="250">
        <f>IF(B67="",B67,VLOOKUP(B67,'Списки участников'!A:L,12,FALSE))</f>
        <v>0</v>
      </c>
      <c r="D67" s="251">
        <f>IF(B67="",B67,VLOOKUP(B67,'Списки участников'!A:L,6,FALSE))</f>
        <v>0</v>
      </c>
      <c r="E67" s="226"/>
      <c r="F67" s="1276"/>
      <c r="G67" s="1247"/>
      <c r="H67" s="252"/>
      <c r="I67" s="245" t="str">
        <f>'Протокол 5ф'!R27</f>
        <v/>
      </c>
      <c r="J67" s="260"/>
      <c r="K67" s="260"/>
      <c r="L67" s="245"/>
      <c r="M67" s="245"/>
      <c r="N67" s="245"/>
      <c r="O67" s="257"/>
      <c r="P67" s="257"/>
      <c r="Q67" s="257"/>
      <c r="R67" s="285"/>
      <c r="S67" s="10"/>
      <c r="T67" s="10"/>
      <c r="U67" s="10"/>
      <c r="V67" s="10"/>
      <c r="W67" s="10"/>
      <c r="X67" s="10"/>
      <c r="Y67" s="61">
        <v>-69</v>
      </c>
      <c r="Z67" s="62" t="str">
        <f>IF(Z62="","",IF(Z62=W60,W64,IF(Z62=W64,W60)))</f>
        <v/>
      </c>
      <c r="AA67" s="268" t="str">
        <f>IF(Z67="",Z67,VLOOKUP(Z67,'Списки участников'!A:L,12,FALSE))</f>
        <v/>
      </c>
      <c r="AB67" s="10"/>
      <c r="AC67" s="10"/>
      <c r="AD67" s="10"/>
      <c r="AE67" s="6">
        <v>-67</v>
      </c>
      <c r="AF67" s="7" t="str">
        <f>IF(W60="","",IF(W60=T59,T61,IF(W60=T61,T59)))</f>
        <v/>
      </c>
      <c r="AG67" s="217" t="str">
        <f>IF(AF67="",AF67,VLOOKUP(AF67,'Списки участников'!A:L,12,FALSE))</f>
        <v/>
      </c>
      <c r="AH67" s="10"/>
      <c r="AI67" s="10"/>
      <c r="AJ67" s="50" t="str">
        <f>IF(AI68="",AI68,VLOOKUP(AI68,'Списки участников'!A:L,6,FALSE))</f>
        <v/>
      </c>
      <c r="AK67" s="15"/>
      <c r="AL67" s="16"/>
      <c r="AM67" s="10"/>
      <c r="AN67" s="10"/>
      <c r="AO67" s="10"/>
      <c r="AP67" s="10"/>
      <c r="AQ67" s="9"/>
      <c r="AR67" s="10"/>
      <c r="AS67" s="10"/>
      <c r="AT67" s="11"/>
      <c r="AU67" s="10"/>
      <c r="AV67" s="10"/>
      <c r="AW67" s="11"/>
      <c r="AX67" s="10"/>
      <c r="AY67" s="10"/>
      <c r="AZ67" s="17"/>
      <c r="BA67" s="17"/>
      <c r="BB67" s="302"/>
      <c r="BC67" s="230">
        <v>94</v>
      </c>
      <c r="BD67" s="28" t="str">
        <f>IF('Протокол 5ф'!F97="","",'Протокол 5ф'!F97)</f>
        <v/>
      </c>
      <c r="BE67" s="253" t="str">
        <f>IF(BD67="",BD67,VLOOKUP(BD67,'Списки участников'!A:L,12,FALSE))</f>
        <v/>
      </c>
    </row>
    <row r="68" spans="1:57" ht="11.45" customHeight="1" x14ac:dyDescent="0.2">
      <c r="A68" s="231"/>
      <c r="B68" s="231"/>
      <c r="C68" s="302"/>
      <c r="D68" s="232">
        <v>16</v>
      </c>
      <c r="E68" s="294">
        <f>'Протокол 5ф'!F19</f>
        <v>0</v>
      </c>
      <c r="F68" s="254">
        <f>IF('Протокол 5ф'!F19="",E68,VLOOKUP(E68,'Списки участников'!A:L,12,FALSE))</f>
        <v>0</v>
      </c>
      <c r="G68" s="255"/>
      <c r="H68" s="256"/>
      <c r="I68" s="245"/>
      <c r="J68" s="260"/>
      <c r="K68" s="260"/>
      <c r="L68" s="245"/>
      <c r="M68" s="245"/>
      <c r="N68" s="245"/>
      <c r="O68" s="245"/>
      <c r="P68" s="245"/>
      <c r="Q68" s="245"/>
      <c r="R68" s="229"/>
      <c r="S68" s="76"/>
      <c r="T68" s="10"/>
      <c r="U68" s="76"/>
      <c r="V68" s="76"/>
      <c r="W68" s="10"/>
      <c r="X68" s="76"/>
      <c r="Y68" s="10"/>
      <c r="Z68" s="10"/>
      <c r="AA68" s="76"/>
      <c r="AB68" s="10"/>
      <c r="AC68" s="10"/>
      <c r="AD68" s="10"/>
      <c r="AE68" s="17"/>
      <c r="AF68" s="17"/>
      <c r="AG68" s="302"/>
      <c r="AH68" s="22" t="s">
        <v>81</v>
      </c>
      <c r="AI68" s="18" t="str">
        <f>IF('Протокол 5ф'!F73="","",'Протокол 5ф'!F73)</f>
        <v/>
      </c>
      <c r="AJ68" s="253" t="str">
        <f>IF(AI68="",AI68,VLOOKUP(AI68,'Списки участников'!A:L,12,FALSE))</f>
        <v/>
      </c>
      <c r="AK68" s="15"/>
      <c r="AL68" s="16"/>
      <c r="AM68" s="10"/>
      <c r="AN68" s="10"/>
      <c r="AO68" s="10"/>
      <c r="AP68" s="76"/>
      <c r="AQ68" s="82"/>
      <c r="AR68" s="76"/>
      <c r="AS68" s="76"/>
      <c r="AT68" s="11"/>
      <c r="AU68" s="10"/>
      <c r="AV68" s="10"/>
      <c r="AW68" s="11"/>
      <c r="AX68" s="10"/>
      <c r="AY68" s="10"/>
      <c r="AZ68" s="24">
        <v>-92</v>
      </c>
      <c r="BA68" s="25" t="str">
        <f>IF(AU62="","",IF(AU62=AR61,AR63,IF(AU62=AR63,AR61)))</f>
        <v/>
      </c>
      <c r="BB68" s="220" t="str">
        <f>IF(BA68="",BA68,VLOOKUP(BA68,'Списки участников'!A:L,12,FALSE))</f>
        <v/>
      </c>
      <c r="BC68" s="65"/>
      <c r="BD68" s="74"/>
      <c r="BE68" s="204">
        <f>'Протокол 5ф'!R97</f>
        <v>0</v>
      </c>
    </row>
    <row r="69" spans="1:57" ht="11.45" customHeight="1" x14ac:dyDescent="0.2">
      <c r="A69" s="237">
        <v>32</v>
      </c>
      <c r="B69" s="238"/>
      <c r="C69" s="239">
        <f>IF(B69="",B69,VLOOKUP(B69,'Списки участников'!A:L,12,FALSE))</f>
        <v>0</v>
      </c>
      <c r="D69" s="240">
        <f>IF(B69="",B69,VLOOKUP(B69,'Списки участников'!A:L,6,FALSE))</f>
        <v>0</v>
      </c>
      <c r="E69" s="241"/>
      <c r="F69" s="245">
        <f>'Протокол 5ф'!R19</f>
        <v>0</v>
      </c>
      <c r="G69" s="260"/>
      <c r="H69" s="260"/>
      <c r="I69" s="245"/>
      <c r="J69" s="245"/>
      <c r="K69" s="245"/>
      <c r="L69" s="257"/>
      <c r="M69" s="257"/>
      <c r="N69" s="257"/>
      <c r="O69" s="257"/>
      <c r="P69" s="257"/>
      <c r="Q69" s="257"/>
      <c r="R69" s="229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24">
        <v>-68</v>
      </c>
      <c r="AF69" s="25" t="str">
        <f>IF(W64="","",IF(W64=T63,T65,IF(W64=T65,T63)))</f>
        <v/>
      </c>
      <c r="AG69" s="236" t="str">
        <f>IF(AF69="",AF69,VLOOKUP(AF69,'Списки участников'!A:L,12,FALSE))</f>
        <v/>
      </c>
      <c r="AH69" s="78"/>
      <c r="AI69" s="21"/>
      <c r="AJ69" s="204" t="str">
        <f>'Протокол 5ф'!R73</f>
        <v/>
      </c>
      <c r="AK69" s="15"/>
      <c r="AL69" s="16"/>
      <c r="AM69" s="10"/>
      <c r="AN69" s="10"/>
      <c r="AO69" s="10"/>
      <c r="AP69" s="729" t="s">
        <v>1129</v>
      </c>
      <c r="AQ69" s="720"/>
      <c r="AR69" s="721"/>
      <c r="AS69" s="721"/>
      <c r="AT69" s="722"/>
      <c r="AU69" s="723"/>
      <c r="AV69" s="724" t="str">
        <f>'Списки участников'!I121</f>
        <v>В.А. Коваль</v>
      </c>
      <c r="AW69" s="11"/>
      <c r="AX69" s="10"/>
      <c r="AY69" s="10"/>
      <c r="AZ69" s="10"/>
      <c r="BA69" s="10"/>
      <c r="BB69" s="10"/>
      <c r="BC69" s="83"/>
      <c r="BD69" s="84"/>
      <c r="BE69" s="888" t="str">
        <f>CONCATENATE(M4+31," ","место")</f>
        <v>43 место</v>
      </c>
    </row>
    <row r="70" spans="1:57" ht="11.45" customHeight="1" x14ac:dyDescent="0.2">
      <c r="A70" s="286"/>
      <c r="B70" s="286"/>
      <c r="C70" s="285"/>
      <c r="D70" s="287"/>
      <c r="E70" s="288"/>
      <c r="F70" s="288"/>
      <c r="G70" s="289"/>
      <c r="H70" s="289"/>
      <c r="I70" s="289"/>
      <c r="J70" s="289"/>
      <c r="K70" s="289"/>
      <c r="L70" s="288"/>
      <c r="M70" s="288"/>
      <c r="N70" s="288"/>
      <c r="O70" s="288"/>
      <c r="P70" s="288"/>
      <c r="Q70" s="288"/>
      <c r="R70" s="229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888" t="str">
        <f>CONCATENATE(M4+15," ","место")</f>
        <v>27 место</v>
      </c>
      <c r="AK70" s="15"/>
      <c r="AL70" s="16"/>
      <c r="AM70" s="10"/>
      <c r="AN70" s="10"/>
      <c r="AO70" s="10"/>
      <c r="AP70" s="730"/>
      <c r="AQ70" s="720"/>
      <c r="AR70" s="721"/>
      <c r="AS70" s="721"/>
      <c r="AT70" s="722"/>
      <c r="AU70" s="723"/>
      <c r="AV70" s="724"/>
      <c r="AW70" s="11"/>
      <c r="AX70" s="10"/>
      <c r="AY70" s="10"/>
      <c r="AZ70" s="85"/>
      <c r="BA70" s="85"/>
      <c r="BB70" s="85"/>
      <c r="BC70" s="11"/>
      <c r="BD70" s="10"/>
      <c r="BE70" s="50" t="str">
        <f>IF(BD71="",BD71,VLOOKUP(BD71,'Списки участников'!A:L,6,FALSE))</f>
        <v/>
      </c>
    </row>
    <row r="71" spans="1:57" ht="11.45" customHeight="1" x14ac:dyDescent="0.2"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50" t="str">
        <f>IF(AI72="",AI72,VLOOKUP(AI72,'Списки участников'!A:L,6,FALSE))</f>
        <v/>
      </c>
      <c r="AK71" s="15"/>
      <c r="AL71" s="16"/>
      <c r="AM71" s="10"/>
      <c r="AN71" s="85"/>
      <c r="AO71" s="85"/>
      <c r="AP71" s="729" t="s">
        <v>1130</v>
      </c>
      <c r="AQ71" s="725"/>
      <c r="AR71" s="726"/>
      <c r="AS71" s="726"/>
      <c r="AT71" s="727"/>
      <c r="AU71" s="728"/>
      <c r="AV71" s="724" t="str">
        <f>'Списки участников'!I122</f>
        <v>А.С. Рожкова</v>
      </c>
      <c r="AW71" s="86"/>
      <c r="AX71" s="85"/>
      <c r="AY71" s="85"/>
      <c r="BC71" s="61">
        <v>-94</v>
      </c>
      <c r="BD71" s="62" t="str">
        <f>IF(BD67="","",IF(BD67=BA66,BA68,IF(BD67=BA68,BA66)))</f>
        <v/>
      </c>
      <c r="BE71" s="268" t="str">
        <f>IF(BD71="",BD71,VLOOKUP(BD71,'Списки участников'!A:L,12,FALSE))</f>
        <v/>
      </c>
    </row>
    <row r="72" spans="1:57" x14ac:dyDescent="0.2"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7">
        <v>-70</v>
      </c>
      <c r="AI72" s="81" t="str">
        <f>IF(AI68="","",IF(AI68=AF67,AF69,IF(AI68=AF69,AF67)))</f>
        <v/>
      </c>
      <c r="AJ72" s="268" t="str">
        <f>IF(AI72="",AI72,VLOOKUP(AI72,'Списки участников'!A:L,12,FALSE))</f>
        <v/>
      </c>
      <c r="AK72" s="15"/>
      <c r="AL72" s="16"/>
      <c r="AM72" s="85"/>
    </row>
  </sheetData>
  <mergeCells count="82">
    <mergeCell ref="F66:F67"/>
    <mergeCell ref="G66:G67"/>
    <mergeCell ref="F58:F59"/>
    <mergeCell ref="G58:G59"/>
    <mergeCell ref="AV60:AV61"/>
    <mergeCell ref="AW60:AW61"/>
    <mergeCell ref="I62:I63"/>
    <mergeCell ref="J62:J63"/>
    <mergeCell ref="X62:X63"/>
    <mergeCell ref="Y62:Y63"/>
    <mergeCell ref="F50:F51"/>
    <mergeCell ref="G50:G51"/>
    <mergeCell ref="X50:X51"/>
    <mergeCell ref="Y50:Y51"/>
    <mergeCell ref="L54:L55"/>
    <mergeCell ref="M54:M55"/>
    <mergeCell ref="F42:F43"/>
    <mergeCell ref="G42:G43"/>
    <mergeCell ref="AV43:AV44"/>
    <mergeCell ref="AW43:AW44"/>
    <mergeCell ref="I46:I47"/>
    <mergeCell ref="J46:J47"/>
    <mergeCell ref="AS47:AS48"/>
    <mergeCell ref="AT47:AT48"/>
    <mergeCell ref="F34:F35"/>
    <mergeCell ref="G34:G35"/>
    <mergeCell ref="O38:O39"/>
    <mergeCell ref="P38:P39"/>
    <mergeCell ref="AS39:AS40"/>
    <mergeCell ref="AT39:AT40"/>
    <mergeCell ref="I30:I31"/>
    <mergeCell ref="J30:J31"/>
    <mergeCell ref="AD31:AD32"/>
    <mergeCell ref="AE31:AE32"/>
    <mergeCell ref="AA33:AA34"/>
    <mergeCell ref="AB33:AB34"/>
    <mergeCell ref="F26:F27"/>
    <mergeCell ref="G26:G27"/>
    <mergeCell ref="AG27:AG28"/>
    <mergeCell ref="AH27:AH28"/>
    <mergeCell ref="AV28:AV29"/>
    <mergeCell ref="AW28:AW29"/>
    <mergeCell ref="L22:L23"/>
    <mergeCell ref="M22:M23"/>
    <mergeCell ref="AD23:AD24"/>
    <mergeCell ref="AE23:AE24"/>
    <mergeCell ref="AJ24:AJ25"/>
    <mergeCell ref="AK24:AK25"/>
    <mergeCell ref="AA25:AA26"/>
    <mergeCell ref="AB25:AB26"/>
    <mergeCell ref="F18:F19"/>
    <mergeCell ref="G18:G19"/>
    <mergeCell ref="AM18:AM19"/>
    <mergeCell ref="I14:I15"/>
    <mergeCell ref="J14:J15"/>
    <mergeCell ref="AD15:AD16"/>
    <mergeCell ref="AE15:AE16"/>
    <mergeCell ref="AV11:AV12"/>
    <mergeCell ref="AW11:AW12"/>
    <mergeCell ref="AT15:AT16"/>
    <mergeCell ref="AA17:AA18"/>
    <mergeCell ref="AB17:AB18"/>
    <mergeCell ref="AS15:AS16"/>
    <mergeCell ref="A3:D3"/>
    <mergeCell ref="AD7:AD8"/>
    <mergeCell ref="AE7:AE8"/>
    <mergeCell ref="AS7:AS8"/>
    <mergeCell ref="AT7:AT8"/>
    <mergeCell ref="AJ8:AJ9"/>
    <mergeCell ref="AK8:AK9"/>
    <mergeCell ref="AA9:AA10"/>
    <mergeCell ref="AB9:AB10"/>
    <mergeCell ref="F10:F11"/>
    <mergeCell ref="G10:G11"/>
    <mergeCell ref="AG11:AG12"/>
    <mergeCell ref="AH11:AH12"/>
    <mergeCell ref="A1:R1"/>
    <mergeCell ref="S1:AM1"/>
    <mergeCell ref="AN1:BE1"/>
    <mergeCell ref="A2:R2"/>
    <mergeCell ref="S2:AM2"/>
    <mergeCell ref="AN2:BE2"/>
  </mergeCells>
  <printOptions horizontalCentered="1"/>
  <pageMargins left="0.19685039370078741" right="0.19685039370078741" top="0.19685039370078741" bottom="0.19685039370078741" header="0.19685039370078741" footer="0.51181102362204722"/>
  <pageSetup paperSize="9" scale="84" fitToWidth="3" orientation="portrait" r:id="rId1"/>
  <headerFooter alignWithMargins="0"/>
  <colBreaks count="2" manualBreakCount="2">
    <brk id="18" max="1048575" man="1"/>
    <brk id="39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W97"/>
  <sheetViews>
    <sheetView workbookViewId="0">
      <selection activeCell="V86" sqref="V86"/>
    </sheetView>
  </sheetViews>
  <sheetFormatPr defaultColWidth="9.33203125" defaultRowHeight="12.75" outlineLevelCol="1" x14ac:dyDescent="0.2"/>
  <cols>
    <col min="1" max="1" width="9" style="91" customWidth="1"/>
    <col min="2" max="2" width="6" style="91" customWidth="1" outlineLevel="1"/>
    <col min="3" max="3" width="20.83203125" style="91" customWidth="1"/>
    <col min="4" max="4" width="6.6640625" style="91" customWidth="1"/>
    <col min="5" max="5" width="20.83203125" style="91" customWidth="1"/>
    <col min="6" max="6" width="5.1640625" style="91" customWidth="1" outlineLevel="1"/>
    <col min="7" max="7" width="20.83203125" style="91" customWidth="1"/>
    <col min="8" max="8" width="5.33203125" style="91" customWidth="1"/>
    <col min="9" max="9" width="6.1640625" style="91" customWidth="1"/>
    <col min="10" max="11" width="5.33203125" style="91" customWidth="1"/>
    <col min="12" max="12" width="4.6640625" style="91" customWidth="1"/>
    <col min="13" max="13" width="4.5" style="91" customWidth="1"/>
    <col min="14" max="14" width="4.33203125" style="91" customWidth="1"/>
    <col min="15" max="15" width="3.6640625" style="91" customWidth="1"/>
    <col min="16" max="16" width="2.6640625" style="91" customWidth="1"/>
    <col min="17" max="17" width="3.5" style="91" customWidth="1"/>
    <col min="18" max="18" width="19.1640625" style="91" customWidth="1"/>
    <col min="19" max="19" width="18.6640625" style="91" customWidth="1"/>
    <col min="20" max="20" width="18.33203125" style="91" customWidth="1"/>
    <col min="21" max="21" width="5.5" style="91" customWidth="1"/>
    <col min="22" max="22" width="18.83203125" style="91" customWidth="1"/>
    <col min="23" max="23" width="5.33203125" style="91" customWidth="1"/>
    <col min="24" max="16384" width="9.33203125" style="91"/>
  </cols>
  <sheetData>
    <row r="2" spans="1:23" x14ac:dyDescent="0.2">
      <c r="A2" s="1284" t="s">
        <v>793</v>
      </c>
      <c r="B2" s="1286"/>
      <c r="C2" s="1283" t="s">
        <v>794</v>
      </c>
      <c r="D2" s="1286"/>
      <c r="E2" s="1283" t="s">
        <v>794</v>
      </c>
      <c r="F2" s="151"/>
      <c r="G2" s="1283" t="s">
        <v>795</v>
      </c>
      <c r="H2" s="1280" t="s">
        <v>796</v>
      </c>
      <c r="I2" s="1281"/>
      <c r="J2" s="1281"/>
      <c r="K2" s="1281"/>
      <c r="L2" s="1281"/>
      <c r="M2" s="1281"/>
      <c r="N2" s="1282"/>
      <c r="O2" s="152"/>
      <c r="P2" s="152"/>
      <c r="Q2" s="152"/>
      <c r="R2" s="1283" t="s">
        <v>2501</v>
      </c>
      <c r="S2" s="1283" t="s">
        <v>2502</v>
      </c>
    </row>
    <row r="3" spans="1:23" ht="13.5" thickBot="1" x14ac:dyDescent="0.25">
      <c r="A3" s="1285"/>
      <c r="B3" s="1268"/>
      <c r="C3" s="1266"/>
      <c r="D3" s="1268"/>
      <c r="E3" s="1266"/>
      <c r="F3" s="153"/>
      <c r="G3" s="1266"/>
      <c r="H3" s="154">
        <v>1</v>
      </c>
      <c r="I3" s="154">
        <v>2</v>
      </c>
      <c r="J3" s="154">
        <v>3</v>
      </c>
      <c r="K3" s="154">
        <v>4</v>
      </c>
      <c r="L3" s="154">
        <v>5</v>
      </c>
      <c r="M3" s="154">
        <v>6</v>
      </c>
      <c r="N3" s="154">
        <v>7</v>
      </c>
      <c r="O3" s="155"/>
      <c r="P3" s="155"/>
      <c r="Q3" s="155"/>
      <c r="R3" s="1266"/>
      <c r="S3" s="1266"/>
    </row>
    <row r="4" spans="1:23" ht="15" x14ac:dyDescent="0.2">
      <c r="A4" s="179">
        <v>1</v>
      </c>
      <c r="B4" s="211">
        <f>'5ф'!B7</f>
        <v>0</v>
      </c>
      <c r="C4" s="173" t="e">
        <f>IF(B4="",B4,VLOOKUP(B4,'Списки участников'!A:P,12,FALSE))</f>
        <v>#N/A</v>
      </c>
      <c r="D4" s="211">
        <f>'5ф'!B9</f>
        <v>0</v>
      </c>
      <c r="E4" s="174" t="e">
        <f>IF(D4="",D4,VLOOKUP(D4,'Списки участников'!A:P,12,FALSE))</f>
        <v>#N/A</v>
      </c>
      <c r="F4" s="208"/>
      <c r="G4" s="152" t="str">
        <f>IF(F4="","",VLOOKUP(F4,'Списки участников'!A:P,12,FALSE))</f>
        <v/>
      </c>
      <c r="H4" s="157"/>
      <c r="I4" s="157"/>
      <c r="J4" s="157"/>
      <c r="K4" s="157"/>
      <c r="L4" s="157"/>
      <c r="M4" s="158"/>
      <c r="N4" s="158"/>
      <c r="O4" s="159" t="str">
        <f>IF(F4="","",COUNTIF(H4:N4,"&gt;=0"))</f>
        <v/>
      </c>
      <c r="P4" s="160" t="str">
        <f>IF(F4="","",":")</f>
        <v/>
      </c>
      <c r="Q4" s="161" t="str">
        <f>IF(F4="","",COUNTIF(H4:N4,"&lt;0"))</f>
        <v/>
      </c>
      <c r="R4" s="162"/>
      <c r="S4" s="859" t="s">
        <v>994</v>
      </c>
      <c r="W4" s="91" t="str">
        <f>IF(N4="","",-N4)</f>
        <v/>
      </c>
    </row>
    <row r="5" spans="1:23" ht="15" x14ac:dyDescent="0.2">
      <c r="A5" s="180">
        <v>2</v>
      </c>
      <c r="B5" s="212">
        <f>'5ф'!B11</f>
        <v>0</v>
      </c>
      <c r="C5" s="173" t="e">
        <f>IF(B5="",B5,VLOOKUP(B5,'Списки участников'!A:P,12,FALSE))</f>
        <v>#N/A</v>
      </c>
      <c r="D5" s="212">
        <f>'5ф'!B13</f>
        <v>0</v>
      </c>
      <c r="E5" s="174" t="e">
        <f>IF(D5="",D5,VLOOKUP(D5,'Списки участников'!A:P,12,FALSE))</f>
        <v>#N/A</v>
      </c>
      <c r="F5" s="209"/>
      <c r="G5" s="152" t="str">
        <f>IF(F5="","",VLOOKUP(F5,'Списки участников'!A:P,12,FALSE))</f>
        <v/>
      </c>
      <c r="H5" s="165"/>
      <c r="I5" s="165"/>
      <c r="J5" s="166"/>
      <c r="K5" s="166"/>
      <c r="L5" s="166"/>
      <c r="M5" s="165"/>
      <c r="N5" s="165"/>
      <c r="O5" s="159" t="str">
        <f t="shared" ref="O5:O68" si="0">IF(F5="","",COUNTIF(H5:N5,"&gt;=0"))</f>
        <v/>
      </c>
      <c r="P5" s="168" t="str">
        <f t="shared" ref="P5:P68" si="1">IF(F5="","",":")</f>
        <v/>
      </c>
      <c r="Q5" s="161" t="str">
        <f t="shared" ref="Q5:Q68" si="2">IF(F5="","",COUNTIF(H5:N5,"&lt;0"))</f>
        <v/>
      </c>
      <c r="R5" s="170" t="str">
        <f t="shared" ref="R5:R68" si="3">IF(F5="","",IF(K5="",CONCATENATE(O5,"-",Q5,"(",H5,",",I5,",",J5,")"),IF(L5="",CONCATENATE(O5,"-",Q5,"(",H5,",",I5,",",J5,",",K5,")"),IF(M5="",CONCATENATE(O5,"-",Q5,"(",H5,",",I5,",",J5,",",K5,",",L5,")"),IF(N5="",CONCATENATE(O5,"-",Q5,"(",H5,",",I5,",",J5,",",K5,",",L5,",",M5,")"),IF(N5&lt;&gt;0,CONCATENATE(O5,"-",Q5,"(",H5,",",I5,",",J5,",",K5,",",L5,",",M5,",",N5,")")))))))</f>
        <v/>
      </c>
      <c r="S5" s="859" t="s">
        <v>994</v>
      </c>
      <c r="W5" s="91" t="str">
        <f>IF(N5="","",-N5)</f>
        <v/>
      </c>
    </row>
    <row r="6" spans="1:23" ht="15" x14ac:dyDescent="0.2">
      <c r="A6" s="180">
        <v>3</v>
      </c>
      <c r="B6" s="212">
        <f>'5ф'!B15</f>
        <v>0</v>
      </c>
      <c r="C6" s="173" t="e">
        <f>IF(B6="",B6,VLOOKUP(B6,'Списки участников'!A:P,12,FALSE))</f>
        <v>#N/A</v>
      </c>
      <c r="D6" s="212">
        <f>'5ф'!B17</f>
        <v>0</v>
      </c>
      <c r="E6" s="174" t="e">
        <f>IF(D6="",D6,VLOOKUP(D6,'Списки участников'!A:P,12,FALSE))</f>
        <v>#N/A</v>
      </c>
      <c r="F6" s="208"/>
      <c r="G6" s="152" t="str">
        <f>IF(F6="","",VLOOKUP(F6,'Списки участников'!A:P,12,FALSE))</f>
        <v/>
      </c>
      <c r="H6" s="165"/>
      <c r="I6" s="165"/>
      <c r="J6" s="165"/>
      <c r="K6" s="165"/>
      <c r="L6" s="165"/>
      <c r="M6" s="165"/>
      <c r="N6" s="165"/>
      <c r="O6" s="159" t="str">
        <f t="shared" si="0"/>
        <v/>
      </c>
      <c r="P6" s="168" t="str">
        <f t="shared" si="1"/>
        <v/>
      </c>
      <c r="Q6" s="161" t="str">
        <f t="shared" si="2"/>
        <v/>
      </c>
      <c r="R6" s="170"/>
      <c r="S6" s="859" t="s">
        <v>994</v>
      </c>
      <c r="W6" s="91" t="str">
        <f t="shared" ref="W6:W21" si="4">IF(N6="","",-N6)</f>
        <v/>
      </c>
    </row>
    <row r="7" spans="1:23" ht="15" x14ac:dyDescent="0.2">
      <c r="A7" s="180">
        <v>4</v>
      </c>
      <c r="B7" s="212">
        <f>'5ф'!B19</f>
        <v>0</v>
      </c>
      <c r="C7" s="173" t="e">
        <f>IF(B7="",B7,VLOOKUP(B7,'Списки участников'!A:P,12,FALSE))</f>
        <v>#N/A</v>
      </c>
      <c r="D7" s="212">
        <f>'5ф'!B21</f>
        <v>0</v>
      </c>
      <c r="E7" s="174" t="e">
        <f>IF(D7="",D7,VLOOKUP(D7,'Списки участников'!A:P,12,FALSE))</f>
        <v>#N/A</v>
      </c>
      <c r="F7" s="209"/>
      <c r="G7" s="152" t="str">
        <f>IF(F7="","",VLOOKUP(F7,'Списки участников'!A:P,12,FALSE))</f>
        <v/>
      </c>
      <c r="H7" s="165"/>
      <c r="I7" s="165"/>
      <c r="J7" s="165"/>
      <c r="K7" s="165"/>
      <c r="L7" s="165"/>
      <c r="M7" s="165"/>
      <c r="N7" s="165"/>
      <c r="O7" s="159" t="str">
        <f t="shared" si="0"/>
        <v/>
      </c>
      <c r="P7" s="168" t="str">
        <f t="shared" si="1"/>
        <v/>
      </c>
      <c r="Q7" s="161" t="str">
        <f t="shared" si="2"/>
        <v/>
      </c>
      <c r="R7" s="170"/>
      <c r="S7" s="859" t="s">
        <v>994</v>
      </c>
      <c r="W7" s="91" t="str">
        <f t="shared" si="4"/>
        <v/>
      </c>
    </row>
    <row r="8" spans="1:23" ht="15" x14ac:dyDescent="0.2">
      <c r="A8" s="180">
        <v>5</v>
      </c>
      <c r="B8" s="212">
        <f>'5ф'!B23</f>
        <v>0</v>
      </c>
      <c r="C8" s="173" t="e">
        <f>IF(B8="",B8,VLOOKUP(B8,'Списки участников'!A:P,12,FALSE))</f>
        <v>#N/A</v>
      </c>
      <c r="D8" s="212">
        <f>'5ф'!B25</f>
        <v>0</v>
      </c>
      <c r="E8" s="174" t="e">
        <f>IF(D8="",D8,VLOOKUP(D8,'Списки участников'!A:P,12,FALSE))</f>
        <v>#N/A</v>
      </c>
      <c r="F8" s="208"/>
      <c r="G8" s="152" t="str">
        <f>IF(F8="","",VLOOKUP(F8,'Списки участников'!A:P,12,FALSE))</f>
        <v/>
      </c>
      <c r="H8" s="165"/>
      <c r="I8" s="165"/>
      <c r="J8" s="165"/>
      <c r="K8" s="165"/>
      <c r="L8" s="165"/>
      <c r="M8" s="165"/>
      <c r="N8" s="165"/>
      <c r="O8" s="159" t="str">
        <f t="shared" si="0"/>
        <v/>
      </c>
      <c r="P8" s="168" t="str">
        <f t="shared" si="1"/>
        <v/>
      </c>
      <c r="Q8" s="161" t="str">
        <f t="shared" si="2"/>
        <v/>
      </c>
      <c r="R8" s="170"/>
      <c r="S8" s="859" t="s">
        <v>994</v>
      </c>
      <c r="W8" s="91" t="str">
        <f t="shared" si="4"/>
        <v/>
      </c>
    </row>
    <row r="9" spans="1:23" ht="15" x14ac:dyDescent="0.2">
      <c r="A9" s="180">
        <v>6</v>
      </c>
      <c r="B9" s="212">
        <f>'5ф'!B27</f>
        <v>0</v>
      </c>
      <c r="C9" s="173" t="e">
        <f>IF(B9="",B9,VLOOKUP(B9,'Списки участников'!A:P,12,FALSE))</f>
        <v>#N/A</v>
      </c>
      <c r="D9" s="212">
        <f>'5ф'!B29</f>
        <v>0</v>
      </c>
      <c r="E9" s="174" t="e">
        <f>IF(D9="",D9,VLOOKUP(D9,'Списки участников'!A:P,12,FALSE))</f>
        <v>#N/A</v>
      </c>
      <c r="F9" s="209"/>
      <c r="G9" s="152" t="str">
        <f>IF(F9="","",VLOOKUP(F9,'Списки участников'!A:P,12,FALSE))</f>
        <v/>
      </c>
      <c r="H9" s="165"/>
      <c r="I9" s="165"/>
      <c r="J9" s="165"/>
      <c r="K9" s="165"/>
      <c r="L9" s="165"/>
      <c r="M9" s="165"/>
      <c r="N9" s="165"/>
      <c r="O9" s="159" t="str">
        <f t="shared" si="0"/>
        <v/>
      </c>
      <c r="P9" s="168" t="str">
        <f t="shared" si="1"/>
        <v/>
      </c>
      <c r="Q9" s="161" t="str">
        <f t="shared" si="2"/>
        <v/>
      </c>
      <c r="R9" s="170" t="str">
        <f t="shared" si="3"/>
        <v/>
      </c>
      <c r="S9" s="859" t="s">
        <v>994</v>
      </c>
      <c r="W9" s="91" t="str">
        <f t="shared" si="4"/>
        <v/>
      </c>
    </row>
    <row r="10" spans="1:23" ht="15" x14ac:dyDescent="0.2">
      <c r="A10" s="180">
        <v>7</v>
      </c>
      <c r="B10" s="212">
        <f>'5ф'!B31</f>
        <v>0</v>
      </c>
      <c r="C10" s="173" t="e">
        <f>IF(B10="",B10,VLOOKUP(B10,'Списки участников'!A:P,12,FALSE))</f>
        <v>#N/A</v>
      </c>
      <c r="D10" s="212">
        <f>'5ф'!B33</f>
        <v>0</v>
      </c>
      <c r="E10" s="174" t="e">
        <f>IF(D10="",D10,VLOOKUP(D10,'Списки участников'!A:P,12,FALSE))</f>
        <v>#N/A</v>
      </c>
      <c r="F10" s="208"/>
      <c r="G10" s="152" t="str">
        <f>IF(F10="","",VLOOKUP(F10,'Списки участников'!A:P,12,FALSE))</f>
        <v/>
      </c>
      <c r="H10" s="165"/>
      <c r="I10" s="165"/>
      <c r="J10" s="165"/>
      <c r="K10" s="165"/>
      <c r="L10" s="165"/>
      <c r="M10" s="165"/>
      <c r="N10" s="165"/>
      <c r="O10" s="159" t="str">
        <f t="shared" si="0"/>
        <v/>
      </c>
      <c r="P10" s="168" t="str">
        <f t="shared" si="1"/>
        <v/>
      </c>
      <c r="Q10" s="161" t="str">
        <f t="shared" si="2"/>
        <v/>
      </c>
      <c r="R10" s="170"/>
      <c r="S10" s="859" t="s">
        <v>994</v>
      </c>
      <c r="W10" s="91" t="str">
        <f t="shared" si="4"/>
        <v/>
      </c>
    </row>
    <row r="11" spans="1:23" ht="15" x14ac:dyDescent="0.2">
      <c r="A11" s="180">
        <v>8</v>
      </c>
      <c r="B11" s="212">
        <f>'5ф'!B35</f>
        <v>0</v>
      </c>
      <c r="C11" s="173" t="e">
        <f>IF(B11="",B11,VLOOKUP(B11,'Списки участников'!A:P,12,FALSE))</f>
        <v>#N/A</v>
      </c>
      <c r="D11" s="212">
        <f>'5ф'!B37</f>
        <v>0</v>
      </c>
      <c r="E11" s="174" t="e">
        <f>IF(D11="",D11,VLOOKUP(D11,'Списки участников'!A:P,12,FALSE))</f>
        <v>#N/A</v>
      </c>
      <c r="F11" s="209"/>
      <c r="G11" s="152" t="str">
        <f>IF(F11="","",VLOOKUP(F11,'Списки участников'!A:P,12,FALSE))</f>
        <v/>
      </c>
      <c r="H11" s="165"/>
      <c r="I11" s="165"/>
      <c r="J11" s="165"/>
      <c r="K11" s="165"/>
      <c r="L11" s="165"/>
      <c r="M11" s="165"/>
      <c r="N11" s="165"/>
      <c r="O11" s="159" t="str">
        <f t="shared" si="0"/>
        <v/>
      </c>
      <c r="P11" s="168" t="str">
        <f t="shared" si="1"/>
        <v/>
      </c>
      <c r="Q11" s="161" t="str">
        <f t="shared" si="2"/>
        <v/>
      </c>
      <c r="R11" s="170"/>
      <c r="S11" s="859" t="s">
        <v>994</v>
      </c>
      <c r="T11" s="171"/>
      <c r="W11" s="91" t="str">
        <f t="shared" si="4"/>
        <v/>
      </c>
    </row>
    <row r="12" spans="1:23" ht="15" x14ac:dyDescent="0.2">
      <c r="A12" s="180">
        <v>9</v>
      </c>
      <c r="B12" s="212">
        <f>'5ф'!B39</f>
        <v>0</v>
      </c>
      <c r="C12" s="173" t="e">
        <f>IF(B12="",B12,VLOOKUP(B12,'Списки участников'!A:P,12,FALSE))</f>
        <v>#N/A</v>
      </c>
      <c r="D12" s="212">
        <f>'5ф'!B41</f>
        <v>0</v>
      </c>
      <c r="E12" s="174" t="e">
        <f>IF(D12="",D12,VLOOKUP(D12,'Списки участников'!A:P,12,FALSE))</f>
        <v>#N/A</v>
      </c>
      <c r="F12" s="208"/>
      <c r="G12" s="152" t="str">
        <f>IF(F12="","",VLOOKUP(F12,'Списки участников'!A:P,12,FALSE))</f>
        <v/>
      </c>
      <c r="H12" s="165"/>
      <c r="I12" s="165"/>
      <c r="J12" s="165"/>
      <c r="K12" s="165"/>
      <c r="L12" s="165"/>
      <c r="M12" s="165"/>
      <c r="N12" s="165"/>
      <c r="O12" s="159" t="str">
        <f t="shared" si="0"/>
        <v/>
      </c>
      <c r="P12" s="168" t="str">
        <f t="shared" si="1"/>
        <v/>
      </c>
      <c r="Q12" s="161" t="str">
        <f t="shared" si="2"/>
        <v/>
      </c>
      <c r="R12" s="170"/>
      <c r="S12" s="859" t="s">
        <v>994</v>
      </c>
      <c r="W12" s="91" t="str">
        <f t="shared" si="4"/>
        <v/>
      </c>
    </row>
    <row r="13" spans="1:23" ht="15" x14ac:dyDescent="0.2">
      <c r="A13" s="180">
        <v>10</v>
      </c>
      <c r="B13" s="212">
        <f>'5ф'!B43</f>
        <v>0</v>
      </c>
      <c r="C13" s="173" t="e">
        <f>IF(B13="",B13,VLOOKUP(B13,'Списки участников'!A:P,12,FALSE))</f>
        <v>#N/A</v>
      </c>
      <c r="D13" s="212">
        <f>'5ф'!B45</f>
        <v>0</v>
      </c>
      <c r="E13" s="174" t="e">
        <f>IF(D13="",D13,VLOOKUP(D13,'Списки участников'!A:P,12,FALSE))</f>
        <v>#N/A</v>
      </c>
      <c r="F13" s="209"/>
      <c r="G13" s="152" t="str">
        <f>IF(F13="","",VLOOKUP(F13,'Списки участников'!A:P,12,FALSE))</f>
        <v/>
      </c>
      <c r="H13" s="165"/>
      <c r="I13" s="165"/>
      <c r="J13" s="165"/>
      <c r="K13" s="165"/>
      <c r="L13" s="165"/>
      <c r="M13" s="165"/>
      <c r="N13" s="165"/>
      <c r="O13" s="159" t="str">
        <f t="shared" si="0"/>
        <v/>
      </c>
      <c r="P13" s="168" t="str">
        <f t="shared" si="1"/>
        <v/>
      </c>
      <c r="Q13" s="161" t="str">
        <f t="shared" si="2"/>
        <v/>
      </c>
      <c r="R13" s="170"/>
      <c r="S13" s="859" t="s">
        <v>994</v>
      </c>
      <c r="W13" s="91" t="str">
        <f t="shared" si="4"/>
        <v/>
      </c>
    </row>
    <row r="14" spans="1:23" ht="15" x14ac:dyDescent="0.2">
      <c r="A14" s="180">
        <v>11</v>
      </c>
      <c r="B14" s="212">
        <f>'5ф'!B47</f>
        <v>0</v>
      </c>
      <c r="C14" s="173" t="e">
        <f>IF(B14="",B14,VLOOKUP(B14,'Списки участников'!A:P,12,FALSE))</f>
        <v>#N/A</v>
      </c>
      <c r="D14" s="212">
        <f>'5ф'!B49</f>
        <v>0</v>
      </c>
      <c r="E14" s="174" t="e">
        <f>IF(D14="",D14,VLOOKUP(D14,'Списки участников'!A:P,12,FALSE))</f>
        <v>#N/A</v>
      </c>
      <c r="F14" s="208"/>
      <c r="G14" s="152" t="str">
        <f>IF(F14="","",VLOOKUP(F14,'Списки участников'!A:P,12,FALSE))</f>
        <v/>
      </c>
      <c r="H14" s="165"/>
      <c r="I14" s="165"/>
      <c r="J14" s="165"/>
      <c r="K14" s="165"/>
      <c r="L14" s="165"/>
      <c r="M14" s="165"/>
      <c r="N14" s="165"/>
      <c r="O14" s="159" t="str">
        <f t="shared" si="0"/>
        <v/>
      </c>
      <c r="P14" s="168" t="str">
        <f t="shared" si="1"/>
        <v/>
      </c>
      <c r="Q14" s="161" t="str">
        <f t="shared" si="2"/>
        <v/>
      </c>
      <c r="R14" s="170"/>
      <c r="S14" s="859" t="s">
        <v>994</v>
      </c>
      <c r="W14" s="91" t="str">
        <f t="shared" si="4"/>
        <v/>
      </c>
    </row>
    <row r="15" spans="1:23" ht="15" x14ac:dyDescent="0.2">
      <c r="A15" s="180">
        <v>12</v>
      </c>
      <c r="B15" s="212">
        <f>'5ф'!B51</f>
        <v>0</v>
      </c>
      <c r="C15" s="173" t="e">
        <f>IF(B15="",B15,VLOOKUP(B15,'Списки участников'!A:P,12,FALSE))</f>
        <v>#N/A</v>
      </c>
      <c r="D15" s="212">
        <f>'5ф'!B53</f>
        <v>0</v>
      </c>
      <c r="E15" s="174" t="e">
        <f>IF(D15="",D15,VLOOKUP(D15,'Списки участников'!A:P,12,FALSE))</f>
        <v>#N/A</v>
      </c>
      <c r="F15" s="209"/>
      <c r="G15" s="152" t="str">
        <f>IF(F15="","",VLOOKUP(F15,'Списки участников'!A:P,12,FALSE))</f>
        <v/>
      </c>
      <c r="H15" s="165"/>
      <c r="I15" s="165"/>
      <c r="J15" s="165"/>
      <c r="K15" s="165"/>
      <c r="L15" s="165"/>
      <c r="M15" s="165"/>
      <c r="N15" s="165"/>
      <c r="O15" s="159" t="str">
        <f t="shared" si="0"/>
        <v/>
      </c>
      <c r="P15" s="168" t="str">
        <f t="shared" si="1"/>
        <v/>
      </c>
      <c r="Q15" s="161" t="str">
        <f t="shared" si="2"/>
        <v/>
      </c>
      <c r="R15" s="170"/>
      <c r="S15" s="859" t="s">
        <v>994</v>
      </c>
      <c r="W15" s="91" t="str">
        <f t="shared" si="4"/>
        <v/>
      </c>
    </row>
    <row r="16" spans="1:23" ht="15" x14ac:dyDescent="0.2">
      <c r="A16" s="180">
        <v>13</v>
      </c>
      <c r="B16" s="212">
        <f>'5ф'!B55</f>
        <v>0</v>
      </c>
      <c r="C16" s="173" t="e">
        <f>IF(B16="",B16,VLOOKUP(B16,'Списки участников'!A:P,12,FALSE))</f>
        <v>#N/A</v>
      </c>
      <c r="D16" s="212">
        <f>'5ф'!B57</f>
        <v>0</v>
      </c>
      <c r="E16" s="174" t="e">
        <f>IF(D16="",D16,VLOOKUP(D16,'Списки участников'!A:P,12,FALSE))</f>
        <v>#N/A</v>
      </c>
      <c r="F16" s="208"/>
      <c r="G16" s="152" t="str">
        <f>IF(F16="","",VLOOKUP(F16,'Списки участников'!A:P,12,FALSE))</f>
        <v/>
      </c>
      <c r="H16" s="165"/>
      <c r="I16" s="165"/>
      <c r="J16" s="165"/>
      <c r="K16" s="165"/>
      <c r="L16" s="165"/>
      <c r="M16" s="165"/>
      <c r="N16" s="165"/>
      <c r="O16" s="159" t="str">
        <f t="shared" si="0"/>
        <v/>
      </c>
      <c r="P16" s="168" t="str">
        <f t="shared" si="1"/>
        <v/>
      </c>
      <c r="Q16" s="161" t="str">
        <f t="shared" si="2"/>
        <v/>
      </c>
      <c r="R16" s="170"/>
      <c r="S16" s="859" t="s">
        <v>994</v>
      </c>
      <c r="W16" s="91" t="str">
        <f t="shared" si="4"/>
        <v/>
      </c>
    </row>
    <row r="17" spans="1:23" ht="15" x14ac:dyDescent="0.2">
      <c r="A17" s="180">
        <v>14</v>
      </c>
      <c r="B17" s="212">
        <f>'5ф'!B59</f>
        <v>0</v>
      </c>
      <c r="C17" s="173" t="e">
        <f>IF(B17="",B17,VLOOKUP(B17,'Списки участников'!A:P,12,FALSE))</f>
        <v>#N/A</v>
      </c>
      <c r="D17" s="212">
        <f>'5ф'!B61</f>
        <v>0</v>
      </c>
      <c r="E17" s="174" t="e">
        <f>IF(D17="",D17,VLOOKUP(D17,'Списки участников'!A:P,12,FALSE))</f>
        <v>#N/A</v>
      </c>
      <c r="F17" s="209"/>
      <c r="G17" s="152" t="str">
        <f>IF(F17="","",VLOOKUP(F17,'Списки участников'!A:P,12,FALSE))</f>
        <v/>
      </c>
      <c r="H17" s="165"/>
      <c r="I17" s="165"/>
      <c r="J17" s="165"/>
      <c r="K17" s="165"/>
      <c r="L17" s="165"/>
      <c r="M17" s="165"/>
      <c r="N17" s="165"/>
      <c r="O17" s="159" t="str">
        <f t="shared" si="0"/>
        <v/>
      </c>
      <c r="P17" s="168" t="str">
        <f t="shared" si="1"/>
        <v/>
      </c>
      <c r="Q17" s="161" t="str">
        <f t="shared" si="2"/>
        <v/>
      </c>
      <c r="R17" s="170" t="str">
        <f t="shared" si="3"/>
        <v/>
      </c>
      <c r="S17" s="859" t="s">
        <v>994</v>
      </c>
      <c r="W17" s="91" t="str">
        <f t="shared" si="4"/>
        <v/>
      </c>
    </row>
    <row r="18" spans="1:23" ht="15" x14ac:dyDescent="0.2">
      <c r="A18" s="180">
        <v>15</v>
      </c>
      <c r="B18" s="212">
        <f>'5ф'!B63</f>
        <v>0</v>
      </c>
      <c r="C18" s="173" t="e">
        <f>IF(B18="",B18,VLOOKUP(B18,'Списки участников'!A:P,12,FALSE))</f>
        <v>#N/A</v>
      </c>
      <c r="D18" s="212">
        <f>'5ф'!B65</f>
        <v>0</v>
      </c>
      <c r="E18" s="174" t="e">
        <f>IF(D18="",D18,VLOOKUP(D18,'Списки участников'!A:P,12,FALSE))</f>
        <v>#N/A</v>
      </c>
      <c r="F18" s="208"/>
      <c r="G18" s="152" t="str">
        <f>IF(F18="","",VLOOKUP(F18,'Списки участников'!A:P,12,FALSE))</f>
        <v/>
      </c>
      <c r="H18" s="165"/>
      <c r="I18" s="165"/>
      <c r="J18" s="165"/>
      <c r="K18" s="165"/>
      <c r="L18" s="165"/>
      <c r="M18" s="165"/>
      <c r="N18" s="165"/>
      <c r="O18" s="159" t="str">
        <f t="shared" si="0"/>
        <v/>
      </c>
      <c r="P18" s="168" t="str">
        <f t="shared" si="1"/>
        <v/>
      </c>
      <c r="Q18" s="161" t="str">
        <f t="shared" si="2"/>
        <v/>
      </c>
      <c r="R18" s="170" t="str">
        <f t="shared" si="3"/>
        <v/>
      </c>
      <c r="S18" s="859" t="s">
        <v>994</v>
      </c>
      <c r="W18" s="91" t="str">
        <f t="shared" si="4"/>
        <v/>
      </c>
    </row>
    <row r="19" spans="1:23" ht="15" x14ac:dyDescent="0.2">
      <c r="A19" s="180">
        <v>16</v>
      </c>
      <c r="B19" s="156">
        <f>'5ф'!B67</f>
        <v>0</v>
      </c>
      <c r="C19" s="173" t="e">
        <f>IF(B19="",B19,VLOOKUP(B19,'Списки участников'!A:P,12,FALSE))</f>
        <v>#N/A</v>
      </c>
      <c r="D19" s="156">
        <f>'5ф'!B69</f>
        <v>0</v>
      </c>
      <c r="E19" s="174" t="e">
        <f>IF(D19="",D19,VLOOKUP(D19,'Списки участников'!A:P,12,FALSE))</f>
        <v>#N/A</v>
      </c>
      <c r="F19" s="209"/>
      <c r="G19" s="152" t="str">
        <f>IF(F19="","",VLOOKUP(F19,'Списки участников'!A:P,12,FALSE))</f>
        <v/>
      </c>
      <c r="H19" s="165"/>
      <c r="I19" s="165"/>
      <c r="J19" s="165"/>
      <c r="K19" s="165"/>
      <c r="L19" s="165"/>
      <c r="M19" s="165"/>
      <c r="N19" s="165"/>
      <c r="O19" s="159" t="str">
        <f t="shared" si="0"/>
        <v/>
      </c>
      <c r="P19" s="168" t="str">
        <f t="shared" si="1"/>
        <v/>
      </c>
      <c r="Q19" s="161" t="str">
        <f t="shared" si="2"/>
        <v/>
      </c>
      <c r="R19" s="170"/>
      <c r="S19" s="859" t="s">
        <v>994</v>
      </c>
      <c r="W19" s="91" t="str">
        <f t="shared" si="4"/>
        <v/>
      </c>
    </row>
    <row r="20" spans="1:23" ht="15" x14ac:dyDescent="0.2">
      <c r="A20" s="163">
        <v>17</v>
      </c>
      <c r="B20" s="209" t="str">
        <f>IF(F4="","",F4)</f>
        <v/>
      </c>
      <c r="C20" s="152" t="str">
        <f>IF(B20="",B20,VLOOKUP(B20,'Списки участников'!A:P,12,FALSE))</f>
        <v/>
      </c>
      <c r="D20" s="209" t="str">
        <f>IF(F5="","",F5)</f>
        <v/>
      </c>
      <c r="E20" s="152" t="str">
        <f>IF(D20="",D20,VLOOKUP(D20,'Списки участников'!A:P,12,FALSE))</f>
        <v/>
      </c>
      <c r="F20" s="164"/>
      <c r="G20" s="152" t="str">
        <f>IF(F20="","",VLOOKUP(F20,'Списки участников'!A:P,12,FALSE))</f>
        <v/>
      </c>
      <c r="H20" s="165"/>
      <c r="I20" s="165"/>
      <c r="J20" s="165"/>
      <c r="K20" s="165"/>
      <c r="L20" s="165"/>
      <c r="M20" s="165"/>
      <c r="N20" s="165"/>
      <c r="O20" s="159" t="str">
        <f t="shared" si="0"/>
        <v/>
      </c>
      <c r="P20" s="168" t="str">
        <f t="shared" si="1"/>
        <v/>
      </c>
      <c r="Q20" s="161" t="str">
        <f t="shared" si="2"/>
        <v/>
      </c>
      <c r="R20" s="170" t="str">
        <f t="shared" si="3"/>
        <v/>
      </c>
      <c r="S20" s="860" t="s">
        <v>2482</v>
      </c>
      <c r="W20" s="91" t="str">
        <f t="shared" si="4"/>
        <v/>
      </c>
    </row>
    <row r="21" spans="1:23" ht="15" x14ac:dyDescent="0.2">
      <c r="A21" s="163">
        <v>18</v>
      </c>
      <c r="B21" s="209" t="str">
        <f>IF(F6="","",F6)</f>
        <v/>
      </c>
      <c r="C21" s="152" t="str">
        <f>IF(B21="",B21,VLOOKUP(B21,'Списки участников'!A:P,12,FALSE))</f>
        <v/>
      </c>
      <c r="D21" s="209" t="str">
        <f>IF(F7="","",F7)</f>
        <v/>
      </c>
      <c r="E21" s="152" t="str">
        <f>IF(D21="",D21,VLOOKUP(D21,'Списки участников'!A:P,12,FALSE))</f>
        <v/>
      </c>
      <c r="F21" s="164"/>
      <c r="G21" s="152" t="str">
        <f>IF(F21="","",VLOOKUP(F21,'Списки участников'!A:P,12,FALSE))</f>
        <v/>
      </c>
      <c r="H21" s="165"/>
      <c r="I21" s="165"/>
      <c r="J21" s="165"/>
      <c r="K21" s="165"/>
      <c r="L21" s="165"/>
      <c r="M21" s="165"/>
      <c r="N21" s="165"/>
      <c r="O21" s="159" t="str">
        <f t="shared" si="0"/>
        <v/>
      </c>
      <c r="P21" s="168" t="str">
        <f t="shared" si="1"/>
        <v/>
      </c>
      <c r="Q21" s="161" t="str">
        <f t="shared" si="2"/>
        <v/>
      </c>
      <c r="R21" s="170" t="str">
        <f t="shared" si="3"/>
        <v/>
      </c>
      <c r="S21" s="860" t="s">
        <v>2482</v>
      </c>
      <c r="W21" s="91" t="str">
        <f t="shared" si="4"/>
        <v/>
      </c>
    </row>
    <row r="22" spans="1:23" ht="15" x14ac:dyDescent="0.2">
      <c r="A22" s="163">
        <v>19</v>
      </c>
      <c r="B22" s="209" t="str">
        <f>IF(F8="","",F8)</f>
        <v/>
      </c>
      <c r="C22" s="152" t="str">
        <f>IF(B22="",B22,VLOOKUP(B22,'Списки участников'!A:P,12,FALSE))</f>
        <v/>
      </c>
      <c r="D22" s="209" t="str">
        <f>IF(F9="","",F9)</f>
        <v/>
      </c>
      <c r="E22" s="152" t="str">
        <f>IF(D22="",D22,VLOOKUP(D22,'Списки участников'!A:P,12,FALSE))</f>
        <v/>
      </c>
      <c r="F22" s="164"/>
      <c r="G22" s="152" t="str">
        <f>IF(F22="","",VLOOKUP(F22,'Списки участников'!A:P,12,FALSE))</f>
        <v/>
      </c>
      <c r="H22" s="172"/>
      <c r="I22" s="172"/>
      <c r="J22" s="172"/>
      <c r="K22" s="172"/>
      <c r="L22" s="172"/>
      <c r="M22" s="172"/>
      <c r="N22" s="172"/>
      <c r="O22" s="159" t="str">
        <f t="shared" si="0"/>
        <v/>
      </c>
      <c r="P22" s="168" t="str">
        <f t="shared" si="1"/>
        <v/>
      </c>
      <c r="Q22" s="161" t="str">
        <f t="shared" si="2"/>
        <v/>
      </c>
      <c r="R22" s="170" t="str">
        <f t="shared" si="3"/>
        <v/>
      </c>
      <c r="S22" s="860" t="s">
        <v>2482</v>
      </c>
    </row>
    <row r="23" spans="1:23" ht="15" x14ac:dyDescent="0.2">
      <c r="A23" s="163">
        <v>20</v>
      </c>
      <c r="B23" s="209" t="str">
        <f>IF(F10="","",F10)</f>
        <v/>
      </c>
      <c r="C23" s="152" t="str">
        <f>IF(B23="",B23,VLOOKUP(B23,'Списки участников'!A:P,12,FALSE))</f>
        <v/>
      </c>
      <c r="D23" s="209" t="str">
        <f>IF(F11="","",F11)</f>
        <v/>
      </c>
      <c r="E23" s="152" t="str">
        <f>IF(D23="",D23,VLOOKUP(D23,'Списки участников'!A:P,12,FALSE))</f>
        <v/>
      </c>
      <c r="F23" s="164"/>
      <c r="G23" s="152" t="str">
        <f>IF(F23="","",VLOOKUP(F23,'Списки участников'!A:P,12,FALSE))</f>
        <v/>
      </c>
      <c r="H23" s="172"/>
      <c r="I23" s="172"/>
      <c r="J23" s="172"/>
      <c r="K23" s="172"/>
      <c r="L23" s="172"/>
      <c r="M23" s="172"/>
      <c r="N23" s="172"/>
      <c r="O23" s="159" t="str">
        <f t="shared" si="0"/>
        <v/>
      </c>
      <c r="P23" s="168" t="str">
        <f t="shared" si="1"/>
        <v/>
      </c>
      <c r="Q23" s="161" t="str">
        <f t="shared" si="2"/>
        <v/>
      </c>
      <c r="R23" s="170" t="str">
        <f t="shared" si="3"/>
        <v/>
      </c>
      <c r="S23" s="860" t="s">
        <v>2482</v>
      </c>
    </row>
    <row r="24" spans="1:23" ht="15" x14ac:dyDescent="0.2">
      <c r="A24" s="163">
        <v>21</v>
      </c>
      <c r="B24" s="209" t="str">
        <f>IF(F12="","",F12)</f>
        <v/>
      </c>
      <c r="C24" s="152" t="str">
        <f>IF(B24="",B24,VLOOKUP(B24,'Списки участников'!A:P,12,FALSE))</f>
        <v/>
      </c>
      <c r="D24" s="209" t="str">
        <f>IF(F13="","",F13)</f>
        <v/>
      </c>
      <c r="E24" s="152" t="str">
        <f>IF(D24="",D24,VLOOKUP(D24,'Списки участников'!A:P,12,FALSE))</f>
        <v/>
      </c>
      <c r="F24" s="164"/>
      <c r="G24" s="152" t="str">
        <f>IF(F24="","",VLOOKUP(F24,'Списки участников'!A:P,12,FALSE))</f>
        <v/>
      </c>
      <c r="H24" s="172"/>
      <c r="I24" s="172"/>
      <c r="J24" s="172"/>
      <c r="K24" s="172"/>
      <c r="L24" s="172"/>
      <c r="M24" s="172"/>
      <c r="N24" s="172"/>
      <c r="O24" s="159" t="str">
        <f t="shared" si="0"/>
        <v/>
      </c>
      <c r="P24" s="168" t="str">
        <f t="shared" si="1"/>
        <v/>
      </c>
      <c r="Q24" s="161" t="str">
        <f t="shared" si="2"/>
        <v/>
      </c>
      <c r="R24" s="170" t="str">
        <f t="shared" si="3"/>
        <v/>
      </c>
      <c r="S24" s="860" t="s">
        <v>2482</v>
      </c>
    </row>
    <row r="25" spans="1:23" ht="15" x14ac:dyDescent="0.2">
      <c r="A25" s="163">
        <v>22</v>
      </c>
      <c r="B25" s="209" t="str">
        <f>IF(F14="","",F14)</f>
        <v/>
      </c>
      <c r="C25" s="152" t="str">
        <f>IF(B25="",B25,VLOOKUP(B25,'Списки участников'!A:P,12,FALSE))</f>
        <v/>
      </c>
      <c r="D25" s="209" t="str">
        <f>IF(F15="","",F15)</f>
        <v/>
      </c>
      <c r="E25" s="152" t="str">
        <f>IF(D25="",D25,VLOOKUP(D25,'Списки участников'!A:P,12,FALSE))</f>
        <v/>
      </c>
      <c r="F25" s="164"/>
      <c r="G25" s="152" t="str">
        <f>IF(F25="","",VLOOKUP(F25,'Списки участников'!A:P,12,FALSE))</f>
        <v/>
      </c>
      <c r="H25" s="172"/>
      <c r="I25" s="172"/>
      <c r="J25" s="172"/>
      <c r="K25" s="172"/>
      <c r="L25" s="172"/>
      <c r="M25" s="172"/>
      <c r="N25" s="172"/>
      <c r="O25" s="159" t="str">
        <f t="shared" si="0"/>
        <v/>
      </c>
      <c r="P25" s="168" t="str">
        <f t="shared" si="1"/>
        <v/>
      </c>
      <c r="Q25" s="161" t="str">
        <f t="shared" si="2"/>
        <v/>
      </c>
      <c r="R25" s="170" t="str">
        <f t="shared" si="3"/>
        <v/>
      </c>
      <c r="S25" s="860" t="s">
        <v>2482</v>
      </c>
    </row>
    <row r="26" spans="1:23" ht="15" x14ac:dyDescent="0.2">
      <c r="A26" s="163">
        <v>23</v>
      </c>
      <c r="B26" s="209" t="str">
        <f>IF(F16="","",F16)</f>
        <v/>
      </c>
      <c r="C26" s="152" t="str">
        <f>IF(B26="",B26,VLOOKUP(B26,'Списки участников'!A:P,12,FALSE))</f>
        <v/>
      </c>
      <c r="D26" s="209" t="str">
        <f>IF(F17="","",F17)</f>
        <v/>
      </c>
      <c r="E26" s="152" t="str">
        <f>IF(D26="",D26,VLOOKUP(D26,'Списки участников'!A:P,12,FALSE))</f>
        <v/>
      </c>
      <c r="F26" s="164"/>
      <c r="G26" s="152" t="str">
        <f>IF(F26="","",VLOOKUP(F26,'Списки участников'!A:P,12,FALSE))</f>
        <v/>
      </c>
      <c r="H26" s="172"/>
      <c r="I26" s="172"/>
      <c r="J26" s="172"/>
      <c r="K26" s="172"/>
      <c r="L26" s="172"/>
      <c r="M26" s="172"/>
      <c r="N26" s="172"/>
      <c r="O26" s="159" t="str">
        <f t="shared" si="0"/>
        <v/>
      </c>
      <c r="P26" s="168" t="str">
        <f t="shared" si="1"/>
        <v/>
      </c>
      <c r="Q26" s="161" t="str">
        <f t="shared" si="2"/>
        <v/>
      </c>
      <c r="R26" s="170" t="str">
        <f t="shared" si="3"/>
        <v/>
      </c>
      <c r="S26" s="860" t="s">
        <v>2482</v>
      </c>
    </row>
    <row r="27" spans="1:23" ht="15" x14ac:dyDescent="0.2">
      <c r="A27" s="163">
        <v>24</v>
      </c>
      <c r="B27" s="209" t="str">
        <f>IF(F18="","",F18)</f>
        <v/>
      </c>
      <c r="C27" s="152" t="str">
        <f>IF(B27="",B27,VLOOKUP(B27,'Списки участников'!A:P,12,FALSE))</f>
        <v/>
      </c>
      <c r="D27" s="209" t="str">
        <f>IF(F19="","",F19)</f>
        <v/>
      </c>
      <c r="E27" s="152" t="str">
        <f>IF(D27="",D27,VLOOKUP(D27,'Списки участников'!A:P,12,FALSE))</f>
        <v/>
      </c>
      <c r="F27" s="164"/>
      <c r="G27" s="152" t="str">
        <f>IF(F27="","",VLOOKUP(F27,'Списки участников'!A:P,12,FALSE))</f>
        <v/>
      </c>
      <c r="H27" s="172"/>
      <c r="I27" s="172"/>
      <c r="J27" s="172"/>
      <c r="K27" s="172"/>
      <c r="L27" s="172"/>
      <c r="M27" s="172"/>
      <c r="N27" s="172"/>
      <c r="O27" s="159" t="str">
        <f t="shared" si="0"/>
        <v/>
      </c>
      <c r="P27" s="168" t="str">
        <f t="shared" si="1"/>
        <v/>
      </c>
      <c r="Q27" s="161" t="str">
        <f t="shared" si="2"/>
        <v/>
      </c>
      <c r="R27" s="170" t="str">
        <f t="shared" si="3"/>
        <v/>
      </c>
      <c r="S27" s="860" t="s">
        <v>2482</v>
      </c>
    </row>
    <row r="28" spans="1:23" ht="15" x14ac:dyDescent="0.2">
      <c r="A28" s="163">
        <v>25</v>
      </c>
      <c r="B28" s="209" t="str">
        <f>IF(F20="","",F20)</f>
        <v/>
      </c>
      <c r="C28" s="152" t="str">
        <f>IF(B28="",B28,VLOOKUP(B28,'Списки участников'!A:P,12,FALSE))</f>
        <v/>
      </c>
      <c r="D28" s="209" t="str">
        <f>IF(F21="","",F21)</f>
        <v/>
      </c>
      <c r="E28" s="152" t="str">
        <f>IF(D28="",D28,VLOOKUP(D28,'Списки участников'!A:P,12,FALSE))</f>
        <v/>
      </c>
      <c r="F28" s="164"/>
      <c r="G28" s="152" t="str">
        <f>IF(F28="","",VLOOKUP(F28,'Списки участников'!A:P,12,FALSE))</f>
        <v/>
      </c>
      <c r="H28" s="172"/>
      <c r="I28" s="172"/>
      <c r="J28" s="172"/>
      <c r="K28" s="172"/>
      <c r="L28" s="172"/>
      <c r="M28" s="172"/>
      <c r="N28" s="172"/>
      <c r="O28" s="159" t="str">
        <f t="shared" si="0"/>
        <v/>
      </c>
      <c r="P28" s="168" t="str">
        <f t="shared" si="1"/>
        <v/>
      </c>
      <c r="Q28" s="161" t="str">
        <f t="shared" si="2"/>
        <v/>
      </c>
      <c r="R28" s="170" t="str">
        <f t="shared" si="3"/>
        <v/>
      </c>
      <c r="S28" s="860" t="s">
        <v>2485</v>
      </c>
    </row>
    <row r="29" spans="1:23" ht="15" x14ac:dyDescent="0.2">
      <c r="A29" s="163">
        <v>26</v>
      </c>
      <c r="B29" s="209" t="str">
        <f>IF(F22="","",F22)</f>
        <v/>
      </c>
      <c r="C29" s="152" t="str">
        <f>IF(B29="",B29,VLOOKUP(B29,'Списки участников'!A:P,12,FALSE))</f>
        <v/>
      </c>
      <c r="D29" s="209" t="str">
        <f>IF(F23="","",F23)</f>
        <v/>
      </c>
      <c r="E29" s="152" t="str">
        <f>IF(D29="",D29,VLOOKUP(D29,'Списки участников'!A:P,12,FALSE))</f>
        <v/>
      </c>
      <c r="F29" s="164"/>
      <c r="G29" s="152" t="str">
        <f>IF(F29="","",VLOOKUP(F29,'Списки участников'!A:P,12,FALSE))</f>
        <v/>
      </c>
      <c r="H29" s="172"/>
      <c r="I29" s="172"/>
      <c r="J29" s="172"/>
      <c r="K29" s="172"/>
      <c r="L29" s="172"/>
      <c r="M29" s="172"/>
      <c r="N29" s="172"/>
      <c r="O29" s="159" t="str">
        <f t="shared" si="0"/>
        <v/>
      </c>
      <c r="P29" s="168" t="str">
        <f t="shared" si="1"/>
        <v/>
      </c>
      <c r="Q29" s="161" t="str">
        <f t="shared" si="2"/>
        <v/>
      </c>
      <c r="R29" s="170" t="str">
        <f t="shared" si="3"/>
        <v/>
      </c>
      <c r="S29" s="860" t="s">
        <v>2485</v>
      </c>
    </row>
    <row r="30" spans="1:23" ht="15" x14ac:dyDescent="0.2">
      <c r="A30" s="163">
        <v>27</v>
      </c>
      <c r="B30" s="209" t="str">
        <f>IF(F24="","",F24)</f>
        <v/>
      </c>
      <c r="C30" s="152" t="str">
        <f>IF(B30="",B30,VLOOKUP(B30,'Списки участников'!A:P,12,FALSE))</f>
        <v/>
      </c>
      <c r="D30" s="209" t="str">
        <f>IF(F25="","",F25)</f>
        <v/>
      </c>
      <c r="E30" s="152" t="str">
        <f>IF(D30="",D30,VLOOKUP(D30,'Списки участников'!A:P,12,FALSE))</f>
        <v/>
      </c>
      <c r="F30" s="164"/>
      <c r="G30" s="152" t="str">
        <f>IF(F30="","",VLOOKUP(F30,'Списки участников'!A:P,12,FALSE))</f>
        <v/>
      </c>
      <c r="H30" s="172"/>
      <c r="I30" s="172"/>
      <c r="J30" s="172"/>
      <c r="K30" s="172"/>
      <c r="L30" s="172"/>
      <c r="M30" s="172"/>
      <c r="N30" s="172"/>
      <c r="O30" s="159" t="str">
        <f t="shared" si="0"/>
        <v/>
      </c>
      <c r="P30" s="176" t="str">
        <f t="shared" si="1"/>
        <v/>
      </c>
      <c r="Q30" s="161" t="str">
        <f t="shared" si="2"/>
        <v/>
      </c>
      <c r="R30" s="170" t="str">
        <f t="shared" si="3"/>
        <v/>
      </c>
      <c r="S30" s="860" t="s">
        <v>2485</v>
      </c>
    </row>
    <row r="31" spans="1:23" ht="15" x14ac:dyDescent="0.2">
      <c r="A31" s="163">
        <v>28</v>
      </c>
      <c r="B31" s="209" t="str">
        <f>IF(F26="","",F26)</f>
        <v/>
      </c>
      <c r="C31" s="152" t="str">
        <f>IF(B31="",B31,VLOOKUP(B31,'Списки участников'!A:P,12,FALSE))</f>
        <v/>
      </c>
      <c r="D31" s="209" t="str">
        <f>IF(F27="","",F27)</f>
        <v/>
      </c>
      <c r="E31" s="152" t="str">
        <f>IF(D31="",D31,VLOOKUP(D31,'Списки участников'!A:P,12,FALSE))</f>
        <v/>
      </c>
      <c r="F31" s="164"/>
      <c r="G31" s="152" t="str">
        <f>IF(F31="","",VLOOKUP(F31,'Списки участников'!A:P,12,FALSE))</f>
        <v/>
      </c>
      <c r="H31" s="172"/>
      <c r="I31" s="172"/>
      <c r="J31" s="172"/>
      <c r="K31" s="172"/>
      <c r="L31" s="172"/>
      <c r="M31" s="172"/>
      <c r="N31" s="172"/>
      <c r="O31" s="159" t="str">
        <f t="shared" si="0"/>
        <v/>
      </c>
      <c r="P31" s="210" t="str">
        <f t="shared" si="1"/>
        <v/>
      </c>
      <c r="Q31" s="161" t="str">
        <f t="shared" si="2"/>
        <v/>
      </c>
      <c r="R31" s="170" t="str">
        <f t="shared" si="3"/>
        <v/>
      </c>
      <c r="S31" s="860" t="s">
        <v>2485</v>
      </c>
    </row>
    <row r="32" spans="1:23" ht="15" x14ac:dyDescent="0.2">
      <c r="A32" s="163">
        <v>29</v>
      </c>
      <c r="B32" s="209" t="str">
        <f>IF(F28="","",F28)</f>
        <v/>
      </c>
      <c r="C32" s="152" t="str">
        <f>IF(B32="",B32,VLOOKUP(B32,'Списки участников'!A:P,12,FALSE))</f>
        <v/>
      </c>
      <c r="D32" s="209" t="str">
        <f>IF(F29="","",F29)</f>
        <v/>
      </c>
      <c r="E32" s="152" t="str">
        <f>IF(D32="",D32,VLOOKUP(D32,'Списки участников'!A:P,12,FALSE))</f>
        <v/>
      </c>
      <c r="F32" s="164"/>
      <c r="G32" s="152" t="str">
        <f>IF(F32="","",VLOOKUP(F32,'Списки участников'!A:P,12,FALSE))</f>
        <v/>
      </c>
      <c r="H32" s="172"/>
      <c r="I32" s="172"/>
      <c r="J32" s="172"/>
      <c r="K32" s="172"/>
      <c r="L32" s="172"/>
      <c r="M32" s="172"/>
      <c r="N32" s="172"/>
      <c r="O32" s="159" t="str">
        <f t="shared" si="0"/>
        <v/>
      </c>
      <c r="P32" s="210" t="str">
        <f t="shared" si="1"/>
        <v/>
      </c>
      <c r="Q32" s="161" t="str">
        <f t="shared" si="2"/>
        <v/>
      </c>
      <c r="R32" s="170" t="str">
        <f t="shared" si="3"/>
        <v/>
      </c>
      <c r="S32" s="860" t="s">
        <v>2484</v>
      </c>
    </row>
    <row r="33" spans="1:19" ht="15" x14ac:dyDescent="0.2">
      <c r="A33" s="163">
        <v>30</v>
      </c>
      <c r="B33" s="209" t="str">
        <f>IF(F30="","",F30)</f>
        <v/>
      </c>
      <c r="C33" s="152" t="str">
        <f>IF(B33="",B33,VLOOKUP(B33,'Списки участников'!A:P,12,FALSE))</f>
        <v/>
      </c>
      <c r="D33" s="209" t="str">
        <f>IF(F31="","",F31)</f>
        <v/>
      </c>
      <c r="E33" s="152" t="str">
        <f>IF(D33="",D33,VLOOKUP(D33,'Списки участников'!A:P,12,FALSE))</f>
        <v/>
      </c>
      <c r="F33" s="164"/>
      <c r="G33" s="152" t="str">
        <f>IF(F33="","",VLOOKUP(F33,'Списки участников'!A:P,12,FALSE))</f>
        <v/>
      </c>
      <c r="H33" s="172"/>
      <c r="I33" s="172"/>
      <c r="J33" s="172"/>
      <c r="K33" s="172"/>
      <c r="L33" s="172"/>
      <c r="M33" s="172"/>
      <c r="N33" s="172"/>
      <c r="O33" s="159" t="str">
        <f t="shared" si="0"/>
        <v/>
      </c>
      <c r="P33" s="210" t="str">
        <f t="shared" si="1"/>
        <v/>
      </c>
      <c r="Q33" s="161" t="str">
        <f t="shared" si="2"/>
        <v/>
      </c>
      <c r="R33" s="170" t="str">
        <f t="shared" si="3"/>
        <v/>
      </c>
      <c r="S33" s="860" t="s">
        <v>2484</v>
      </c>
    </row>
    <row r="34" spans="1:19" ht="15" x14ac:dyDescent="0.2">
      <c r="A34" s="163">
        <v>31</v>
      </c>
      <c r="B34" s="209" t="str">
        <f>IF(F32="","",F32)</f>
        <v/>
      </c>
      <c r="C34" s="152" t="str">
        <f>IF(B34="",B34,VLOOKUP(B34,'Списки участников'!A:P,12,FALSE))</f>
        <v/>
      </c>
      <c r="D34" s="209" t="str">
        <f>IF(F33="","",F33)</f>
        <v/>
      </c>
      <c r="E34" s="152" t="str">
        <f>IF(D34="",D34,VLOOKUP(D34,'Списки участников'!A:P,12,FALSE))</f>
        <v/>
      </c>
      <c r="F34" s="164"/>
      <c r="G34" s="152" t="str">
        <f>IF(F34="","",VLOOKUP(F34,'Списки участников'!A:P,12,FALSE))</f>
        <v/>
      </c>
      <c r="H34" s="172"/>
      <c r="I34" s="172"/>
      <c r="J34" s="172"/>
      <c r="K34" s="172"/>
      <c r="L34" s="172"/>
      <c r="M34" s="172"/>
      <c r="N34" s="172"/>
      <c r="O34" s="159" t="str">
        <f t="shared" si="0"/>
        <v/>
      </c>
      <c r="P34" s="210" t="str">
        <f t="shared" si="1"/>
        <v/>
      </c>
      <c r="Q34" s="161" t="str">
        <f t="shared" si="2"/>
        <v/>
      </c>
      <c r="R34" s="170" t="str">
        <f t="shared" si="3"/>
        <v/>
      </c>
      <c r="S34" s="860" t="s">
        <v>2483</v>
      </c>
    </row>
    <row r="35" spans="1:19" ht="15" x14ac:dyDescent="0.2">
      <c r="A35" s="163">
        <v>32</v>
      </c>
      <c r="B35" s="164" t="str">
        <f>IF(F4="","",IF(F4=D4,B4,IF(F4=B4,D4)))</f>
        <v/>
      </c>
      <c r="C35" s="152" t="str">
        <f>IF(B35="",B35,VLOOKUP(B35,'Списки участников'!A:P,12,FALSE))</f>
        <v/>
      </c>
      <c r="D35" s="164" t="str">
        <f>IF(F5="","",IF(F5=B5,D5,IF(F5=D5,B5)))</f>
        <v/>
      </c>
      <c r="E35" s="152" t="str">
        <f>IF(D35="",D35,VLOOKUP(D35,'Списки участников'!A:P,12,FALSE))</f>
        <v/>
      </c>
      <c r="F35" s="164"/>
      <c r="G35" s="152" t="str">
        <f>IF(F35="","",VLOOKUP(F35,'Списки участников'!A:P,12,FALSE))</f>
        <v/>
      </c>
      <c r="H35" s="172"/>
      <c r="I35" s="172"/>
      <c r="J35" s="172"/>
      <c r="K35" s="172"/>
      <c r="L35" s="172"/>
      <c r="M35" s="172"/>
      <c r="N35" s="172"/>
      <c r="O35" s="159" t="str">
        <f t="shared" si="0"/>
        <v/>
      </c>
      <c r="P35" s="210" t="str">
        <f t="shared" si="1"/>
        <v/>
      </c>
      <c r="Q35" s="161" t="str">
        <f t="shared" si="2"/>
        <v/>
      </c>
      <c r="R35" s="170"/>
      <c r="S35" s="860"/>
    </row>
    <row r="36" spans="1:19" ht="15" x14ac:dyDescent="0.2">
      <c r="A36" s="163">
        <v>33</v>
      </c>
      <c r="B36" s="164" t="str">
        <f>IF(F6="","",IF(F6=D6,B6,IF(F6=B6,D6)))</f>
        <v/>
      </c>
      <c r="C36" s="152" t="str">
        <f>IF(B36="",B36,VLOOKUP(B36,'Списки участников'!A:P,12,FALSE))</f>
        <v/>
      </c>
      <c r="D36" s="164" t="str">
        <f>IF(F7="","",IF(F7=B7,D7,IF(F7=D7,B7)))</f>
        <v/>
      </c>
      <c r="E36" s="152" t="str">
        <f>IF(D36="",D36,VLOOKUP(D36,'Списки участников'!A:P,12,FALSE))</f>
        <v/>
      </c>
      <c r="F36" s="164"/>
      <c r="G36" s="152" t="str">
        <f>IF(F36="","",VLOOKUP(F36,'Списки участников'!A:P,12,FALSE))</f>
        <v/>
      </c>
      <c r="H36" s="172"/>
      <c r="I36" s="172"/>
      <c r="J36" s="172"/>
      <c r="K36" s="172"/>
      <c r="L36" s="172"/>
      <c r="M36" s="172"/>
      <c r="N36" s="172"/>
      <c r="O36" s="159" t="str">
        <f t="shared" si="0"/>
        <v/>
      </c>
      <c r="P36" s="210" t="str">
        <f t="shared" si="1"/>
        <v/>
      </c>
      <c r="Q36" s="161" t="str">
        <f t="shared" si="2"/>
        <v/>
      </c>
      <c r="R36" s="170"/>
      <c r="S36" s="860"/>
    </row>
    <row r="37" spans="1:19" ht="15" x14ac:dyDescent="0.2">
      <c r="A37" s="163">
        <v>34</v>
      </c>
      <c r="B37" s="164" t="str">
        <f>IF(F8="","",IF(F8=D8,B8,IF(F8=B8,D8)))</f>
        <v/>
      </c>
      <c r="C37" s="152" t="str">
        <f>IF(B37="",B37,VLOOKUP(B37,'Списки участников'!A:P,12,FALSE))</f>
        <v/>
      </c>
      <c r="D37" s="164" t="str">
        <f>IF(F9="","",IF(F9=B9,D9,IF(F9=D9,B9)))</f>
        <v/>
      </c>
      <c r="E37" s="152" t="str">
        <f>IF(D37="",D37,VLOOKUP(D37,'Списки участников'!A:P,12,FALSE))</f>
        <v/>
      </c>
      <c r="F37" s="164"/>
      <c r="G37" s="152" t="str">
        <f>IF(F37="","",VLOOKUP(F37,'Списки участников'!A:P,12,FALSE))</f>
        <v/>
      </c>
      <c r="H37" s="172"/>
      <c r="I37" s="172"/>
      <c r="J37" s="172"/>
      <c r="K37" s="172"/>
      <c r="L37" s="172"/>
      <c r="M37" s="172"/>
      <c r="N37" s="172"/>
      <c r="O37" s="159" t="str">
        <f t="shared" si="0"/>
        <v/>
      </c>
      <c r="P37" s="210" t="str">
        <f t="shared" si="1"/>
        <v/>
      </c>
      <c r="Q37" s="161" t="str">
        <f t="shared" si="2"/>
        <v/>
      </c>
      <c r="R37" s="170"/>
      <c r="S37" s="860"/>
    </row>
    <row r="38" spans="1:19" ht="15" x14ac:dyDescent="0.2">
      <c r="A38" s="163">
        <v>35</v>
      </c>
      <c r="B38" s="164" t="str">
        <f>IF(F10="","",IF(F10=D10,B10,IF(F10=B10,D10)))</f>
        <v/>
      </c>
      <c r="C38" s="152" t="str">
        <f>IF(B38="",B38,VLOOKUP(B38,'Списки участников'!A:P,12,FALSE))</f>
        <v/>
      </c>
      <c r="D38" s="164" t="str">
        <f>IF(F11="","",IF(F11=B11,D11,IF(F11=D11,B11)))</f>
        <v/>
      </c>
      <c r="E38" s="152" t="str">
        <f>IF(D38="",D38,VLOOKUP(D38,'Списки участников'!A:P,12,FALSE))</f>
        <v/>
      </c>
      <c r="F38" s="164"/>
      <c r="G38" s="152" t="str">
        <f>IF(F38="","",VLOOKUP(F38,'Списки участников'!A:P,12,FALSE))</f>
        <v/>
      </c>
      <c r="H38" s="172"/>
      <c r="I38" s="172"/>
      <c r="J38" s="172"/>
      <c r="K38" s="172"/>
      <c r="L38" s="172"/>
      <c r="M38" s="172"/>
      <c r="N38" s="172"/>
      <c r="O38" s="159" t="str">
        <f t="shared" si="0"/>
        <v/>
      </c>
      <c r="P38" s="210" t="str">
        <f t="shared" si="1"/>
        <v/>
      </c>
      <c r="Q38" s="161" t="str">
        <f t="shared" si="2"/>
        <v/>
      </c>
      <c r="R38" s="170"/>
      <c r="S38" s="860"/>
    </row>
    <row r="39" spans="1:19" ht="15" x14ac:dyDescent="0.2">
      <c r="A39" s="163">
        <v>36</v>
      </c>
      <c r="B39" s="164" t="str">
        <f>IF(F12="","",IF(F12=D12,B12,IF(F12=B12,D12)))</f>
        <v/>
      </c>
      <c r="C39" s="152" t="str">
        <f>IF(B39="",B39,VLOOKUP(B39,'Списки участников'!A:P,12,FALSE))</f>
        <v/>
      </c>
      <c r="D39" s="164" t="str">
        <f>IF(F13="","",IF(F13=B13,D13,IF(F13=D13,B13)))</f>
        <v/>
      </c>
      <c r="E39" s="152" t="str">
        <f>IF(D39="",D39,VLOOKUP(D39,'Списки участников'!A:P,12,FALSE))</f>
        <v/>
      </c>
      <c r="F39" s="164"/>
      <c r="G39" s="152" t="str">
        <f>IF(F39="","",VLOOKUP(F39,'Списки участников'!A:P,12,FALSE))</f>
        <v/>
      </c>
      <c r="H39" s="172"/>
      <c r="I39" s="172"/>
      <c r="J39" s="172"/>
      <c r="K39" s="172"/>
      <c r="L39" s="172"/>
      <c r="M39" s="172"/>
      <c r="N39" s="172"/>
      <c r="O39" s="159" t="str">
        <f t="shared" si="0"/>
        <v/>
      </c>
      <c r="P39" s="210" t="str">
        <f t="shared" si="1"/>
        <v/>
      </c>
      <c r="Q39" s="161" t="str">
        <f t="shared" si="2"/>
        <v/>
      </c>
      <c r="R39" s="170"/>
      <c r="S39" s="860"/>
    </row>
    <row r="40" spans="1:19" ht="15" x14ac:dyDescent="0.2">
      <c r="A40" s="163">
        <v>37</v>
      </c>
      <c r="B40" s="164" t="str">
        <f>IF(F14="","",IF(F14=D14,B14,IF(F14=B14,D14)))</f>
        <v/>
      </c>
      <c r="C40" s="152" t="str">
        <f>IF(B40="",B40,VLOOKUP(B40,'Списки участников'!A:P,12,FALSE))</f>
        <v/>
      </c>
      <c r="D40" s="164" t="str">
        <f>IF(F15="","",IF(F15=B15,D15,IF(F15=D15,B15)))</f>
        <v/>
      </c>
      <c r="E40" s="152" t="str">
        <f>IF(D40="",D40,VLOOKUP(D40,'Списки участников'!A:P,12,FALSE))</f>
        <v/>
      </c>
      <c r="F40" s="164"/>
      <c r="G40" s="152" t="str">
        <f>IF(F40="","",VLOOKUP(F40,'Списки участников'!A:P,12,FALSE))</f>
        <v/>
      </c>
      <c r="H40" s="172"/>
      <c r="I40" s="172"/>
      <c r="J40" s="172"/>
      <c r="K40" s="172"/>
      <c r="L40" s="172"/>
      <c r="M40" s="172"/>
      <c r="N40" s="172"/>
      <c r="O40" s="159" t="str">
        <f t="shared" si="0"/>
        <v/>
      </c>
      <c r="P40" s="210" t="str">
        <f t="shared" si="1"/>
        <v/>
      </c>
      <c r="Q40" s="161" t="str">
        <f t="shared" si="2"/>
        <v/>
      </c>
      <c r="R40" s="170"/>
      <c r="S40" s="860"/>
    </row>
    <row r="41" spans="1:19" ht="15" x14ac:dyDescent="0.2">
      <c r="A41" s="163">
        <v>38</v>
      </c>
      <c r="B41" s="164" t="str">
        <f>IF(F16="","",IF(F16=D16,B16,IF(F16=B16,D16)))</f>
        <v/>
      </c>
      <c r="C41" s="152" t="str">
        <f>IF(B41="",B41,VLOOKUP(B41,'Списки участников'!A:P,12,FALSE))</f>
        <v/>
      </c>
      <c r="D41" s="164" t="str">
        <f>IF(F17="","",IF(F17=B17,D17,IF(F17=D17,B17)))</f>
        <v/>
      </c>
      <c r="E41" s="152" t="str">
        <f>IF(D41="",D41,VLOOKUP(D41,'Списки участников'!A:P,12,FALSE))</f>
        <v/>
      </c>
      <c r="F41" s="164"/>
      <c r="G41" s="152" t="str">
        <f>IF(F41="","",VLOOKUP(F41,'Списки участников'!A:P,12,FALSE))</f>
        <v/>
      </c>
      <c r="H41" s="172"/>
      <c r="I41" s="172"/>
      <c r="J41" s="172"/>
      <c r="K41" s="172"/>
      <c r="L41" s="172"/>
      <c r="M41" s="172"/>
      <c r="N41" s="172"/>
      <c r="O41" s="159" t="str">
        <f t="shared" si="0"/>
        <v/>
      </c>
      <c r="P41" s="210" t="str">
        <f t="shared" si="1"/>
        <v/>
      </c>
      <c r="Q41" s="161" t="str">
        <f t="shared" si="2"/>
        <v/>
      </c>
      <c r="R41" s="170"/>
      <c r="S41" s="860"/>
    </row>
    <row r="42" spans="1:19" ht="15" x14ac:dyDescent="0.2">
      <c r="A42" s="163">
        <v>39</v>
      </c>
      <c r="B42" s="164" t="str">
        <f>IF(F18="","",IF(F18=D18,B18,IF(F18=B18,D18)))</f>
        <v/>
      </c>
      <c r="C42" s="152" t="str">
        <f>IF(B42="",B42,VLOOKUP(B42,'Списки участников'!A:P,12,FALSE))</f>
        <v/>
      </c>
      <c r="D42" s="164" t="str">
        <f>IF(F19="","",IF(F19=B19,D19,IF(F19=D19,B19)))</f>
        <v/>
      </c>
      <c r="E42" s="152" t="str">
        <f>IF(D42="",D42,VLOOKUP(D42,'Списки участников'!A:P,12,FALSE))</f>
        <v/>
      </c>
      <c r="F42" s="164"/>
      <c r="G42" s="152" t="str">
        <f>IF(F42="","",VLOOKUP(F42,'Списки участников'!A:P,12,FALSE))</f>
        <v/>
      </c>
      <c r="H42" s="172"/>
      <c r="I42" s="172"/>
      <c r="J42" s="172"/>
      <c r="K42" s="172"/>
      <c r="L42" s="172"/>
      <c r="M42" s="172"/>
      <c r="N42" s="172"/>
      <c r="O42" s="159" t="str">
        <f t="shared" si="0"/>
        <v/>
      </c>
      <c r="P42" s="210" t="str">
        <f t="shared" si="1"/>
        <v/>
      </c>
      <c r="Q42" s="161" t="str">
        <f t="shared" si="2"/>
        <v/>
      </c>
      <c r="R42" s="170"/>
      <c r="S42" s="860"/>
    </row>
    <row r="43" spans="1:19" ht="15" x14ac:dyDescent="0.2">
      <c r="A43" s="163">
        <v>40</v>
      </c>
      <c r="B43" s="209">
        <f>F35</f>
        <v>0</v>
      </c>
      <c r="C43" s="152" t="e">
        <f>IF(B43="",B43,VLOOKUP(B43,'Списки участников'!A:P,12,FALSE))</f>
        <v>#N/A</v>
      </c>
      <c r="D43" s="164" t="str">
        <f>IF(F27="","",IF(F27=B27,D27,IF(F27=D27,B27)))</f>
        <v/>
      </c>
      <c r="E43" s="152" t="str">
        <f>IF(D43="",D43,VLOOKUP(D43,'Списки участников'!A:P,12,FALSE))</f>
        <v/>
      </c>
      <c r="F43" s="164"/>
      <c r="G43" s="152" t="str">
        <f>IF(F43="","",VLOOKUP(F43,'Списки участников'!A:P,12,FALSE))</f>
        <v/>
      </c>
      <c r="H43" s="172"/>
      <c r="I43" s="172"/>
      <c r="J43" s="172"/>
      <c r="K43" s="172"/>
      <c r="L43" s="172"/>
      <c r="M43" s="172"/>
      <c r="N43" s="172"/>
      <c r="O43" s="159" t="str">
        <f t="shared" si="0"/>
        <v/>
      </c>
      <c r="P43" s="210" t="str">
        <f t="shared" si="1"/>
        <v/>
      </c>
      <c r="Q43" s="161" t="str">
        <f t="shared" si="2"/>
        <v/>
      </c>
      <c r="R43" s="170" t="str">
        <f t="shared" si="3"/>
        <v/>
      </c>
      <c r="S43" s="860"/>
    </row>
    <row r="44" spans="1:19" ht="15" x14ac:dyDescent="0.2">
      <c r="A44" s="163">
        <v>41</v>
      </c>
      <c r="B44" s="209">
        <f t="shared" ref="B44:B50" si="5">F36</f>
        <v>0</v>
      </c>
      <c r="C44" s="152" t="e">
        <f>IF(B44="",B44,VLOOKUP(B44,'Списки участников'!A:P,12,FALSE))</f>
        <v>#N/A</v>
      </c>
      <c r="D44" s="164" t="str">
        <f>IF(F26="","",IF(F26=B26,D26,IF(F26=D26,B26)))</f>
        <v/>
      </c>
      <c r="E44" s="152" t="str">
        <f>IF(D44="",D44,VLOOKUP(D44,'Списки участников'!A:P,12,FALSE))</f>
        <v/>
      </c>
      <c r="F44" s="164"/>
      <c r="G44" s="152" t="str">
        <f>IF(F44="","",VLOOKUP(F44,'Списки участников'!A:P,12,FALSE))</f>
        <v/>
      </c>
      <c r="H44" s="172"/>
      <c r="I44" s="172"/>
      <c r="J44" s="172"/>
      <c r="K44" s="172"/>
      <c r="L44" s="172"/>
      <c r="M44" s="172"/>
      <c r="N44" s="172"/>
      <c r="O44" s="159" t="str">
        <f t="shared" si="0"/>
        <v/>
      </c>
      <c r="P44" s="210" t="str">
        <f t="shared" si="1"/>
        <v/>
      </c>
      <c r="Q44" s="161" t="str">
        <f t="shared" si="2"/>
        <v/>
      </c>
      <c r="R44" s="170"/>
      <c r="S44" s="860"/>
    </row>
    <row r="45" spans="1:19" ht="15" x14ac:dyDescent="0.2">
      <c r="A45" s="163">
        <v>42</v>
      </c>
      <c r="B45" s="209">
        <f t="shared" si="5"/>
        <v>0</v>
      </c>
      <c r="C45" s="152" t="e">
        <f>IF(B45="",B45,VLOOKUP(B45,'Списки участников'!A:P,12,FALSE))</f>
        <v>#N/A</v>
      </c>
      <c r="D45" s="164" t="str">
        <f>IF(F25="","",IF(F25=B25,D25,IF(F25=D25,B25)))</f>
        <v/>
      </c>
      <c r="E45" s="152" t="str">
        <f>IF(D45="",D45,VLOOKUP(D45,'Списки участников'!A:P,12,FALSE))</f>
        <v/>
      </c>
      <c r="F45" s="164"/>
      <c r="G45" s="152" t="str">
        <f>IF(F45="","",VLOOKUP(F45,'Списки участников'!A:P,12,FALSE))</f>
        <v/>
      </c>
      <c r="H45" s="172"/>
      <c r="I45" s="172"/>
      <c r="J45" s="172"/>
      <c r="K45" s="172"/>
      <c r="L45" s="172"/>
      <c r="M45" s="172"/>
      <c r="N45" s="172"/>
      <c r="O45" s="159" t="str">
        <f t="shared" si="0"/>
        <v/>
      </c>
      <c r="P45" s="210" t="str">
        <f t="shared" si="1"/>
        <v/>
      </c>
      <c r="Q45" s="161" t="str">
        <f t="shared" si="2"/>
        <v/>
      </c>
      <c r="R45" s="170" t="str">
        <f t="shared" si="3"/>
        <v/>
      </c>
      <c r="S45" s="860"/>
    </row>
    <row r="46" spans="1:19" ht="15" x14ac:dyDescent="0.2">
      <c r="A46" s="163">
        <v>43</v>
      </c>
      <c r="B46" s="209">
        <f t="shared" si="5"/>
        <v>0</v>
      </c>
      <c r="C46" s="152" t="e">
        <f>IF(B46="",B46,VLOOKUP(B46,'Списки участников'!A:P,12,FALSE))</f>
        <v>#N/A</v>
      </c>
      <c r="D46" s="164" t="str">
        <f>IF(F24="","",IF(F24=B24,D24,IF(F24=D24,B24)))</f>
        <v/>
      </c>
      <c r="E46" s="152" t="str">
        <f>IF(D46="",D46,VLOOKUP(D46,'Списки участников'!A:P,12,FALSE))</f>
        <v/>
      </c>
      <c r="F46" s="164"/>
      <c r="G46" s="152" t="str">
        <f>IF(F46="","",VLOOKUP(F46,'Списки участников'!A:P,12,FALSE))</f>
        <v/>
      </c>
      <c r="H46" s="172"/>
      <c r="I46" s="172"/>
      <c r="J46" s="172"/>
      <c r="K46" s="172"/>
      <c r="L46" s="172"/>
      <c r="M46" s="172"/>
      <c r="N46" s="172"/>
      <c r="O46" s="159" t="str">
        <f t="shared" si="0"/>
        <v/>
      </c>
      <c r="P46" s="210" t="str">
        <f t="shared" si="1"/>
        <v/>
      </c>
      <c r="Q46" s="161" t="str">
        <f t="shared" si="2"/>
        <v/>
      </c>
      <c r="R46" s="170"/>
      <c r="S46" s="860"/>
    </row>
    <row r="47" spans="1:19" ht="15" x14ac:dyDescent="0.2">
      <c r="A47" s="163">
        <v>44</v>
      </c>
      <c r="B47" s="209">
        <f t="shared" si="5"/>
        <v>0</v>
      </c>
      <c r="C47" s="152" t="e">
        <f>IF(B47="",B47,VLOOKUP(B47,'Списки участников'!A:P,12,FALSE))</f>
        <v>#N/A</v>
      </c>
      <c r="D47" s="164" t="str">
        <f>IF(F23="","",IF(F23=B23,D23,IF(F23=D23,B23)))</f>
        <v/>
      </c>
      <c r="E47" s="152" t="str">
        <f>IF(D47="",D47,VLOOKUP(D47,'Списки участников'!A:P,12,FALSE))</f>
        <v/>
      </c>
      <c r="F47" s="164"/>
      <c r="G47" s="152" t="str">
        <f>IF(F47="","",VLOOKUP(F47,'Списки участников'!A:P,12,FALSE))</f>
        <v/>
      </c>
      <c r="H47" s="172"/>
      <c r="I47" s="172"/>
      <c r="J47" s="172"/>
      <c r="K47" s="172"/>
      <c r="L47" s="172"/>
      <c r="M47" s="172"/>
      <c r="N47" s="172"/>
      <c r="O47" s="159" t="str">
        <f t="shared" si="0"/>
        <v/>
      </c>
      <c r="P47" s="210" t="str">
        <f t="shared" si="1"/>
        <v/>
      </c>
      <c r="Q47" s="161" t="str">
        <f t="shared" si="2"/>
        <v/>
      </c>
      <c r="R47" s="170"/>
      <c r="S47" s="860"/>
    </row>
    <row r="48" spans="1:19" ht="15" x14ac:dyDescent="0.2">
      <c r="A48" s="163">
        <v>45</v>
      </c>
      <c r="B48" s="209">
        <f t="shared" si="5"/>
        <v>0</v>
      </c>
      <c r="C48" s="152" t="e">
        <f>IF(B48="",B48,VLOOKUP(B48,'Списки участников'!A:P,12,FALSE))</f>
        <v>#N/A</v>
      </c>
      <c r="D48" s="164" t="str">
        <f>IF(F22="","",IF(F22=B22,D22,IF(F22=D22,B22)))</f>
        <v/>
      </c>
      <c r="E48" s="152" t="str">
        <f>IF(D48="",D48,VLOOKUP(D48,'Списки участников'!A:P,12,FALSE))</f>
        <v/>
      </c>
      <c r="F48" s="164"/>
      <c r="G48" s="152" t="str">
        <f>IF(F48="","",VLOOKUP(F48,'Списки участников'!A:P,12,FALSE))</f>
        <v/>
      </c>
      <c r="H48" s="172"/>
      <c r="I48" s="172"/>
      <c r="J48" s="172"/>
      <c r="K48" s="172"/>
      <c r="L48" s="172"/>
      <c r="M48" s="172"/>
      <c r="N48" s="172"/>
      <c r="O48" s="159" t="str">
        <f t="shared" si="0"/>
        <v/>
      </c>
      <c r="P48" s="210" t="str">
        <f t="shared" si="1"/>
        <v/>
      </c>
      <c r="Q48" s="161" t="str">
        <f t="shared" si="2"/>
        <v/>
      </c>
      <c r="R48" s="170"/>
      <c r="S48" s="860"/>
    </row>
    <row r="49" spans="1:19" ht="15" x14ac:dyDescent="0.2">
      <c r="A49" s="163">
        <v>46</v>
      </c>
      <c r="B49" s="209">
        <f t="shared" si="5"/>
        <v>0</v>
      </c>
      <c r="C49" s="152" t="e">
        <f>IF(B49="",B49,VLOOKUP(B49,'Списки участников'!A:P,12,FALSE))</f>
        <v>#N/A</v>
      </c>
      <c r="D49" s="164" t="str">
        <f>IF(F21="","",IF(F21=B21,D21,IF(F21=D21,B21)))</f>
        <v/>
      </c>
      <c r="E49" s="152" t="str">
        <f>IF(D49="",D49,VLOOKUP(D49,'Списки участников'!A:P,12,FALSE))</f>
        <v/>
      </c>
      <c r="F49" s="164"/>
      <c r="G49" s="152" t="str">
        <f>IF(F49="","",VLOOKUP(F49,'Списки участников'!A:P,12,FALSE))</f>
        <v/>
      </c>
      <c r="H49" s="172"/>
      <c r="I49" s="172"/>
      <c r="J49" s="172"/>
      <c r="K49" s="172"/>
      <c r="L49" s="172"/>
      <c r="M49" s="172"/>
      <c r="N49" s="172"/>
      <c r="O49" s="159" t="str">
        <f t="shared" si="0"/>
        <v/>
      </c>
      <c r="P49" s="210" t="str">
        <f t="shared" si="1"/>
        <v/>
      </c>
      <c r="Q49" s="161" t="str">
        <f t="shared" si="2"/>
        <v/>
      </c>
      <c r="R49" s="170" t="str">
        <f t="shared" si="3"/>
        <v/>
      </c>
      <c r="S49" s="860"/>
    </row>
    <row r="50" spans="1:19" ht="15" x14ac:dyDescent="0.2">
      <c r="A50" s="163">
        <v>47</v>
      </c>
      <c r="B50" s="209">
        <f t="shared" si="5"/>
        <v>0</v>
      </c>
      <c r="C50" s="152" t="e">
        <f>IF(B50="",B50,VLOOKUP(B50,'Списки участников'!A:P,12,FALSE))</f>
        <v>#N/A</v>
      </c>
      <c r="D50" s="164" t="str">
        <f>IF(F20="","",IF(F20=B20,D20,IF(F20=D20,B20)))</f>
        <v/>
      </c>
      <c r="E50" s="152" t="str">
        <f>IF(D50="",D50,VLOOKUP(D50,'Списки участников'!A:P,12,FALSE))</f>
        <v/>
      </c>
      <c r="F50" s="164"/>
      <c r="G50" s="152" t="str">
        <f>IF(F50="","",VLOOKUP(F50,'Списки участников'!A:P,12,FALSE))</f>
        <v/>
      </c>
      <c r="H50" s="172"/>
      <c r="I50" s="172"/>
      <c r="J50" s="172"/>
      <c r="K50" s="172"/>
      <c r="L50" s="172"/>
      <c r="M50" s="172"/>
      <c r="N50" s="172"/>
      <c r="O50" s="159" t="str">
        <f t="shared" si="0"/>
        <v/>
      </c>
      <c r="P50" s="210" t="str">
        <f t="shared" si="1"/>
        <v/>
      </c>
      <c r="Q50" s="161" t="str">
        <f t="shared" si="2"/>
        <v/>
      </c>
      <c r="R50" s="170" t="str">
        <f t="shared" si="3"/>
        <v/>
      </c>
      <c r="S50" s="860"/>
    </row>
    <row r="51" spans="1:19" ht="15" x14ac:dyDescent="0.2">
      <c r="A51" s="163">
        <v>48</v>
      </c>
      <c r="B51" s="209">
        <f>F43</f>
        <v>0</v>
      </c>
      <c r="C51" s="152" t="e">
        <f>IF(B51="",B51,VLOOKUP(B51,'Списки участников'!A:P,12,FALSE))</f>
        <v>#N/A</v>
      </c>
      <c r="D51" s="209">
        <f>F44</f>
        <v>0</v>
      </c>
      <c r="E51" s="152" t="e">
        <f>IF(D51="",D51,VLOOKUP(D51,'Списки участников'!A:P,12,FALSE))</f>
        <v>#N/A</v>
      </c>
      <c r="F51" s="164"/>
      <c r="G51" s="152" t="str">
        <f>IF(F51="","",VLOOKUP(F51,'Списки участников'!A:P,12,FALSE))</f>
        <v/>
      </c>
      <c r="H51" s="172"/>
      <c r="I51" s="172"/>
      <c r="J51" s="172"/>
      <c r="K51" s="172"/>
      <c r="L51" s="172"/>
      <c r="M51" s="172"/>
      <c r="N51" s="172"/>
      <c r="O51" s="159" t="str">
        <f t="shared" si="0"/>
        <v/>
      </c>
      <c r="P51" s="210" t="str">
        <f t="shared" si="1"/>
        <v/>
      </c>
      <c r="Q51" s="161" t="str">
        <f t="shared" si="2"/>
        <v/>
      </c>
      <c r="R51" s="170" t="str">
        <f t="shared" si="3"/>
        <v/>
      </c>
      <c r="S51" s="860"/>
    </row>
    <row r="52" spans="1:19" ht="15" x14ac:dyDescent="0.2">
      <c r="A52" s="163">
        <v>49</v>
      </c>
      <c r="B52" s="209">
        <f>F45</f>
        <v>0</v>
      </c>
      <c r="C52" s="152" t="e">
        <f>IF(B52="",B52,VLOOKUP(B52,'Списки участников'!A:P,12,FALSE))</f>
        <v>#N/A</v>
      </c>
      <c r="D52" s="209">
        <f>F46</f>
        <v>0</v>
      </c>
      <c r="E52" s="152" t="e">
        <f>IF(D52="",D52,VLOOKUP(D52,'Списки участников'!A:P,12,FALSE))</f>
        <v>#N/A</v>
      </c>
      <c r="F52" s="164"/>
      <c r="G52" s="152" t="str">
        <f>IF(F52="","",VLOOKUP(F52,'Списки участников'!A:P,12,FALSE))</f>
        <v/>
      </c>
      <c r="H52" s="172"/>
      <c r="I52" s="172"/>
      <c r="J52" s="172"/>
      <c r="K52" s="172"/>
      <c r="L52" s="172"/>
      <c r="M52" s="172"/>
      <c r="N52" s="172"/>
      <c r="O52" s="159" t="str">
        <f t="shared" si="0"/>
        <v/>
      </c>
      <c r="P52" s="210" t="str">
        <f t="shared" si="1"/>
        <v/>
      </c>
      <c r="Q52" s="161" t="str">
        <f t="shared" si="2"/>
        <v/>
      </c>
      <c r="R52" s="170" t="str">
        <f t="shared" si="3"/>
        <v/>
      </c>
      <c r="S52" s="860"/>
    </row>
    <row r="53" spans="1:19" ht="15" x14ac:dyDescent="0.2">
      <c r="A53" s="163">
        <v>50</v>
      </c>
      <c r="B53" s="209">
        <f>F47</f>
        <v>0</v>
      </c>
      <c r="C53" s="152" t="e">
        <f>IF(B53="",B53,VLOOKUP(B53,'Списки участников'!A:P,12,FALSE))</f>
        <v>#N/A</v>
      </c>
      <c r="D53" s="209">
        <f>F48</f>
        <v>0</v>
      </c>
      <c r="E53" s="152" t="e">
        <f>IF(D53="",D53,VLOOKUP(D53,'Списки участников'!A:P,12,FALSE))</f>
        <v>#N/A</v>
      </c>
      <c r="F53" s="164"/>
      <c r="G53" s="152" t="str">
        <f>IF(F53="","",VLOOKUP(F53,'Списки участников'!A:P,12,FALSE))</f>
        <v/>
      </c>
      <c r="H53" s="172"/>
      <c r="I53" s="172"/>
      <c r="J53" s="172"/>
      <c r="K53" s="172"/>
      <c r="L53" s="172"/>
      <c r="M53" s="172"/>
      <c r="N53" s="172"/>
      <c r="O53" s="159" t="str">
        <f t="shared" si="0"/>
        <v/>
      </c>
      <c r="P53" s="210" t="str">
        <f t="shared" si="1"/>
        <v/>
      </c>
      <c r="Q53" s="161" t="str">
        <f t="shared" si="2"/>
        <v/>
      </c>
      <c r="R53" s="170" t="str">
        <f t="shared" si="3"/>
        <v/>
      </c>
      <c r="S53" s="860"/>
    </row>
    <row r="54" spans="1:19" ht="15" x14ac:dyDescent="0.2">
      <c r="A54" s="163">
        <v>51</v>
      </c>
      <c r="B54" s="209">
        <f>F49</f>
        <v>0</v>
      </c>
      <c r="C54" s="152" t="e">
        <f>IF(B54="",B54,VLOOKUP(B54,'Списки участников'!A:P,12,FALSE))</f>
        <v>#N/A</v>
      </c>
      <c r="D54" s="209">
        <f>F50</f>
        <v>0</v>
      </c>
      <c r="E54" s="152" t="e">
        <f>IF(D54="",D54,VLOOKUP(D54,'Списки участников'!A:P,12,FALSE))</f>
        <v>#N/A</v>
      </c>
      <c r="F54" s="164"/>
      <c r="G54" s="152" t="str">
        <f>IF(F54="","",VLOOKUP(F54,'Списки участников'!A:P,12,FALSE))</f>
        <v/>
      </c>
      <c r="H54" s="172"/>
      <c r="I54" s="172"/>
      <c r="J54" s="172"/>
      <c r="K54" s="172"/>
      <c r="L54" s="172"/>
      <c r="M54" s="172"/>
      <c r="N54" s="172"/>
      <c r="O54" s="159" t="str">
        <f t="shared" si="0"/>
        <v/>
      </c>
      <c r="P54" s="210" t="str">
        <f t="shared" si="1"/>
        <v/>
      </c>
      <c r="Q54" s="161" t="str">
        <f t="shared" si="2"/>
        <v/>
      </c>
      <c r="R54" s="170" t="str">
        <f t="shared" si="3"/>
        <v/>
      </c>
      <c r="S54" s="860"/>
    </row>
    <row r="55" spans="1:19" ht="15" x14ac:dyDescent="0.2">
      <c r="A55" s="163">
        <v>52</v>
      </c>
      <c r="B55" s="209">
        <f>F51</f>
        <v>0</v>
      </c>
      <c r="C55" s="152" t="e">
        <f>IF(B55="",B55,VLOOKUP(B55,'Списки участников'!A:P,12,FALSE))</f>
        <v>#N/A</v>
      </c>
      <c r="D55" s="164" t="str">
        <f>IF(F29="","",IF(F29=B29,D29,IF(F29=D29,B29)))</f>
        <v/>
      </c>
      <c r="E55" s="152" t="str">
        <f>IF(D55="",D55,VLOOKUP(D55,'Списки участников'!A:P,12,FALSE))</f>
        <v/>
      </c>
      <c r="F55" s="164"/>
      <c r="G55" s="152" t="str">
        <f>IF(F55="","",VLOOKUP(F55,'Списки участников'!A:P,12,FALSE))</f>
        <v/>
      </c>
      <c r="H55" s="172"/>
      <c r="I55" s="172"/>
      <c r="J55" s="172"/>
      <c r="K55" s="172"/>
      <c r="L55" s="172"/>
      <c r="M55" s="172"/>
      <c r="N55" s="172"/>
      <c r="O55" s="159" t="str">
        <f t="shared" si="0"/>
        <v/>
      </c>
      <c r="P55" s="210" t="str">
        <f t="shared" si="1"/>
        <v/>
      </c>
      <c r="Q55" s="161" t="str">
        <f t="shared" si="2"/>
        <v/>
      </c>
      <c r="R55" s="170" t="str">
        <f t="shared" si="3"/>
        <v/>
      </c>
      <c r="S55" s="860"/>
    </row>
    <row r="56" spans="1:19" ht="15" x14ac:dyDescent="0.2">
      <c r="A56" s="163">
        <v>53</v>
      </c>
      <c r="B56" s="209">
        <f>F52</f>
        <v>0</v>
      </c>
      <c r="C56" s="152" t="e">
        <f>IF(B56="",B56,VLOOKUP(B56,'Списки участников'!A:P,12,FALSE))</f>
        <v>#N/A</v>
      </c>
      <c r="D56" s="164" t="str">
        <f>IF(F28="","",IF(F28=B28,D28,IF(F28=D28,B28)))</f>
        <v/>
      </c>
      <c r="E56" s="152" t="str">
        <f>IF(D56="",D56,VLOOKUP(D56,'Списки участников'!A:P,12,FALSE))</f>
        <v/>
      </c>
      <c r="F56" s="164"/>
      <c r="G56" s="152" t="str">
        <f>IF(F56="","",VLOOKUP(F56,'Списки участников'!A:P,12,FALSE))</f>
        <v/>
      </c>
      <c r="H56" s="172"/>
      <c r="I56" s="172"/>
      <c r="J56" s="172"/>
      <c r="K56" s="172"/>
      <c r="L56" s="172"/>
      <c r="M56" s="172"/>
      <c r="N56" s="172"/>
      <c r="O56" s="159" t="str">
        <f t="shared" si="0"/>
        <v/>
      </c>
      <c r="P56" s="210" t="str">
        <f t="shared" si="1"/>
        <v/>
      </c>
      <c r="Q56" s="161" t="str">
        <f t="shared" si="2"/>
        <v/>
      </c>
      <c r="R56" s="170" t="str">
        <f t="shared" si="3"/>
        <v/>
      </c>
      <c r="S56" s="860"/>
    </row>
    <row r="57" spans="1:19" ht="15" x14ac:dyDescent="0.2">
      <c r="A57" s="163">
        <v>54</v>
      </c>
      <c r="B57" s="209">
        <f>F53</f>
        <v>0</v>
      </c>
      <c r="C57" s="152" t="e">
        <f>IF(B57="",B57,VLOOKUP(B57,'Списки участников'!A:P,12,FALSE))</f>
        <v>#N/A</v>
      </c>
      <c r="D57" s="164" t="str">
        <f>IF(F31="","",IF(F31=B31,D31,IF(F31=D31,B31)))</f>
        <v/>
      </c>
      <c r="E57" s="152" t="str">
        <f>IF(D57="",D57,VLOOKUP(D57,'Списки участников'!A:P,12,FALSE))</f>
        <v/>
      </c>
      <c r="F57" s="164"/>
      <c r="G57" s="152" t="str">
        <f>IF(F57="","",VLOOKUP(F57,'Списки участников'!A:P,12,FALSE))</f>
        <v/>
      </c>
      <c r="H57" s="172"/>
      <c r="I57" s="172"/>
      <c r="J57" s="172"/>
      <c r="K57" s="172"/>
      <c r="L57" s="172"/>
      <c r="M57" s="172"/>
      <c r="N57" s="172"/>
      <c r="O57" s="159" t="str">
        <f t="shared" si="0"/>
        <v/>
      </c>
      <c r="P57" s="210" t="str">
        <f t="shared" si="1"/>
        <v/>
      </c>
      <c r="Q57" s="161" t="str">
        <f t="shared" si="2"/>
        <v/>
      </c>
      <c r="R57" s="170" t="str">
        <f t="shared" si="3"/>
        <v/>
      </c>
      <c r="S57" s="860"/>
    </row>
    <row r="58" spans="1:19" ht="15" x14ac:dyDescent="0.2">
      <c r="A58" s="163">
        <v>55</v>
      </c>
      <c r="B58" s="209">
        <f>F54</f>
        <v>0</v>
      </c>
      <c r="C58" s="152" t="e">
        <f>IF(B58="",B58,VLOOKUP(B58,'Списки участников'!A:P,12,FALSE))</f>
        <v>#N/A</v>
      </c>
      <c r="D58" s="164" t="str">
        <f>IF(F30="","",IF(F30=B30,D30,IF(F30=D30,B30)))</f>
        <v/>
      </c>
      <c r="E58" s="152" t="str">
        <f>IF(D58="",D58,VLOOKUP(D58,'Списки участников'!A:P,12,FALSE))</f>
        <v/>
      </c>
      <c r="F58" s="164"/>
      <c r="G58" s="152" t="str">
        <f>IF(F58="","",VLOOKUP(F58,'Списки участников'!A:P,12,FALSE))</f>
        <v/>
      </c>
      <c r="H58" s="172"/>
      <c r="I58" s="172"/>
      <c r="J58" s="172"/>
      <c r="K58" s="172"/>
      <c r="L58" s="172"/>
      <c r="M58" s="172"/>
      <c r="N58" s="172"/>
      <c r="O58" s="159" t="str">
        <f t="shared" si="0"/>
        <v/>
      </c>
      <c r="P58" s="210" t="str">
        <f t="shared" si="1"/>
        <v/>
      </c>
      <c r="Q58" s="161" t="str">
        <f t="shared" si="2"/>
        <v/>
      </c>
      <c r="R58" s="170" t="str">
        <f t="shared" si="3"/>
        <v/>
      </c>
      <c r="S58" s="860"/>
    </row>
    <row r="59" spans="1:19" ht="15" x14ac:dyDescent="0.2">
      <c r="A59" s="163">
        <v>56</v>
      </c>
      <c r="B59" s="209">
        <f>F55</f>
        <v>0</v>
      </c>
      <c r="C59" s="152" t="e">
        <f>IF(B59="",B59,VLOOKUP(B59,'Списки участников'!A:P,12,FALSE))</f>
        <v>#N/A</v>
      </c>
      <c r="D59" s="209">
        <f>F56</f>
        <v>0</v>
      </c>
      <c r="E59" s="152" t="e">
        <f>IF(D59="",D59,VLOOKUP(D59,'Списки участников'!A:P,12,FALSE))</f>
        <v>#N/A</v>
      </c>
      <c r="F59" s="164"/>
      <c r="G59" s="152" t="str">
        <f>IF(F59="","",VLOOKUP(F59,'Списки участников'!A:P,12,FALSE))</f>
        <v/>
      </c>
      <c r="H59" s="172"/>
      <c r="I59" s="172"/>
      <c r="J59" s="172"/>
      <c r="K59" s="172"/>
      <c r="L59" s="172"/>
      <c r="M59" s="172"/>
      <c r="N59" s="172"/>
      <c r="O59" s="159" t="str">
        <f t="shared" si="0"/>
        <v/>
      </c>
      <c r="P59" s="210" t="str">
        <f t="shared" si="1"/>
        <v/>
      </c>
      <c r="Q59" s="161" t="str">
        <f t="shared" si="2"/>
        <v/>
      </c>
      <c r="R59" s="170" t="str">
        <f t="shared" si="3"/>
        <v/>
      </c>
      <c r="S59" s="860"/>
    </row>
    <row r="60" spans="1:19" ht="15" x14ac:dyDescent="0.2">
      <c r="A60" s="163">
        <v>57</v>
      </c>
      <c r="B60" s="209">
        <f>F57</f>
        <v>0</v>
      </c>
      <c r="C60" s="152" t="e">
        <f>IF(B60="",B60,VLOOKUP(B60,'Списки участников'!A:P,12,FALSE))</f>
        <v>#N/A</v>
      </c>
      <c r="D60" s="209">
        <f>F58</f>
        <v>0</v>
      </c>
      <c r="E60" s="152" t="e">
        <f>IF(D60="",D60,VLOOKUP(D60,'Списки участников'!A:P,12,FALSE))</f>
        <v>#N/A</v>
      </c>
      <c r="F60" s="164"/>
      <c r="G60" s="152" t="str">
        <f>IF(F60="","",VLOOKUP(F60,'Списки участников'!A:P,12,FALSE))</f>
        <v/>
      </c>
      <c r="H60" s="172"/>
      <c r="I60" s="172"/>
      <c r="J60" s="172"/>
      <c r="K60" s="172"/>
      <c r="L60" s="172"/>
      <c r="M60" s="172"/>
      <c r="N60" s="172"/>
      <c r="O60" s="159" t="str">
        <f t="shared" si="0"/>
        <v/>
      </c>
      <c r="P60" s="210" t="str">
        <f t="shared" si="1"/>
        <v/>
      </c>
      <c r="Q60" s="161" t="str">
        <f t="shared" si="2"/>
        <v/>
      </c>
      <c r="R60" s="170" t="str">
        <f t="shared" si="3"/>
        <v/>
      </c>
      <c r="S60" s="860"/>
    </row>
    <row r="61" spans="1:19" ht="15" x14ac:dyDescent="0.2">
      <c r="A61" s="163">
        <v>58</v>
      </c>
      <c r="B61" s="209">
        <f>F59</f>
        <v>0</v>
      </c>
      <c r="C61" s="152" t="e">
        <f>IF(B61="",B61,VLOOKUP(B61,'Списки участников'!A:P,12,FALSE))</f>
        <v>#N/A</v>
      </c>
      <c r="D61" s="164" t="str">
        <f>IF(F33="","",IF(F33=B33,D33,IF(F33=D33,B33)))</f>
        <v/>
      </c>
      <c r="E61" s="152" t="str">
        <f>IF(D61="",D61,VLOOKUP(D61,'Списки участников'!A:P,12,FALSE))</f>
        <v/>
      </c>
      <c r="F61" s="164"/>
      <c r="G61" s="152" t="str">
        <f>IF(F61="","",VLOOKUP(F61,'Списки участников'!A:P,12,FALSE))</f>
        <v/>
      </c>
      <c r="H61" s="172"/>
      <c r="I61" s="172"/>
      <c r="J61" s="172"/>
      <c r="K61" s="172"/>
      <c r="L61" s="172"/>
      <c r="M61" s="172"/>
      <c r="N61" s="172"/>
      <c r="O61" s="159" t="str">
        <f t="shared" si="0"/>
        <v/>
      </c>
      <c r="P61" s="210" t="str">
        <f t="shared" si="1"/>
        <v/>
      </c>
      <c r="Q61" s="161" t="str">
        <f t="shared" si="2"/>
        <v/>
      </c>
      <c r="R61" s="170" t="str">
        <f t="shared" si="3"/>
        <v/>
      </c>
      <c r="S61" s="860"/>
    </row>
    <row r="62" spans="1:19" ht="15" x14ac:dyDescent="0.2">
      <c r="A62" s="163">
        <v>59</v>
      </c>
      <c r="B62" s="209">
        <f>F60</f>
        <v>0</v>
      </c>
      <c r="C62" s="152" t="e">
        <f>IF(B62="",B62,VLOOKUP(B62,'Списки участников'!A:P,12,FALSE))</f>
        <v>#N/A</v>
      </c>
      <c r="D62" s="164" t="str">
        <f>IF(F32="","",IF(F32=B32,D32,IF(F32=D32,B32)))</f>
        <v/>
      </c>
      <c r="E62" s="152" t="str">
        <f>IF(D62="",D62,VLOOKUP(D62,'Списки участников'!A:P,12,FALSE))</f>
        <v/>
      </c>
      <c r="F62" s="164"/>
      <c r="G62" s="152" t="str">
        <f>IF(F62="","",VLOOKUP(F62,'Списки участников'!A:P,12,FALSE))</f>
        <v/>
      </c>
      <c r="H62" s="172"/>
      <c r="I62" s="172"/>
      <c r="J62" s="172"/>
      <c r="K62" s="172"/>
      <c r="L62" s="172"/>
      <c r="M62" s="172"/>
      <c r="N62" s="172"/>
      <c r="O62" s="159" t="str">
        <f t="shared" si="0"/>
        <v/>
      </c>
      <c r="P62" s="210" t="str">
        <f t="shared" si="1"/>
        <v/>
      </c>
      <c r="Q62" s="161" t="str">
        <f t="shared" si="2"/>
        <v/>
      </c>
      <c r="R62" s="170" t="str">
        <f t="shared" si="3"/>
        <v/>
      </c>
      <c r="S62" s="860"/>
    </row>
    <row r="63" spans="1:19" ht="15" x14ac:dyDescent="0.2">
      <c r="A63" s="163">
        <v>60</v>
      </c>
      <c r="B63" s="209">
        <f>F61</f>
        <v>0</v>
      </c>
      <c r="C63" s="152" t="e">
        <f>IF(B63="",B63,VLOOKUP(B63,'Списки участников'!A:P,12,FALSE))</f>
        <v>#N/A</v>
      </c>
      <c r="D63" s="209">
        <f>F62</f>
        <v>0</v>
      </c>
      <c r="E63" s="152" t="e">
        <f>IF(D63="",D63,VLOOKUP(D63,'Списки участников'!A:P,12,FALSE))</f>
        <v>#N/A</v>
      </c>
      <c r="F63" s="164"/>
      <c r="G63" s="152" t="str">
        <f>IF(F63="","",VLOOKUP(F63,'Списки участников'!A:P,12,FALSE))</f>
        <v/>
      </c>
      <c r="H63" s="172"/>
      <c r="I63" s="172"/>
      <c r="J63" s="172"/>
      <c r="K63" s="172"/>
      <c r="L63" s="172"/>
      <c r="M63" s="172"/>
      <c r="N63" s="172"/>
      <c r="O63" s="159" t="str">
        <f t="shared" si="0"/>
        <v/>
      </c>
      <c r="P63" s="210" t="str">
        <f t="shared" si="1"/>
        <v/>
      </c>
      <c r="Q63" s="161" t="str">
        <f t="shared" si="2"/>
        <v/>
      </c>
      <c r="R63" s="170" t="str">
        <f t="shared" si="3"/>
        <v/>
      </c>
      <c r="S63" s="860" t="s">
        <v>2503</v>
      </c>
    </row>
    <row r="64" spans="1:19" ht="15" x14ac:dyDescent="0.2">
      <c r="A64" s="163">
        <v>61</v>
      </c>
      <c r="B64" s="164" t="str">
        <f>IF(F61="","",IF(F61=B61,D61,IF(F61=D61,B61)))</f>
        <v/>
      </c>
      <c r="C64" s="152" t="str">
        <f>IF(B64="",B64,VLOOKUP(B64,'Списки участников'!A:P,12,FALSE))</f>
        <v/>
      </c>
      <c r="D64" s="164" t="str">
        <f>IF(F62="","",IF(F62=B62,D62,IF(F62=D62,B62)))</f>
        <v/>
      </c>
      <c r="E64" s="152" t="str">
        <f>IF(D64="",D64,VLOOKUP(D64,'Списки участников'!A:P,12,FALSE))</f>
        <v/>
      </c>
      <c r="F64" s="164"/>
      <c r="G64" s="152" t="str">
        <f>IF(F64="","",VLOOKUP(F64,'Списки участников'!A:P,12,FALSE))</f>
        <v/>
      </c>
      <c r="H64" s="172"/>
      <c r="I64" s="172"/>
      <c r="J64" s="172"/>
      <c r="K64" s="172"/>
      <c r="L64" s="172"/>
      <c r="M64" s="172"/>
      <c r="N64" s="172"/>
      <c r="O64" s="159" t="str">
        <f t="shared" si="0"/>
        <v/>
      </c>
      <c r="P64" s="210" t="str">
        <f t="shared" si="1"/>
        <v/>
      </c>
      <c r="Q64" s="161" t="str">
        <f t="shared" si="2"/>
        <v/>
      </c>
      <c r="R64" s="170" t="str">
        <f t="shared" si="3"/>
        <v/>
      </c>
      <c r="S64" s="860" t="s">
        <v>2504</v>
      </c>
    </row>
    <row r="65" spans="1:19" ht="15" x14ac:dyDescent="0.2">
      <c r="A65" s="163">
        <v>62</v>
      </c>
      <c r="B65" s="164" t="str">
        <f>IF(F59="","",IF(F59=B59,D59,IF(F59=D59,B59)))</f>
        <v/>
      </c>
      <c r="C65" s="152" t="str">
        <f>IF(B65="",B65,VLOOKUP(B65,'Списки участников'!A:P,12,FALSE))</f>
        <v/>
      </c>
      <c r="D65" s="164" t="str">
        <f>IF(F60="","",IF(F60=B60,D60,IF(F60=D60,B60)))</f>
        <v/>
      </c>
      <c r="E65" s="152" t="str">
        <f>IF(D65="",D65,VLOOKUP(D65,'Списки участников'!A:P,12,FALSE))</f>
        <v/>
      </c>
      <c r="F65" s="164"/>
      <c r="G65" s="152" t="str">
        <f>IF(F65="","",VLOOKUP(F65,'Списки участников'!A:P,12,FALSE))</f>
        <v/>
      </c>
      <c r="H65" s="172"/>
      <c r="I65" s="172"/>
      <c r="J65" s="172"/>
      <c r="K65" s="172"/>
      <c r="L65" s="172"/>
      <c r="M65" s="172"/>
      <c r="N65" s="172"/>
      <c r="O65" s="159" t="str">
        <f t="shared" si="0"/>
        <v/>
      </c>
      <c r="P65" s="210" t="str">
        <f t="shared" si="1"/>
        <v/>
      </c>
      <c r="Q65" s="161" t="str">
        <f t="shared" si="2"/>
        <v/>
      </c>
      <c r="R65" s="170" t="str">
        <f t="shared" si="3"/>
        <v/>
      </c>
      <c r="S65" s="860" t="s">
        <v>2505</v>
      </c>
    </row>
    <row r="66" spans="1:19" ht="15" x14ac:dyDescent="0.2">
      <c r="A66" s="163">
        <v>63</v>
      </c>
      <c r="B66" s="164" t="str">
        <f>IF(F55="","",IF(F55=B55,D55,IF(F55=D55,B55)))</f>
        <v/>
      </c>
      <c r="C66" s="152" t="str">
        <f>IF(B66="",B66,VLOOKUP(B66,'Списки участников'!A:P,12,FALSE))</f>
        <v/>
      </c>
      <c r="D66" s="164" t="str">
        <f>IF(F56="","",IF(F56=B56,D56,IF(F56=D56,B56)))</f>
        <v/>
      </c>
      <c r="E66" s="152" t="str">
        <f>IF(D66="",D66,VLOOKUP(D66,'Списки участников'!A:P,12,FALSE))</f>
        <v/>
      </c>
      <c r="F66" s="164"/>
      <c r="G66" s="152" t="str">
        <f>IF(F66="","",VLOOKUP(F66,'Списки участников'!A:P,12,FALSE))</f>
        <v/>
      </c>
      <c r="H66" s="172"/>
      <c r="I66" s="172"/>
      <c r="J66" s="172"/>
      <c r="K66" s="172"/>
      <c r="L66" s="172"/>
      <c r="M66" s="172"/>
      <c r="N66" s="172"/>
      <c r="O66" s="159" t="str">
        <f t="shared" si="0"/>
        <v/>
      </c>
      <c r="P66" s="210" t="str">
        <f t="shared" si="1"/>
        <v/>
      </c>
      <c r="Q66" s="161" t="str">
        <f t="shared" si="2"/>
        <v/>
      </c>
      <c r="R66" s="170" t="str">
        <f t="shared" si="3"/>
        <v/>
      </c>
      <c r="S66" s="860"/>
    </row>
    <row r="67" spans="1:19" ht="15" x14ac:dyDescent="0.2">
      <c r="A67" s="163">
        <v>64</v>
      </c>
      <c r="B67" s="164" t="str">
        <f>IF(F57="","",IF(F57=B57,D57,IF(F57=D57,B57)))</f>
        <v/>
      </c>
      <c r="C67" s="152" t="str">
        <f>IF(B67="",B67,VLOOKUP(B67,'Списки участников'!A:P,12,FALSE))</f>
        <v/>
      </c>
      <c r="D67" s="164" t="str">
        <f>IF(F58="","",IF(F58=B58,D58,IF(F58=D58,B58)))</f>
        <v/>
      </c>
      <c r="E67" s="152" t="str">
        <f>IF(D67="",D67,VLOOKUP(D67,'Списки участников'!A:P,12,FALSE))</f>
        <v/>
      </c>
      <c r="F67" s="164"/>
      <c r="G67" s="152" t="str">
        <f>IF(F67="","",VLOOKUP(F67,'Списки участников'!A:P,12,FALSE))</f>
        <v/>
      </c>
      <c r="H67" s="172"/>
      <c r="I67" s="172"/>
      <c r="J67" s="172"/>
      <c r="K67" s="172"/>
      <c r="L67" s="172"/>
      <c r="M67" s="172"/>
      <c r="N67" s="172"/>
      <c r="O67" s="159" t="str">
        <f t="shared" si="0"/>
        <v/>
      </c>
      <c r="P67" s="210" t="str">
        <f t="shared" si="1"/>
        <v/>
      </c>
      <c r="Q67" s="161" t="str">
        <f t="shared" si="2"/>
        <v/>
      </c>
      <c r="R67" s="170" t="str">
        <f t="shared" si="3"/>
        <v/>
      </c>
      <c r="S67" s="860"/>
    </row>
    <row r="68" spans="1:19" ht="15" x14ac:dyDescent="0.2">
      <c r="A68" s="163">
        <v>65</v>
      </c>
      <c r="B68" s="209">
        <f>F66</f>
        <v>0</v>
      </c>
      <c r="C68" s="152" t="e">
        <f>IF(B68="",B68,VLOOKUP(B68,'Списки участников'!A:P,12,FALSE))</f>
        <v>#N/A</v>
      </c>
      <c r="D68" s="209">
        <f>F67</f>
        <v>0</v>
      </c>
      <c r="E68" s="152" t="e">
        <f>IF(D68="",D68,VLOOKUP(D68,'Списки участников'!A:P,12,FALSE))</f>
        <v>#N/A</v>
      </c>
      <c r="F68" s="164"/>
      <c r="G68" s="152" t="str">
        <f>IF(F68="","",VLOOKUP(F68,'Списки участников'!A:P,12,FALSE))</f>
        <v/>
      </c>
      <c r="H68" s="172"/>
      <c r="I68" s="172"/>
      <c r="J68" s="172"/>
      <c r="K68" s="172"/>
      <c r="L68" s="172"/>
      <c r="M68" s="172"/>
      <c r="N68" s="172"/>
      <c r="O68" s="159" t="str">
        <f t="shared" si="0"/>
        <v/>
      </c>
      <c r="P68" s="210" t="str">
        <f t="shared" si="1"/>
        <v/>
      </c>
      <c r="Q68" s="161" t="str">
        <f t="shared" si="2"/>
        <v/>
      </c>
      <c r="R68" s="170" t="str">
        <f t="shared" si="3"/>
        <v/>
      </c>
      <c r="S68" s="860" t="s">
        <v>2506</v>
      </c>
    </row>
    <row r="69" spans="1:19" ht="15" x14ac:dyDescent="0.2">
      <c r="A69" s="163">
        <v>66</v>
      </c>
      <c r="B69" s="164" t="str">
        <f>IF(F66="","",IF(F66=B66,D66,IF(F66=D66,B66)))</f>
        <v/>
      </c>
      <c r="C69" s="152" t="str">
        <f>IF(B69="",B69,VLOOKUP(B69,'Списки участников'!A:P,12,FALSE))</f>
        <v/>
      </c>
      <c r="D69" s="164" t="str">
        <f>IF(F67="","",IF(F67=B67,D67,IF(F67=D67,B67)))</f>
        <v/>
      </c>
      <c r="E69" s="152" t="str">
        <f>IF(D69="",D69,VLOOKUP(D69,'Списки участников'!A:P,12,FALSE))</f>
        <v/>
      </c>
      <c r="F69" s="164"/>
      <c r="G69" s="152" t="str">
        <f>IF(F69="","",VLOOKUP(F69,'Списки участников'!A:P,12,FALSE))</f>
        <v/>
      </c>
      <c r="H69" s="172"/>
      <c r="I69" s="172"/>
      <c r="J69" s="172"/>
      <c r="K69" s="172"/>
      <c r="L69" s="172"/>
      <c r="M69" s="172"/>
      <c r="N69" s="172"/>
      <c r="O69" s="159" t="str">
        <f t="shared" ref="O69:O97" si="6">IF(F69="","",COUNTIF(H69:N69,"&gt;=0"))</f>
        <v/>
      </c>
      <c r="P69" s="210" t="str">
        <f t="shared" ref="P69:P97" si="7">IF(F69="","",":")</f>
        <v/>
      </c>
      <c r="Q69" s="161" t="str">
        <f t="shared" ref="Q69:Q97" si="8">IF(F69="","",COUNTIF(H69:N69,"&lt;0"))</f>
        <v/>
      </c>
      <c r="R69" s="170" t="str">
        <f t="shared" ref="R69:R80" si="9">IF(F69="","",IF(K69="",CONCATENATE(O69,"-",Q69,"(",H69,",",I69,",",J69,")"),IF(L69="",CONCATENATE(O69,"-",Q69,"(",H69,",",I69,",",J69,",",K69,")"),IF(M69="",CONCATENATE(O69,"-",Q69,"(",H69,",",I69,",",J69,",",K69,",",L69,")"),IF(N69="",CONCATENATE(O69,"-",Q69,"(",H69,",",I69,",",J69,",",K69,",",L69,",",M69,")"),IF(N69&lt;&gt;0,CONCATENATE(O69,"-",Q69,"(",H69,",",I69,",",J69,",",K69,",",L69,",",M69,",",N69,")")))))))</f>
        <v/>
      </c>
      <c r="S69" s="860" t="s">
        <v>2508</v>
      </c>
    </row>
    <row r="70" spans="1:19" ht="15" x14ac:dyDescent="0.2">
      <c r="A70" s="163">
        <v>67</v>
      </c>
      <c r="B70" s="164" t="str">
        <f>IF(F51="","",IF(F51=B51,D51,IF(F51=D51,B51)))</f>
        <v/>
      </c>
      <c r="C70" s="152" t="str">
        <f>IF(B70="",B70,VLOOKUP(B70,'Списки участников'!A:P,12,FALSE))</f>
        <v/>
      </c>
      <c r="D70" s="164" t="str">
        <f>IF(F52="","",IF(F52=B52,D52,IF(F52=D52,B52)))</f>
        <v/>
      </c>
      <c r="E70" s="152" t="str">
        <f>IF(D70="",D70,VLOOKUP(D70,'Списки участников'!A:P,12,FALSE))</f>
        <v/>
      </c>
      <c r="F70" s="164"/>
      <c r="G70" s="152" t="str">
        <f>IF(F70="","",VLOOKUP(F70,'Списки участников'!A:P,12,FALSE))</f>
        <v/>
      </c>
      <c r="H70" s="172"/>
      <c r="I70" s="172"/>
      <c r="J70" s="172"/>
      <c r="K70" s="172"/>
      <c r="L70" s="172"/>
      <c r="M70" s="172"/>
      <c r="N70" s="172"/>
      <c r="O70" s="159" t="str">
        <f t="shared" si="6"/>
        <v/>
      </c>
      <c r="P70" s="210" t="str">
        <f t="shared" si="7"/>
        <v/>
      </c>
      <c r="Q70" s="161" t="str">
        <f t="shared" si="8"/>
        <v/>
      </c>
      <c r="R70" s="170" t="str">
        <f t="shared" si="9"/>
        <v/>
      </c>
      <c r="S70" s="860"/>
    </row>
    <row r="71" spans="1:19" ht="15" x14ac:dyDescent="0.2">
      <c r="A71" s="163">
        <v>68</v>
      </c>
      <c r="B71" s="164" t="str">
        <f>IF(F53="","",IF(F53=B53,D53,IF(F53=D53,B53)))</f>
        <v/>
      </c>
      <c r="C71" s="152" t="str">
        <f>IF(B71="",B71,VLOOKUP(B71,'Списки участников'!A:P,12,FALSE))</f>
        <v/>
      </c>
      <c r="D71" s="164" t="str">
        <f>IF(F54="","",IF(F54=B54,D54,IF(F54=D54,B54)))</f>
        <v/>
      </c>
      <c r="E71" s="152" t="str">
        <f>IF(D71="",D71,VLOOKUP(D71,'Списки участников'!A:P,12,FALSE))</f>
        <v/>
      </c>
      <c r="F71" s="164"/>
      <c r="G71" s="152" t="str">
        <f>IF(F71="","",VLOOKUP(F71,'Списки участников'!A:P,12,FALSE))</f>
        <v/>
      </c>
      <c r="H71" s="172"/>
      <c r="I71" s="172"/>
      <c r="J71" s="172"/>
      <c r="K71" s="172"/>
      <c r="L71" s="172"/>
      <c r="M71" s="172"/>
      <c r="N71" s="172"/>
      <c r="O71" s="159" t="str">
        <f t="shared" si="6"/>
        <v/>
      </c>
      <c r="P71" s="210" t="str">
        <f t="shared" si="7"/>
        <v/>
      </c>
      <c r="Q71" s="161" t="str">
        <f t="shared" si="8"/>
        <v/>
      </c>
      <c r="R71" s="170" t="str">
        <f t="shared" si="9"/>
        <v/>
      </c>
      <c r="S71" s="860"/>
    </row>
    <row r="72" spans="1:19" ht="15" x14ac:dyDescent="0.2">
      <c r="A72" s="163">
        <v>69</v>
      </c>
      <c r="B72" s="209">
        <f>F70</f>
        <v>0</v>
      </c>
      <c r="C72" s="152" t="e">
        <f>IF(B72="",B72,VLOOKUP(B72,'Списки участников'!A:P,12,FALSE))</f>
        <v>#N/A</v>
      </c>
      <c r="D72" s="209">
        <f>F71</f>
        <v>0</v>
      </c>
      <c r="E72" s="152" t="e">
        <f>IF(D72="",D72,VLOOKUP(D72,'Списки участников'!A:P,12,FALSE))</f>
        <v>#N/A</v>
      </c>
      <c r="F72" s="164"/>
      <c r="G72" s="152" t="str">
        <f>IF(F72="","",VLOOKUP(F72,'Списки участников'!A:P,12,FALSE))</f>
        <v/>
      </c>
      <c r="H72" s="172"/>
      <c r="I72" s="172"/>
      <c r="J72" s="172"/>
      <c r="K72" s="172"/>
      <c r="L72" s="172"/>
      <c r="M72" s="172"/>
      <c r="N72" s="172"/>
      <c r="O72" s="159" t="str">
        <f t="shared" si="6"/>
        <v/>
      </c>
      <c r="P72" s="210" t="str">
        <f t="shared" si="7"/>
        <v/>
      </c>
      <c r="Q72" s="161" t="str">
        <f t="shared" si="8"/>
        <v/>
      </c>
      <c r="R72" s="170" t="str">
        <f t="shared" si="9"/>
        <v/>
      </c>
      <c r="S72" s="860" t="s">
        <v>2507</v>
      </c>
    </row>
    <row r="73" spans="1:19" ht="15" x14ac:dyDescent="0.2">
      <c r="A73" s="163">
        <v>70</v>
      </c>
      <c r="B73" s="164" t="str">
        <f>IF(F70="","",IF(F70=B70,D70,IF(F70=D70,B70)))</f>
        <v/>
      </c>
      <c r="C73" s="152" t="str">
        <f>IF(B73="",B73,VLOOKUP(B73,'Списки участников'!A:P,12,FALSE))</f>
        <v/>
      </c>
      <c r="D73" s="164" t="str">
        <f>IF(F71="","",IF(F71=B71,D71,IF(F71=D71,B71)))</f>
        <v/>
      </c>
      <c r="E73" s="152" t="str">
        <f>IF(D73="",D73,VLOOKUP(D73,'Списки участников'!A:P,12,FALSE))</f>
        <v/>
      </c>
      <c r="F73" s="164"/>
      <c r="G73" s="152" t="str">
        <f>IF(F73="","",VLOOKUP(F73,'Списки участников'!A:P,12,FALSE))</f>
        <v/>
      </c>
      <c r="H73" s="172"/>
      <c r="I73" s="172"/>
      <c r="J73" s="172"/>
      <c r="K73" s="172"/>
      <c r="L73" s="172"/>
      <c r="M73" s="172"/>
      <c r="N73" s="172"/>
      <c r="O73" s="159" t="str">
        <f t="shared" si="6"/>
        <v/>
      </c>
      <c r="P73" s="210" t="str">
        <f t="shared" si="7"/>
        <v/>
      </c>
      <c r="Q73" s="161" t="str">
        <f t="shared" si="8"/>
        <v/>
      </c>
      <c r="R73" s="170" t="str">
        <f t="shared" si="9"/>
        <v/>
      </c>
      <c r="S73" s="860" t="s">
        <v>2509</v>
      </c>
    </row>
    <row r="74" spans="1:19" ht="15" x14ac:dyDescent="0.2">
      <c r="A74" s="163">
        <v>71</v>
      </c>
      <c r="B74" s="164" t="str">
        <f>IF(F43="","",IF(F43=B43,D43,IF(F43=D43,B43)))</f>
        <v/>
      </c>
      <c r="C74" s="152" t="str">
        <f>IF(B74="",B74,VLOOKUP(B74,'Списки участников'!A:P,12,FALSE))</f>
        <v/>
      </c>
      <c r="D74" s="164" t="str">
        <f>IF(F44="","",IF(F44=B44,D44,IF(F44=D44,B44)))</f>
        <v/>
      </c>
      <c r="E74" s="152" t="str">
        <f>IF(D74="",D74,VLOOKUP(D74,'Списки участников'!A:P,12,FALSE))</f>
        <v/>
      </c>
      <c r="F74" s="164"/>
      <c r="G74" s="152" t="str">
        <f>IF(F74="","",VLOOKUP(F74,'Списки участников'!A:P,12,FALSE))</f>
        <v/>
      </c>
      <c r="H74" s="172"/>
      <c r="I74" s="172"/>
      <c r="J74" s="172"/>
      <c r="K74" s="172"/>
      <c r="L74" s="172"/>
      <c r="M74" s="172"/>
      <c r="N74" s="172"/>
      <c r="O74" s="159" t="str">
        <f t="shared" si="6"/>
        <v/>
      </c>
      <c r="P74" s="210" t="str">
        <f t="shared" si="7"/>
        <v/>
      </c>
      <c r="Q74" s="161" t="str">
        <f t="shared" si="8"/>
        <v/>
      </c>
      <c r="R74" s="170" t="str">
        <f t="shared" si="9"/>
        <v/>
      </c>
      <c r="S74" s="860"/>
    </row>
    <row r="75" spans="1:19" ht="15" x14ac:dyDescent="0.2">
      <c r="A75" s="163">
        <v>72</v>
      </c>
      <c r="B75" s="164" t="str">
        <f>IF(F45="","",IF(F45=B45,D45,IF(F45=D45,B45)))</f>
        <v/>
      </c>
      <c r="C75" s="152" t="str">
        <f>IF(B75="",B75,VLOOKUP(B75,'Списки участников'!A:P,12,FALSE))</f>
        <v/>
      </c>
      <c r="D75" s="164" t="str">
        <f>IF(F46="","",IF(F46=B46,D46,IF(F46=D46,B46)))</f>
        <v/>
      </c>
      <c r="E75" s="152" t="str">
        <f>IF(D75="",D75,VLOOKUP(D75,'Списки участников'!A:P,12,FALSE))</f>
        <v/>
      </c>
      <c r="F75" s="164"/>
      <c r="G75" s="152" t="str">
        <f>IF(F75="","",VLOOKUP(F75,'Списки участников'!A:P,12,FALSE))</f>
        <v/>
      </c>
      <c r="H75" s="172"/>
      <c r="I75" s="172"/>
      <c r="J75" s="172"/>
      <c r="K75" s="172"/>
      <c r="L75" s="172"/>
      <c r="M75" s="172"/>
      <c r="N75" s="172"/>
      <c r="O75" s="159" t="str">
        <f t="shared" si="6"/>
        <v/>
      </c>
      <c r="P75" s="210" t="str">
        <f t="shared" si="7"/>
        <v/>
      </c>
      <c r="Q75" s="161" t="str">
        <f t="shared" si="8"/>
        <v/>
      </c>
      <c r="R75" s="170" t="str">
        <f t="shared" si="9"/>
        <v/>
      </c>
      <c r="S75" s="860"/>
    </row>
    <row r="76" spans="1:19" ht="15" x14ac:dyDescent="0.2">
      <c r="A76" s="163">
        <v>73</v>
      </c>
      <c r="B76" s="164" t="str">
        <f>IF(F47="","",IF(F47=B47,D47,IF(F47=D47,B47)))</f>
        <v/>
      </c>
      <c r="C76" s="152" t="str">
        <f>IF(B76="",B76,VLOOKUP(B76,'Списки участников'!A:P,12,FALSE))</f>
        <v/>
      </c>
      <c r="D76" s="164" t="str">
        <f>IF(F48="","",IF(F48=B48,D48,IF(F48=D48,B48)))</f>
        <v/>
      </c>
      <c r="E76" s="152" t="str">
        <f>IF(D76="",D76,VLOOKUP(D76,'Списки участников'!A:P,12,FALSE))</f>
        <v/>
      </c>
      <c r="F76" s="164"/>
      <c r="G76" s="152" t="str">
        <f>IF(F76="","",VLOOKUP(F76,'Списки участников'!A:P,12,FALSE))</f>
        <v/>
      </c>
      <c r="H76" s="172"/>
      <c r="I76" s="172"/>
      <c r="J76" s="172"/>
      <c r="K76" s="172"/>
      <c r="L76" s="172"/>
      <c r="M76" s="172"/>
      <c r="N76" s="172"/>
      <c r="O76" s="159" t="str">
        <f t="shared" si="6"/>
        <v/>
      </c>
      <c r="P76" s="210" t="str">
        <f t="shared" si="7"/>
        <v/>
      </c>
      <c r="Q76" s="161" t="str">
        <f t="shared" si="8"/>
        <v/>
      </c>
      <c r="R76" s="170" t="str">
        <f t="shared" si="9"/>
        <v/>
      </c>
      <c r="S76" s="860"/>
    </row>
    <row r="77" spans="1:19" ht="15" x14ac:dyDescent="0.2">
      <c r="A77" s="163">
        <v>74</v>
      </c>
      <c r="B77" s="164" t="str">
        <f>IF(F49="","",IF(F49=B49,D49,IF(F49=D49,B49)))</f>
        <v/>
      </c>
      <c r="C77" s="152" t="str">
        <f>IF(B77="",B77,VLOOKUP(B77,'Списки участников'!A:P,12,FALSE))</f>
        <v/>
      </c>
      <c r="D77" s="164" t="str">
        <f>IF(F50="","",IF(F50=B50,D50,IF(F50=D50,B50)))</f>
        <v/>
      </c>
      <c r="E77" s="152" t="str">
        <f>IF(D77="",D77,VLOOKUP(D77,'Списки участников'!A:P,12,FALSE))</f>
        <v/>
      </c>
      <c r="F77" s="164"/>
      <c r="G77" s="152" t="str">
        <f>IF(F77="","",VLOOKUP(F77,'Списки участников'!A:P,12,FALSE))</f>
        <v/>
      </c>
      <c r="H77" s="172"/>
      <c r="I77" s="172"/>
      <c r="J77" s="172"/>
      <c r="K77" s="172"/>
      <c r="L77" s="172"/>
      <c r="M77" s="172"/>
      <c r="N77" s="172"/>
      <c r="O77" s="159" t="str">
        <f t="shared" si="6"/>
        <v/>
      </c>
      <c r="P77" s="210" t="str">
        <f t="shared" si="7"/>
        <v/>
      </c>
      <c r="Q77" s="161" t="str">
        <f t="shared" si="8"/>
        <v/>
      </c>
      <c r="R77" s="170" t="str">
        <f t="shared" si="9"/>
        <v/>
      </c>
      <c r="S77" s="860"/>
    </row>
    <row r="78" spans="1:19" ht="15" x14ac:dyDescent="0.2">
      <c r="A78" s="163">
        <v>75</v>
      </c>
      <c r="B78" s="209">
        <f>F74</f>
        <v>0</v>
      </c>
      <c r="C78" s="152" t="e">
        <f>IF(B78="",B78,VLOOKUP(B78,'Списки участников'!A:P,12,FALSE))</f>
        <v>#N/A</v>
      </c>
      <c r="D78" s="209">
        <f>F75</f>
        <v>0</v>
      </c>
      <c r="E78" s="152" t="e">
        <f>IF(D78="",D78,VLOOKUP(D78,'Списки участников'!A:P,12,FALSE))</f>
        <v>#N/A</v>
      </c>
      <c r="F78" s="164"/>
      <c r="G78" s="152" t="str">
        <f>IF(F78="","",VLOOKUP(F78,'Списки участников'!A:P,12,FALSE))</f>
        <v/>
      </c>
      <c r="H78" s="172"/>
      <c r="I78" s="172"/>
      <c r="J78" s="172"/>
      <c r="K78" s="172"/>
      <c r="L78" s="172"/>
      <c r="M78" s="172"/>
      <c r="N78" s="172"/>
      <c r="O78" s="159" t="str">
        <f t="shared" si="6"/>
        <v/>
      </c>
      <c r="P78" s="210" t="str">
        <f t="shared" si="7"/>
        <v/>
      </c>
      <c r="Q78" s="161" t="str">
        <f t="shared" si="8"/>
        <v/>
      </c>
      <c r="R78" s="170" t="str">
        <f t="shared" si="9"/>
        <v/>
      </c>
      <c r="S78" s="860"/>
    </row>
    <row r="79" spans="1:19" ht="15" x14ac:dyDescent="0.2">
      <c r="A79" s="163">
        <v>76</v>
      </c>
      <c r="B79" s="209">
        <f>F76</f>
        <v>0</v>
      </c>
      <c r="C79" s="152" t="e">
        <f>IF(B79="",B79,VLOOKUP(B79,'Списки участников'!A:P,12,FALSE))</f>
        <v>#N/A</v>
      </c>
      <c r="D79" s="209">
        <f>F77</f>
        <v>0</v>
      </c>
      <c r="E79" s="152" t="e">
        <f>IF(D79="",D79,VLOOKUP(D79,'Списки участников'!A:P,12,FALSE))</f>
        <v>#N/A</v>
      </c>
      <c r="F79" s="164"/>
      <c r="G79" s="152" t="str">
        <f>IF(F79="","",VLOOKUP(F79,'Списки участников'!A:P,12,FALSE))</f>
        <v/>
      </c>
      <c r="H79" s="172"/>
      <c r="I79" s="172"/>
      <c r="J79" s="172"/>
      <c r="K79" s="172"/>
      <c r="L79" s="172"/>
      <c r="M79" s="172"/>
      <c r="N79" s="172"/>
      <c r="O79" s="159" t="str">
        <f t="shared" si="6"/>
        <v/>
      </c>
      <c r="P79" s="210" t="str">
        <f t="shared" si="7"/>
        <v/>
      </c>
      <c r="Q79" s="161" t="str">
        <f t="shared" si="8"/>
        <v/>
      </c>
      <c r="R79" s="170"/>
      <c r="S79" s="860"/>
    </row>
    <row r="80" spans="1:19" ht="15" x14ac:dyDescent="0.2">
      <c r="A80" s="163">
        <v>77</v>
      </c>
      <c r="B80" s="209">
        <f>F78</f>
        <v>0</v>
      </c>
      <c r="C80" s="152" t="e">
        <f>IF(B80="",B80,VLOOKUP(B80,'Списки участников'!A:P,12,FALSE))</f>
        <v>#N/A</v>
      </c>
      <c r="D80" s="209">
        <f>F79</f>
        <v>0</v>
      </c>
      <c r="E80" s="152" t="e">
        <f>IF(D80="",D80,VLOOKUP(D80,'Списки участников'!A:P,12,FALSE))</f>
        <v>#N/A</v>
      </c>
      <c r="F80" s="164"/>
      <c r="G80" s="152" t="str">
        <f>IF(F80="","",VLOOKUP(F80,'Списки участников'!A:P,12,FALSE))</f>
        <v/>
      </c>
      <c r="H80" s="172"/>
      <c r="I80" s="172"/>
      <c r="J80" s="172"/>
      <c r="K80" s="172"/>
      <c r="L80" s="172"/>
      <c r="M80" s="172"/>
      <c r="N80" s="172"/>
      <c r="O80" s="159" t="str">
        <f t="shared" si="6"/>
        <v/>
      </c>
      <c r="P80" s="210" t="str">
        <f t="shared" si="7"/>
        <v/>
      </c>
      <c r="Q80" s="161" t="str">
        <f t="shared" si="8"/>
        <v/>
      </c>
      <c r="R80" s="170" t="str">
        <f t="shared" si="9"/>
        <v/>
      </c>
      <c r="S80" s="860" t="s">
        <v>2510</v>
      </c>
    </row>
    <row r="81" spans="1:19" ht="15" x14ac:dyDescent="0.2">
      <c r="A81" s="163">
        <v>78</v>
      </c>
      <c r="B81" s="164" t="str">
        <f>IF(F78="","",IF(F78=B78,D78,IF(F78=D78,B78)))</f>
        <v/>
      </c>
      <c r="C81" s="152" t="str">
        <f>IF(B81="",B81,VLOOKUP(B81,'Списки участников'!A:P,12,FALSE))</f>
        <v/>
      </c>
      <c r="D81" s="164" t="str">
        <f>IF(F79="","",IF(F79=B79,D79,IF(F79=D79,B79)))</f>
        <v/>
      </c>
      <c r="E81" s="152" t="str">
        <f>IF(D81="",D81,VLOOKUP(D81,'Списки участников'!A:P,12,FALSE))</f>
        <v/>
      </c>
      <c r="F81" s="164"/>
      <c r="G81" s="152" t="str">
        <f>IF(F81="","",VLOOKUP(F81,'Списки участников'!A:P,12,FALSE))</f>
        <v/>
      </c>
      <c r="H81" s="172"/>
      <c r="I81" s="172"/>
      <c r="J81" s="172"/>
      <c r="K81" s="172"/>
      <c r="L81" s="172"/>
      <c r="M81" s="172"/>
      <c r="N81" s="172"/>
      <c r="O81" s="159" t="str">
        <f t="shared" si="6"/>
        <v/>
      </c>
      <c r="P81" s="210" t="str">
        <f t="shared" si="7"/>
        <v/>
      </c>
      <c r="Q81" s="161" t="str">
        <f t="shared" si="8"/>
        <v/>
      </c>
      <c r="R81" s="170"/>
      <c r="S81" s="860" t="s">
        <v>2511</v>
      </c>
    </row>
    <row r="82" spans="1:19" ht="15" x14ac:dyDescent="0.2">
      <c r="A82" s="163">
        <v>79</v>
      </c>
      <c r="B82" s="164" t="str">
        <f>IF(F74="","",IF(F74=B74,D74,IF(F74=D74,B74)))</f>
        <v/>
      </c>
      <c r="C82" s="152" t="str">
        <f>IF(B82="",B82,VLOOKUP(B82,'Списки участников'!A:P,12,FALSE))</f>
        <v/>
      </c>
      <c r="D82" s="164" t="str">
        <f>IF(F75="","",IF(F75=B75,D75,IF(F75=D75,B75)))</f>
        <v/>
      </c>
      <c r="E82" s="152" t="str">
        <f>IF(D82="",D82,VLOOKUP(D82,'Списки участников'!A:P,12,FALSE))</f>
        <v/>
      </c>
      <c r="F82" s="164"/>
      <c r="G82" s="152" t="str">
        <f>IF(F82="","",VLOOKUP(F82,'Списки участников'!A:P,12,FALSE))</f>
        <v/>
      </c>
      <c r="H82" s="172"/>
      <c r="I82" s="172"/>
      <c r="J82" s="172"/>
      <c r="K82" s="172"/>
      <c r="L82" s="172"/>
      <c r="M82" s="172"/>
      <c r="N82" s="172"/>
      <c r="O82" s="159" t="str">
        <f t="shared" si="6"/>
        <v/>
      </c>
      <c r="P82" s="210" t="str">
        <f t="shared" si="7"/>
        <v/>
      </c>
      <c r="Q82" s="161" t="str">
        <f t="shared" si="8"/>
        <v/>
      </c>
      <c r="R82" s="170"/>
      <c r="S82" s="860"/>
    </row>
    <row r="83" spans="1:19" ht="15" x14ac:dyDescent="0.2">
      <c r="A83" s="163">
        <v>80</v>
      </c>
      <c r="B83" s="164" t="str">
        <f>IF(F76="","",IF(F76=B76,D76,IF(F76=D76,B76)))</f>
        <v/>
      </c>
      <c r="C83" s="152" t="str">
        <f>IF(B83="",B83,VLOOKUP(B83,'Списки участников'!A:P,12,FALSE))</f>
        <v/>
      </c>
      <c r="D83" s="164" t="str">
        <f>IF(F77="","",IF(F77=B77,D77,IF(F77=D77,B77)))</f>
        <v/>
      </c>
      <c r="E83" s="152" t="str">
        <f>IF(D83="",D83,VLOOKUP(D83,'Списки участников'!A:P,12,FALSE))</f>
        <v/>
      </c>
      <c r="F83" s="164"/>
      <c r="G83" s="152" t="str">
        <f>IF(F83="","",VLOOKUP(F83,'Списки участников'!A:P,12,FALSE))</f>
        <v/>
      </c>
      <c r="H83" s="172"/>
      <c r="I83" s="172"/>
      <c r="J83" s="172"/>
      <c r="K83" s="172"/>
      <c r="L83" s="172"/>
      <c r="M83" s="172"/>
      <c r="N83" s="172"/>
      <c r="O83" s="159" t="str">
        <f t="shared" si="6"/>
        <v/>
      </c>
      <c r="P83" s="210" t="str">
        <f t="shared" si="7"/>
        <v/>
      </c>
      <c r="Q83" s="161" t="str">
        <f t="shared" si="8"/>
        <v/>
      </c>
      <c r="R83" s="170"/>
      <c r="S83" s="860"/>
    </row>
    <row r="84" spans="1:19" ht="15" x14ac:dyDescent="0.2">
      <c r="A84" s="163">
        <v>81</v>
      </c>
      <c r="B84" s="209">
        <f>F82</f>
        <v>0</v>
      </c>
      <c r="C84" s="152" t="e">
        <f>IF(B84="",B84,VLOOKUP(B84,'Списки участников'!A:P,12,FALSE))</f>
        <v>#N/A</v>
      </c>
      <c r="D84" s="209">
        <f>F83</f>
        <v>0</v>
      </c>
      <c r="E84" s="152" t="e">
        <f>IF(D84="",D84,VLOOKUP(D84,'Списки участников'!A:P,12,FALSE))</f>
        <v>#N/A</v>
      </c>
      <c r="F84" s="164"/>
      <c r="G84" s="152" t="str">
        <f>IF(F84="","",VLOOKUP(F84,'Списки участников'!A:P,12,FALSE))</f>
        <v/>
      </c>
      <c r="H84" s="172"/>
      <c r="I84" s="172"/>
      <c r="J84" s="172"/>
      <c r="K84" s="172"/>
      <c r="L84" s="172"/>
      <c r="M84" s="172"/>
      <c r="N84" s="172"/>
      <c r="O84" s="159" t="str">
        <f t="shared" si="6"/>
        <v/>
      </c>
      <c r="P84" s="210" t="str">
        <f t="shared" si="7"/>
        <v/>
      </c>
      <c r="Q84" s="161" t="str">
        <f t="shared" si="8"/>
        <v/>
      </c>
      <c r="R84" s="170"/>
      <c r="S84" s="860" t="s">
        <v>2512</v>
      </c>
    </row>
    <row r="85" spans="1:19" ht="15" x14ac:dyDescent="0.2">
      <c r="A85" s="163">
        <v>82</v>
      </c>
      <c r="B85" s="164" t="str">
        <f>IF(F82="","",IF(F82=B82,D82,IF(F82=D82,B82)))</f>
        <v/>
      </c>
      <c r="C85" s="152" t="str">
        <f>IF(B85="",B85,VLOOKUP(B85,'Списки участников'!A:P,12,FALSE))</f>
        <v/>
      </c>
      <c r="D85" s="164" t="str">
        <f>IF(F83="","",IF(F83=B83,D83,IF(F83=D83,B83)))</f>
        <v/>
      </c>
      <c r="E85" s="152" t="str">
        <f>IF(D85="",D85,VLOOKUP(D85,'Списки участников'!A:P,12,FALSE))</f>
        <v/>
      </c>
      <c r="F85" s="164"/>
      <c r="G85" s="152" t="str">
        <f>IF(F85="","",VLOOKUP(F85,'Списки участников'!A:P,12,FALSE))</f>
        <v/>
      </c>
      <c r="H85" s="172"/>
      <c r="I85" s="172"/>
      <c r="J85" s="172"/>
      <c r="K85" s="172"/>
      <c r="L85" s="172"/>
      <c r="M85" s="172"/>
      <c r="N85" s="172"/>
      <c r="O85" s="159" t="str">
        <f t="shared" si="6"/>
        <v/>
      </c>
      <c r="P85" s="210" t="str">
        <f t="shared" si="7"/>
        <v/>
      </c>
      <c r="Q85" s="161" t="str">
        <f t="shared" si="8"/>
        <v/>
      </c>
      <c r="R85" s="170"/>
      <c r="S85" s="860" t="s">
        <v>2513</v>
      </c>
    </row>
    <row r="86" spans="1:19" ht="15" x14ac:dyDescent="0.2">
      <c r="A86" s="163">
        <v>83</v>
      </c>
      <c r="B86" s="164" t="str">
        <f>IF(F35="","",IF(F35=B35,D35,IF(F35=D35,B35)))</f>
        <v/>
      </c>
      <c r="C86" s="152" t="str">
        <f>IF(B86="",B86,VLOOKUP(B86,'Списки участников'!A:P,12,FALSE))</f>
        <v/>
      </c>
      <c r="D86" s="164" t="str">
        <f>IF(F36="","",IF(F36=B36,D36,IF(F36=D36,B36)))</f>
        <v/>
      </c>
      <c r="E86" s="152" t="str">
        <f>IF(D86="",D86,VLOOKUP(D86,'Списки участников'!A:P,12,FALSE))</f>
        <v/>
      </c>
      <c r="F86" s="164"/>
      <c r="G86" s="152" t="str">
        <f>IF(F86="","",VLOOKUP(F86,'Списки участников'!A:P,12,FALSE))</f>
        <v/>
      </c>
      <c r="H86" s="172"/>
      <c r="I86" s="172"/>
      <c r="J86" s="172"/>
      <c r="K86" s="172"/>
      <c r="L86" s="172"/>
      <c r="M86" s="172"/>
      <c r="N86" s="172"/>
      <c r="O86" s="159" t="str">
        <f t="shared" si="6"/>
        <v/>
      </c>
      <c r="P86" s="210" t="str">
        <f t="shared" si="7"/>
        <v/>
      </c>
      <c r="Q86" s="161" t="str">
        <f t="shared" si="8"/>
        <v/>
      </c>
      <c r="R86" s="170"/>
      <c r="S86" s="860"/>
    </row>
    <row r="87" spans="1:19" ht="15" x14ac:dyDescent="0.2">
      <c r="A87" s="163">
        <v>84</v>
      </c>
      <c r="B87" s="164" t="str">
        <f>IF(F37="","",IF(F37=B37,D37,IF(F37=D37,B37)))</f>
        <v/>
      </c>
      <c r="C87" s="152" t="str">
        <f>IF(B87="",B87,VLOOKUP(B87,'Списки участников'!A:P,12,FALSE))</f>
        <v/>
      </c>
      <c r="D87" s="164" t="str">
        <f>IF(F38="","",IF(F38=B38,D38,IF(F38=D38,B38)))</f>
        <v/>
      </c>
      <c r="E87" s="152" t="str">
        <f>IF(D87="",D87,VLOOKUP(D87,'Списки участников'!A:P,12,FALSE))</f>
        <v/>
      </c>
      <c r="F87" s="164"/>
      <c r="G87" s="152" t="str">
        <f>IF(F87="","",VLOOKUP(F87,'Списки участников'!A:P,12,FALSE))</f>
        <v/>
      </c>
      <c r="H87" s="172"/>
      <c r="I87" s="172"/>
      <c r="J87" s="172"/>
      <c r="K87" s="172"/>
      <c r="L87" s="172"/>
      <c r="M87" s="172"/>
      <c r="N87" s="172"/>
      <c r="O87" s="159" t="str">
        <f t="shared" si="6"/>
        <v/>
      </c>
      <c r="P87" s="210" t="str">
        <f t="shared" si="7"/>
        <v/>
      </c>
      <c r="Q87" s="161" t="str">
        <f t="shared" si="8"/>
        <v/>
      </c>
      <c r="R87" s="170"/>
      <c r="S87" s="860"/>
    </row>
    <row r="88" spans="1:19" ht="15" x14ac:dyDescent="0.2">
      <c r="A88" s="163">
        <v>85</v>
      </c>
      <c r="B88" s="164" t="str">
        <f>IF(F39="","",IF(F39=B39,D39,IF(F39=D39,B39)))</f>
        <v/>
      </c>
      <c r="C88" s="152" t="str">
        <f>IF(B88="",B88,VLOOKUP(B88,'Списки участников'!A:P,12,FALSE))</f>
        <v/>
      </c>
      <c r="D88" s="164" t="str">
        <f>IF(F40="","",IF(F40=B40,D40,IF(F40=D40,B40)))</f>
        <v/>
      </c>
      <c r="E88" s="152" t="str">
        <f>IF(D88="",D88,VLOOKUP(D88,'Списки участников'!A:P,12,FALSE))</f>
        <v/>
      </c>
      <c r="F88" s="164"/>
      <c r="G88" s="152" t="str">
        <f>IF(F88="","",VLOOKUP(F88,'Списки участников'!A:P,12,FALSE))</f>
        <v/>
      </c>
      <c r="H88" s="172"/>
      <c r="I88" s="172"/>
      <c r="J88" s="172"/>
      <c r="K88" s="172"/>
      <c r="L88" s="172"/>
      <c r="M88" s="172"/>
      <c r="N88" s="172"/>
      <c r="O88" s="159" t="str">
        <f t="shared" si="6"/>
        <v/>
      </c>
      <c r="P88" s="210" t="str">
        <f t="shared" si="7"/>
        <v/>
      </c>
      <c r="Q88" s="161" t="str">
        <f t="shared" si="8"/>
        <v/>
      </c>
      <c r="R88" s="170"/>
      <c r="S88" s="860"/>
    </row>
    <row r="89" spans="1:19" ht="15" x14ac:dyDescent="0.2">
      <c r="A89" s="163">
        <v>86</v>
      </c>
      <c r="B89" s="164" t="str">
        <f>IF(F41="","",IF(F41=B41,D41,IF(F41=D41,B41)))</f>
        <v/>
      </c>
      <c r="C89" s="152" t="str">
        <f>IF(B89="",B89,VLOOKUP(B89,'Списки участников'!A:P,12,FALSE))</f>
        <v/>
      </c>
      <c r="D89" s="164" t="str">
        <f>IF(F42="","",IF(F42=B42,D42,IF(F42=D42,B42)))</f>
        <v/>
      </c>
      <c r="E89" s="152" t="str">
        <f>IF(D89="",D89,VLOOKUP(D89,'Списки участников'!A:P,12,FALSE))</f>
        <v/>
      </c>
      <c r="F89" s="164"/>
      <c r="G89" s="152" t="str">
        <f>IF(F89="","",VLOOKUP(F89,'Списки участников'!A:P,12,FALSE))</f>
        <v/>
      </c>
      <c r="H89" s="172"/>
      <c r="I89" s="172"/>
      <c r="J89" s="172"/>
      <c r="K89" s="172"/>
      <c r="L89" s="172"/>
      <c r="M89" s="172"/>
      <c r="N89" s="172"/>
      <c r="O89" s="159" t="str">
        <f t="shared" si="6"/>
        <v/>
      </c>
      <c r="P89" s="210" t="str">
        <f t="shared" si="7"/>
        <v/>
      </c>
      <c r="Q89" s="161" t="str">
        <f t="shared" si="8"/>
        <v/>
      </c>
      <c r="R89" s="170"/>
      <c r="S89" s="860"/>
    </row>
    <row r="90" spans="1:19" ht="15" x14ac:dyDescent="0.2">
      <c r="A90" s="163">
        <v>87</v>
      </c>
      <c r="B90" s="209">
        <f>F86</f>
        <v>0</v>
      </c>
      <c r="C90" s="152" t="e">
        <f>IF(B90="",B90,VLOOKUP(B90,'Списки участников'!A:P,12,FALSE))</f>
        <v>#N/A</v>
      </c>
      <c r="D90" s="209">
        <f>F87</f>
        <v>0</v>
      </c>
      <c r="E90" s="152" t="e">
        <f>IF(D90="",D90,VLOOKUP(D90,'Списки участников'!A:P,12,FALSE))</f>
        <v>#N/A</v>
      </c>
      <c r="F90" s="164"/>
      <c r="G90" s="152" t="str">
        <f>IF(F90="","",VLOOKUP(F90,'Списки участников'!A:P,12,FALSE))</f>
        <v/>
      </c>
      <c r="H90" s="172"/>
      <c r="I90" s="172"/>
      <c r="J90" s="172"/>
      <c r="K90" s="172"/>
      <c r="L90" s="172"/>
      <c r="M90" s="172"/>
      <c r="N90" s="172"/>
      <c r="O90" s="159" t="str">
        <f t="shared" si="6"/>
        <v/>
      </c>
      <c r="P90" s="210" t="str">
        <f t="shared" si="7"/>
        <v/>
      </c>
      <c r="Q90" s="161" t="str">
        <f t="shared" si="8"/>
        <v/>
      </c>
      <c r="R90" s="170"/>
      <c r="S90" s="860"/>
    </row>
    <row r="91" spans="1:19" ht="15" x14ac:dyDescent="0.2">
      <c r="A91" s="163">
        <v>88</v>
      </c>
      <c r="B91" s="209">
        <f>F88</f>
        <v>0</v>
      </c>
      <c r="C91" s="152" t="e">
        <f>IF(B91="",B91,VLOOKUP(B91,'Списки участников'!A:P,12,FALSE))</f>
        <v>#N/A</v>
      </c>
      <c r="D91" s="209">
        <f>F89</f>
        <v>0</v>
      </c>
      <c r="E91" s="152" t="e">
        <f>IF(D91="",D91,VLOOKUP(D91,'Списки участников'!A:P,12,FALSE))</f>
        <v>#N/A</v>
      </c>
      <c r="F91" s="164"/>
      <c r="G91" s="152" t="str">
        <f>IF(F91="","",VLOOKUP(F91,'Списки участников'!A:P,12,FALSE))</f>
        <v/>
      </c>
      <c r="H91" s="172"/>
      <c r="I91" s="172"/>
      <c r="J91" s="172"/>
      <c r="K91" s="172"/>
      <c r="L91" s="172"/>
      <c r="M91" s="172"/>
      <c r="N91" s="172"/>
      <c r="O91" s="159" t="str">
        <f t="shared" si="6"/>
        <v/>
      </c>
      <c r="P91" s="210" t="str">
        <f t="shared" si="7"/>
        <v/>
      </c>
      <c r="Q91" s="161" t="str">
        <f t="shared" si="8"/>
        <v/>
      </c>
      <c r="R91" s="170"/>
      <c r="S91" s="860"/>
    </row>
    <row r="92" spans="1:19" ht="15" x14ac:dyDescent="0.2">
      <c r="A92" s="163">
        <v>89</v>
      </c>
      <c r="B92" s="209">
        <f>F90</f>
        <v>0</v>
      </c>
      <c r="C92" s="152" t="e">
        <f>IF(B92="",B92,VLOOKUP(B92,'Списки участников'!A:P,12,FALSE))</f>
        <v>#N/A</v>
      </c>
      <c r="D92" s="209">
        <f>F91</f>
        <v>0</v>
      </c>
      <c r="E92" s="152" t="e">
        <f>IF(D92="",D92,VLOOKUP(D92,'Списки участников'!A:P,12,FALSE))</f>
        <v>#N/A</v>
      </c>
      <c r="F92" s="164"/>
      <c r="G92" s="152" t="str">
        <f>IF(F92="","",VLOOKUP(F92,'Списки участников'!A:P,12,FALSE))</f>
        <v/>
      </c>
      <c r="H92" s="172"/>
      <c r="I92" s="172"/>
      <c r="J92" s="172"/>
      <c r="K92" s="172"/>
      <c r="L92" s="172"/>
      <c r="M92" s="172"/>
      <c r="N92" s="172"/>
      <c r="O92" s="159" t="str">
        <f t="shared" si="6"/>
        <v/>
      </c>
      <c r="P92" s="210" t="str">
        <f t="shared" si="7"/>
        <v/>
      </c>
      <c r="Q92" s="161" t="str">
        <f t="shared" si="8"/>
        <v/>
      </c>
      <c r="R92" s="170"/>
      <c r="S92" s="860" t="s">
        <v>2514</v>
      </c>
    </row>
    <row r="93" spans="1:19" ht="15" x14ac:dyDescent="0.2">
      <c r="A93" s="163">
        <v>90</v>
      </c>
      <c r="B93" s="164" t="str">
        <f>IF(F90="","",IF(F90=B90,D90,IF(F90=D90,B90)))</f>
        <v/>
      </c>
      <c r="C93" s="152" t="str">
        <f>IF(B93="",B93,VLOOKUP(B93,'Списки участников'!A:P,12,FALSE))</f>
        <v/>
      </c>
      <c r="D93" s="164" t="str">
        <f>IF(F91="","",IF(F91=B91,D91,IF(F91=D91,B91)))</f>
        <v/>
      </c>
      <c r="E93" s="152" t="str">
        <f>IF(D93="",D93,VLOOKUP(D93,'Списки участников'!A:P,12,FALSE))</f>
        <v/>
      </c>
      <c r="F93" s="164"/>
      <c r="G93" s="152" t="str">
        <f>IF(F93="","",VLOOKUP(F93,'Списки участников'!A:P,12,FALSE))</f>
        <v/>
      </c>
      <c r="H93" s="172"/>
      <c r="I93" s="172"/>
      <c r="J93" s="172"/>
      <c r="K93" s="172"/>
      <c r="L93" s="172"/>
      <c r="M93" s="172"/>
      <c r="N93" s="172"/>
      <c r="O93" s="159" t="str">
        <f t="shared" si="6"/>
        <v/>
      </c>
      <c r="P93" s="210" t="str">
        <f t="shared" si="7"/>
        <v/>
      </c>
      <c r="Q93" s="161" t="str">
        <f t="shared" si="8"/>
        <v/>
      </c>
      <c r="R93" s="170"/>
      <c r="S93" s="860" t="s">
        <v>2515</v>
      </c>
    </row>
    <row r="94" spans="1:19" ht="15" x14ac:dyDescent="0.2">
      <c r="A94" s="163">
        <v>91</v>
      </c>
      <c r="B94" s="164" t="str">
        <f>IF(F86="","",IF(F86=B86,D86,IF(F86=D86,B86)))</f>
        <v/>
      </c>
      <c r="C94" s="152" t="str">
        <f>IF(B94="",B94,VLOOKUP(B94,'Списки участников'!A:P,12,FALSE))</f>
        <v/>
      </c>
      <c r="D94" s="164" t="str">
        <f>IF(F87="","",IF(F87=B87,D87,IF(F87=D87,B87)))</f>
        <v/>
      </c>
      <c r="E94" s="152" t="str">
        <f>IF(D94="",D94,VLOOKUP(D94,'Списки участников'!A:P,12,FALSE))</f>
        <v/>
      </c>
      <c r="F94" s="164"/>
      <c r="G94" s="152" t="str">
        <f>IF(F94="","",VLOOKUP(F94,'Списки участников'!A:P,12,FALSE))</f>
        <v/>
      </c>
      <c r="H94" s="172"/>
      <c r="I94" s="172"/>
      <c r="J94" s="172"/>
      <c r="K94" s="172"/>
      <c r="L94" s="172"/>
      <c r="M94" s="172"/>
      <c r="N94" s="172"/>
      <c r="O94" s="159" t="str">
        <f t="shared" si="6"/>
        <v/>
      </c>
      <c r="P94" s="210" t="str">
        <f t="shared" si="7"/>
        <v/>
      </c>
      <c r="Q94" s="161" t="str">
        <f t="shared" si="8"/>
        <v/>
      </c>
      <c r="R94" s="170"/>
      <c r="S94" s="860"/>
    </row>
    <row r="95" spans="1:19" ht="15" x14ac:dyDescent="0.2">
      <c r="A95" s="163">
        <v>92</v>
      </c>
      <c r="B95" s="164" t="str">
        <f>IF(F88="","",IF(F88=B88,D88,IF(F88=D88,B88)))</f>
        <v/>
      </c>
      <c r="C95" s="152" t="str">
        <f>IF(B95="",B95,VLOOKUP(B95,'Списки участников'!A:P,12,FALSE))</f>
        <v/>
      </c>
      <c r="D95" s="164" t="str">
        <f>IF(F89="","",IF(F89=B89,D89,IF(F89=D89,B89)))</f>
        <v/>
      </c>
      <c r="E95" s="152" t="str">
        <f>IF(D95="",D95,VLOOKUP(D95,'Списки участников'!A:P,12,FALSE))</f>
        <v/>
      </c>
      <c r="F95" s="164"/>
      <c r="G95" s="152" t="str">
        <f>IF(F95="","",VLOOKUP(F95,'Списки участников'!A:P,12,FALSE))</f>
        <v/>
      </c>
      <c r="H95" s="172"/>
      <c r="I95" s="172"/>
      <c r="J95" s="172"/>
      <c r="K95" s="172"/>
      <c r="L95" s="172"/>
      <c r="M95" s="172"/>
      <c r="N95" s="172"/>
      <c r="O95" s="159" t="str">
        <f t="shared" si="6"/>
        <v/>
      </c>
      <c r="P95" s="210" t="str">
        <f t="shared" si="7"/>
        <v/>
      </c>
      <c r="Q95" s="161" t="str">
        <f t="shared" si="8"/>
        <v/>
      </c>
      <c r="R95" s="170"/>
      <c r="S95" s="860"/>
    </row>
    <row r="96" spans="1:19" ht="15" x14ac:dyDescent="0.2">
      <c r="A96" s="163">
        <v>93</v>
      </c>
      <c r="B96" s="209">
        <f>F94</f>
        <v>0</v>
      </c>
      <c r="C96" s="152" t="e">
        <f>IF(B96="",B96,VLOOKUP(B96,'Списки участников'!A:P,12,FALSE))</f>
        <v>#N/A</v>
      </c>
      <c r="D96" s="209">
        <f>F95</f>
        <v>0</v>
      </c>
      <c r="E96" s="152" t="e">
        <f>IF(D96="",D96,VLOOKUP(D96,'Списки участников'!A:P,12,FALSE))</f>
        <v>#N/A</v>
      </c>
      <c r="F96" s="164"/>
      <c r="G96" s="152" t="str">
        <f>IF(F96="","",VLOOKUP(F96,'Списки участников'!A:P,12,FALSE))</f>
        <v/>
      </c>
      <c r="H96" s="172"/>
      <c r="I96" s="172"/>
      <c r="J96" s="172"/>
      <c r="K96" s="172"/>
      <c r="L96" s="172"/>
      <c r="M96" s="172"/>
      <c r="N96" s="172"/>
      <c r="O96" s="159" t="str">
        <f t="shared" si="6"/>
        <v/>
      </c>
      <c r="P96" s="210" t="str">
        <f t="shared" si="7"/>
        <v/>
      </c>
      <c r="Q96" s="161" t="str">
        <f t="shared" si="8"/>
        <v/>
      </c>
      <c r="R96" s="170"/>
      <c r="S96" s="860" t="s">
        <v>2517</v>
      </c>
    </row>
    <row r="97" spans="1:19" ht="15" x14ac:dyDescent="0.2">
      <c r="A97" s="163">
        <v>94</v>
      </c>
      <c r="B97" s="164" t="str">
        <f>IF(F94="","",IF(F94=B94,D94,IF(F94=D94,B94)))</f>
        <v/>
      </c>
      <c r="C97" s="152" t="str">
        <f>IF(B97="",B97,VLOOKUP(B97,'Списки участников'!A:P,12,FALSE))</f>
        <v/>
      </c>
      <c r="D97" s="164" t="str">
        <f>IF(F95="","",IF(F95=B95,D95,IF(F95=D95,B95)))</f>
        <v/>
      </c>
      <c r="E97" s="152" t="str">
        <f>IF(D97="",D97,VLOOKUP(D97,'Списки участников'!A:P,12,FALSE))</f>
        <v/>
      </c>
      <c r="F97" s="164"/>
      <c r="G97" s="152" t="str">
        <f>IF(F97="","",VLOOKUP(F97,'Списки участников'!A:P,12,FALSE))</f>
        <v/>
      </c>
      <c r="H97" s="172"/>
      <c r="I97" s="172"/>
      <c r="J97" s="172"/>
      <c r="K97" s="172"/>
      <c r="L97" s="172"/>
      <c r="M97" s="172"/>
      <c r="N97" s="172"/>
      <c r="O97" s="159" t="str">
        <f t="shared" si="6"/>
        <v/>
      </c>
      <c r="P97" s="210" t="str">
        <f t="shared" si="7"/>
        <v/>
      </c>
      <c r="Q97" s="161" t="str">
        <f t="shared" si="8"/>
        <v/>
      </c>
      <c r="R97" s="170"/>
      <c r="S97" s="860" t="s">
        <v>2516</v>
      </c>
    </row>
  </sheetData>
  <autoFilter ref="A2:S97"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9">
    <mergeCell ref="H2:N2"/>
    <mergeCell ref="R2:R3"/>
    <mergeCell ref="S2:S3"/>
    <mergeCell ref="A2:A3"/>
    <mergeCell ref="B2:B3"/>
    <mergeCell ref="C2:C3"/>
    <mergeCell ref="D2:D3"/>
    <mergeCell ref="E2:E3"/>
    <mergeCell ref="G2:G3"/>
  </mergeCells>
  <pageMargins left="0.7" right="0.7" top="0.75" bottom="0.75" header="0.3" footer="0.3"/>
  <pageSetup paperSize="9" orientation="portrait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AZ80"/>
  <sheetViews>
    <sheetView view="pageBreakPreview" topLeftCell="A45" zoomScale="90" zoomScaleNormal="60" zoomScaleSheetLayoutView="90" workbookViewId="0">
      <selection activeCell="Q74" sqref="Q74"/>
    </sheetView>
  </sheetViews>
  <sheetFormatPr defaultColWidth="21.83203125" defaultRowHeight="10.35" customHeight="1" outlineLevelCol="1" x14ac:dyDescent="0.2"/>
  <cols>
    <col min="1" max="1" width="3.1640625" style="549" customWidth="1"/>
    <col min="2" max="2" width="4.33203125" style="549" hidden="1" customWidth="1" outlineLevel="1"/>
    <col min="3" max="3" width="25" style="548" customWidth="1" collapsed="1"/>
    <col min="4" max="4" width="3.1640625" style="548" customWidth="1"/>
    <col min="5" max="5" width="4.6640625" style="548" hidden="1" customWidth="1" outlineLevel="1"/>
    <col min="6" max="6" width="21.5" style="543" customWidth="1" collapsed="1"/>
    <col min="7" max="7" width="3.1640625" style="548" customWidth="1"/>
    <col min="8" max="8" width="5.6640625" style="543" hidden="1" customWidth="1" outlineLevel="1"/>
    <col min="9" max="9" width="21.5" style="548" customWidth="1" collapsed="1"/>
    <col min="10" max="10" width="3.1640625" style="548" customWidth="1"/>
    <col min="11" max="11" width="4.33203125" style="548" hidden="1" customWidth="1" outlineLevel="1"/>
    <col min="12" max="12" width="21.6640625" style="543" customWidth="1" collapsed="1"/>
    <col min="13" max="13" width="3.33203125" style="543" customWidth="1"/>
    <col min="14" max="14" width="5.33203125" style="543" hidden="1" customWidth="1" outlineLevel="1"/>
    <col min="15" max="15" width="21.5" style="548" customWidth="1" collapsed="1"/>
    <col min="16" max="16" width="3.83203125" style="543" customWidth="1"/>
    <col min="17" max="17" width="4.33203125" style="543" customWidth="1"/>
    <col min="18" max="18" width="3.1640625" style="548" customWidth="1"/>
    <col min="19" max="19" width="16" style="543" customWidth="1"/>
    <col min="20" max="20" width="3.1640625" style="548" customWidth="1"/>
    <col min="21" max="21" width="3.1640625" style="543" customWidth="1"/>
    <col min="22" max="22" width="16" style="543" customWidth="1"/>
    <col min="23" max="23" width="3.1640625" style="548" customWidth="1"/>
    <col min="24" max="24" width="3.1640625" style="543" customWidth="1"/>
    <col min="25" max="25" width="16" style="548" customWidth="1"/>
    <col min="26" max="27" width="3.1640625" style="543" customWidth="1"/>
    <col min="28" max="28" width="15.5" style="548" customWidth="1"/>
    <col min="29" max="29" width="3.1640625" style="543" customWidth="1"/>
    <col min="30" max="30" width="16.1640625" style="543" customWidth="1"/>
    <col min="31" max="31" width="3.1640625" style="548" customWidth="1"/>
    <col min="32" max="32" width="3.6640625" style="543" customWidth="1"/>
    <col min="33" max="33" width="21.83203125" style="543" customWidth="1"/>
    <col min="34" max="34" width="21.83203125" style="548" customWidth="1"/>
    <col min="35" max="36" width="21.83203125" style="543" customWidth="1"/>
    <col min="37" max="41" width="21.83203125" style="548" customWidth="1"/>
    <col min="42" max="43" width="21.83203125" style="543" customWidth="1"/>
    <col min="44" max="44" width="21.83203125" style="548" customWidth="1"/>
    <col min="45" max="46" width="21.83203125" style="543" customWidth="1"/>
    <col min="47" max="47" width="21.83203125" style="548" customWidth="1"/>
    <col min="48" max="49" width="21.83203125" style="543" customWidth="1"/>
    <col min="50" max="50" width="21.83203125" style="548" customWidth="1"/>
    <col min="51" max="52" width="21.83203125" style="543" customWidth="1"/>
    <col min="53" max="16384" width="21.83203125" style="548"/>
  </cols>
  <sheetData>
    <row r="1" spans="1:31" ht="16.5" customHeight="1" x14ac:dyDescent="0.2">
      <c r="A1" s="1288" t="str">
        <f>'Списки участников'!A1</f>
        <v>IV Мемориал Заслуженного тренера России В.А.Воробьева</v>
      </c>
      <c r="B1" s="1288"/>
      <c r="C1" s="1288"/>
      <c r="D1" s="1288"/>
      <c r="E1" s="1288"/>
      <c r="F1" s="1288"/>
      <c r="G1" s="1288"/>
      <c r="H1" s="1288"/>
      <c r="I1" s="1288"/>
      <c r="J1" s="1288"/>
      <c r="K1" s="1288"/>
      <c r="L1" s="1288"/>
      <c r="M1" s="1288"/>
      <c r="N1" s="1288"/>
      <c r="O1" s="1288"/>
      <c r="P1" s="1288"/>
      <c r="Q1" s="1288"/>
      <c r="R1" s="542"/>
      <c r="T1" s="543"/>
      <c r="W1" s="544"/>
      <c r="X1" s="545"/>
      <c r="Y1" s="546"/>
      <c r="AB1" s="543"/>
      <c r="AD1" s="547"/>
      <c r="AE1" s="543"/>
    </row>
    <row r="2" spans="1:31" ht="14.25" customHeight="1" x14ac:dyDescent="0.2">
      <c r="A2" s="1289" t="str">
        <f>'Списки участников'!A2</f>
        <v>среди юношей и девушек 2002 г.р. и моложе</v>
      </c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289"/>
      <c r="O2" s="1289"/>
      <c r="P2" s="1289"/>
      <c r="Q2" s="1289"/>
      <c r="R2" s="542"/>
      <c r="T2" s="543"/>
      <c r="W2" s="544"/>
      <c r="X2" s="545"/>
      <c r="Y2" s="546"/>
      <c r="AB2" s="543"/>
      <c r="AE2" s="543"/>
    </row>
    <row r="3" spans="1:31" ht="17.25" customHeight="1" x14ac:dyDescent="0.2">
      <c r="A3" s="1290" t="str">
        <f>'Списки участников'!C3</f>
        <v>26-29 мая 2016 г.</v>
      </c>
      <c r="B3" s="1290"/>
      <c r="C3" s="1290"/>
      <c r="D3" s="1290"/>
      <c r="E3" s="1290"/>
      <c r="I3" s="913" t="s">
        <v>2599</v>
      </c>
      <c r="J3" s="914" t="s">
        <v>8</v>
      </c>
      <c r="K3" s="915"/>
      <c r="L3" s="916" t="s">
        <v>2600</v>
      </c>
      <c r="M3" s="1290" t="str">
        <f>'Списки участников'!I3</f>
        <v>г. Москва</v>
      </c>
      <c r="N3" s="1290"/>
      <c r="O3" s="1290"/>
      <c r="P3" s="1290"/>
      <c r="Q3" s="1290"/>
      <c r="R3" s="542"/>
      <c r="T3" s="543"/>
      <c r="W3" s="543"/>
      <c r="Y3" s="543"/>
      <c r="AB3" s="543"/>
      <c r="AE3" s="543"/>
    </row>
    <row r="4" spans="1:31" ht="15" customHeight="1" x14ac:dyDescent="0.2">
      <c r="A4" s="551">
        <v>1</v>
      </c>
      <c r="B4" s="552"/>
      <c r="C4" s="553" t="str">
        <f>IF(B4="","",VLOOKUP(B4,'Списки участников'!A:L,12,FALSE))</f>
        <v/>
      </c>
      <c r="E4" s="554"/>
      <c r="F4" s="548"/>
      <c r="G4" s="549"/>
      <c r="H4" s="549"/>
      <c r="I4" s="555"/>
      <c r="J4" s="549"/>
      <c r="K4" s="549"/>
      <c r="L4" s="548"/>
      <c r="M4" s="548"/>
      <c r="N4" s="548"/>
      <c r="P4" s="548"/>
      <c r="Q4" s="548"/>
      <c r="R4" s="546"/>
      <c r="S4" s="556"/>
      <c r="T4" s="543"/>
      <c r="W4" s="543"/>
      <c r="Y4" s="543"/>
      <c r="AB4" s="543"/>
      <c r="AE4" s="543"/>
    </row>
    <row r="5" spans="1:31" ht="15" customHeight="1" x14ac:dyDescent="0.2">
      <c r="B5" s="557"/>
      <c r="C5" s="558"/>
      <c r="D5" s="559" t="s">
        <v>10</v>
      </c>
      <c r="E5" s="560"/>
      <c r="F5" s="561" t="str">
        <f>IF(E5="","",VLOOKUP(E5,'Списки участников'!A:L,12,FALSE))</f>
        <v/>
      </c>
      <c r="G5" s="562"/>
      <c r="I5" s="543"/>
      <c r="K5" s="543"/>
      <c r="M5" s="548"/>
      <c r="N5" s="548"/>
      <c r="O5" s="543"/>
      <c r="Q5" s="548"/>
      <c r="R5" s="542"/>
      <c r="T5" s="543"/>
      <c r="W5" s="546"/>
      <c r="Y5" s="550"/>
      <c r="AB5" s="543"/>
      <c r="AE5" s="543"/>
    </row>
    <row r="6" spans="1:31" ht="15" customHeight="1" x14ac:dyDescent="0.2">
      <c r="A6" s="563" t="s">
        <v>41</v>
      </c>
      <c r="B6" s="552"/>
      <c r="C6" s="553" t="str">
        <f>IF(B6="","",VLOOKUP(B6,'Списки участников'!A:L,12,FALSE))</f>
        <v/>
      </c>
      <c r="D6" s="564"/>
      <c r="E6" s="556"/>
      <c r="F6" s="565"/>
      <c r="G6" s="566"/>
      <c r="H6" s="550"/>
      <c r="I6" s="543"/>
      <c r="K6" s="543"/>
      <c r="M6" s="548"/>
      <c r="N6" s="548"/>
      <c r="O6" s="543"/>
      <c r="Q6" s="548"/>
      <c r="R6" s="546"/>
      <c r="S6" s="556"/>
      <c r="T6" s="543"/>
      <c r="W6" s="543"/>
      <c r="Y6" s="543"/>
      <c r="AB6" s="543"/>
      <c r="AE6" s="543"/>
    </row>
    <row r="7" spans="1:31" ht="15" customHeight="1" x14ac:dyDescent="0.2">
      <c r="B7" s="557"/>
      <c r="C7" s="567"/>
      <c r="E7" s="556"/>
      <c r="F7" s="565"/>
      <c r="G7" s="568">
        <v>9</v>
      </c>
      <c r="H7" s="560"/>
      <c r="I7" s="561" t="str">
        <f>IF(H7="","",VLOOKUP(H7,'Списки участников'!A:L,12,FALSE))</f>
        <v/>
      </c>
      <c r="J7" s="562"/>
      <c r="K7" s="543"/>
      <c r="M7" s="548"/>
      <c r="N7" s="548"/>
      <c r="O7" s="543"/>
      <c r="Q7" s="548"/>
      <c r="R7" s="542"/>
      <c r="T7" s="546"/>
      <c r="V7" s="556"/>
      <c r="W7" s="543"/>
      <c r="Y7" s="543"/>
      <c r="AB7" s="543"/>
      <c r="AE7" s="543"/>
    </row>
    <row r="8" spans="1:31" ht="15" customHeight="1" x14ac:dyDescent="0.2">
      <c r="A8" s="563" t="s">
        <v>35</v>
      </c>
      <c r="B8" s="552"/>
      <c r="C8" s="553" t="str">
        <f>IF(B8="","",VLOOKUP(B8,'Списки участников'!A:L,12,FALSE))</f>
        <v/>
      </c>
      <c r="D8" s="562"/>
      <c r="E8" s="556"/>
      <c r="F8" s="565"/>
      <c r="G8" s="569"/>
      <c r="H8" s="550"/>
      <c r="I8" s="565"/>
      <c r="J8" s="566"/>
      <c r="K8" s="550"/>
      <c r="M8" s="548"/>
      <c r="N8" s="548"/>
      <c r="O8" s="543"/>
      <c r="Q8" s="548"/>
      <c r="R8" s="546"/>
      <c r="S8" s="556"/>
      <c r="T8" s="543"/>
      <c r="W8" s="543"/>
      <c r="Y8" s="543"/>
      <c r="AB8" s="543"/>
      <c r="AE8" s="543"/>
    </row>
    <row r="9" spans="1:31" ht="15" customHeight="1" x14ac:dyDescent="0.2">
      <c r="B9" s="557"/>
      <c r="C9" s="567"/>
      <c r="D9" s="559" t="s">
        <v>41</v>
      </c>
      <c r="E9" s="560"/>
      <c r="F9" s="561" t="str">
        <f>IF(E9="","",VLOOKUP(E9,'Списки участников'!A:L,12,FALSE))</f>
        <v/>
      </c>
      <c r="G9" s="564"/>
      <c r="H9" s="550"/>
      <c r="I9" s="565"/>
      <c r="J9" s="569"/>
      <c r="K9" s="550"/>
      <c r="M9" s="548"/>
      <c r="N9" s="548"/>
      <c r="O9" s="543"/>
      <c r="Q9" s="548"/>
      <c r="R9" s="542"/>
      <c r="T9" s="543"/>
      <c r="W9" s="543"/>
      <c r="Y9" s="543"/>
      <c r="Z9" s="546"/>
      <c r="AB9" s="550"/>
      <c r="AE9" s="543"/>
    </row>
    <row r="10" spans="1:31" ht="15" customHeight="1" x14ac:dyDescent="0.2">
      <c r="A10" s="563" t="s">
        <v>15</v>
      </c>
      <c r="B10" s="552"/>
      <c r="C10" s="553" t="str">
        <f>IF(B10="","",VLOOKUP(B10,'Списки участников'!A:L,12,FALSE))</f>
        <v/>
      </c>
      <c r="D10" s="564"/>
      <c r="E10" s="556"/>
      <c r="F10" s="565"/>
      <c r="H10" s="550"/>
      <c r="I10" s="565"/>
      <c r="J10" s="569"/>
      <c r="K10" s="550"/>
      <c r="M10" s="548"/>
      <c r="N10" s="548"/>
      <c r="O10" s="543"/>
      <c r="Q10" s="548"/>
      <c r="R10" s="546"/>
      <c r="S10" s="556"/>
      <c r="T10" s="543"/>
      <c r="W10" s="543"/>
      <c r="Y10" s="543"/>
      <c r="AB10" s="543"/>
      <c r="AE10" s="543"/>
    </row>
    <row r="11" spans="1:31" ht="15" customHeight="1" x14ac:dyDescent="0.2">
      <c r="B11" s="557"/>
      <c r="C11" s="567"/>
      <c r="E11" s="556"/>
      <c r="F11" s="565"/>
      <c r="H11" s="550"/>
      <c r="I11" s="565"/>
      <c r="J11" s="570" t="s">
        <v>23</v>
      </c>
      <c r="K11" s="560"/>
      <c r="L11" s="561" t="str">
        <f>IF(K11="","",VLOOKUP(K11,'Списки участников'!A:L,12,FALSE))</f>
        <v/>
      </c>
      <c r="M11" s="562"/>
      <c r="O11" s="543"/>
      <c r="Q11" s="548"/>
      <c r="R11" s="542"/>
      <c r="T11" s="546"/>
      <c r="V11" s="556"/>
      <c r="W11" s="543"/>
      <c r="Y11" s="543"/>
      <c r="AB11" s="543"/>
      <c r="AE11" s="543"/>
    </row>
    <row r="12" spans="1:31" ht="15" customHeight="1" x14ac:dyDescent="0.2">
      <c r="A12" s="563" t="s">
        <v>37</v>
      </c>
      <c r="B12" s="552"/>
      <c r="C12" s="553" t="str">
        <f>IF(B12="","",VLOOKUP(B12,'Списки участников'!A:L,12,FALSE))</f>
        <v/>
      </c>
      <c r="D12" s="562"/>
      <c r="E12" s="556"/>
      <c r="F12" s="565"/>
      <c r="H12" s="550"/>
      <c r="I12" s="565"/>
      <c r="J12" s="569"/>
      <c r="K12" s="550"/>
      <c r="L12" s="565"/>
      <c r="M12" s="566"/>
      <c r="O12" s="543"/>
      <c r="Q12" s="548"/>
      <c r="R12" s="546"/>
      <c r="S12" s="556"/>
      <c r="T12" s="543"/>
      <c r="W12" s="543"/>
      <c r="Y12" s="543"/>
      <c r="AB12" s="543"/>
      <c r="AE12" s="543"/>
    </row>
    <row r="13" spans="1:31" ht="15" customHeight="1" x14ac:dyDescent="0.2">
      <c r="B13" s="557"/>
      <c r="C13" s="567"/>
      <c r="D13" s="559" t="s">
        <v>35</v>
      </c>
      <c r="E13" s="560"/>
      <c r="F13" s="561" t="str">
        <f>IF(E13="","",VLOOKUP(E13,'Списки участников'!A:L,12,FALSE))</f>
        <v/>
      </c>
      <c r="G13" s="562"/>
      <c r="H13" s="550"/>
      <c r="I13" s="565"/>
      <c r="J13" s="569"/>
      <c r="K13" s="550"/>
      <c r="L13" s="565"/>
      <c r="M13" s="569"/>
      <c r="O13" s="543"/>
      <c r="Q13" s="548"/>
      <c r="R13" s="542"/>
      <c r="T13" s="543"/>
      <c r="W13" s="546"/>
      <c r="Y13" s="556"/>
      <c r="AB13" s="543"/>
      <c r="AE13" s="543"/>
    </row>
    <row r="14" spans="1:31" ht="15" customHeight="1" x14ac:dyDescent="0.2">
      <c r="A14" s="563" t="s">
        <v>42</v>
      </c>
      <c r="B14" s="552"/>
      <c r="C14" s="553" t="str">
        <f>IF(B14="","",VLOOKUP(B14,'Списки участников'!A:L,12,FALSE))</f>
        <v/>
      </c>
      <c r="D14" s="564"/>
      <c r="E14" s="556"/>
      <c r="F14" s="565"/>
      <c r="G14" s="566"/>
      <c r="H14" s="550"/>
      <c r="I14" s="565"/>
      <c r="J14" s="569"/>
      <c r="K14" s="550"/>
      <c r="L14" s="565"/>
      <c r="M14" s="569"/>
      <c r="O14" s="543"/>
      <c r="Q14" s="548"/>
      <c r="R14" s="546"/>
      <c r="S14" s="556"/>
      <c r="T14" s="543"/>
      <c r="W14" s="543"/>
      <c r="Y14" s="543"/>
      <c r="AB14" s="543"/>
      <c r="AE14" s="543"/>
    </row>
    <row r="15" spans="1:31" ht="15" customHeight="1" x14ac:dyDescent="0.2">
      <c r="B15" s="557"/>
      <c r="C15" s="567"/>
      <c r="E15" s="556"/>
      <c r="F15" s="565"/>
      <c r="G15" s="570" t="s">
        <v>30</v>
      </c>
      <c r="H15" s="560"/>
      <c r="I15" s="561" t="str">
        <f>IF(H15="","",VLOOKUP(H15,'Списки участников'!A:L,12,FALSE))</f>
        <v/>
      </c>
      <c r="J15" s="564"/>
      <c r="K15" s="550"/>
      <c r="L15" s="565"/>
      <c r="M15" s="569"/>
      <c r="O15" s="543"/>
      <c r="Q15" s="548"/>
      <c r="R15" s="542"/>
      <c r="T15" s="546"/>
      <c r="V15" s="556"/>
      <c r="W15" s="543"/>
      <c r="Y15" s="543"/>
      <c r="AB15" s="543"/>
      <c r="AE15" s="543"/>
    </row>
    <row r="16" spans="1:31" ht="15" customHeight="1" x14ac:dyDescent="0.2">
      <c r="A16" s="563" t="s">
        <v>28</v>
      </c>
      <c r="B16" s="552"/>
      <c r="C16" s="553" t="str">
        <f>IF(B16="","",VLOOKUP(B16,'Списки участников'!A:L,12,FALSE))</f>
        <v/>
      </c>
      <c r="D16" s="562"/>
      <c r="E16" s="556"/>
      <c r="F16" s="565"/>
      <c r="G16" s="569"/>
      <c r="H16" s="550"/>
      <c r="I16" s="565"/>
      <c r="K16" s="550"/>
      <c r="L16" s="565"/>
      <c r="M16" s="569"/>
      <c r="O16" s="543"/>
      <c r="Q16" s="548"/>
      <c r="R16" s="546"/>
      <c r="S16" s="556"/>
      <c r="T16" s="543"/>
      <c r="W16" s="543"/>
      <c r="Y16" s="543"/>
      <c r="AB16" s="543"/>
      <c r="AE16" s="543"/>
    </row>
    <row r="17" spans="1:32" ht="15" customHeight="1" x14ac:dyDescent="0.2">
      <c r="B17" s="557"/>
      <c r="C17" s="567"/>
      <c r="D17" s="559" t="s">
        <v>15</v>
      </c>
      <c r="E17" s="560"/>
      <c r="F17" s="561" t="str">
        <f>IF(E17="","",VLOOKUP(E17,'Списки участников'!A:L,12,FALSE))</f>
        <v/>
      </c>
      <c r="G17" s="564"/>
      <c r="H17" s="550"/>
      <c r="I17" s="565"/>
      <c r="K17" s="550"/>
      <c r="L17" s="565"/>
      <c r="M17" s="569"/>
      <c r="O17" s="543"/>
      <c r="Q17" s="548"/>
      <c r="R17" s="542"/>
      <c r="T17" s="543"/>
      <c r="W17" s="543"/>
      <c r="Y17" s="543"/>
      <c r="AB17" s="543"/>
      <c r="AC17" s="546"/>
      <c r="AD17" s="550"/>
      <c r="AE17" s="543"/>
      <c r="AF17" s="546"/>
    </row>
    <row r="18" spans="1:32" ht="15" customHeight="1" x14ac:dyDescent="0.2">
      <c r="A18" s="563" t="s">
        <v>22</v>
      </c>
      <c r="B18" s="552"/>
      <c r="C18" s="553" t="str">
        <f>IF(B18="","",VLOOKUP(B18,'Списки участников'!A:L,12,FALSE))</f>
        <v/>
      </c>
      <c r="D18" s="564"/>
      <c r="E18" s="556"/>
      <c r="F18" s="565"/>
      <c r="H18" s="550"/>
      <c r="I18" s="565"/>
      <c r="K18" s="550"/>
      <c r="L18" s="565"/>
      <c r="M18" s="569"/>
      <c r="O18" s="571"/>
      <c r="Q18" s="548"/>
      <c r="R18" s="546"/>
      <c r="S18" s="556"/>
      <c r="T18" s="543"/>
      <c r="W18" s="543"/>
      <c r="Y18" s="543"/>
      <c r="AB18" s="543"/>
      <c r="AE18" s="543"/>
    </row>
    <row r="19" spans="1:32" ht="15" customHeight="1" x14ac:dyDescent="0.2">
      <c r="B19" s="557"/>
      <c r="C19" s="567"/>
      <c r="E19" s="556"/>
      <c r="F19" s="565"/>
      <c r="H19" s="550"/>
      <c r="I19" s="565"/>
      <c r="K19" s="550"/>
      <c r="L19" s="565"/>
      <c r="M19" s="570" t="s">
        <v>12</v>
      </c>
      <c r="N19" s="572"/>
      <c r="O19" s="561" t="str">
        <f>IF(N19="","",VLOOKUP(N19,'Списки участников'!A:L,12,FALSE))</f>
        <v/>
      </c>
      <c r="P19" s="562"/>
      <c r="Q19" s="917" t="str">
        <f>CONCATENATE(J3," ","м")</f>
        <v>17 м</v>
      </c>
      <c r="R19" s="542"/>
      <c r="T19" s="546"/>
      <c r="V19" s="556"/>
      <c r="W19" s="543"/>
      <c r="Y19" s="543"/>
      <c r="AB19" s="543"/>
      <c r="AE19" s="543"/>
    </row>
    <row r="20" spans="1:32" ht="15" customHeight="1" x14ac:dyDescent="0.2">
      <c r="A20" s="563" t="s">
        <v>38</v>
      </c>
      <c r="B20" s="552"/>
      <c r="C20" s="553" t="str">
        <f>IF(B20="","",VLOOKUP(B20,'Списки участников'!A:L,12,FALSE))</f>
        <v/>
      </c>
      <c r="D20" s="562"/>
      <c r="E20" s="556"/>
      <c r="F20" s="565"/>
      <c r="H20" s="550"/>
      <c r="I20" s="565"/>
      <c r="K20" s="550"/>
      <c r="L20" s="565"/>
      <c r="M20" s="569"/>
      <c r="O20" s="565"/>
      <c r="Q20" s="548"/>
      <c r="R20" s="546"/>
      <c r="S20" s="556"/>
      <c r="T20" s="543"/>
      <c r="W20" s="543"/>
      <c r="Y20" s="543"/>
      <c r="AB20" s="543"/>
      <c r="AE20" s="543"/>
    </row>
    <row r="21" spans="1:32" ht="15" customHeight="1" x14ac:dyDescent="0.2">
      <c r="B21" s="557"/>
      <c r="C21" s="567"/>
      <c r="D21" s="559" t="s">
        <v>37</v>
      </c>
      <c r="E21" s="560"/>
      <c r="F21" s="561" t="str">
        <f>IF(E21="","",VLOOKUP(E21,'Списки участников'!A:L,12,FALSE))</f>
        <v/>
      </c>
      <c r="G21" s="562"/>
      <c r="H21" s="550"/>
      <c r="I21" s="565"/>
      <c r="K21" s="550"/>
      <c r="L21" s="565"/>
      <c r="M21" s="569"/>
      <c r="O21" s="565"/>
      <c r="Q21" s="548"/>
      <c r="R21" s="542"/>
      <c r="T21" s="543"/>
      <c r="W21" s="546"/>
      <c r="Y21" s="556"/>
      <c r="AB21" s="543"/>
      <c r="AE21" s="543"/>
    </row>
    <row r="22" spans="1:32" ht="15" customHeight="1" x14ac:dyDescent="0.2">
      <c r="A22" s="563" t="s">
        <v>30</v>
      </c>
      <c r="B22" s="552"/>
      <c r="C22" s="553" t="str">
        <f>IF(B22="","",VLOOKUP(B22,'Списки участников'!A:L,12,FALSE))</f>
        <v/>
      </c>
      <c r="D22" s="564"/>
      <c r="E22" s="556"/>
      <c r="F22" s="565"/>
      <c r="G22" s="566"/>
      <c r="H22" s="550"/>
      <c r="I22" s="565"/>
      <c r="K22" s="550"/>
      <c r="L22" s="565"/>
      <c r="M22" s="569"/>
      <c r="O22" s="565"/>
      <c r="Q22" s="548"/>
      <c r="R22" s="546"/>
      <c r="S22" s="556"/>
      <c r="T22" s="543"/>
      <c r="W22" s="543"/>
      <c r="Y22" s="543"/>
      <c r="AB22" s="543"/>
      <c r="AE22" s="543"/>
    </row>
    <row r="23" spans="1:32" ht="15" customHeight="1" x14ac:dyDescent="0.2">
      <c r="B23" s="557"/>
      <c r="C23" s="567"/>
      <c r="E23" s="556"/>
      <c r="F23" s="565"/>
      <c r="G23" s="570" t="s">
        <v>25</v>
      </c>
      <c r="H23" s="560"/>
      <c r="I23" s="561" t="str">
        <f>IF(H23="","",VLOOKUP(H23,'Списки участников'!A:L,12,FALSE))</f>
        <v/>
      </c>
      <c r="J23" s="562"/>
      <c r="K23" s="550"/>
      <c r="L23" s="565"/>
      <c r="M23" s="569"/>
      <c r="O23" s="565"/>
      <c r="Q23" s="548"/>
      <c r="R23" s="542"/>
      <c r="T23" s="546"/>
      <c r="V23" s="556"/>
      <c r="W23" s="543"/>
      <c r="Y23" s="543"/>
      <c r="AB23" s="543"/>
      <c r="AE23" s="543"/>
    </row>
    <row r="24" spans="1:32" ht="15" customHeight="1" x14ac:dyDescent="0.2">
      <c r="A24" s="563" t="s">
        <v>25</v>
      </c>
      <c r="B24" s="552"/>
      <c r="C24" s="553" t="str">
        <f>IF(B24="","",VLOOKUP(B24,'Списки участников'!A:L,12,FALSE))</f>
        <v/>
      </c>
      <c r="D24" s="562"/>
      <c r="E24" s="556"/>
      <c r="F24" s="565"/>
      <c r="G24" s="569"/>
      <c r="H24" s="550"/>
      <c r="I24" s="565"/>
      <c r="J24" s="566"/>
      <c r="K24" s="550"/>
      <c r="L24" s="565"/>
      <c r="M24" s="569"/>
      <c r="O24" s="565"/>
      <c r="Q24" s="548"/>
      <c r="R24" s="546"/>
      <c r="S24" s="556"/>
      <c r="T24" s="543"/>
      <c r="W24" s="543"/>
      <c r="Y24" s="543"/>
      <c r="AB24" s="543"/>
      <c r="AE24" s="543"/>
    </row>
    <row r="25" spans="1:32" ht="15" customHeight="1" x14ac:dyDescent="0.2">
      <c r="B25" s="557"/>
      <c r="C25" s="567"/>
      <c r="D25" s="559" t="s">
        <v>42</v>
      </c>
      <c r="E25" s="560"/>
      <c r="F25" s="561" t="str">
        <f>IF(E25="","",VLOOKUP(E25,'Списки участников'!A:L,12,FALSE))</f>
        <v/>
      </c>
      <c r="G25" s="564"/>
      <c r="H25" s="550"/>
      <c r="I25" s="565"/>
      <c r="J25" s="569"/>
      <c r="K25" s="550"/>
      <c r="L25" s="565"/>
      <c r="M25" s="569"/>
      <c r="O25" s="565"/>
      <c r="Q25" s="548"/>
      <c r="R25" s="542"/>
      <c r="T25" s="543"/>
      <c r="W25" s="543"/>
      <c r="Y25" s="543"/>
      <c r="Z25" s="546"/>
      <c r="AB25" s="556"/>
      <c r="AE25" s="543"/>
    </row>
    <row r="26" spans="1:32" ht="15" customHeight="1" x14ac:dyDescent="0.2">
      <c r="A26" s="563" t="s">
        <v>17</v>
      </c>
      <c r="B26" s="552"/>
      <c r="C26" s="553" t="str">
        <f>IF(B26="","",VLOOKUP(B26,'Списки участников'!A:L,12,FALSE))</f>
        <v/>
      </c>
      <c r="D26" s="564"/>
      <c r="E26" s="556"/>
      <c r="F26" s="565"/>
      <c r="H26" s="550"/>
      <c r="I26" s="565"/>
      <c r="J26" s="569"/>
      <c r="K26" s="550"/>
      <c r="L26" s="565"/>
      <c r="M26" s="569"/>
      <c r="O26" s="565"/>
      <c r="Q26" s="548"/>
      <c r="R26" s="546"/>
      <c r="S26" s="556"/>
      <c r="T26" s="543"/>
      <c r="W26" s="543"/>
      <c r="Y26" s="543"/>
      <c r="AB26" s="543"/>
      <c r="AE26" s="543"/>
    </row>
    <row r="27" spans="1:32" ht="15" customHeight="1" x14ac:dyDescent="0.2">
      <c r="B27" s="557"/>
      <c r="C27" s="567"/>
      <c r="E27" s="556"/>
      <c r="F27" s="565"/>
      <c r="H27" s="550"/>
      <c r="I27" s="565"/>
      <c r="J27" s="570" t="s">
        <v>7</v>
      </c>
      <c r="K27" s="560"/>
      <c r="L27" s="561" t="str">
        <f>IF(K27="","",VLOOKUP(K27,'Списки участников'!A:L,12,FALSE))</f>
        <v/>
      </c>
      <c r="M27" s="564"/>
      <c r="O27" s="565"/>
      <c r="Q27" s="548"/>
      <c r="R27" s="542"/>
      <c r="T27" s="546"/>
      <c r="V27" s="556"/>
      <c r="W27" s="543"/>
      <c r="Y27" s="543"/>
      <c r="AB27" s="543"/>
      <c r="AE27" s="543"/>
    </row>
    <row r="28" spans="1:32" ht="15" customHeight="1" x14ac:dyDescent="0.2">
      <c r="A28" s="563" t="s">
        <v>23</v>
      </c>
      <c r="B28" s="552"/>
      <c r="C28" s="553" t="str">
        <f>IF(B28="","",VLOOKUP(B28,'Списки участников'!A:L,12,FALSE))</f>
        <v/>
      </c>
      <c r="D28" s="562"/>
      <c r="E28" s="556"/>
      <c r="F28" s="565"/>
      <c r="H28" s="550"/>
      <c r="I28" s="565"/>
      <c r="J28" s="569"/>
      <c r="K28" s="550"/>
      <c r="L28" s="565"/>
      <c r="M28" s="548"/>
      <c r="N28" s="548"/>
      <c r="O28" s="565"/>
      <c r="Q28" s="548"/>
      <c r="R28" s="546"/>
      <c r="S28" s="556"/>
      <c r="T28" s="543"/>
      <c r="W28" s="543"/>
      <c r="Y28" s="543"/>
      <c r="AB28" s="543"/>
      <c r="AE28" s="543"/>
    </row>
    <row r="29" spans="1:32" ht="15" customHeight="1" x14ac:dyDescent="0.2">
      <c r="B29" s="557"/>
      <c r="C29" s="567"/>
      <c r="D29" s="559" t="s">
        <v>28</v>
      </c>
      <c r="E29" s="560"/>
      <c r="F29" s="561" t="str">
        <f>IF(E29="","",VLOOKUP(E29,'Списки участников'!A:L,12,FALSE))</f>
        <v/>
      </c>
      <c r="G29" s="562"/>
      <c r="H29" s="550"/>
      <c r="I29" s="565"/>
      <c r="J29" s="569"/>
      <c r="K29" s="550"/>
      <c r="L29" s="565"/>
      <c r="M29" s="548"/>
      <c r="N29" s="548"/>
      <c r="O29" s="565"/>
      <c r="Q29" s="548"/>
      <c r="R29" s="542"/>
      <c r="T29" s="543"/>
      <c r="W29" s="546"/>
      <c r="Y29" s="556"/>
      <c r="AB29" s="543"/>
      <c r="AC29" s="542"/>
      <c r="AD29" s="573"/>
      <c r="AE29" s="543"/>
      <c r="AF29" s="546"/>
    </row>
    <row r="30" spans="1:32" ht="15" customHeight="1" x14ac:dyDescent="0.2">
      <c r="A30" s="563" t="s">
        <v>7</v>
      </c>
      <c r="B30" s="552"/>
      <c r="C30" s="553" t="str">
        <f>IF(B30="","",VLOOKUP(B30,'Списки участников'!A:L,12,FALSE))</f>
        <v/>
      </c>
      <c r="D30" s="564"/>
      <c r="E30" s="556"/>
      <c r="F30" s="565"/>
      <c r="G30" s="566"/>
      <c r="H30" s="550"/>
      <c r="I30" s="574"/>
      <c r="J30" s="569"/>
      <c r="K30" s="550"/>
      <c r="M30" s="548"/>
      <c r="N30" s="548"/>
      <c r="O30" s="565"/>
      <c r="Q30" s="548"/>
      <c r="R30" s="546"/>
      <c r="S30" s="556"/>
      <c r="T30" s="543"/>
      <c r="W30" s="543"/>
      <c r="Y30" s="543"/>
      <c r="AB30" s="543"/>
      <c r="AE30" s="543"/>
    </row>
    <row r="31" spans="1:32" ht="15" customHeight="1" x14ac:dyDescent="0.2">
      <c r="B31" s="557"/>
      <c r="C31" s="567"/>
      <c r="E31" s="556"/>
      <c r="F31" s="565"/>
      <c r="G31" s="570" t="s">
        <v>17</v>
      </c>
      <c r="H31" s="560"/>
      <c r="I31" s="561" t="str">
        <f>IF(H31="","",VLOOKUP(H31,'Списки участников'!A:L,12,FALSE))</f>
        <v/>
      </c>
      <c r="J31" s="564"/>
      <c r="K31" s="550"/>
      <c r="M31" s="549" t="s">
        <v>937</v>
      </c>
      <c r="N31" s="575" t="str">
        <f>IF(N19="","",IF(N19=K11,K27,IF(N19=K27,K11,"Ошибка")))</f>
        <v/>
      </c>
      <c r="O31" s="576" t="str">
        <f>IF(N31="","",VLOOKUP(N31,'Списки участников'!A:L,12,FALSE))</f>
        <v/>
      </c>
      <c r="P31" s="562"/>
      <c r="Q31" s="917" t="str">
        <f>CONCATENATE(J3+1," ","м")</f>
        <v>18 м</v>
      </c>
      <c r="R31" s="542"/>
      <c r="T31" s="546"/>
      <c r="V31" s="556"/>
      <c r="W31" s="543"/>
      <c r="Y31" s="543"/>
      <c r="AA31" s="546"/>
      <c r="AB31" s="577"/>
      <c r="AE31" s="543"/>
    </row>
    <row r="32" spans="1:32" ht="15" customHeight="1" x14ac:dyDescent="0.2">
      <c r="A32" s="563" t="s">
        <v>12</v>
      </c>
      <c r="B32" s="552"/>
      <c r="C32" s="553" t="str">
        <f>IF(B32="","",VLOOKUP(B32,'Списки участников'!A:L,12,FALSE))</f>
        <v/>
      </c>
      <c r="D32" s="562"/>
      <c r="E32" s="556"/>
      <c r="F32" s="565"/>
      <c r="G32" s="569"/>
      <c r="H32" s="550"/>
      <c r="I32" s="565"/>
      <c r="K32" s="543"/>
      <c r="L32" s="565"/>
      <c r="M32" s="548"/>
      <c r="N32" s="548"/>
      <c r="O32" s="565"/>
      <c r="Q32" s="548"/>
      <c r="R32" s="546"/>
      <c r="S32" s="556"/>
      <c r="T32" s="543"/>
      <c r="W32" s="543"/>
      <c r="Y32" s="543"/>
      <c r="AB32" s="543"/>
      <c r="AC32" s="546"/>
      <c r="AD32" s="577"/>
      <c r="AE32" s="543"/>
      <c r="AF32" s="546"/>
    </row>
    <row r="33" spans="1:32" ht="15" customHeight="1" x14ac:dyDescent="0.2">
      <c r="B33" s="557"/>
      <c r="C33" s="567"/>
      <c r="D33" s="559" t="s">
        <v>22</v>
      </c>
      <c r="E33" s="560"/>
      <c r="F33" s="561" t="str">
        <f>IF(E33="","",VLOOKUP(E33,'Списки участников'!A:L,12,FALSE))</f>
        <v/>
      </c>
      <c r="G33" s="564"/>
      <c r="H33" s="550"/>
      <c r="I33" s="565"/>
      <c r="J33" s="562" t="s">
        <v>933</v>
      </c>
      <c r="K33" s="578" t="str">
        <f>IF(K11="","",IF(K11=H7,H15,IF(K11=H15,H7,"Ошибка")))</f>
        <v/>
      </c>
      <c r="L33" s="576" t="str">
        <f>IF(K33="","",VLOOKUP(K33,'Списки участников'!A:L,12,FALSE))</f>
        <v/>
      </c>
      <c r="M33" s="562"/>
      <c r="O33" s="565"/>
      <c r="Q33" s="548"/>
      <c r="R33" s="542"/>
      <c r="T33" s="543"/>
      <c r="W33" s="543"/>
      <c r="Y33" s="543"/>
      <c r="AA33" s="546"/>
      <c r="AB33" s="577"/>
      <c r="AE33" s="543"/>
    </row>
    <row r="34" spans="1:32" ht="15" customHeight="1" x14ac:dyDescent="0.2">
      <c r="A34" s="563" t="s">
        <v>29</v>
      </c>
      <c r="B34" s="552"/>
      <c r="C34" s="553" t="str">
        <f>IF(B34="","",VLOOKUP(B34,'Списки участников'!A:L,12,FALSE))</f>
        <v/>
      </c>
      <c r="D34" s="564"/>
      <c r="E34" s="550"/>
      <c r="F34" s="565"/>
      <c r="I34" s="543"/>
      <c r="K34" s="543"/>
      <c r="L34" s="565"/>
      <c r="M34" s="559" t="s">
        <v>29</v>
      </c>
      <c r="N34" s="572"/>
      <c r="O34" s="576" t="str">
        <f>IF(N34="","",VLOOKUP(N34,'Списки участников'!A:L,12,FALSE))</f>
        <v/>
      </c>
      <c r="P34" s="562"/>
      <c r="Q34" s="917" t="str">
        <f>CONCATENATE(J3+2," ","м")</f>
        <v>19 м</v>
      </c>
      <c r="R34" s="542"/>
      <c r="T34" s="543"/>
      <c r="W34" s="543"/>
      <c r="X34" s="546"/>
      <c r="Y34" s="577"/>
      <c r="AB34" s="543"/>
      <c r="AC34" s="542"/>
      <c r="AD34" s="577"/>
      <c r="AE34" s="543"/>
      <c r="AF34" s="546"/>
    </row>
    <row r="35" spans="1:32" ht="15" customHeight="1" x14ac:dyDescent="0.2">
      <c r="E35" s="543"/>
      <c r="I35" s="543"/>
      <c r="J35" s="562" t="s">
        <v>936</v>
      </c>
      <c r="K35" s="578" t="str">
        <f>IF(K27="","",IF(K27=H23,H31,IF(K27=H31,H23,"Ошибка")))</f>
        <v/>
      </c>
      <c r="L35" s="576" t="str">
        <f>IF(K35="","",VLOOKUP(K35,'Списки участников'!A:L,12,FALSE))</f>
        <v/>
      </c>
      <c r="M35" s="564"/>
      <c r="O35" s="565"/>
      <c r="Q35" s="903"/>
      <c r="R35" s="542"/>
      <c r="T35" s="543"/>
      <c r="W35" s="543"/>
      <c r="Y35" s="543"/>
      <c r="Z35" s="546"/>
      <c r="AB35" s="556"/>
      <c r="AE35" s="543"/>
    </row>
    <row r="36" spans="1:32" ht="15" customHeight="1" x14ac:dyDescent="0.2">
      <c r="E36" s="543"/>
      <c r="G36" s="562" t="s">
        <v>928</v>
      </c>
      <c r="H36" s="579" t="str">
        <f>IF(H7="","",IF(H7=E5,E9,IF(H7=E9,E5,"Ошибка")))</f>
        <v/>
      </c>
      <c r="I36" s="576" t="str">
        <f>IF(H36="","",VLOOKUP(H36,'Списки участников'!A:L,12,FALSE))</f>
        <v/>
      </c>
      <c r="J36" s="562"/>
      <c r="K36" s="543"/>
      <c r="L36" s="565"/>
      <c r="M36" s="549" t="s">
        <v>940</v>
      </c>
      <c r="N36" s="575" t="str">
        <f>IF(N34="","",IF(N34=K33,K35,IF(N34=K35,K33,"Ошибка")))</f>
        <v/>
      </c>
      <c r="O36" s="576" t="str">
        <f>IF(N36="","",VLOOKUP(N36,'Списки участников'!A:L,12,FALSE))</f>
        <v/>
      </c>
      <c r="P36" s="562"/>
      <c r="Q36" s="917" t="str">
        <f>CONCATENATE(J3+3," ","м")</f>
        <v>20 м</v>
      </c>
      <c r="R36" s="542"/>
      <c r="T36" s="543"/>
      <c r="W36" s="543"/>
      <c r="X36" s="546"/>
      <c r="Y36" s="577"/>
      <c r="AB36" s="543"/>
      <c r="AE36" s="543"/>
    </row>
    <row r="37" spans="1:32" ht="15" customHeight="1" x14ac:dyDescent="0.2">
      <c r="E37" s="543"/>
      <c r="I37" s="565"/>
      <c r="J37" s="559" t="s">
        <v>13</v>
      </c>
      <c r="K37" s="580"/>
      <c r="L37" s="576" t="str">
        <f>IF(K37="","",VLOOKUP(K37,'Списки участников'!A:L,12,FALSE))</f>
        <v/>
      </c>
      <c r="M37" s="562"/>
      <c r="O37" s="565"/>
      <c r="Q37" s="903"/>
      <c r="R37" s="542"/>
      <c r="T37" s="543"/>
      <c r="W37" s="543"/>
      <c r="Y37" s="543"/>
      <c r="AB37" s="543"/>
      <c r="AC37" s="546"/>
      <c r="AD37" s="556"/>
      <c r="AE37" s="543"/>
      <c r="AF37" s="546"/>
    </row>
    <row r="38" spans="1:32" ht="15" customHeight="1" x14ac:dyDescent="0.2">
      <c r="E38" s="543"/>
      <c r="G38" s="562" t="s">
        <v>929</v>
      </c>
      <c r="H38" s="579" t="str">
        <f>IF(H15="","",IF(H15=E13,E17,IF(H15=E17,E13,"Ошибка")))</f>
        <v/>
      </c>
      <c r="I38" s="576" t="str">
        <f>IF(H38="","",VLOOKUP(H38,'Списки участников'!A:L,12,FALSE))</f>
        <v/>
      </c>
      <c r="J38" s="564"/>
      <c r="K38" s="543"/>
      <c r="L38" s="565"/>
      <c r="M38" s="566"/>
      <c r="O38" s="565"/>
      <c r="Q38" s="903"/>
      <c r="R38" s="542"/>
      <c r="T38" s="543"/>
      <c r="W38" s="543"/>
      <c r="X38" s="546"/>
      <c r="Y38" s="577"/>
      <c r="AB38" s="543"/>
      <c r="AE38" s="543"/>
    </row>
    <row r="39" spans="1:32" ht="15" customHeight="1" x14ac:dyDescent="0.2">
      <c r="E39" s="543"/>
      <c r="I39" s="565"/>
      <c r="K39" s="543"/>
      <c r="L39" s="565"/>
      <c r="M39" s="570" t="s">
        <v>31</v>
      </c>
      <c r="N39" s="581"/>
      <c r="O39" s="576" t="str">
        <f>IF(N39="","",VLOOKUP(N39,'Списки участников'!A:L,12,FALSE))</f>
        <v/>
      </c>
      <c r="P39" s="562"/>
      <c r="Q39" s="917" t="str">
        <f>CONCATENATE(J3+4," ","м")</f>
        <v>21 м</v>
      </c>
      <c r="R39" s="542"/>
      <c r="T39" s="543"/>
      <c r="W39" s="543"/>
      <c r="Y39" s="543"/>
      <c r="Z39" s="546"/>
      <c r="AB39" s="556"/>
      <c r="AE39" s="543"/>
    </row>
    <row r="40" spans="1:32" ht="15" customHeight="1" x14ac:dyDescent="0.2">
      <c r="E40" s="543"/>
      <c r="G40" s="562" t="s">
        <v>2</v>
      </c>
      <c r="H40" s="578" t="str">
        <f>IF(H23="","",IF(H23=E21,E25,IF(H23=E25,E21,"Ошибка")))</f>
        <v/>
      </c>
      <c r="I40" s="576" t="str">
        <f>IF(H40="","",VLOOKUP(H40,'Списки участников'!A:L,12,FALSE))</f>
        <v/>
      </c>
      <c r="J40" s="562"/>
      <c r="K40" s="543"/>
      <c r="L40" s="565"/>
      <c r="M40" s="569"/>
      <c r="O40" s="565"/>
      <c r="Q40" s="903"/>
      <c r="R40" s="542"/>
      <c r="T40" s="543"/>
      <c r="W40" s="543"/>
      <c r="X40" s="546"/>
      <c r="Y40" s="577"/>
      <c r="AB40" s="543"/>
      <c r="AC40" s="542"/>
      <c r="AD40" s="573"/>
      <c r="AE40" s="543"/>
      <c r="AF40" s="546"/>
    </row>
    <row r="41" spans="1:32" ht="15" customHeight="1" x14ac:dyDescent="0.2">
      <c r="E41" s="543"/>
      <c r="I41" s="565"/>
      <c r="J41" s="559" t="s">
        <v>32</v>
      </c>
      <c r="K41" s="580"/>
      <c r="L41" s="576" t="str">
        <f>IF(K41="","",VLOOKUP(K41,'Списки участников'!A:L,12,FALSE))</f>
        <v/>
      </c>
      <c r="M41" s="564"/>
      <c r="O41" s="565"/>
      <c r="Q41" s="903"/>
      <c r="R41" s="542"/>
      <c r="T41" s="543"/>
      <c r="W41" s="543"/>
      <c r="Y41" s="543"/>
      <c r="AA41" s="546"/>
      <c r="AB41" s="577"/>
      <c r="AE41" s="543"/>
    </row>
    <row r="42" spans="1:32" ht="15" customHeight="1" x14ac:dyDescent="0.2">
      <c r="E42" s="543"/>
      <c r="G42" s="562" t="s">
        <v>931</v>
      </c>
      <c r="H42" s="578" t="str">
        <f>IF(H31="","",IF(H31=E29,E33,IF(H31=E33,E29,"Ошибка")))</f>
        <v/>
      </c>
      <c r="I42" s="576" t="str">
        <f>IF(H42="","",VLOOKUP(H42,'Списки участников'!A:L,12,FALSE))</f>
        <v/>
      </c>
      <c r="J42" s="564"/>
      <c r="K42" s="543"/>
      <c r="L42" s="565"/>
      <c r="M42" s="549" t="s">
        <v>70</v>
      </c>
      <c r="N42" s="582" t="str">
        <f>IF(N39="","",IF(N39=K37,K41,IF(N39=K41,K37,"Ошибка")))</f>
        <v/>
      </c>
      <c r="O42" s="576" t="str">
        <f>IF(N42="","",VLOOKUP(N42,'Списки участников'!A:L,12,FALSE))</f>
        <v/>
      </c>
      <c r="P42" s="562"/>
      <c r="Q42" s="917" t="str">
        <f>CONCATENATE(J3+5," ","м")</f>
        <v>22 м</v>
      </c>
      <c r="R42" s="542"/>
      <c r="T42" s="543"/>
      <c r="W42" s="543"/>
      <c r="Y42" s="543"/>
      <c r="AB42" s="543"/>
      <c r="AC42" s="546"/>
      <c r="AD42" s="577"/>
      <c r="AE42" s="543"/>
      <c r="AF42" s="546"/>
    </row>
    <row r="43" spans="1:32" ht="15" customHeight="1" x14ac:dyDescent="0.2">
      <c r="E43" s="543"/>
      <c r="I43" s="565"/>
      <c r="J43" s="583" t="s">
        <v>917</v>
      </c>
      <c r="K43" s="578" t="str">
        <f>IF(K37="","",IF(K37=H38,H36,IF(K37=H36,H38,"Ошибка")))</f>
        <v/>
      </c>
      <c r="L43" s="576" t="str">
        <f>IF(K43="","",VLOOKUP(K43,'Списки участников'!A:L,12,FALSE))</f>
        <v/>
      </c>
      <c r="M43" s="562"/>
      <c r="O43" s="565"/>
      <c r="Q43" s="903"/>
      <c r="R43" s="542"/>
      <c r="T43" s="543"/>
      <c r="W43" s="543"/>
      <c r="Y43" s="543"/>
      <c r="AA43" s="546"/>
      <c r="AB43" s="577"/>
      <c r="AE43" s="543"/>
    </row>
    <row r="44" spans="1:32" ht="15" customHeight="1" x14ac:dyDescent="0.2">
      <c r="E44" s="543"/>
      <c r="I44" s="565"/>
      <c r="K44" s="543"/>
      <c r="L44" s="565"/>
      <c r="M44" s="559" t="s">
        <v>34</v>
      </c>
      <c r="N44" s="581"/>
      <c r="O44" s="576" t="str">
        <f>IF(N44="","",VLOOKUP(N44,'Списки участников'!A:L,12,FALSE))</f>
        <v/>
      </c>
      <c r="P44" s="562"/>
      <c r="Q44" s="917" t="str">
        <f>CONCATENATE(J3+6," ","м")</f>
        <v>23 м</v>
      </c>
      <c r="R44" s="542"/>
      <c r="T44" s="543"/>
      <c r="U44" s="546"/>
      <c r="V44" s="577"/>
      <c r="W44" s="543"/>
      <c r="Y44" s="543"/>
      <c r="AB44" s="543"/>
      <c r="AC44" s="542"/>
      <c r="AD44" s="573"/>
      <c r="AE44" s="543"/>
      <c r="AF44" s="546"/>
    </row>
    <row r="45" spans="1:32" ht="15" customHeight="1" x14ac:dyDescent="0.2">
      <c r="E45" s="543"/>
      <c r="I45" s="565"/>
      <c r="J45" s="548" t="s">
        <v>920</v>
      </c>
      <c r="K45" s="578" t="str">
        <f>IF(K41="","",IF(K41=H40,H42,IF(K41=H42,H40,"Ошибка")))</f>
        <v/>
      </c>
      <c r="L45" s="576" t="str">
        <f>IF(K45="","",VLOOKUP(K45,'Списки участников'!A:L,12,FALSE))</f>
        <v/>
      </c>
      <c r="M45" s="564"/>
      <c r="O45" s="565"/>
      <c r="Q45" s="903"/>
      <c r="R45" s="542"/>
      <c r="T45" s="543"/>
      <c r="W45" s="546"/>
      <c r="Y45" s="556"/>
      <c r="AB45" s="543"/>
      <c r="AE45" s="543"/>
    </row>
    <row r="46" spans="1:32" ht="15" customHeight="1" x14ac:dyDescent="0.2">
      <c r="D46" s="562" t="s">
        <v>916</v>
      </c>
      <c r="E46" s="578" t="str">
        <f>IF(E5="","",IF(E5=B4,B6,IF(E5=B6,B4,"Ошибка")))</f>
        <v/>
      </c>
      <c r="F46" s="576" t="str">
        <f>IF(E46="","",VLOOKUP(E46,'Списки участников'!A:L,12,FALSE))</f>
        <v/>
      </c>
      <c r="G46" s="562"/>
      <c r="I46" s="565"/>
      <c r="K46" s="543"/>
      <c r="L46" s="565"/>
      <c r="M46" s="549" t="s">
        <v>924</v>
      </c>
      <c r="N46" s="582" t="str">
        <f>IF(N44="","",IF(N44=K43,K45,IF(N44=K45,K43,"Ошибка")))</f>
        <v/>
      </c>
      <c r="O46" s="576" t="str">
        <f>IF(N46="","",VLOOKUP(N46,'Списки участников'!A:L,12,FALSE))</f>
        <v/>
      </c>
      <c r="P46" s="562"/>
      <c r="Q46" s="917" t="str">
        <f>CONCATENATE(J3+7," ","м")</f>
        <v>24 м</v>
      </c>
      <c r="R46" s="542"/>
      <c r="T46" s="543"/>
      <c r="U46" s="546"/>
      <c r="V46" s="577"/>
      <c r="W46" s="543"/>
      <c r="Y46" s="543"/>
      <c r="AB46" s="543"/>
      <c r="AE46" s="543"/>
    </row>
    <row r="47" spans="1:32" ht="15" customHeight="1" x14ac:dyDescent="0.2">
      <c r="E47" s="543"/>
      <c r="F47" s="565"/>
      <c r="G47" s="559" t="s">
        <v>8</v>
      </c>
      <c r="H47" s="580"/>
      <c r="I47" s="576" t="str">
        <f>IF(H47="","",VLOOKUP(H47,'Списки участников'!A:L,12,FALSE))</f>
        <v/>
      </c>
      <c r="J47" s="562"/>
      <c r="K47" s="543"/>
      <c r="L47" s="565"/>
      <c r="M47" s="548"/>
      <c r="N47" s="548"/>
      <c r="O47" s="565"/>
      <c r="Q47" s="903"/>
      <c r="R47" s="542"/>
      <c r="T47" s="543"/>
      <c r="W47" s="543"/>
      <c r="Y47" s="543"/>
      <c r="Z47" s="546"/>
      <c r="AB47" s="556"/>
      <c r="AE47" s="543"/>
    </row>
    <row r="48" spans="1:32" ht="15" customHeight="1" x14ac:dyDescent="0.2">
      <c r="D48" s="562" t="s">
        <v>918</v>
      </c>
      <c r="E48" s="578" t="str">
        <f>IF(E9="","",IF(E9=B10,B8,IF(E9=B8,B10,"Ошибка")))</f>
        <v/>
      </c>
      <c r="F48" s="576" t="str">
        <f>IF(E48="","",VLOOKUP(E48,'Списки участников'!A:L,12,FALSE))</f>
        <v/>
      </c>
      <c r="G48" s="564"/>
      <c r="H48" s="584"/>
      <c r="I48" s="565"/>
      <c r="J48" s="566"/>
      <c r="K48" s="543"/>
      <c r="L48" s="565"/>
      <c r="M48" s="548"/>
      <c r="N48" s="548"/>
      <c r="O48" s="565"/>
      <c r="Q48" s="903"/>
      <c r="R48" s="542"/>
      <c r="T48" s="543"/>
      <c r="U48" s="546"/>
      <c r="V48" s="577"/>
      <c r="W48" s="543"/>
      <c r="Y48" s="543"/>
      <c r="AB48" s="543"/>
      <c r="AE48" s="543"/>
    </row>
    <row r="49" spans="4:32" ht="15" customHeight="1" x14ac:dyDescent="0.2">
      <c r="E49" s="543"/>
      <c r="F49" s="565"/>
      <c r="H49" s="584"/>
      <c r="I49" s="565"/>
      <c r="J49" s="570" t="s">
        <v>36</v>
      </c>
      <c r="K49" s="580"/>
      <c r="L49" s="576" t="str">
        <f>IF(K49="","",VLOOKUP(K49,'Списки участников'!A:L,12,FALSE))</f>
        <v/>
      </c>
      <c r="M49" s="562"/>
      <c r="O49" s="565"/>
      <c r="Q49" s="903"/>
      <c r="R49" s="542"/>
      <c r="T49" s="543"/>
      <c r="W49" s="546"/>
      <c r="Y49" s="556"/>
      <c r="AB49" s="543"/>
      <c r="AE49" s="543"/>
    </row>
    <row r="50" spans="4:32" ht="15" customHeight="1" x14ac:dyDescent="0.2">
      <c r="D50" s="562" t="s">
        <v>919</v>
      </c>
      <c r="E50" s="578" t="str">
        <f>IF(E13="","",IF(E13=B12,B14,IF(E13=B14,B12,"Ошибка")))</f>
        <v/>
      </c>
      <c r="F50" s="576" t="str">
        <f>IF(E50="","",VLOOKUP(E50,'Списки участников'!A:L,12,FALSE))</f>
        <v/>
      </c>
      <c r="G50" s="562"/>
      <c r="H50" s="584"/>
      <c r="I50" s="565"/>
      <c r="J50" s="569"/>
      <c r="K50" s="584"/>
      <c r="L50" s="565"/>
      <c r="M50" s="566"/>
      <c r="O50" s="565"/>
      <c r="Q50" s="903"/>
      <c r="R50" s="542"/>
      <c r="T50" s="543"/>
      <c r="U50" s="546"/>
      <c r="V50" s="577"/>
      <c r="W50" s="543"/>
      <c r="Y50" s="543"/>
      <c r="AB50" s="543"/>
      <c r="AE50" s="543"/>
    </row>
    <row r="51" spans="4:32" ht="15" customHeight="1" x14ac:dyDescent="0.2">
      <c r="E51" s="543"/>
      <c r="F51" s="565"/>
      <c r="G51" s="559" t="s">
        <v>14</v>
      </c>
      <c r="H51" s="580"/>
      <c r="I51" s="576" t="str">
        <f>IF(H51="","",VLOOKUP(H51,'Списки участников'!A:L,12,FALSE))</f>
        <v/>
      </c>
      <c r="J51" s="564"/>
      <c r="K51" s="584"/>
      <c r="L51" s="565"/>
      <c r="M51" s="569"/>
      <c r="O51" s="565"/>
      <c r="Q51" s="903"/>
      <c r="R51" s="542"/>
      <c r="T51" s="543"/>
      <c r="W51" s="543"/>
      <c r="Y51" s="543"/>
      <c r="AB51" s="543"/>
      <c r="AC51" s="546"/>
      <c r="AD51" s="556"/>
      <c r="AE51" s="543"/>
      <c r="AF51" s="546"/>
    </row>
    <row r="52" spans="4:32" ht="15" customHeight="1" x14ac:dyDescent="0.2">
      <c r="D52" s="562" t="s">
        <v>922</v>
      </c>
      <c r="E52" s="578" t="str">
        <f>IF(E17="","",IF(E17=B18,B16,IF(E17=B16,B18,"Ошибка")))</f>
        <v/>
      </c>
      <c r="F52" s="576" t="str">
        <f>IF(E52="","",VLOOKUP(E52,'Списки участников'!A:L,12,FALSE))</f>
        <v/>
      </c>
      <c r="G52" s="564"/>
      <c r="H52" s="584"/>
      <c r="I52" s="565"/>
      <c r="K52" s="584"/>
      <c r="L52" s="565"/>
      <c r="M52" s="569"/>
      <c r="O52" s="565"/>
      <c r="Q52" s="903"/>
      <c r="R52" s="542"/>
      <c r="T52" s="543"/>
      <c r="U52" s="546"/>
      <c r="V52" s="577"/>
      <c r="W52" s="543"/>
      <c r="Y52" s="543"/>
      <c r="AB52" s="543"/>
      <c r="AE52" s="543"/>
    </row>
    <row r="53" spans="4:32" ht="15" customHeight="1" x14ac:dyDescent="0.2">
      <c r="E53" s="543"/>
      <c r="F53" s="565"/>
      <c r="H53" s="584"/>
      <c r="I53" s="565"/>
      <c r="K53" s="584"/>
      <c r="L53" s="565"/>
      <c r="M53" s="570" t="s">
        <v>40</v>
      </c>
      <c r="N53" s="581"/>
      <c r="O53" s="576" t="str">
        <f>IF(N53="","",VLOOKUP(N53,'Списки участников'!A:L,12,FALSE))</f>
        <v/>
      </c>
      <c r="P53" s="562"/>
      <c r="Q53" s="917" t="str">
        <f>CONCATENATE(J3+8," ","м")</f>
        <v>25 м</v>
      </c>
      <c r="R53" s="542"/>
      <c r="T53" s="543"/>
      <c r="W53" s="546"/>
      <c r="Y53" s="556"/>
      <c r="AB53" s="543"/>
      <c r="AE53" s="543"/>
    </row>
    <row r="54" spans="4:32" ht="15" customHeight="1" x14ac:dyDescent="0.2">
      <c r="D54" s="562" t="s">
        <v>923</v>
      </c>
      <c r="E54" s="578" t="str">
        <f>IF(E21="","",IF(E21=B20,B22,IF(E21=B22,B20,"Ошибка")))</f>
        <v/>
      </c>
      <c r="F54" s="576" t="str">
        <f>IF(E54="","",VLOOKUP(E54,'Списки участников'!A:L,12,FALSE))</f>
        <v/>
      </c>
      <c r="G54" s="562"/>
      <c r="H54" s="584"/>
      <c r="I54" s="565"/>
      <c r="K54" s="584"/>
      <c r="L54" s="565"/>
      <c r="M54" s="569"/>
      <c r="O54" s="565"/>
      <c r="Q54" s="903"/>
      <c r="R54" s="542"/>
      <c r="T54" s="543"/>
      <c r="U54" s="546"/>
      <c r="V54" s="577"/>
      <c r="W54" s="543"/>
      <c r="Y54" s="543"/>
      <c r="AB54" s="543"/>
      <c r="AE54" s="543"/>
    </row>
    <row r="55" spans="4:32" ht="15" customHeight="1" x14ac:dyDescent="0.2">
      <c r="E55" s="543"/>
      <c r="F55" s="565"/>
      <c r="G55" s="559" t="s">
        <v>43</v>
      </c>
      <c r="H55" s="580"/>
      <c r="I55" s="576" t="str">
        <f>IF(H55="","",VLOOKUP(H55,'Списки участников'!A:L,12,FALSE))</f>
        <v/>
      </c>
      <c r="J55" s="562"/>
      <c r="K55" s="584"/>
      <c r="L55" s="565"/>
      <c r="M55" s="569"/>
      <c r="O55" s="565"/>
      <c r="Q55" s="903"/>
      <c r="R55" s="542"/>
      <c r="T55" s="543"/>
      <c r="W55" s="543"/>
      <c r="Y55" s="543"/>
      <c r="Z55" s="546"/>
      <c r="AB55" s="556"/>
      <c r="AE55" s="543"/>
    </row>
    <row r="56" spans="4:32" ht="15" customHeight="1" x14ac:dyDescent="0.2">
      <c r="D56" s="562" t="s">
        <v>925</v>
      </c>
      <c r="E56" s="578" t="str">
        <f>IF(E25="","",IF(E25=B26,B24,IF(E25=B24,B26,"Ошибка")))</f>
        <v/>
      </c>
      <c r="F56" s="576" t="str">
        <f>IF(E56="","",VLOOKUP(E56,'Списки участников'!A:L,12,FALSE))</f>
        <v/>
      </c>
      <c r="G56" s="564"/>
      <c r="H56" s="584"/>
      <c r="I56" s="565"/>
      <c r="J56" s="566"/>
      <c r="K56" s="584"/>
      <c r="L56" s="565"/>
      <c r="M56" s="569"/>
      <c r="O56" s="565"/>
      <c r="Q56" s="903"/>
      <c r="R56" s="542"/>
      <c r="T56" s="543"/>
      <c r="U56" s="546"/>
      <c r="V56" s="577"/>
      <c r="W56" s="543"/>
      <c r="Y56" s="543"/>
      <c r="AB56" s="543"/>
      <c r="AC56" s="542"/>
      <c r="AD56" s="573"/>
      <c r="AE56" s="543"/>
      <c r="AF56" s="546"/>
    </row>
    <row r="57" spans="4:32" ht="15" customHeight="1" x14ac:dyDescent="0.2">
      <c r="E57" s="584"/>
      <c r="F57" s="565"/>
      <c r="H57" s="584"/>
      <c r="I57" s="565"/>
      <c r="J57" s="570" t="s">
        <v>27</v>
      </c>
      <c r="K57" s="580"/>
      <c r="L57" s="576" t="str">
        <f>IF(K57="","",VLOOKUP(K57,'Списки участников'!A:L,12,FALSE))</f>
        <v/>
      </c>
      <c r="M57" s="564"/>
      <c r="O57" s="565"/>
      <c r="Q57" s="903"/>
      <c r="R57" s="542"/>
      <c r="T57" s="543"/>
      <c r="W57" s="546"/>
      <c r="Y57" s="556"/>
      <c r="AB57" s="543"/>
      <c r="AE57" s="543"/>
    </row>
    <row r="58" spans="4:32" ht="15" customHeight="1" x14ac:dyDescent="0.2">
      <c r="D58" s="562" t="s">
        <v>926</v>
      </c>
      <c r="E58" s="578" t="str">
        <f>IF(E29="","",IF(E29=B28,B30,IF(E29=B30,B28,"Ошибка")))</f>
        <v/>
      </c>
      <c r="F58" s="576" t="str">
        <f>IF(E58="","",VLOOKUP(E58,'Списки участников'!A:L,12,FALSE))</f>
        <v/>
      </c>
      <c r="G58" s="562"/>
      <c r="H58" s="584"/>
      <c r="I58" s="565"/>
      <c r="J58" s="569"/>
      <c r="K58" s="543"/>
      <c r="L58" s="565"/>
      <c r="M58" s="549" t="s">
        <v>955</v>
      </c>
      <c r="N58" s="582" t="str">
        <f>IF(N53="","",IF(N53=K49,K57,IF(N53=K57,K49,"Ошибка")))</f>
        <v/>
      </c>
      <c r="O58" s="576" t="str">
        <f>IF(N58="","",VLOOKUP(N58,'Списки участников'!A:L,12,FALSE))</f>
        <v/>
      </c>
      <c r="P58" s="562"/>
      <c r="Q58" s="917" t="str">
        <f>CONCATENATE(J3+9," ","м")</f>
        <v>26 м</v>
      </c>
      <c r="R58" s="542"/>
      <c r="T58" s="543"/>
      <c r="U58" s="546"/>
      <c r="V58" s="577"/>
      <c r="W58" s="543"/>
      <c r="Y58" s="543"/>
      <c r="AA58" s="546"/>
      <c r="AB58" s="577"/>
      <c r="AE58" s="543"/>
    </row>
    <row r="59" spans="4:32" ht="15" customHeight="1" x14ac:dyDescent="0.2">
      <c r="E59" s="584"/>
      <c r="F59" s="565"/>
      <c r="G59" s="559" t="s">
        <v>19</v>
      </c>
      <c r="H59" s="585"/>
      <c r="I59" s="576" t="str">
        <f>IF(H59="","",VLOOKUP(H59,'Списки участников'!A:L,12,FALSE))</f>
        <v/>
      </c>
      <c r="J59" s="564"/>
      <c r="K59" s="543"/>
      <c r="L59" s="565"/>
      <c r="M59" s="548"/>
      <c r="N59" s="548"/>
      <c r="O59" s="565"/>
      <c r="Q59" s="903"/>
      <c r="R59" s="542"/>
      <c r="T59" s="543"/>
      <c r="W59" s="543"/>
      <c r="Y59" s="543"/>
      <c r="AB59" s="543"/>
      <c r="AC59" s="546"/>
      <c r="AD59" s="556"/>
      <c r="AE59" s="543"/>
      <c r="AF59" s="546"/>
    </row>
    <row r="60" spans="4:32" ht="15" customHeight="1" x14ac:dyDescent="0.2">
      <c r="D60" s="562" t="s">
        <v>927</v>
      </c>
      <c r="E60" s="578" t="str">
        <f>IF(E33="","",IF(E33=B34,B32,IF(E33=B32,B34,"Ошибка")))</f>
        <v/>
      </c>
      <c r="F60" s="576" t="str">
        <f>IF(E60="","",VLOOKUP(E60,'Списки участников'!A:L,12,FALSE))</f>
        <v/>
      </c>
      <c r="G60" s="564"/>
      <c r="I60" s="565"/>
      <c r="J60" s="583" t="s">
        <v>950</v>
      </c>
      <c r="K60" s="578" t="str">
        <f>IF(K49="","",IF(K49=H47,H51,IF(K49=H51,H47,"Ошибка")))</f>
        <v/>
      </c>
      <c r="L60" s="576" t="str">
        <f>IF(K60="","",VLOOKUP(K60,'Списки участников'!A:L,12,FALSE))</f>
        <v/>
      </c>
      <c r="M60" s="562"/>
      <c r="O60" s="565"/>
      <c r="Q60" s="903"/>
      <c r="R60" s="542"/>
      <c r="T60" s="543"/>
      <c r="W60" s="543"/>
      <c r="Y60" s="543"/>
      <c r="AA60" s="546"/>
      <c r="AB60" s="577"/>
      <c r="AE60" s="543"/>
    </row>
    <row r="61" spans="4:32" ht="15" customHeight="1" x14ac:dyDescent="0.2">
      <c r="E61" s="543"/>
      <c r="F61" s="565"/>
      <c r="I61" s="565"/>
      <c r="K61" s="543"/>
      <c r="L61" s="565"/>
      <c r="M61" s="570" t="s">
        <v>9</v>
      </c>
      <c r="N61" s="581"/>
      <c r="O61" s="576" t="str">
        <f>IF(N61="","",VLOOKUP(N61,'Списки участников'!A:L,12,FALSE))</f>
        <v/>
      </c>
      <c r="P61" s="562"/>
      <c r="Q61" s="917" t="str">
        <f>CONCATENATE(J3+10," ","м")</f>
        <v>27 м</v>
      </c>
      <c r="R61" s="542"/>
      <c r="T61" s="543"/>
      <c r="W61" s="543"/>
      <c r="X61" s="546"/>
      <c r="Y61" s="577"/>
      <c r="AB61" s="543"/>
      <c r="AC61" s="542"/>
      <c r="AD61" s="573"/>
      <c r="AE61" s="543"/>
      <c r="AF61" s="546"/>
    </row>
    <row r="62" spans="4:32" ht="15" customHeight="1" x14ac:dyDescent="0.2">
      <c r="E62" s="543"/>
      <c r="F62" s="565"/>
      <c r="I62" s="565"/>
      <c r="J62" s="562" t="s">
        <v>954</v>
      </c>
      <c r="K62" s="578" t="str">
        <f>IF(K57="","",IF(K57=H55,H59,IF(K57=H59,H55,"Ошибка")))</f>
        <v/>
      </c>
      <c r="L62" s="576" t="str">
        <f>IF(K62="","",VLOOKUP(K62,'Списки участников'!A:L,12,FALSE))</f>
        <v/>
      </c>
      <c r="M62" s="564"/>
      <c r="O62" s="565"/>
      <c r="Q62" s="903"/>
      <c r="R62" s="542"/>
      <c r="T62" s="543"/>
      <c r="W62" s="543"/>
      <c r="Y62" s="543"/>
      <c r="Z62" s="546"/>
      <c r="AB62" s="556"/>
      <c r="AE62" s="543"/>
    </row>
    <row r="63" spans="4:32" ht="15" customHeight="1" x14ac:dyDescent="0.2">
      <c r="E63" s="543"/>
      <c r="G63" s="562" t="s">
        <v>941</v>
      </c>
      <c r="H63" s="578" t="str">
        <f>IF(H47="","",IF(H47=E46,E48,IF(H47=E48,E46,"Ошибка")))</f>
        <v/>
      </c>
      <c r="I63" s="576" t="str">
        <f>IF(H63="","",VLOOKUP(H63,'Списки участников'!A:L,12,FALSE))</f>
        <v/>
      </c>
      <c r="J63" s="562"/>
      <c r="K63" s="543"/>
      <c r="L63" s="565"/>
      <c r="M63" s="549" t="s">
        <v>958</v>
      </c>
      <c r="N63" s="582" t="str">
        <f>IF(N61="","",IF(N61=K60,K62,IF(N61=K62,K60,"Ошибка")))</f>
        <v/>
      </c>
      <c r="O63" s="576" t="str">
        <f>IF(N63="","",VLOOKUP(N63,'Списки участников'!A:L,12,FALSE))</f>
        <v/>
      </c>
      <c r="P63" s="562"/>
      <c r="Q63" s="917" t="str">
        <f>CONCATENATE(J3+11," ","м")</f>
        <v>28 м</v>
      </c>
      <c r="R63" s="542"/>
      <c r="T63" s="543"/>
      <c r="W63" s="543"/>
      <c r="X63" s="546"/>
      <c r="Y63" s="577"/>
      <c r="AB63" s="543"/>
      <c r="AE63" s="543"/>
    </row>
    <row r="64" spans="4:32" ht="15" customHeight="1" x14ac:dyDescent="0.2">
      <c r="E64" s="543"/>
      <c r="H64" s="584"/>
      <c r="I64" s="565"/>
      <c r="J64" s="559" t="s">
        <v>18</v>
      </c>
      <c r="K64" s="585"/>
      <c r="L64" s="576" t="str">
        <f>IF(K64="","",VLOOKUP(K64,'Списки участников'!A:L,12,FALSE))</f>
        <v/>
      </c>
      <c r="M64" s="562"/>
      <c r="O64" s="565"/>
      <c r="Q64" s="903"/>
      <c r="R64" s="542"/>
      <c r="T64" s="543"/>
      <c r="W64" s="543"/>
      <c r="Y64" s="543"/>
      <c r="AB64" s="543"/>
      <c r="AC64" s="546"/>
      <c r="AD64" s="556"/>
      <c r="AE64" s="543"/>
      <c r="AF64" s="546"/>
    </row>
    <row r="65" spans="3:32" ht="15" customHeight="1" x14ac:dyDescent="0.2">
      <c r="E65" s="543"/>
      <c r="G65" s="562" t="s">
        <v>943</v>
      </c>
      <c r="H65" s="578" t="str">
        <f>IF(H51="","",IF(H51=E50,E52,IF(H51=E52,E50,"Ошибка")))</f>
        <v/>
      </c>
      <c r="I65" s="576" t="str">
        <f>IF(H65="","",VLOOKUP(H65,'Списки участников'!A:L,12,FALSE))</f>
        <v/>
      </c>
      <c r="J65" s="564"/>
      <c r="K65" s="584"/>
      <c r="L65" s="565"/>
      <c r="M65" s="566"/>
      <c r="O65" s="565"/>
      <c r="Q65" s="903"/>
      <c r="R65" s="542"/>
      <c r="T65" s="543"/>
      <c r="W65" s="543"/>
      <c r="X65" s="546"/>
      <c r="Y65" s="577"/>
      <c r="AB65" s="543"/>
      <c r="AE65" s="543"/>
    </row>
    <row r="66" spans="3:32" ht="15" customHeight="1" x14ac:dyDescent="0.2">
      <c r="E66" s="543"/>
      <c r="H66" s="584"/>
      <c r="I66" s="565"/>
      <c r="K66" s="584"/>
      <c r="L66" s="565"/>
      <c r="M66" s="570" t="s">
        <v>39</v>
      </c>
      <c r="N66" s="581"/>
      <c r="O66" s="576" t="str">
        <f>IF(N66="","",VLOOKUP(N66,'Списки участников'!A:L,12,FALSE))</f>
        <v/>
      </c>
      <c r="P66" s="562"/>
      <c r="Q66" s="917" t="str">
        <f>CONCATENATE(J3+12," ","м")</f>
        <v>29 м</v>
      </c>
      <c r="R66" s="542"/>
      <c r="T66" s="543"/>
      <c r="W66" s="543"/>
      <c r="Y66" s="543"/>
      <c r="Z66" s="546"/>
      <c r="AB66" s="556"/>
      <c r="AE66" s="543"/>
    </row>
    <row r="67" spans="3:32" ht="15" customHeight="1" x14ac:dyDescent="0.2">
      <c r="E67" s="543"/>
      <c r="G67" s="562" t="s">
        <v>946</v>
      </c>
      <c r="H67" s="578" t="str">
        <f>IF(H55="","",IF(H55=E54,E56,IF(H55=E56,E54,"Ошибка")))</f>
        <v/>
      </c>
      <c r="I67" s="576" t="str">
        <f>IF(H67="","",VLOOKUP(H67,'Списки участников'!A:L,12,FALSE))</f>
        <v/>
      </c>
      <c r="J67" s="562"/>
      <c r="K67" s="584"/>
      <c r="L67" s="565"/>
      <c r="M67" s="569"/>
      <c r="O67" s="565"/>
      <c r="Q67" s="903"/>
      <c r="R67" s="542"/>
      <c r="T67" s="543"/>
      <c r="W67" s="543"/>
      <c r="X67" s="546"/>
      <c r="Y67" s="577"/>
      <c r="AB67" s="543"/>
      <c r="AC67" s="542"/>
      <c r="AD67" s="573"/>
      <c r="AE67" s="543"/>
      <c r="AF67" s="546"/>
    </row>
    <row r="68" spans="3:32" ht="15" customHeight="1" x14ac:dyDescent="0.2">
      <c r="E68" s="543"/>
      <c r="H68" s="584"/>
      <c r="I68" s="565"/>
      <c r="J68" s="559" t="s">
        <v>33</v>
      </c>
      <c r="K68" s="580"/>
      <c r="L68" s="576" t="str">
        <f>IF(K68="","",VLOOKUP(K68,'Списки участников'!A:L,12,FALSE))</f>
        <v/>
      </c>
      <c r="M68" s="564"/>
      <c r="O68" s="565"/>
      <c r="Q68" s="903"/>
      <c r="R68" s="542"/>
      <c r="T68" s="543"/>
      <c r="W68" s="543"/>
      <c r="Y68" s="543"/>
      <c r="AA68" s="546"/>
      <c r="AB68" s="577"/>
      <c r="AE68" s="543"/>
    </row>
    <row r="69" spans="3:32" ht="15" customHeight="1" x14ac:dyDescent="0.2">
      <c r="E69" s="543"/>
      <c r="G69" s="562" t="s">
        <v>948</v>
      </c>
      <c r="H69" s="578" t="str">
        <f>IF(H59="","",IF(H59=E58,E60,IF(H59=E60,E58,"Ошибка")))</f>
        <v/>
      </c>
      <c r="I69" s="576" t="str">
        <f>IF(H69="","",VLOOKUP(H69,'Списки участников'!A:L,12,FALSE))</f>
        <v/>
      </c>
      <c r="J69" s="564"/>
      <c r="K69" s="543"/>
      <c r="L69" s="565"/>
      <c r="M69" s="549" t="s">
        <v>56</v>
      </c>
      <c r="N69" s="582" t="str">
        <f>IF(N66="","",IF(N66=K64,K68,IF(N66=K68,K64,"Ошибка")))</f>
        <v/>
      </c>
      <c r="O69" s="576" t="str">
        <f>IF(N69="","",VLOOKUP(N69,'Списки участников'!A:L,12,FALSE))</f>
        <v/>
      </c>
      <c r="P69" s="562"/>
      <c r="Q69" s="917" t="str">
        <f>CONCATENATE(J3+13," ","м")</f>
        <v>30 м</v>
      </c>
      <c r="R69" s="542"/>
      <c r="T69" s="543"/>
      <c r="W69" s="543"/>
      <c r="Y69" s="543"/>
      <c r="AB69" s="543"/>
      <c r="AC69" s="546"/>
      <c r="AD69" s="556"/>
      <c r="AE69" s="543"/>
      <c r="AF69" s="546"/>
    </row>
    <row r="70" spans="3:32" ht="15" customHeight="1" x14ac:dyDescent="0.2">
      <c r="E70" s="543"/>
      <c r="I70" s="565"/>
      <c r="J70" s="583" t="s">
        <v>92</v>
      </c>
      <c r="K70" s="578" t="str">
        <f>IF(K64="","",IF(K64=H63,H65,IF(K64=H65,H63,"Ошибка")))</f>
        <v/>
      </c>
      <c r="L70" s="576" t="str">
        <f>IF(K70="","",VLOOKUP(K70,'Списки участников'!A:L,12,FALSE))</f>
        <v/>
      </c>
      <c r="M70" s="562"/>
      <c r="O70" s="565"/>
      <c r="Q70" s="903"/>
      <c r="R70" s="542"/>
      <c r="T70" s="543"/>
      <c r="W70" s="543"/>
      <c r="Y70" s="543"/>
      <c r="AA70" s="546"/>
      <c r="AB70" s="577"/>
      <c r="AE70" s="543"/>
    </row>
    <row r="71" spans="3:32" ht="15" customHeight="1" x14ac:dyDescent="0.2">
      <c r="E71" s="543"/>
      <c r="I71" s="543"/>
      <c r="K71" s="584"/>
      <c r="L71" s="565"/>
      <c r="M71" s="559" t="s">
        <v>26</v>
      </c>
      <c r="N71" s="581"/>
      <c r="O71" s="576" t="str">
        <f>IF(N71="","",VLOOKUP(N71,'Списки участников'!A:L,12,FALSE))</f>
        <v/>
      </c>
      <c r="P71" s="562"/>
      <c r="Q71" s="917" t="str">
        <f>CONCATENATE(J3+14," ","м")</f>
        <v>31 м</v>
      </c>
      <c r="R71" s="542"/>
      <c r="T71" s="543"/>
      <c r="W71" s="543"/>
      <c r="Y71" s="543"/>
      <c r="AB71" s="543"/>
      <c r="AC71" s="542"/>
      <c r="AD71" s="573"/>
      <c r="AE71" s="543"/>
      <c r="AF71" s="546"/>
    </row>
    <row r="72" spans="3:32" ht="15" customHeight="1" x14ac:dyDescent="0.2">
      <c r="E72" s="543"/>
      <c r="I72" s="543"/>
      <c r="J72" s="562" t="s">
        <v>58</v>
      </c>
      <c r="K72" s="578" t="str">
        <f>IF(K68="","",IF(K68=H67,H69,IF(K68=H69,H67,"Ошибка")))</f>
        <v/>
      </c>
      <c r="L72" s="576" t="str">
        <f>IF(K72="","",VLOOKUP(K72,'Списки участников'!A:L,12,FALSE))</f>
        <v/>
      </c>
      <c r="M72" s="564"/>
      <c r="N72" s="584"/>
      <c r="O72" s="565"/>
      <c r="Q72" s="903"/>
      <c r="R72" s="542"/>
      <c r="T72" s="543"/>
      <c r="W72" s="543"/>
      <c r="Y72" s="543"/>
      <c r="AB72" s="543"/>
      <c r="AE72" s="543"/>
    </row>
    <row r="73" spans="3:32" ht="15" customHeight="1" x14ac:dyDescent="0.2">
      <c r="E73" s="543"/>
      <c r="I73" s="543"/>
      <c r="K73" s="543"/>
      <c r="L73" s="565"/>
      <c r="M73" s="549" t="s">
        <v>93</v>
      </c>
      <c r="N73" s="582" t="str">
        <f>IF(N71="","",IF(N71=K70,K72,IF(N71=K72,K70,"Ошибка")))</f>
        <v/>
      </c>
      <c r="O73" s="576" t="str">
        <f>IF(N73="","",VLOOKUP(N73,'Списки участников'!A:L,12,FALSE))</f>
        <v/>
      </c>
      <c r="P73" s="562"/>
      <c r="Q73" s="917" t="str">
        <f>CONCATENATE(J3+15," ","м")</f>
        <v>32 м</v>
      </c>
      <c r="R73" s="542"/>
      <c r="T73" s="543"/>
      <c r="W73" s="543"/>
      <c r="Y73" s="543"/>
      <c r="AB73" s="543"/>
      <c r="AE73" s="543"/>
    </row>
    <row r="74" spans="3:32" ht="10.35" customHeight="1" x14ac:dyDescent="0.2">
      <c r="H74" s="1291"/>
      <c r="I74" s="1291"/>
      <c r="J74" s="586"/>
      <c r="R74" s="542"/>
      <c r="T74" s="543"/>
      <c r="V74" s="587"/>
      <c r="W74" s="543"/>
      <c r="Y74" s="543"/>
      <c r="AB74" s="543"/>
      <c r="AE74" s="543"/>
    </row>
    <row r="75" spans="3:32" ht="14.25" customHeight="1" x14ac:dyDescent="0.2">
      <c r="C75" s="588" t="s">
        <v>791</v>
      </c>
      <c r="H75" s="1287" t="str">
        <f>'Списки участников'!I121</f>
        <v>В.А. Коваль</v>
      </c>
      <c r="I75" s="1287"/>
      <c r="J75" s="1287"/>
      <c r="R75" s="542"/>
      <c r="T75" s="543"/>
      <c r="W75" s="543"/>
      <c r="Y75" s="543"/>
      <c r="AB75" s="543"/>
      <c r="AE75" s="543"/>
    </row>
    <row r="76" spans="3:32" ht="10.35" customHeight="1" x14ac:dyDescent="0.2">
      <c r="C76" s="565"/>
      <c r="J76" s="586"/>
      <c r="R76" s="543"/>
      <c r="T76" s="543"/>
      <c r="V76" s="587"/>
      <c r="W76" s="543"/>
      <c r="Y76" s="543"/>
      <c r="AB76" s="543"/>
      <c r="AE76" s="543"/>
    </row>
    <row r="77" spans="3:32" ht="15.75" customHeight="1" x14ac:dyDescent="0.2">
      <c r="C77" s="588" t="s">
        <v>792</v>
      </c>
      <c r="H77" s="1287" t="str">
        <f>'Списки участников'!I122</f>
        <v>А.С. Рожкова</v>
      </c>
      <c r="I77" s="1287"/>
      <c r="J77" s="1287"/>
      <c r="R77" s="543"/>
      <c r="T77" s="543"/>
      <c r="W77" s="543"/>
      <c r="Y77" s="543"/>
      <c r="AB77" s="543"/>
      <c r="AE77" s="543"/>
    </row>
    <row r="78" spans="3:32" ht="10.35" customHeight="1" x14ac:dyDescent="0.2">
      <c r="C78" s="543"/>
      <c r="R78" s="543"/>
      <c r="T78" s="543"/>
      <c r="W78" s="543"/>
      <c r="Y78" s="543"/>
      <c r="AB78" s="543"/>
      <c r="AE78" s="543"/>
    </row>
    <row r="79" spans="3:32" ht="10.35" customHeight="1" x14ac:dyDescent="0.2">
      <c r="R79" s="543"/>
      <c r="T79" s="543"/>
      <c r="W79" s="543"/>
      <c r="Y79" s="543"/>
      <c r="AB79" s="543"/>
      <c r="AE79" s="543"/>
    </row>
    <row r="80" spans="3:32" ht="10.35" customHeight="1" x14ac:dyDescent="0.2">
      <c r="R80" s="543"/>
      <c r="T80" s="543"/>
      <c r="W80" s="543"/>
      <c r="Y80" s="543"/>
      <c r="AB80" s="543"/>
      <c r="AE80" s="543"/>
    </row>
  </sheetData>
  <mergeCells count="7">
    <mergeCell ref="H77:J77"/>
    <mergeCell ref="A1:Q1"/>
    <mergeCell ref="A2:Q2"/>
    <mergeCell ref="A3:E3"/>
    <mergeCell ref="M3:Q3"/>
    <mergeCell ref="H74:I74"/>
    <mergeCell ref="H75:J75"/>
  </mergeCells>
  <pageMargins left="0.59055118110236227" right="0.59055118110236227" top="0" bottom="0.39370078740157483" header="0.39370078740157483" footer="0.51181102362204722"/>
  <pageSetup paperSize="9" scale="70" orientation="portrait" r:id="rId1"/>
  <headerFooter alignWithMargins="0">
    <oddHeader xml:space="preserve">&amp;R
</oddHeader>
  </headerFooter>
  <rowBreaks count="1" manualBreakCount="1">
    <brk id="78" max="15" man="1"/>
  </rowBreaks>
  <colBreaks count="1" manualBreakCount="1">
    <brk id="1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A81" zoomScale="60" zoomScaleNormal="100" workbookViewId="0">
      <selection activeCell="C117" sqref="C117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1</v>
      </c>
      <c r="D3" s="962"/>
      <c r="E3" s="963"/>
      <c r="G3" s="957" t="s">
        <v>11956</v>
      </c>
      <c r="H3" s="958">
        <f>C3</f>
        <v>1</v>
      </c>
      <c r="I3" s="962"/>
      <c r="J3" s="963"/>
      <c r="L3" s="957" t="s">
        <v>11956</v>
      </c>
      <c r="M3" s="958">
        <f>C3</f>
        <v>1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'гр (1-4)'!C7</f>
        <v>КУРОЧКИН Егор</v>
      </c>
      <c r="C5" s="960" t="str">
        <f>'гр (1-4)'!C15</f>
        <v>ГРИЦЕВИЧ Станислав</v>
      </c>
      <c r="D5" s="961"/>
      <c r="E5" s="966"/>
      <c r="G5" s="960" t="str">
        <f>'гр (1-4)'!C9</f>
        <v>ДЯГЕЛЕВ Артем</v>
      </c>
      <c r="H5" s="960" t="str">
        <f>'гр (1-4)'!C13</f>
        <v>АНДРОНОВ Федор</v>
      </c>
      <c r="I5" s="961"/>
      <c r="J5" s="966"/>
      <c r="L5" s="960" t="str">
        <f>'гр (1-4)'!C5</f>
        <v>БОКОВ Максим Андреевич</v>
      </c>
      <c r="M5" s="960" t="str">
        <f>'гр (1-4)'!C17</f>
        <v>КОРОТКОВ Степан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1</v>
      </c>
      <c r="D18" s="962"/>
      <c r="E18" s="963"/>
      <c r="G18" s="957" t="s">
        <v>11956</v>
      </c>
      <c r="H18" s="958">
        <f>C3</f>
        <v>1</v>
      </c>
      <c r="I18" s="962"/>
      <c r="J18" s="963"/>
      <c r="L18" s="957" t="s">
        <v>11956</v>
      </c>
      <c r="M18" s="958">
        <f>C3</f>
        <v>1</v>
      </c>
      <c r="N18" s="961"/>
    </row>
    <row r="19" spans="1:14" x14ac:dyDescent="0.3">
      <c r="B19" s="957" t="s">
        <v>11957</v>
      </c>
      <c r="C19" s="959" t="s">
        <v>11958</v>
      </c>
      <c r="D19" s="961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960" t="str">
        <f>'гр (1-4)'!C11</f>
        <v>АКИНьЩИКОВ Ярослав</v>
      </c>
      <c r="C20" s="960" t="str">
        <f>'гр (1-4)'!C19</f>
        <v>КУЧЕРЕНКО Иван</v>
      </c>
      <c r="D20" s="961"/>
      <c r="E20" s="966"/>
      <c r="G20" s="960" t="str">
        <f>'гр (1-4)'!C13</f>
        <v>АНДРОНОВ Федор</v>
      </c>
      <c r="H20" s="960" t="str">
        <f>'гр (1-4)'!C7</f>
        <v>КУРОЧКИН Егор</v>
      </c>
      <c r="I20" s="961"/>
      <c r="J20" s="966"/>
      <c r="L20" s="960" t="str">
        <f>'гр (1-4)'!C15</f>
        <v>ГРИЦЕВИЧ Станислав</v>
      </c>
      <c r="M20" s="960" t="str">
        <f>'гр (1-4)'!C5</f>
        <v>БОКОВ Максим Андреевич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1</v>
      </c>
      <c r="D33" s="962"/>
      <c r="E33" s="963"/>
      <c r="G33" s="957" t="s">
        <v>11956</v>
      </c>
      <c r="H33" s="958">
        <f>C3</f>
        <v>1</v>
      </c>
      <c r="I33" s="962"/>
      <c r="J33" s="963"/>
      <c r="L33" s="957" t="s">
        <v>11956</v>
      </c>
      <c r="M33" s="958">
        <f>C3</f>
        <v>1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'гр (1-4)'!C19</f>
        <v>КУЧЕРЕНКО Иван</v>
      </c>
      <c r="C35" s="960" t="str">
        <f>'гр (1-4)'!C9</f>
        <v>ДЯГЕЛЕВ Артем</v>
      </c>
      <c r="D35" s="961"/>
      <c r="E35" s="966"/>
      <c r="G35" s="960" t="str">
        <f>'гр (1-4)'!C17</f>
        <v>КОРОТКОВ Степан</v>
      </c>
      <c r="H35" s="960" t="str">
        <f>'гр (1-4)'!C11</f>
        <v>АКИНьЩИКОВ Ярослав</v>
      </c>
      <c r="I35" s="961"/>
      <c r="J35" s="966"/>
      <c r="L35" s="960" t="str">
        <f>'гр (1-4)'!C5</f>
        <v>БОКОВ Максим Андреевич</v>
      </c>
      <c r="M35" s="960" t="str">
        <f>'гр (1-4)'!C13</f>
        <v>АНДРОНОВ Федор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1</v>
      </c>
      <c r="D48" s="962"/>
      <c r="E48" s="963"/>
      <c r="G48" s="957" t="s">
        <v>11956</v>
      </c>
      <c r="H48" s="958">
        <f>C3</f>
        <v>1</v>
      </c>
      <c r="I48" s="962"/>
      <c r="J48" s="963"/>
      <c r="L48" s="957" t="s">
        <v>11956</v>
      </c>
      <c r="M48" s="958">
        <f>C3</f>
        <v>1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'гр (1-4)'!C7</f>
        <v>КУРОЧКИН Егор</v>
      </c>
      <c r="C50" s="960" t="str">
        <f>'гр (1-4)'!C19</f>
        <v>КУЧЕРЕНКО Иван</v>
      </c>
      <c r="D50" s="961"/>
      <c r="E50" s="966"/>
      <c r="G50" s="960" t="str">
        <f>'гр (1-4)'!C11</f>
        <v>АКИНьЩИКОВ Ярослав</v>
      </c>
      <c r="H50" s="960" t="str">
        <f>'гр (1-4)'!C15</f>
        <v>ГРИЦЕВИЧ Станислав</v>
      </c>
      <c r="I50" s="961"/>
      <c r="J50" s="966"/>
      <c r="L50" s="960" t="str">
        <f>'гр (1-4)'!C9</f>
        <v>ДЯГЕЛЕВ Артем</v>
      </c>
      <c r="M50" s="960" t="str">
        <f>'гр (1-4)'!C17</f>
        <v>КОРОТКОВ Степан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1</v>
      </c>
      <c r="D63" s="962"/>
      <c r="E63" s="963"/>
      <c r="G63" s="957" t="s">
        <v>11956</v>
      </c>
      <c r="H63" s="958">
        <f>C3</f>
        <v>1</v>
      </c>
      <c r="I63" s="962"/>
      <c r="J63" s="963"/>
      <c r="L63" s="957" t="s">
        <v>11956</v>
      </c>
      <c r="M63" s="958">
        <f>C3</f>
        <v>1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'гр (1-4)'!C19</f>
        <v>КУЧЕРЕНКО Иван</v>
      </c>
      <c r="C65" s="960" t="str">
        <f>'гр (1-4)'!C5</f>
        <v>БОКОВ Максим Андреевич</v>
      </c>
      <c r="D65" s="961"/>
      <c r="E65" s="966"/>
      <c r="G65" s="960" t="str">
        <f>'гр (1-4)'!C13</f>
        <v>АНДРОНОВ Федор</v>
      </c>
      <c r="H65" s="960" t="str">
        <f>'гр (1-4)'!C11</f>
        <v>АКИНьЩИКОВ Ярослав</v>
      </c>
      <c r="I65" s="961"/>
      <c r="J65" s="966"/>
      <c r="L65" s="960" t="str">
        <f>'гр (1-4)'!C17</f>
        <v>КОРОТКОВ Степан</v>
      </c>
      <c r="M65" s="960" t="str">
        <f>'гр (1-4)'!C7</f>
        <v>КУРОЧКИН Егор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Групповой этап</v>
      </c>
      <c r="C77" s="1199"/>
      <c r="D77" s="955"/>
      <c r="E77" s="956"/>
      <c r="G77" s="1199" t="str">
        <f>B2</f>
        <v>Групповой этап</v>
      </c>
      <c r="H77" s="1199"/>
      <c r="I77" s="955"/>
      <c r="J77" s="956"/>
      <c r="L77" s="1199" t="str">
        <f>B2</f>
        <v>Групповой этап</v>
      </c>
      <c r="M77" s="1199"/>
      <c r="N77" s="961"/>
    </row>
    <row r="78" spans="1:14" x14ac:dyDescent="0.3">
      <c r="B78" s="957" t="s">
        <v>11956</v>
      </c>
      <c r="C78" s="958">
        <f>C3</f>
        <v>1</v>
      </c>
      <c r="D78" s="962"/>
      <c r="E78" s="963"/>
      <c r="G78" s="957" t="s">
        <v>11956</v>
      </c>
      <c r="H78" s="958">
        <f>C3</f>
        <v>1</v>
      </c>
      <c r="I78" s="962"/>
      <c r="J78" s="963"/>
      <c r="L78" s="957" t="s">
        <v>11956</v>
      </c>
      <c r="M78" s="958">
        <f>C3</f>
        <v>1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'гр (1-4)'!C15</f>
        <v>ГРИЦЕВИЧ Станислав</v>
      </c>
      <c r="C80" s="960" t="str">
        <f>'гр (1-4)'!C9</f>
        <v>ДЯГЕЛЕВ Артем</v>
      </c>
      <c r="D80" s="961"/>
      <c r="E80" s="966"/>
      <c r="G80" s="960" t="str">
        <f>'гр (1-4)'!C5</f>
        <v>БОКОВ Максим Андреевич</v>
      </c>
      <c r="H80" s="960" t="str">
        <f>'гр (1-4)'!C9</f>
        <v>ДЯГЕЛЕВ Артем</v>
      </c>
      <c r="I80" s="961"/>
      <c r="J80" s="966"/>
      <c r="L80" s="960" t="str">
        <f>'гр (1-4)'!C7</f>
        <v>КУРОЧКИН Егор</v>
      </c>
      <c r="M80" s="960" t="str">
        <f>'гр (1-4)'!C11</f>
        <v>АКИНьЩИКОВ Ярослав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Групповой этап</v>
      </c>
      <c r="C92" s="1199"/>
      <c r="D92" s="955"/>
      <c r="E92" s="956"/>
      <c r="G92" s="1199" t="str">
        <f>B2</f>
        <v>Групповой этап</v>
      </c>
      <c r="H92" s="1199"/>
      <c r="I92" s="955"/>
      <c r="J92" s="956"/>
      <c r="L92" s="1199" t="str">
        <f>B2</f>
        <v>Групповой этап</v>
      </c>
      <c r="M92" s="1199"/>
      <c r="N92" s="961"/>
    </row>
    <row r="93" spans="1:14" x14ac:dyDescent="0.3">
      <c r="B93" s="957" t="s">
        <v>11956</v>
      </c>
      <c r="C93" s="958">
        <f>C3</f>
        <v>1</v>
      </c>
      <c r="D93" s="962"/>
      <c r="E93" s="963"/>
      <c r="G93" s="957" t="s">
        <v>11956</v>
      </c>
      <c r="H93" s="958">
        <f>C3</f>
        <v>1</v>
      </c>
      <c r="I93" s="962"/>
      <c r="J93" s="963"/>
      <c r="L93" s="957" t="s">
        <v>11956</v>
      </c>
      <c r="M93" s="958">
        <f>C3</f>
        <v>1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'гр (1-4)'!C13</f>
        <v>АНДРОНОВ Федор</v>
      </c>
      <c r="C95" s="960" t="str">
        <f>'гр (1-4)'!C17</f>
        <v>КОРОТКОВ Степан</v>
      </c>
      <c r="D95" s="961"/>
      <c r="E95" s="966"/>
      <c r="G95" s="960" t="str">
        <f>'гр (1-4)'!C15</f>
        <v>ГРИЦЕВИЧ Станислав</v>
      </c>
      <c r="H95" s="960" t="str">
        <f>'гр (1-4)'!C19</f>
        <v>КУЧЕРЕНКО Иван</v>
      </c>
      <c r="I95" s="961"/>
      <c r="J95" s="966"/>
      <c r="L95" s="960" t="str">
        <f>'гр (1-4)'!C11</f>
        <v>АКИНьЩИКОВ Ярослав</v>
      </c>
      <c r="M95" s="960" t="str">
        <f>'гр (1-4)'!C5</f>
        <v>БОКОВ Максим Андреевич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Групповой этап</v>
      </c>
      <c r="C107" s="1199"/>
      <c r="D107" s="955"/>
      <c r="E107" s="956"/>
      <c r="G107" s="1199" t="str">
        <f>B2</f>
        <v>Групповой этап</v>
      </c>
      <c r="H107" s="1199"/>
      <c r="I107" s="955"/>
      <c r="J107" s="956"/>
      <c r="L107" s="1199" t="str">
        <f>B2</f>
        <v>Групповой этап</v>
      </c>
      <c r="M107" s="1199"/>
      <c r="N107" s="961"/>
    </row>
    <row r="108" spans="1:14" x14ac:dyDescent="0.3">
      <c r="B108" s="957" t="s">
        <v>11956</v>
      </c>
      <c r="C108" s="958">
        <f>C3</f>
        <v>1</v>
      </c>
      <c r="D108" s="962"/>
      <c r="E108" s="963"/>
      <c r="G108" s="957" t="s">
        <v>11956</v>
      </c>
      <c r="H108" s="958">
        <f>C3</f>
        <v>1</v>
      </c>
      <c r="I108" s="962"/>
      <c r="J108" s="963"/>
      <c r="L108" s="957" t="s">
        <v>11956</v>
      </c>
      <c r="M108" s="958">
        <f>C3</f>
        <v>1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'гр (1-4)'!C9</f>
        <v>ДЯГЕЛЕВ Артем</v>
      </c>
      <c r="C110" s="960" t="str">
        <f>'гр (1-4)'!C7</f>
        <v>КУРОЧКИН Егор</v>
      </c>
      <c r="D110" s="961"/>
      <c r="E110" s="966"/>
      <c r="G110" s="960" t="str">
        <f>'гр (1-4)'!C17</f>
        <v>КОРОТКОВ Степан</v>
      </c>
      <c r="H110" s="960" t="str">
        <f>'гр (1-4)'!C15</f>
        <v>ГРИЦЕВИЧ Станислав</v>
      </c>
      <c r="I110" s="961"/>
      <c r="J110" s="966"/>
      <c r="L110" s="960" t="str">
        <f>'гр (1-4)'!C19</f>
        <v>КУЧЕРЕНКО Иван</v>
      </c>
      <c r="M110" s="960" t="str">
        <f>'гр (1-4)'!C13</f>
        <v>АНДРОНОВ Федор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Групповой этап</v>
      </c>
      <c r="C122" s="1199"/>
      <c r="D122" s="955"/>
      <c r="E122" s="956"/>
      <c r="G122" s="1199" t="str">
        <f>B2</f>
        <v>Групповой этап</v>
      </c>
      <c r="H122" s="1199"/>
      <c r="I122" s="955"/>
      <c r="J122" s="956"/>
      <c r="L122" s="1199" t="str">
        <f>B2</f>
        <v>Групповой этап</v>
      </c>
      <c r="M122" s="1199"/>
      <c r="N122" s="961"/>
    </row>
    <row r="123" spans="1:14" x14ac:dyDescent="0.3">
      <c r="B123" s="957" t="s">
        <v>11956</v>
      </c>
      <c r="C123" s="958">
        <f>C3</f>
        <v>1</v>
      </c>
      <c r="D123" s="962"/>
      <c r="E123" s="963"/>
      <c r="G123" s="957" t="s">
        <v>11956</v>
      </c>
      <c r="H123" s="958">
        <f>C3</f>
        <v>1</v>
      </c>
      <c r="I123" s="962"/>
      <c r="J123" s="963"/>
      <c r="L123" s="957" t="s">
        <v>11956</v>
      </c>
      <c r="M123" s="958">
        <f>C3</f>
        <v>1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'гр (1-4)'!C5</f>
        <v>БОКОВ Максим Андреевич</v>
      </c>
      <c r="C125" s="960" t="str">
        <f>'гр (1-4)'!C7</f>
        <v>КУРОЧКИН Егор</v>
      </c>
      <c r="D125" s="961"/>
      <c r="E125" s="966"/>
      <c r="G125" s="960" t="str">
        <f>'гр (1-4)'!C9</f>
        <v>ДЯГЕЛЕВ Артем</v>
      </c>
      <c r="H125" s="960" t="str">
        <f>'гр (1-4)'!C11</f>
        <v>АКИНьЩИКОВ Ярослав</v>
      </c>
      <c r="I125" s="961"/>
      <c r="J125" s="966"/>
      <c r="L125" s="960" t="str">
        <f>'гр (1-4)'!C13</f>
        <v>АНДРОНОВ Федор</v>
      </c>
      <c r="M125" s="960" t="str">
        <f>'гр (1-4)'!C15</f>
        <v>ГРИЦЕВИЧ Станислав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Групповой этап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 t="s">
        <v>11956</v>
      </c>
      <c r="C138" s="975">
        <f>C3</f>
        <v>1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'гр (1-4)'!C17</f>
        <v>КОРОТКОВ Степан</v>
      </c>
      <c r="C140" s="960" t="str">
        <f>'гр (1-4)'!C19</f>
        <v>КУЧЕРЕНКО Иван</v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r:id="rId1"/>
  <rowBreaks count="4" manualBreakCount="4">
    <brk id="30" max="16383" man="1"/>
    <brk id="60" max="16383" man="1"/>
    <brk id="90" max="16383" man="1"/>
    <brk id="120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AN52"/>
  <sheetViews>
    <sheetView view="pageBreakPreview" topLeftCell="K22" zoomScaleNormal="100" zoomScaleSheetLayoutView="100" workbookViewId="0">
      <selection activeCell="AJ39" sqref="AJ39"/>
    </sheetView>
  </sheetViews>
  <sheetFormatPr defaultColWidth="9.33203125" defaultRowHeight="12.75" outlineLevelCol="1" x14ac:dyDescent="0.2"/>
  <cols>
    <col min="1" max="1" width="3.33203125" style="595" customWidth="1"/>
    <col min="2" max="2" width="5.33203125" style="595" hidden="1" customWidth="1" outlineLevel="1"/>
    <col min="3" max="3" width="24" style="589" customWidth="1" collapsed="1"/>
    <col min="4" max="4" width="9" style="589" customWidth="1"/>
    <col min="5" max="5" width="6.5" style="589" hidden="1" customWidth="1" outlineLevel="1"/>
    <col min="6" max="6" width="23.33203125" style="589" customWidth="1" collapsed="1"/>
    <col min="7" max="7" width="1.5" style="589" hidden="1" customWidth="1" outlineLevel="1"/>
    <col min="8" max="8" width="5" style="589" customWidth="1" collapsed="1"/>
    <col min="9" max="9" width="18.33203125" style="589" customWidth="1"/>
    <col min="10" max="10" width="5.5" style="589" hidden="1" customWidth="1" outlineLevel="1"/>
    <col min="11" max="11" width="23.33203125" style="589" customWidth="1" collapsed="1"/>
    <col min="12" max="12" width="5.33203125" style="589" hidden="1" customWidth="1" outlineLevel="1"/>
    <col min="13" max="13" width="19.5" style="589" customWidth="1" collapsed="1"/>
    <col min="14" max="14" width="4.83203125" style="589" customWidth="1"/>
    <col min="15" max="15" width="3.1640625" style="589" customWidth="1"/>
    <col min="16" max="16" width="4.6640625" style="589" hidden="1" customWidth="1" outlineLevel="1"/>
    <col min="17" max="17" width="17.6640625" style="589" customWidth="1" collapsed="1"/>
    <col min="18" max="18" width="4.1640625" style="589" customWidth="1"/>
    <col min="19" max="19" width="4.33203125" style="589" hidden="1" customWidth="1" outlineLevel="1"/>
    <col min="20" max="20" width="18.5" style="589" customWidth="1" collapsed="1"/>
    <col min="21" max="21" width="4.5" style="589" hidden="1" customWidth="1" outlineLevel="1"/>
    <col min="22" max="22" width="17.83203125" style="589" customWidth="1" collapsed="1"/>
    <col min="23" max="23" width="4.5" style="589" customWidth="1"/>
    <col min="24" max="24" width="4.5" style="589" hidden="1" customWidth="1" outlineLevel="1"/>
    <col min="25" max="25" width="18.33203125" style="589" customWidth="1" collapsed="1"/>
    <col min="26" max="26" width="3.83203125" style="589" customWidth="1"/>
    <col min="27" max="27" width="3.6640625" style="589" hidden="1" customWidth="1" outlineLevel="1"/>
    <col min="28" max="28" width="17.33203125" style="589" customWidth="1" collapsed="1"/>
    <col min="29" max="29" width="4.5" style="589" customWidth="1"/>
    <col min="30" max="30" width="4.1640625" style="589" hidden="1" customWidth="1" outlineLevel="1"/>
    <col min="31" max="31" width="18.83203125" style="589" customWidth="1" collapsed="1"/>
    <col min="32" max="32" width="4.5" style="631" customWidth="1"/>
    <col min="33" max="33" width="3.5" style="589" customWidth="1"/>
    <col min="34" max="34" width="9.33203125" style="589"/>
    <col min="35" max="16384" width="9.33203125" style="571"/>
  </cols>
  <sheetData>
    <row r="1" spans="1:40" ht="12" customHeight="1" x14ac:dyDescent="0.25">
      <c r="A1" s="1292"/>
      <c r="B1" s="1292"/>
      <c r="C1" s="1292"/>
      <c r="D1" s="1292"/>
      <c r="E1" s="1292"/>
      <c r="F1" s="1292"/>
      <c r="G1" s="1292"/>
      <c r="H1" s="1292"/>
      <c r="I1" s="1292"/>
      <c r="J1" s="1292"/>
      <c r="K1" s="1292"/>
      <c r="L1" s="1292"/>
      <c r="M1" s="1292"/>
      <c r="N1" s="1292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2"/>
      <c r="AG1" s="591"/>
    </row>
    <row r="2" spans="1:40" ht="15" customHeight="1" x14ac:dyDescent="0.3">
      <c r="A2" s="1293" t="str">
        <f>'Списки участников'!A1</f>
        <v>IV Мемориал Заслуженного тренера России В.А.Воробьева</v>
      </c>
      <c r="B2" s="1293"/>
      <c r="C2" s="1293"/>
      <c r="D2" s="1293"/>
      <c r="E2" s="1293"/>
      <c r="F2" s="1293"/>
      <c r="G2" s="1293"/>
      <c r="H2" s="1293"/>
      <c r="I2" s="1293"/>
      <c r="J2" s="1293"/>
      <c r="K2" s="1293"/>
      <c r="L2" s="1293"/>
      <c r="M2" s="1293"/>
      <c r="N2" s="1293"/>
      <c r="O2" s="593"/>
      <c r="P2" s="593"/>
      <c r="Q2" s="593"/>
      <c r="R2" s="593"/>
      <c r="S2" s="593"/>
      <c r="T2" s="593"/>
      <c r="U2" s="593"/>
      <c r="V2" s="593"/>
      <c r="W2" s="593"/>
      <c r="AA2" s="593"/>
      <c r="AB2" s="594"/>
      <c r="AC2" s="594"/>
      <c r="AD2" s="593"/>
      <c r="AE2" s="593"/>
      <c r="AF2" s="592"/>
      <c r="AG2" s="593"/>
    </row>
    <row r="3" spans="1:40" ht="15.75" customHeight="1" x14ac:dyDescent="0.25">
      <c r="C3" s="1296" t="str">
        <f>'Списки участников'!A2</f>
        <v>среди юношей и девушек 2002 г.р. и моложе</v>
      </c>
      <c r="D3" s="1296"/>
      <c r="E3" s="1296"/>
      <c r="F3" s="1296"/>
      <c r="G3" s="1296"/>
      <c r="H3" s="1296"/>
      <c r="I3" s="1296"/>
      <c r="J3" s="1296"/>
      <c r="K3" s="1296"/>
      <c r="L3" s="1296"/>
      <c r="M3" s="1296"/>
      <c r="O3" s="593"/>
      <c r="P3" s="593"/>
      <c r="Q3" s="593"/>
      <c r="R3" s="593"/>
      <c r="S3" s="593"/>
      <c r="T3" s="593"/>
      <c r="U3" s="593"/>
      <c r="V3" s="593"/>
      <c r="W3" s="593"/>
      <c r="AA3" s="593"/>
      <c r="AB3" s="593"/>
      <c r="AC3" s="593"/>
      <c r="AD3" s="593"/>
      <c r="AE3" s="593"/>
      <c r="AF3" s="592"/>
      <c r="AG3" s="593"/>
    </row>
    <row r="4" spans="1:40" ht="21" customHeight="1" x14ac:dyDescent="0.25">
      <c r="A4" s="596"/>
      <c r="B4" s="1297" t="str">
        <f>'Списки участников'!C3</f>
        <v>26-29 мая 2016 г.</v>
      </c>
      <c r="C4" s="1297"/>
      <c r="D4" s="596"/>
      <c r="E4" s="596"/>
      <c r="F4" s="918" t="s">
        <v>2601</v>
      </c>
      <c r="G4" s="596"/>
      <c r="H4" s="904" t="s">
        <v>10</v>
      </c>
      <c r="I4" s="596" t="s">
        <v>2602</v>
      </c>
      <c r="J4" s="596"/>
      <c r="K4" s="596"/>
      <c r="L4" s="1298" t="str">
        <f>'Списки участников'!I3</f>
        <v>г. Москва</v>
      </c>
      <c r="M4" s="1298"/>
      <c r="N4" s="1298"/>
      <c r="O4" s="593"/>
      <c r="P4" s="593"/>
      <c r="Q4" s="593"/>
      <c r="R4" s="593"/>
      <c r="S4" s="593"/>
      <c r="T4" s="593"/>
      <c r="U4" s="593"/>
      <c r="V4" s="593"/>
      <c r="W4" s="597" t="s">
        <v>933</v>
      </c>
      <c r="X4" s="598" t="str">
        <f>IF(J17="","",IF(J17=G13,G21,IF(J17=G21,G13)))</f>
        <v/>
      </c>
      <c r="Y4" s="599" t="str">
        <f>IF(X4="",X4,VLOOKUP(X4,'Списки участников'!$A:$P,12,FALSE))</f>
        <v/>
      </c>
      <c r="Z4" s="600"/>
      <c r="AA4" s="593"/>
      <c r="AB4" s="593"/>
      <c r="AC4" s="593"/>
      <c r="AD4" s="593"/>
      <c r="AE4" s="593"/>
      <c r="AF4" s="592"/>
      <c r="AG4" s="593"/>
    </row>
    <row r="5" spans="1:40" ht="15.75" customHeight="1" x14ac:dyDescent="0.2">
      <c r="A5" s="601"/>
      <c r="B5" s="601"/>
      <c r="C5" s="601"/>
      <c r="D5" s="601"/>
      <c r="E5" s="601"/>
      <c r="F5" s="601"/>
      <c r="G5" s="601"/>
      <c r="H5" s="601"/>
      <c r="I5" s="601"/>
      <c r="J5" s="601"/>
      <c r="K5" s="601"/>
      <c r="L5" s="601"/>
      <c r="M5" s="601"/>
      <c r="N5" s="590"/>
      <c r="O5" s="593"/>
      <c r="P5" s="593"/>
      <c r="Q5" s="593"/>
      <c r="R5" s="602" t="s">
        <v>931</v>
      </c>
      <c r="S5" s="598" t="str">
        <f>IF(G37="","",IF(G37=E35,E39,IF(G37=E39,E35)))</f>
        <v/>
      </c>
      <c r="T5" s="599" t="str">
        <f>IF(S5="",S5,VLOOKUP(S5,'Списки участников'!$A:$P,12,FALSE))</f>
        <v/>
      </c>
      <c r="U5" s="593"/>
      <c r="V5" s="593"/>
      <c r="W5" s="593"/>
      <c r="X5" s="603"/>
      <c r="Y5" s="603"/>
      <c r="Z5" s="604"/>
      <c r="AA5" s="593"/>
      <c r="AB5" s="593"/>
      <c r="AC5" s="593"/>
      <c r="AD5" s="593"/>
      <c r="AE5" s="593"/>
      <c r="AF5" s="592"/>
      <c r="AG5" s="593"/>
    </row>
    <row r="6" spans="1:40" ht="15.75" customHeight="1" x14ac:dyDescent="0.35">
      <c r="A6" s="605"/>
      <c r="B6" s="605"/>
      <c r="C6" s="605"/>
      <c r="D6" s="605"/>
      <c r="E6" s="605"/>
      <c r="F6" s="605"/>
      <c r="G6" s="605"/>
      <c r="H6" s="605"/>
      <c r="I6" s="744" t="str">
        <f>'Списки участников'!D6</f>
        <v>ЮНОШИ</v>
      </c>
      <c r="J6" s="605"/>
      <c r="K6" s="605"/>
      <c r="L6" s="605"/>
      <c r="M6" s="605"/>
      <c r="O6" s="593" t="s">
        <v>916</v>
      </c>
      <c r="P6" s="598" t="str">
        <f>IF(E11="","",IF(E11=B10,B12,IF(E11=B12,B10)))</f>
        <v/>
      </c>
      <c r="Q6" s="599" t="str">
        <f>IF(P6="",P6,VLOOKUP(P6,'Списки участников'!$A:$P,12,FALSE))</f>
        <v/>
      </c>
      <c r="R6" s="599"/>
      <c r="S6" s="603"/>
      <c r="T6" s="606" t="s">
        <v>19</v>
      </c>
      <c r="U6" s="607"/>
      <c r="V6" s="599" t="str">
        <f>IF(U6="","",VLOOKUP(U6,'Списки участников'!$A:$P,12,FALSE))</f>
        <v/>
      </c>
      <c r="W6" s="608"/>
      <c r="X6" s="594"/>
      <c r="Y6" s="594"/>
      <c r="Z6" s="609" t="s">
        <v>33</v>
      </c>
      <c r="AA6" s="610"/>
      <c r="AB6" s="599" t="str">
        <f>IF(AA6="","",VLOOKUP(AA6,'Списки участников'!$A:$P,12,FALSE))</f>
        <v/>
      </c>
      <c r="AC6" s="600"/>
      <c r="AD6" s="611"/>
      <c r="AE6" s="593"/>
      <c r="AF6" s="592"/>
      <c r="AG6" s="593"/>
    </row>
    <row r="7" spans="1:40" ht="15.75" customHeight="1" x14ac:dyDescent="0.2">
      <c r="A7" s="612"/>
      <c r="B7" s="612"/>
      <c r="C7" s="612"/>
      <c r="D7" s="612"/>
      <c r="E7" s="612"/>
      <c r="F7" s="612"/>
      <c r="G7" s="612"/>
      <c r="H7" s="612"/>
      <c r="I7" s="612"/>
      <c r="J7" s="612"/>
      <c r="K7" s="612"/>
      <c r="L7" s="612"/>
      <c r="M7" s="612"/>
      <c r="O7" s="603"/>
      <c r="P7" s="594"/>
      <c r="Q7" s="613"/>
      <c r="R7" s="614">
        <v>16</v>
      </c>
      <c r="S7" s="615"/>
      <c r="T7" s="616" t="str">
        <f>IF(S7="","",VLOOKUP(S7,'Списки участников'!$A:$P,12,FALSE))</f>
        <v/>
      </c>
      <c r="U7" s="617"/>
      <c r="V7" s="603"/>
      <c r="W7" s="618"/>
      <c r="X7" s="594"/>
      <c r="Y7" s="619"/>
      <c r="Z7" s="606"/>
      <c r="AA7" s="603"/>
      <c r="AB7" s="620"/>
      <c r="AC7" s="618"/>
      <c r="AD7" s="621"/>
      <c r="AE7" s="593"/>
      <c r="AF7" s="592"/>
      <c r="AG7" s="593"/>
    </row>
    <row r="8" spans="1:40" ht="15.75" customHeight="1" x14ac:dyDescent="0.2">
      <c r="A8" s="622"/>
      <c r="B8" s="622"/>
      <c r="C8" s="590"/>
      <c r="D8" s="590"/>
      <c r="E8" s="590"/>
      <c r="F8" s="590"/>
      <c r="G8" s="590"/>
      <c r="H8" s="590"/>
      <c r="I8" s="590"/>
      <c r="J8" s="590"/>
      <c r="K8" s="590"/>
      <c r="L8" s="590"/>
      <c r="M8" s="623"/>
      <c r="N8" s="590"/>
      <c r="O8" s="624" t="s">
        <v>918</v>
      </c>
      <c r="P8" s="598" t="str">
        <f>IF(E15="","",IF(E15=B14,B16,IF(E15=B16,B14)))</f>
        <v/>
      </c>
      <c r="Q8" s="599" t="str">
        <f>IF(P8="",P8,VLOOKUP(P8,'Списки участников'!$A:$P,12,FALSE))</f>
        <v/>
      </c>
      <c r="R8" s="616"/>
      <c r="S8" s="625"/>
      <c r="T8" s="626"/>
      <c r="U8" s="627"/>
      <c r="V8" s="594"/>
      <c r="W8" s="628" t="s">
        <v>9</v>
      </c>
      <c r="X8" s="629"/>
      <c r="Y8" s="599" t="str">
        <f>IF(X8="","",VLOOKUP(X8,'Списки участников'!$A:$P,12,FALSE))</f>
        <v/>
      </c>
      <c r="Z8" s="616"/>
      <c r="AA8" s="594"/>
      <c r="AB8" s="594"/>
      <c r="AC8" s="630"/>
      <c r="AD8" s="594"/>
      <c r="AE8" s="593"/>
      <c r="AG8" s="632"/>
    </row>
    <row r="9" spans="1:40" ht="15.75" customHeight="1" x14ac:dyDescent="0.2">
      <c r="A9" s="622"/>
      <c r="B9" s="622"/>
      <c r="C9" s="590"/>
      <c r="D9" s="590"/>
      <c r="E9" s="590"/>
      <c r="F9" s="590"/>
      <c r="G9" s="590"/>
      <c r="H9" s="590"/>
      <c r="I9" s="590"/>
      <c r="J9" s="623"/>
      <c r="K9" s="590"/>
      <c r="L9" s="590"/>
      <c r="M9" s="590"/>
      <c r="N9" s="590"/>
      <c r="O9" s="593"/>
      <c r="P9" s="593"/>
      <c r="Q9" s="633"/>
      <c r="R9" s="634" t="s">
        <v>2</v>
      </c>
      <c r="S9" s="598" t="str">
        <f>IF(G29="","",IF(G29=E27,E31,IF(G29=E31,E27)))</f>
        <v/>
      </c>
      <c r="T9" s="599" t="str">
        <f>IF(S9="",S9,VLOOKUP(S9,'Списки участников'!$A:$P,12,FALSE))</f>
        <v/>
      </c>
      <c r="U9" s="627"/>
      <c r="V9" s="594"/>
      <c r="W9" s="606"/>
      <c r="X9" s="593"/>
      <c r="Y9" s="626"/>
      <c r="Z9" s="626"/>
      <c r="AA9" s="594"/>
      <c r="AB9" s="594"/>
      <c r="AC9" s="630"/>
      <c r="AD9" s="594"/>
      <c r="AE9" s="593"/>
      <c r="AF9" s="592"/>
      <c r="AG9" s="593"/>
      <c r="AI9" s="635"/>
    </row>
    <row r="10" spans="1:40" ht="17.100000000000001" customHeight="1" x14ac:dyDescent="0.2">
      <c r="A10" s="636">
        <v>1</v>
      </c>
      <c r="B10" s="637"/>
      <c r="C10" s="599" t="str">
        <f>IF(B10="","",VLOOKUP(B10,'Списки участников'!$A:$P,3,FALSE))</f>
        <v/>
      </c>
      <c r="D10" s="638" t="str">
        <f>IF(B10="","",VLOOKUP(B10,'Списки участников'!A:L,6,FALSE))</f>
        <v/>
      </c>
      <c r="E10" s="639"/>
      <c r="F10" s="639"/>
      <c r="G10" s="639"/>
      <c r="H10" s="639"/>
      <c r="I10" s="639"/>
      <c r="J10" s="639"/>
      <c r="K10" s="640"/>
      <c r="L10" s="639"/>
      <c r="M10" s="639"/>
      <c r="N10" s="639"/>
      <c r="O10" s="593" t="s">
        <v>919</v>
      </c>
      <c r="P10" s="598" t="str">
        <f>IF(E19="","",IF(E19=B18,B20,IF(E19=B20,B18)))</f>
        <v/>
      </c>
      <c r="Q10" s="599" t="str">
        <f>IF(P10="",P10,VLOOKUP(P10,'Списки участников'!$A:$P,12,FALSE))</f>
        <v/>
      </c>
      <c r="R10" s="641"/>
      <c r="S10" s="617"/>
      <c r="T10" s="606" t="s">
        <v>36</v>
      </c>
      <c r="U10" s="615"/>
      <c r="V10" s="599" t="str">
        <f>IF(U10="","",VLOOKUP(U10,'Списки участников'!$A:$P,12,FALSE))</f>
        <v/>
      </c>
      <c r="W10" s="642"/>
      <c r="X10" s="593"/>
      <c r="Y10" s="643"/>
      <c r="Z10" s="643"/>
      <c r="AA10" s="594"/>
      <c r="AB10" s="594"/>
      <c r="AC10" s="609" t="s">
        <v>26</v>
      </c>
      <c r="AD10" s="629"/>
      <c r="AE10" s="599" t="str">
        <f>IF(AD10="","",VLOOKUP(AD10,'Списки участников'!$A:$P,12,FALSE))</f>
        <v/>
      </c>
      <c r="AF10" s="922" t="str">
        <f>CONCATENATE(H4+2," ","м")</f>
        <v>3 м</v>
      </c>
      <c r="AG10" s="645"/>
    </row>
    <row r="11" spans="1:40" ht="17.100000000000001" customHeight="1" x14ac:dyDescent="0.25">
      <c r="A11" s="646"/>
      <c r="B11" s="646"/>
      <c r="C11" s="647"/>
      <c r="D11" s="648">
        <v>1</v>
      </c>
      <c r="E11" s="649"/>
      <c r="F11" s="599" t="str">
        <f>IF(E11="","",VLOOKUP(E11,'Списки участников'!$A:$P,12,FALSE))</f>
        <v/>
      </c>
      <c r="G11" s="639"/>
      <c r="H11" s="639"/>
      <c r="I11" s="639"/>
      <c r="J11" s="639"/>
      <c r="K11" s="639"/>
      <c r="L11" s="640"/>
      <c r="M11" s="639"/>
      <c r="N11" s="639"/>
      <c r="O11" s="603"/>
      <c r="P11" s="594"/>
      <c r="Q11" s="613"/>
      <c r="R11" s="614">
        <v>17</v>
      </c>
      <c r="S11" s="615"/>
      <c r="T11" s="616" t="str">
        <f>IF(S11="","",VLOOKUP(S11,'Списки участников'!$A:$P,12,FALSE))</f>
        <v/>
      </c>
      <c r="U11" s="625"/>
      <c r="V11" s="593"/>
      <c r="W11" s="626"/>
      <c r="X11" s="593"/>
      <c r="Y11" s="643"/>
      <c r="Z11" s="643"/>
      <c r="AA11" s="594"/>
      <c r="AB11" s="619"/>
      <c r="AC11" s="606"/>
      <c r="AD11" s="619"/>
      <c r="AE11" s="650" t="str">
        <f>IF(AD10="","",VLOOKUP(AD10,'Списки участников'!A:L,6,FALSE))</f>
        <v/>
      </c>
      <c r="AF11" s="923"/>
      <c r="AG11" s="621"/>
    </row>
    <row r="12" spans="1:40" ht="17.100000000000001" customHeight="1" x14ac:dyDescent="0.2">
      <c r="A12" s="651">
        <v>2</v>
      </c>
      <c r="B12" s="652"/>
      <c r="C12" s="599" t="str">
        <f>IF(B12="","",VLOOKUP(B12,'Списки участников'!$A:$P,3,FALSE))</f>
        <v/>
      </c>
      <c r="D12" s="919" t="str">
        <f>IF(B12="","",VLOOKUP(B12,'Списки участников'!A:L,6,FALSE))</f>
        <v/>
      </c>
      <c r="E12" s="653"/>
      <c r="F12" s="618"/>
      <c r="G12" s="593"/>
      <c r="H12" s="593"/>
      <c r="I12" s="593"/>
      <c r="J12" s="593"/>
      <c r="K12" s="593"/>
      <c r="L12" s="593"/>
      <c r="M12" s="593"/>
      <c r="N12" s="593"/>
      <c r="O12" s="624" t="s">
        <v>922</v>
      </c>
      <c r="P12" s="598" t="str">
        <f>IF(E23="","",IF(E23=B22,B24,IF(E23=B24,B22)))</f>
        <v/>
      </c>
      <c r="Q12" s="599" t="str">
        <f>IF(P12="",P12,VLOOKUP(P12,'Списки участников'!$A:$P,12,FALSE))</f>
        <v/>
      </c>
      <c r="R12" s="616"/>
      <c r="S12" s="625"/>
      <c r="T12" s="626"/>
      <c r="U12" s="625"/>
      <c r="V12" s="593"/>
      <c r="W12" s="654" t="s">
        <v>936</v>
      </c>
      <c r="X12" s="598" t="str">
        <f>IF(J33="","",IF(J33=G37,G29,IF(J33=G29,G37)))</f>
        <v/>
      </c>
      <c r="Y12" s="599" t="str">
        <f>IF(X12="",X12,VLOOKUP(X12,'Списки участников'!$A:$P,12,FALSE))</f>
        <v/>
      </c>
      <c r="Z12" s="600"/>
      <c r="AA12" s="594"/>
      <c r="AB12" s="594"/>
      <c r="AC12" s="630"/>
      <c r="AD12" s="594"/>
      <c r="AE12" s="593"/>
      <c r="AF12" s="924"/>
      <c r="AG12" s="593"/>
      <c r="AH12" s="591"/>
      <c r="AI12" s="655"/>
      <c r="AJ12" s="655"/>
      <c r="AK12" s="655"/>
      <c r="AL12" s="655"/>
      <c r="AM12" s="655"/>
      <c r="AN12" s="655"/>
    </row>
    <row r="13" spans="1:40" ht="17.100000000000001" customHeight="1" x14ac:dyDescent="0.25">
      <c r="A13" s="636"/>
      <c r="B13" s="636"/>
      <c r="C13" s="656"/>
      <c r="D13" s="656"/>
      <c r="E13" s="621"/>
      <c r="F13" s="606">
        <v>9</v>
      </c>
      <c r="G13" s="657"/>
      <c r="H13" s="920"/>
      <c r="I13" s="599" t="str">
        <f>IF(G13="","",VLOOKUP(G13,'Списки участников'!$A:$P,12,FALSE))</f>
        <v/>
      </c>
      <c r="J13" s="593"/>
      <c r="K13" s="593"/>
      <c r="L13" s="593"/>
      <c r="M13" s="593"/>
      <c r="N13" s="593"/>
      <c r="O13" s="593"/>
      <c r="P13" s="593"/>
      <c r="Q13" s="658"/>
      <c r="R13" s="634" t="s">
        <v>929</v>
      </c>
      <c r="S13" s="598" t="str">
        <f>IF(G21="","",IF(G21=E19,E23,IF(G21=E23,E19)))</f>
        <v/>
      </c>
      <c r="T13" s="599" t="str">
        <f>IF(S13="",S13,VLOOKUP(S13,'Списки участников'!$A:$P,12,FALSE))</f>
        <v/>
      </c>
      <c r="U13" s="625"/>
      <c r="V13" s="593"/>
      <c r="W13" s="643"/>
      <c r="X13" s="603"/>
      <c r="Y13" s="613"/>
      <c r="Z13" s="659"/>
      <c r="AA13" s="594"/>
      <c r="AB13" s="594"/>
      <c r="AC13" s="630"/>
      <c r="AD13" s="594"/>
      <c r="AE13" s="593"/>
      <c r="AF13" s="924"/>
      <c r="AG13" s="593"/>
      <c r="AH13" s="591"/>
      <c r="AI13" s="655"/>
      <c r="AJ13" s="655"/>
      <c r="AK13" s="655"/>
      <c r="AL13" s="655"/>
      <c r="AM13" s="655"/>
      <c r="AN13" s="655"/>
    </row>
    <row r="14" spans="1:40" ht="17.100000000000001" customHeight="1" x14ac:dyDescent="0.25">
      <c r="A14" s="636">
        <v>3</v>
      </c>
      <c r="B14" s="637"/>
      <c r="C14" s="599" t="str">
        <f>IF(B14="","",VLOOKUP(B14,'Списки участников'!$A:$P,3,FALSE))</f>
        <v/>
      </c>
      <c r="D14" s="638" t="str">
        <f>IF(B14="","",VLOOKUP(B14,'Списки участников'!A:L,6,FALSE))</f>
        <v/>
      </c>
      <c r="E14" s="621"/>
      <c r="F14" s="660"/>
      <c r="G14" s="653"/>
      <c r="H14" s="653"/>
      <c r="I14" s="618"/>
      <c r="J14" s="593"/>
      <c r="K14" s="593"/>
      <c r="L14" s="593"/>
      <c r="M14" s="593"/>
      <c r="N14" s="593"/>
      <c r="O14" s="593" t="s">
        <v>923</v>
      </c>
      <c r="P14" s="598" t="str">
        <f>IF(E27="","",IF(E27=B26,B28,IF(E27=B28,B26)))</f>
        <v/>
      </c>
      <c r="Q14" s="599" t="str">
        <f>IF(P14="",P14,VLOOKUP(P14,'Списки участников'!$A:$P,12,FALSE))</f>
        <v/>
      </c>
      <c r="R14" s="641"/>
      <c r="S14" s="617"/>
      <c r="T14" s="659" t="s">
        <v>27</v>
      </c>
      <c r="U14" s="607"/>
      <c r="V14" s="599" t="str">
        <f>IF(U14="","",VLOOKUP(U14,'Списки участников'!$A:$P,12,FALSE))</f>
        <v/>
      </c>
      <c r="W14" s="608"/>
      <c r="X14" s="594"/>
      <c r="Y14" s="619"/>
      <c r="Z14" s="609" t="s">
        <v>39</v>
      </c>
      <c r="AA14" s="629"/>
      <c r="AB14" s="599" t="str">
        <f>IF(AA14="","",VLOOKUP(AA14,'Списки участников'!$A:$P,12,FALSE))</f>
        <v/>
      </c>
      <c r="AC14" s="616"/>
      <c r="AD14" s="611"/>
      <c r="AE14" s="593"/>
      <c r="AF14" s="924"/>
      <c r="AG14" s="593"/>
      <c r="AH14" s="591"/>
      <c r="AI14" s="655"/>
      <c r="AJ14" s="655"/>
      <c r="AK14" s="655"/>
      <c r="AL14" s="655"/>
      <c r="AM14" s="655"/>
      <c r="AN14" s="655"/>
    </row>
    <row r="15" spans="1:40" ht="17.100000000000001" customHeight="1" x14ac:dyDescent="0.25">
      <c r="A15" s="646"/>
      <c r="B15" s="646"/>
      <c r="C15" s="661"/>
      <c r="D15" s="648">
        <v>2</v>
      </c>
      <c r="E15" s="649"/>
      <c r="F15" s="616" t="str">
        <f>IF(E15="","",VLOOKUP(E15,'Списки участников'!$A:$P,12,FALSE))</f>
        <v/>
      </c>
      <c r="G15" s="594"/>
      <c r="H15" s="594"/>
      <c r="I15" s="630"/>
      <c r="J15" s="593"/>
      <c r="K15" s="593"/>
      <c r="L15" s="593"/>
      <c r="M15" s="593"/>
      <c r="N15" s="593"/>
      <c r="O15" s="603"/>
      <c r="P15" s="603"/>
      <c r="Q15" s="613"/>
      <c r="R15" s="614">
        <v>18</v>
      </c>
      <c r="S15" s="615"/>
      <c r="T15" s="616" t="str">
        <f>IF(S15="","",VLOOKUP(S15,'Списки участников'!$A:$P,12,FALSE))</f>
        <v/>
      </c>
      <c r="U15" s="617"/>
      <c r="V15" s="603"/>
      <c r="W15" s="618"/>
      <c r="X15" s="594"/>
      <c r="Y15" s="619"/>
      <c r="Z15" s="606"/>
      <c r="AA15" s="593"/>
      <c r="AB15" s="626"/>
      <c r="AC15" s="626"/>
      <c r="AD15" s="632"/>
      <c r="AE15" s="593"/>
      <c r="AF15" s="924"/>
      <c r="AG15" s="632"/>
      <c r="AH15" s="591"/>
      <c r="AI15" s="655"/>
      <c r="AJ15" s="655"/>
      <c r="AK15" s="655"/>
      <c r="AL15" s="655"/>
      <c r="AM15" s="655"/>
      <c r="AN15" s="655"/>
    </row>
    <row r="16" spans="1:40" ht="17.100000000000001" customHeight="1" x14ac:dyDescent="0.2">
      <c r="A16" s="651">
        <v>4</v>
      </c>
      <c r="B16" s="652"/>
      <c r="C16" s="599" t="str">
        <f>IF(B16="","",VLOOKUP(B16,'Списки участников'!$A:$P,3,FALSE))</f>
        <v/>
      </c>
      <c r="D16" s="919" t="str">
        <f>IF(B16="","",VLOOKUP(B16,'Списки участников'!A:L,6,FALSE))</f>
        <v/>
      </c>
      <c r="E16" s="632"/>
      <c r="F16" s="626"/>
      <c r="G16" s="594"/>
      <c r="H16" s="594"/>
      <c r="I16" s="630"/>
      <c r="J16" s="593"/>
      <c r="K16" s="593"/>
      <c r="L16" s="593"/>
      <c r="M16" s="593"/>
      <c r="N16" s="593"/>
      <c r="O16" s="624" t="s">
        <v>925</v>
      </c>
      <c r="P16" s="598" t="str">
        <f>IF(E31="","",IF(E31=B30,B32,IF(E31=B32,B30)))</f>
        <v/>
      </c>
      <c r="Q16" s="599" t="str">
        <f>IF(P16="",P16,VLOOKUP(P16,'Списки участников'!$A:$P,12,FALSE))</f>
        <v/>
      </c>
      <c r="R16" s="616"/>
      <c r="S16" s="625"/>
      <c r="T16" s="626"/>
      <c r="U16" s="627"/>
      <c r="V16" s="594"/>
      <c r="W16" s="628" t="s">
        <v>18</v>
      </c>
      <c r="X16" s="629"/>
      <c r="Y16" s="599" t="str">
        <f>IF(X16="","",VLOOKUP(X16,'Списки участников'!$A:$P,12,FALSE))</f>
        <v/>
      </c>
      <c r="Z16" s="616"/>
      <c r="AA16" s="593"/>
      <c r="AB16" s="593"/>
      <c r="AC16" s="593"/>
      <c r="AD16" s="593"/>
      <c r="AE16" s="593"/>
      <c r="AF16" s="924"/>
      <c r="AG16" s="593"/>
      <c r="AH16" s="591"/>
      <c r="AI16" s="655"/>
      <c r="AJ16" s="655"/>
      <c r="AK16" s="655"/>
      <c r="AL16" s="655"/>
      <c r="AM16" s="655"/>
      <c r="AN16" s="655"/>
    </row>
    <row r="17" spans="1:40" ht="17.100000000000001" customHeight="1" x14ac:dyDescent="0.25">
      <c r="A17" s="636"/>
      <c r="B17" s="636"/>
      <c r="C17" s="656"/>
      <c r="D17" s="656"/>
      <c r="E17" s="632"/>
      <c r="F17" s="643"/>
      <c r="G17" s="594"/>
      <c r="H17" s="594"/>
      <c r="I17" s="606">
        <v>13</v>
      </c>
      <c r="J17" s="662"/>
      <c r="K17" s="599" t="str">
        <f>IF(J17="","",VLOOKUP(J17,'Списки участников'!$A:$P,12,FALSE))</f>
        <v/>
      </c>
      <c r="L17" s="593"/>
      <c r="M17" s="593"/>
      <c r="N17" s="593"/>
      <c r="O17" s="593"/>
      <c r="P17" s="593"/>
      <c r="Q17" s="658"/>
      <c r="R17" s="634" t="s">
        <v>928</v>
      </c>
      <c r="S17" s="598" t="str">
        <f>IF(G13="","",IF(G13=E11,E15,IF(G13=E15,E11)))</f>
        <v/>
      </c>
      <c r="T17" s="599" t="str">
        <f>IF(S17="",S17,VLOOKUP(S17,'Списки участников'!$A:$P,12,FALSE))</f>
        <v/>
      </c>
      <c r="U17" s="627"/>
      <c r="V17" s="594"/>
      <c r="W17" s="606"/>
      <c r="X17" s="593"/>
      <c r="Y17" s="626"/>
      <c r="Z17" s="626"/>
      <c r="AA17" s="593"/>
      <c r="AB17" s="593"/>
      <c r="AC17" s="663" t="s">
        <v>93</v>
      </c>
      <c r="AD17" s="598" t="str">
        <f>IF(AD10="","",IF(AD10=AA14,AA6,IF(AD10=AA6,AA14)))</f>
        <v/>
      </c>
      <c r="AE17" s="599" t="str">
        <f>IF(AD17="",AD17,VLOOKUP(AD17,'Списки участников'!$A:$P,12,FALSE))</f>
        <v/>
      </c>
      <c r="AF17" s="921" t="str">
        <f>CONCATENATE(H4+3," ","м")</f>
        <v>4 м</v>
      </c>
      <c r="AG17" s="611"/>
      <c r="AH17" s="591"/>
      <c r="AI17" s="655"/>
      <c r="AJ17" s="655"/>
      <c r="AK17" s="655"/>
      <c r="AL17" s="655"/>
      <c r="AM17" s="655"/>
      <c r="AN17" s="655"/>
    </row>
    <row r="18" spans="1:40" ht="17.100000000000001" customHeight="1" x14ac:dyDescent="0.2">
      <c r="A18" s="636">
        <v>5</v>
      </c>
      <c r="B18" s="637"/>
      <c r="C18" s="599" t="str">
        <f>IF(B18="","",VLOOKUP(B18,'Списки участников'!$A:$P,3,FALSE))</f>
        <v/>
      </c>
      <c r="D18" s="638" t="str">
        <f>IF(B18="","",VLOOKUP(B18,'Списки участников'!A:L,6,FALSE))</f>
        <v/>
      </c>
      <c r="E18" s="632"/>
      <c r="F18" s="643"/>
      <c r="G18" s="594"/>
      <c r="H18" s="594"/>
      <c r="I18" s="660"/>
      <c r="J18" s="653"/>
      <c r="K18" s="618"/>
      <c r="L18" s="594"/>
      <c r="M18" s="593"/>
      <c r="N18" s="593"/>
      <c r="O18" s="593" t="s">
        <v>926</v>
      </c>
      <c r="P18" s="598" t="str">
        <f>IF(E35="","",IF(E35=B34,B36,IF(E35=B36,B34)))</f>
        <v/>
      </c>
      <c r="Q18" s="599" t="str">
        <f>IF(P18="",P18,VLOOKUP(P18,'Списки участников'!$A:$P,12,FALSE))</f>
        <v/>
      </c>
      <c r="R18" s="641"/>
      <c r="S18" s="617"/>
      <c r="T18" s="606" t="s">
        <v>40</v>
      </c>
      <c r="U18" s="615"/>
      <c r="V18" s="599" t="str">
        <f>IF(U18="","",VLOOKUP(U18,'Списки участников'!$A:$P,12,FALSE))</f>
        <v/>
      </c>
      <c r="W18" s="642"/>
      <c r="X18" s="593"/>
      <c r="Y18" s="593"/>
      <c r="Z18" s="593"/>
      <c r="AA18" s="593"/>
      <c r="AB18" s="593"/>
      <c r="AC18" s="593"/>
      <c r="AD18" s="593"/>
      <c r="AE18" s="603"/>
      <c r="AF18" s="925"/>
      <c r="AG18" s="594"/>
      <c r="AH18" s="591"/>
      <c r="AI18" s="655"/>
      <c r="AJ18" s="655"/>
      <c r="AK18" s="655"/>
      <c r="AL18" s="655"/>
      <c r="AM18" s="655"/>
      <c r="AN18" s="655"/>
    </row>
    <row r="19" spans="1:40" ht="17.100000000000001" customHeight="1" x14ac:dyDescent="0.25">
      <c r="A19" s="646"/>
      <c r="B19" s="646"/>
      <c r="C19" s="647"/>
      <c r="D19" s="648">
        <v>3</v>
      </c>
      <c r="E19" s="662"/>
      <c r="F19" s="599" t="str">
        <f>IF(E19="","",VLOOKUP(E19,'Списки участников'!$A:$P,12,FALSE))</f>
        <v/>
      </c>
      <c r="G19" s="594"/>
      <c r="H19" s="594"/>
      <c r="I19" s="606"/>
      <c r="J19" s="594"/>
      <c r="K19" s="630"/>
      <c r="L19" s="594"/>
      <c r="M19" s="593"/>
      <c r="N19" s="593"/>
      <c r="O19" s="603"/>
      <c r="P19" s="594"/>
      <c r="Q19" s="613"/>
      <c r="R19" s="614">
        <v>19</v>
      </c>
      <c r="S19" s="615"/>
      <c r="T19" s="616" t="str">
        <f>IF(S19="","",VLOOKUP(S19,'Списки участников'!$A:$P,12,FALSE))</f>
        <v/>
      </c>
      <c r="U19" s="625"/>
      <c r="V19" s="593"/>
      <c r="W19" s="626"/>
      <c r="X19" s="593"/>
      <c r="Y19" s="593"/>
      <c r="Z19" s="593" t="s">
        <v>58</v>
      </c>
      <c r="AA19" s="598" t="str">
        <f>IF(AA6="","",IF(AA6=X8,X4,IF(AA6=X4,X8)))</f>
        <v/>
      </c>
      <c r="AB19" s="599" t="str">
        <f>IF(AA19="",AA19,VLOOKUP(AA19,'Списки участников'!$A:$P,12,FALSE))</f>
        <v/>
      </c>
      <c r="AC19" s="600"/>
      <c r="AD19" s="664"/>
      <c r="AE19" s="593"/>
      <c r="AF19" s="924"/>
      <c r="AG19" s="632"/>
      <c r="AH19" s="591"/>
      <c r="AI19" s="655"/>
      <c r="AJ19" s="655"/>
      <c r="AK19" s="655"/>
      <c r="AL19" s="655"/>
      <c r="AM19" s="655"/>
      <c r="AN19" s="655"/>
    </row>
    <row r="20" spans="1:40" ht="17.100000000000001" customHeight="1" x14ac:dyDescent="0.25">
      <c r="A20" s="651">
        <v>6</v>
      </c>
      <c r="B20" s="652"/>
      <c r="C20" s="599" t="str">
        <f>IF(B20="","",VLOOKUP(B20,'Списки участников'!$A:$P,3,FALSE))</f>
        <v/>
      </c>
      <c r="D20" s="919" t="str">
        <f>IF(B20="","",VLOOKUP(B20,'Списки участников'!A:L,6,FALSE))</f>
        <v/>
      </c>
      <c r="E20" s="653"/>
      <c r="F20" s="618"/>
      <c r="G20" s="594"/>
      <c r="H20" s="594"/>
      <c r="I20" s="606"/>
      <c r="J20" s="594"/>
      <c r="K20" s="630"/>
      <c r="L20" s="594"/>
      <c r="M20" s="593"/>
      <c r="N20" s="593"/>
      <c r="O20" s="624" t="s">
        <v>927</v>
      </c>
      <c r="P20" s="598" t="str">
        <f>IF(E39="","",IF(E39=B38,B40,IF(E39=B40,B38)))</f>
        <v/>
      </c>
      <c r="Q20" s="599" t="str">
        <f>IF(P20="",P20,VLOOKUP(P20,'Списки участников'!$A:$P,12,FALSE))</f>
        <v/>
      </c>
      <c r="R20" s="616"/>
      <c r="S20" s="593"/>
      <c r="T20" s="626"/>
      <c r="U20" s="593"/>
      <c r="V20" s="593"/>
      <c r="W20" s="593"/>
      <c r="X20" s="593"/>
      <c r="Y20" s="593"/>
      <c r="Z20" s="603"/>
      <c r="AA20" s="603"/>
      <c r="AB20" s="613"/>
      <c r="AC20" s="659" t="s">
        <v>13</v>
      </c>
      <c r="AD20" s="665"/>
      <c r="AE20" s="599" t="str">
        <f>IF(AD20="","",VLOOKUP(AD20,'Списки участников'!$A:$P,12,FALSE))</f>
        <v/>
      </c>
      <c r="AF20" s="921" t="str">
        <f>CONCATENATE(H4+4," ","м")</f>
        <v>5 м</v>
      </c>
      <c r="AG20" s="664"/>
      <c r="AH20" s="591"/>
      <c r="AI20" s="655"/>
      <c r="AJ20" s="655"/>
      <c r="AK20" s="655"/>
      <c r="AL20" s="655"/>
      <c r="AM20" s="655"/>
      <c r="AN20" s="655"/>
    </row>
    <row r="21" spans="1:40" ht="17.100000000000001" customHeight="1" x14ac:dyDescent="0.25">
      <c r="A21" s="636"/>
      <c r="B21" s="636"/>
      <c r="C21" s="656"/>
      <c r="D21" s="656"/>
      <c r="E21" s="621"/>
      <c r="F21" s="606">
        <v>10</v>
      </c>
      <c r="G21" s="662"/>
      <c r="H21" s="920"/>
      <c r="I21" s="616" t="str">
        <f>IF(G21="","",VLOOKUP(G21,'Списки участников'!$A:$P,12,FALSE))</f>
        <v/>
      </c>
      <c r="J21" s="594"/>
      <c r="K21" s="630"/>
      <c r="L21" s="594"/>
      <c r="M21" s="593"/>
      <c r="N21" s="593"/>
      <c r="O21" s="593"/>
      <c r="P21" s="593"/>
      <c r="Q21" s="593"/>
      <c r="R21" s="593"/>
      <c r="S21" s="593"/>
      <c r="T21" s="593"/>
      <c r="U21" s="593"/>
      <c r="V21" s="593"/>
      <c r="W21" s="593"/>
      <c r="X21" s="593"/>
      <c r="Y21" s="593"/>
      <c r="Z21" s="624" t="s">
        <v>56</v>
      </c>
      <c r="AA21" s="598" t="str">
        <f>IF(AA14="","",IF(AA14=X16,X12,IF(AA14=X12,X16)))</f>
        <v/>
      </c>
      <c r="AB21" s="599" t="str">
        <f>IF(AA21="",AA21,VLOOKUP(AA21,'Списки участников'!$A:$P,12,FALSE))</f>
        <v/>
      </c>
      <c r="AC21" s="616"/>
      <c r="AD21" s="664"/>
      <c r="AE21" s="626"/>
      <c r="AF21" s="926"/>
      <c r="AG21" s="632"/>
      <c r="AH21" s="591"/>
      <c r="AI21" s="655"/>
      <c r="AJ21" s="655"/>
      <c r="AK21" s="655"/>
      <c r="AL21" s="655"/>
      <c r="AM21" s="655"/>
      <c r="AN21" s="655"/>
    </row>
    <row r="22" spans="1:40" ht="17.100000000000001" customHeight="1" x14ac:dyDescent="0.2">
      <c r="A22" s="636">
        <v>7</v>
      </c>
      <c r="B22" s="637"/>
      <c r="C22" s="599" t="str">
        <f>IF(B22="","",VLOOKUP(B22,'Списки участников'!$A:$P,3,FALSE))</f>
        <v/>
      </c>
      <c r="D22" s="638" t="str">
        <f>IF(B22="","",VLOOKUP(B22,'Списки участников'!A:L,6,FALSE))</f>
        <v/>
      </c>
      <c r="E22" s="621"/>
      <c r="F22" s="660"/>
      <c r="G22" s="653"/>
      <c r="H22" s="621"/>
      <c r="I22" s="626"/>
      <c r="J22" s="594"/>
      <c r="K22" s="630"/>
      <c r="L22" s="594"/>
      <c r="M22" s="593"/>
      <c r="N22" s="593"/>
      <c r="O22" s="593"/>
      <c r="P22" s="593"/>
      <c r="Q22" s="593"/>
      <c r="R22" s="593"/>
      <c r="S22" s="593"/>
      <c r="T22" s="593"/>
      <c r="U22" s="593"/>
      <c r="V22" s="593"/>
      <c r="W22" s="593"/>
      <c r="X22" s="593"/>
      <c r="Y22" s="593"/>
      <c r="Z22" s="593"/>
      <c r="AA22" s="593"/>
      <c r="AB22" s="593"/>
      <c r="AC22" s="593"/>
      <c r="AD22" s="593"/>
      <c r="AE22" s="593"/>
      <c r="AF22" s="924"/>
      <c r="AG22" s="593"/>
      <c r="AH22" s="591"/>
      <c r="AI22" s="655"/>
      <c r="AJ22" s="655"/>
      <c r="AK22" s="655"/>
      <c r="AL22" s="655"/>
      <c r="AM22" s="655"/>
      <c r="AN22" s="655"/>
    </row>
    <row r="23" spans="1:40" ht="17.100000000000001" customHeight="1" x14ac:dyDescent="0.25">
      <c r="A23" s="646"/>
      <c r="B23" s="646"/>
      <c r="C23" s="661"/>
      <c r="D23" s="648">
        <v>4</v>
      </c>
      <c r="E23" s="649"/>
      <c r="F23" s="616" t="str">
        <f>IF(E23="","",VLOOKUP(E23,'Списки участников'!$A:$P,12,FALSE))</f>
        <v/>
      </c>
      <c r="G23" s="593"/>
      <c r="H23" s="593"/>
      <c r="I23" s="643"/>
      <c r="J23" s="594"/>
      <c r="K23" s="630"/>
      <c r="L23" s="594"/>
      <c r="N23" s="593"/>
      <c r="O23" s="593" t="s">
        <v>948</v>
      </c>
      <c r="P23" s="598" t="str">
        <f>IF(U6="","",IF(U6=S5,S7,IF(U6=S7,S5)))</f>
        <v/>
      </c>
      <c r="Q23" s="599" t="str">
        <f>IF(P23="",P23,VLOOKUP(P23,'Списки участников'!$A:$P,12,FALSE))</f>
        <v/>
      </c>
      <c r="R23" s="608"/>
      <c r="S23" s="593"/>
      <c r="T23" s="593"/>
      <c r="U23" s="593"/>
      <c r="V23" s="593"/>
      <c r="W23" s="593"/>
      <c r="X23" s="593"/>
      <c r="Y23" s="593"/>
      <c r="Z23" s="593"/>
      <c r="AA23" s="593"/>
      <c r="AB23" s="593"/>
      <c r="AC23" s="593"/>
      <c r="AD23" s="593"/>
      <c r="AE23" s="593"/>
      <c r="AF23" s="924"/>
      <c r="AG23" s="632"/>
      <c r="AH23" s="591"/>
      <c r="AI23" s="655"/>
      <c r="AJ23" s="655"/>
      <c r="AK23" s="655"/>
      <c r="AL23" s="655"/>
      <c r="AM23" s="655"/>
      <c r="AN23" s="655"/>
    </row>
    <row r="24" spans="1:40" ht="17.100000000000001" customHeight="1" x14ac:dyDescent="0.25">
      <c r="A24" s="651">
        <v>8</v>
      </c>
      <c r="B24" s="652"/>
      <c r="C24" s="599" t="str">
        <f>IF(B24="","",VLOOKUP(B24,'Списки участников'!$A:$P,3,FALSE))</f>
        <v/>
      </c>
      <c r="D24" s="919" t="str">
        <f>IF(B24="","",VLOOKUP(B24,'Списки участников'!A:L,6,FALSE))</f>
        <v/>
      </c>
      <c r="E24" s="632"/>
      <c r="F24" s="626"/>
      <c r="G24" s="593"/>
      <c r="H24" s="593"/>
      <c r="I24" s="643"/>
      <c r="J24" s="594"/>
      <c r="K24" s="630"/>
      <c r="L24" s="594"/>
      <c r="M24" s="593"/>
      <c r="N24" s="593"/>
      <c r="O24" s="603"/>
      <c r="P24" s="603"/>
      <c r="Q24" s="613"/>
      <c r="R24" s="666" t="s">
        <v>31</v>
      </c>
      <c r="S24" s="610"/>
      <c r="T24" s="599" t="str">
        <f>IF(S24="","",VLOOKUP(S24,'Списки участников'!$A:$P,12,FALSE))</f>
        <v/>
      </c>
      <c r="U24" s="593"/>
      <c r="V24" s="593"/>
      <c r="X24" s="593"/>
      <c r="Y24" s="593"/>
      <c r="Z24" s="593"/>
      <c r="AA24" s="593"/>
      <c r="AB24" s="593"/>
      <c r="AC24" s="663" t="s">
        <v>917</v>
      </c>
      <c r="AD24" s="598" t="str">
        <f>IF(AD20="","",IF(AD20=AA21,AA19,IF(AD20=AA19,AA21)))</f>
        <v/>
      </c>
      <c r="AE24" s="599" t="str">
        <f>IF(AD24="",AD24,VLOOKUP(AD24,'Списки участников'!$A:$P,12,FALSE))</f>
        <v/>
      </c>
      <c r="AF24" s="921" t="str">
        <f>CONCATENATE(H4+5," ","м")</f>
        <v>6 м</v>
      </c>
      <c r="AG24" s="664"/>
      <c r="AH24" s="591"/>
      <c r="AI24" s="655"/>
      <c r="AJ24" s="655"/>
      <c r="AK24" s="655"/>
      <c r="AL24" s="655"/>
      <c r="AM24" s="655"/>
      <c r="AN24" s="655"/>
    </row>
    <row r="25" spans="1:40" ht="17.100000000000001" customHeight="1" x14ac:dyDescent="0.2">
      <c r="A25" s="636"/>
      <c r="B25" s="636"/>
      <c r="C25" s="656"/>
      <c r="D25" s="656"/>
      <c r="E25" s="632"/>
      <c r="F25" s="643"/>
      <c r="G25" s="593"/>
      <c r="H25" s="593"/>
      <c r="I25" s="643"/>
      <c r="J25" s="594"/>
      <c r="K25" s="606">
        <v>15</v>
      </c>
      <c r="L25" s="667"/>
      <c r="M25" s="599" t="str">
        <f>IF(L25="","",VLOOKUP(L25,'Списки участников'!$A:$P,12,FALSE))</f>
        <v/>
      </c>
      <c r="N25" s="921" t="str">
        <f>CONCATENATE(H4," ","м")</f>
        <v>1 м</v>
      </c>
      <c r="O25" s="624" t="s">
        <v>950</v>
      </c>
      <c r="P25" s="598" t="str">
        <f>IF(U10="","",IF(U10=S11,S9,IF(U10=S9,S11)))</f>
        <v/>
      </c>
      <c r="Q25" s="599" t="str">
        <f>IF(P25="",P25,VLOOKUP(P25,'Списки участников'!$A:$P,12,FALSE))</f>
        <v/>
      </c>
      <c r="R25" s="668"/>
      <c r="S25" s="603"/>
      <c r="T25" s="618"/>
      <c r="U25" s="593"/>
      <c r="V25" s="593"/>
      <c r="W25" s="593"/>
      <c r="X25" s="593"/>
      <c r="Y25" s="593"/>
      <c r="Z25" s="593"/>
      <c r="AA25" s="593"/>
      <c r="AB25" s="593"/>
      <c r="AC25" s="593"/>
      <c r="AD25" s="593"/>
      <c r="AE25" s="593"/>
      <c r="AF25" s="924"/>
      <c r="AG25" s="593"/>
      <c r="AH25" s="591"/>
      <c r="AI25" s="655"/>
      <c r="AJ25" s="655"/>
      <c r="AK25" s="655"/>
      <c r="AL25" s="655"/>
      <c r="AM25" s="655"/>
      <c r="AN25" s="655"/>
    </row>
    <row r="26" spans="1:40" ht="17.100000000000001" customHeight="1" x14ac:dyDescent="0.25">
      <c r="A26" s="636">
        <v>9</v>
      </c>
      <c r="B26" s="637"/>
      <c r="C26" s="599" t="str">
        <f>IF(B26="","",VLOOKUP(B26,'Списки участников'!$A:$P,3,FALSE))</f>
        <v/>
      </c>
      <c r="D26" s="638" t="str">
        <f>IF(B26="","",VLOOKUP(B26,'Списки участников'!A:L,6,FALSE))</f>
        <v/>
      </c>
      <c r="E26" s="632"/>
      <c r="F26" s="643"/>
      <c r="G26" s="593"/>
      <c r="H26" s="593"/>
      <c r="I26" s="643"/>
      <c r="J26" s="594"/>
      <c r="K26" s="660"/>
      <c r="L26" s="619"/>
      <c r="M26" s="669">
        <f>IF(L25="",L25,VLOOKUP(L25,'Списки участников'!A:L,6,FALSE))</f>
        <v>0</v>
      </c>
      <c r="N26" s="593"/>
      <c r="O26" s="593"/>
      <c r="P26" s="593"/>
      <c r="Q26" s="593"/>
      <c r="R26" s="593"/>
      <c r="S26" s="594"/>
      <c r="T26" s="628" t="s">
        <v>24</v>
      </c>
      <c r="U26" s="610"/>
      <c r="V26" s="599" t="str">
        <f>IF(U26="","",VLOOKUP(U26,'Списки участников'!$A:$P,12,FALSE))</f>
        <v/>
      </c>
      <c r="W26" s="928" t="str">
        <f>CONCATENATE(H4+8," ","м")</f>
        <v>9 м</v>
      </c>
      <c r="X26" s="644"/>
      <c r="Y26" s="593"/>
      <c r="Z26" s="597" t="s">
        <v>958</v>
      </c>
      <c r="AA26" s="598" t="str">
        <f>IF(X8="","",IF(X8=U10,U6,IF(X8=U6,U10)))</f>
        <v/>
      </c>
      <c r="AB26" s="599" t="str">
        <f>IF(AA26="",AA26,VLOOKUP(AA26,'Списки участников'!$A:$P,12,FALSE))</f>
        <v/>
      </c>
      <c r="AC26" s="608"/>
      <c r="AD26" s="664"/>
      <c r="AE26" s="593"/>
      <c r="AF26" s="924"/>
      <c r="AG26" s="632"/>
      <c r="AH26" s="591"/>
      <c r="AI26" s="655"/>
      <c r="AJ26" s="655"/>
      <c r="AK26" s="655"/>
      <c r="AL26" s="655"/>
      <c r="AM26" s="655"/>
      <c r="AN26" s="655"/>
    </row>
    <row r="27" spans="1:40" ht="17.100000000000001" customHeight="1" x14ac:dyDescent="0.25">
      <c r="A27" s="646"/>
      <c r="B27" s="646"/>
      <c r="C27" s="661"/>
      <c r="D27" s="648">
        <v>5</v>
      </c>
      <c r="E27" s="662"/>
      <c r="F27" s="599" t="str">
        <f>IF(E27="","",VLOOKUP(E27,'Списки участников'!$A:$P,3,FALSE))</f>
        <v/>
      </c>
      <c r="G27" s="593"/>
      <c r="H27" s="593"/>
      <c r="I27" s="643"/>
      <c r="J27" s="594"/>
      <c r="K27" s="630"/>
      <c r="L27" s="594"/>
      <c r="M27" s="632"/>
      <c r="N27" s="593"/>
      <c r="O27" s="593" t="s">
        <v>954</v>
      </c>
      <c r="P27" s="598" t="str">
        <f>IF(U14="","",IF(U14=S13,S15,IF(U14=S15,S13)))</f>
        <v/>
      </c>
      <c r="Q27" s="599" t="str">
        <f>IF(P27="",P27,VLOOKUP(P27,'Списки участников'!$A:$P,12,FALSE))</f>
        <v/>
      </c>
      <c r="R27" s="670"/>
      <c r="S27" s="594"/>
      <c r="T27" s="606"/>
      <c r="U27" s="671"/>
      <c r="V27" s="594"/>
      <c r="W27" s="929"/>
      <c r="X27" s="593"/>
      <c r="Y27" s="593"/>
      <c r="Z27" s="672"/>
      <c r="AA27" s="603"/>
      <c r="AB27" s="613" t="s">
        <v>32</v>
      </c>
      <c r="AC27" s="659"/>
      <c r="AD27" s="665"/>
      <c r="AE27" s="599" t="str">
        <f>IF(AD27="","",VLOOKUP(AD27,'Списки участников'!$A:$P,12,FALSE))</f>
        <v/>
      </c>
      <c r="AF27" s="921" t="str">
        <f>CONCATENATE(H4+6," ","м")</f>
        <v>7 м</v>
      </c>
      <c r="AG27" s="664"/>
      <c r="AH27" s="591"/>
      <c r="AI27" s="655"/>
      <c r="AJ27" s="655"/>
      <c r="AK27" s="655"/>
      <c r="AL27" s="655"/>
      <c r="AM27" s="655"/>
      <c r="AN27" s="655"/>
    </row>
    <row r="28" spans="1:40" ht="17.100000000000001" customHeight="1" x14ac:dyDescent="0.25">
      <c r="A28" s="651">
        <v>10</v>
      </c>
      <c r="B28" s="652"/>
      <c r="C28" s="599" t="str">
        <f>IF(B28="","",VLOOKUP(B28,'Списки участников'!$A:$P,3,FALSE))</f>
        <v/>
      </c>
      <c r="D28" s="638" t="str">
        <f>IF(B28="","",VLOOKUP(B28,'Списки участников'!A:L,6,FALSE))</f>
        <v/>
      </c>
      <c r="E28" s="653"/>
      <c r="F28" s="673"/>
      <c r="G28" s="593"/>
      <c r="H28" s="593"/>
      <c r="I28" s="643"/>
      <c r="J28" s="594"/>
      <c r="K28" s="630"/>
      <c r="L28" s="594"/>
      <c r="M28" s="593"/>
      <c r="N28" s="593"/>
      <c r="O28" s="603"/>
      <c r="P28" s="594"/>
      <c r="Q28" s="613"/>
      <c r="R28" s="666" t="s">
        <v>34</v>
      </c>
      <c r="S28" s="629"/>
      <c r="T28" s="616" t="str">
        <f>IF(S28="","",VLOOKUP(S28,'Списки участников'!$A:$P,12,FALSE))</f>
        <v/>
      </c>
      <c r="U28" s="593"/>
      <c r="V28" s="593"/>
      <c r="W28" s="930"/>
      <c r="X28" s="593"/>
      <c r="Y28" s="593"/>
      <c r="Z28" s="597" t="s">
        <v>92</v>
      </c>
      <c r="AA28" s="598" t="str">
        <f>IF(X16="","",IF(X16=U18,U14,IF(X16=U14,U18)))</f>
        <v/>
      </c>
      <c r="AB28" s="599" t="str">
        <f>IF(AA28="",AA28,VLOOKUP(AA28,'Списки участников'!$A:$P,12,FALSE))</f>
        <v/>
      </c>
      <c r="AC28" s="642"/>
      <c r="AD28" s="664"/>
      <c r="AE28" s="626"/>
      <c r="AF28" s="926"/>
      <c r="AG28" s="632"/>
      <c r="AH28" s="591"/>
      <c r="AI28" s="655"/>
      <c r="AJ28" s="655"/>
      <c r="AK28" s="655"/>
      <c r="AL28" s="655"/>
      <c r="AM28" s="655"/>
      <c r="AN28" s="655"/>
    </row>
    <row r="29" spans="1:40" ht="17.100000000000001" customHeight="1" x14ac:dyDescent="0.25">
      <c r="A29" s="636"/>
      <c r="B29" s="636"/>
      <c r="C29" s="656"/>
      <c r="D29" s="656"/>
      <c r="E29" s="621"/>
      <c r="F29" s="606">
        <v>11</v>
      </c>
      <c r="G29" s="649"/>
      <c r="H29" s="920"/>
      <c r="I29" s="599" t="str">
        <f>IF(G29="","",VLOOKUP(G29,'Списки участников'!$A:$P,12,FALSE))</f>
        <v/>
      </c>
      <c r="J29" s="594"/>
      <c r="K29" s="630"/>
      <c r="L29" s="594"/>
      <c r="M29" s="593"/>
      <c r="N29" s="593"/>
      <c r="O29" s="624" t="s">
        <v>955</v>
      </c>
      <c r="P29" s="598" t="str">
        <f>IF(U18="","",IF(U18=S19,S17,IF(U18=S17,S19)))</f>
        <v/>
      </c>
      <c r="Q29" s="599" t="str">
        <f>IF(P29="",P29,VLOOKUP(P29,'Списки участников'!$A:$P,12,FALSE))</f>
        <v/>
      </c>
      <c r="R29" s="642"/>
      <c r="S29" s="593"/>
      <c r="T29" s="626"/>
      <c r="U29" s="593"/>
      <c r="V29" s="593"/>
      <c r="W29" s="931"/>
      <c r="X29" s="593"/>
      <c r="Y29" s="593"/>
      <c r="Z29" s="672"/>
      <c r="AA29" s="593"/>
      <c r="AB29" s="593"/>
      <c r="AC29" s="593"/>
      <c r="AD29" s="593"/>
      <c r="AE29" s="593"/>
      <c r="AF29" s="926"/>
      <c r="AG29" s="632"/>
      <c r="AH29" s="591"/>
      <c r="AI29" s="655"/>
      <c r="AJ29" s="655"/>
      <c r="AK29" s="655"/>
      <c r="AL29" s="655"/>
      <c r="AM29" s="655"/>
      <c r="AN29" s="655"/>
    </row>
    <row r="30" spans="1:40" ht="17.100000000000001" customHeight="1" x14ac:dyDescent="0.2">
      <c r="A30" s="636">
        <v>11</v>
      </c>
      <c r="B30" s="637"/>
      <c r="C30" s="599" t="str">
        <f>IF(B30="","",VLOOKUP(B30,'Списки участников'!$A:$P,3,FALSE))</f>
        <v/>
      </c>
      <c r="D30" s="638" t="str">
        <f>IF(B30="","",VLOOKUP(B30,'Списки участников'!A:L,6,FALSE))</f>
        <v/>
      </c>
      <c r="E30" s="621"/>
      <c r="F30" s="660"/>
      <c r="G30" s="653"/>
      <c r="H30" s="653"/>
      <c r="I30" s="618"/>
      <c r="J30" s="594"/>
      <c r="K30" s="630"/>
      <c r="L30" s="594"/>
      <c r="M30" s="593"/>
      <c r="N30" s="593"/>
      <c r="O30" s="593"/>
      <c r="P30" s="593"/>
      <c r="Q30" s="593"/>
      <c r="R30" s="593"/>
      <c r="S30" s="593"/>
      <c r="T30" s="593"/>
      <c r="U30" s="593"/>
      <c r="V30" s="593"/>
      <c r="W30" s="930"/>
      <c r="X30" s="593"/>
      <c r="Y30" s="593"/>
      <c r="Z30" s="672"/>
      <c r="AA30" s="593"/>
      <c r="AB30" s="593"/>
      <c r="AC30" s="593"/>
      <c r="AD30" s="593"/>
      <c r="AE30" s="593"/>
      <c r="AF30" s="924"/>
      <c r="AG30" s="632"/>
      <c r="AH30" s="591"/>
      <c r="AI30" s="655"/>
      <c r="AJ30" s="655"/>
      <c r="AK30" s="655"/>
      <c r="AL30" s="655"/>
      <c r="AM30" s="655"/>
      <c r="AN30" s="655"/>
    </row>
    <row r="31" spans="1:40" ht="17.100000000000001" customHeight="1" x14ac:dyDescent="0.25">
      <c r="A31" s="646"/>
      <c r="B31" s="646"/>
      <c r="C31" s="661"/>
      <c r="D31" s="648">
        <v>6</v>
      </c>
      <c r="E31" s="649"/>
      <c r="F31" s="616" t="str">
        <f>IF(E31="","",VLOOKUP(E31,'Списки участников'!$A:$P,3,FALSE))</f>
        <v/>
      </c>
      <c r="G31" s="594"/>
      <c r="H31" s="594"/>
      <c r="I31" s="606"/>
      <c r="J31" s="594"/>
      <c r="K31" s="630"/>
      <c r="L31" s="594"/>
      <c r="M31" s="593"/>
      <c r="N31" s="593"/>
      <c r="O31" s="593"/>
      <c r="P31" s="593"/>
      <c r="Q31" s="593"/>
      <c r="R31" s="593"/>
      <c r="S31" s="593"/>
      <c r="T31" s="658" t="s">
        <v>932</v>
      </c>
      <c r="U31" s="598" t="str">
        <f>IF(U26="","",IF(U26=S28,S24,IF(U26=S24,S28)))</f>
        <v/>
      </c>
      <c r="V31" s="599" t="str">
        <f>IF(U31="",U31,VLOOKUP(U31,'Списки участников'!$A:$P,12,FALSE))</f>
        <v/>
      </c>
      <c r="W31" s="932" t="str">
        <f>CONCATENATE(H4+9," ","м")</f>
        <v>10 м</v>
      </c>
      <c r="X31" s="644"/>
      <c r="Y31" s="593"/>
      <c r="Z31" s="672"/>
      <c r="AA31" s="593"/>
      <c r="AB31" s="593"/>
      <c r="AC31" s="672" t="s">
        <v>920</v>
      </c>
      <c r="AD31" s="598" t="str">
        <f>IF(AD27="","",IF(AD27=AA28,AA26,IF(AD27=AA26,AA28)))</f>
        <v/>
      </c>
      <c r="AE31" s="599" t="str">
        <f>IF(AD31="",AD31,VLOOKUP(AD31,'Списки участников'!$A:$P,12,FALSE))</f>
        <v/>
      </c>
      <c r="AF31" s="921" t="str">
        <f>CONCATENATE(H4+7," ","м")</f>
        <v>8 м</v>
      </c>
      <c r="AG31" s="664"/>
      <c r="AH31" s="591"/>
      <c r="AI31" s="655"/>
      <c r="AJ31" s="655"/>
      <c r="AK31" s="655"/>
      <c r="AL31" s="655"/>
      <c r="AM31" s="655"/>
      <c r="AN31" s="655"/>
    </row>
    <row r="32" spans="1:40" ht="17.100000000000001" customHeight="1" x14ac:dyDescent="0.2">
      <c r="A32" s="651">
        <v>12</v>
      </c>
      <c r="B32" s="652"/>
      <c r="C32" s="599" t="str">
        <f>IF(B32="","",VLOOKUP(B32,'Списки участников'!$A:$P,3,FALSE))</f>
        <v/>
      </c>
      <c r="D32" s="919" t="str">
        <f>IF(B32="","",VLOOKUP(B32,'Списки участников'!A:L,6,FALSE))</f>
        <v/>
      </c>
      <c r="E32" s="632"/>
      <c r="F32" s="626"/>
      <c r="G32" s="594"/>
      <c r="H32" s="594"/>
      <c r="I32" s="606"/>
      <c r="J32" s="594"/>
      <c r="K32" s="630"/>
      <c r="L32" s="594"/>
      <c r="M32" s="593"/>
      <c r="N32" s="593"/>
      <c r="O32" s="593"/>
      <c r="P32" s="593"/>
      <c r="Q32" s="593"/>
      <c r="R32" s="593"/>
      <c r="S32" s="593"/>
      <c r="T32" s="593"/>
      <c r="U32" s="593"/>
      <c r="V32" s="593"/>
      <c r="W32" s="930"/>
      <c r="X32" s="594"/>
      <c r="Y32" s="594"/>
      <c r="Z32" s="672"/>
      <c r="AA32" s="593"/>
      <c r="AB32" s="593"/>
      <c r="AC32" s="593"/>
      <c r="AD32" s="593"/>
      <c r="AE32" s="593"/>
      <c r="AF32" s="924"/>
      <c r="AG32" s="593"/>
      <c r="AH32" s="591"/>
      <c r="AI32" s="655"/>
      <c r="AJ32" s="655"/>
      <c r="AK32" s="655"/>
      <c r="AL32" s="655"/>
      <c r="AM32" s="655"/>
      <c r="AN32" s="655"/>
    </row>
    <row r="33" spans="1:40" ht="17.100000000000001" customHeight="1" x14ac:dyDescent="0.25">
      <c r="A33" s="636"/>
      <c r="B33" s="636"/>
      <c r="C33" s="656"/>
      <c r="D33" s="656"/>
      <c r="E33" s="632"/>
      <c r="F33" s="643"/>
      <c r="G33" s="594"/>
      <c r="H33" s="594"/>
      <c r="I33" s="606">
        <v>14</v>
      </c>
      <c r="J33" s="649"/>
      <c r="K33" s="616" t="str">
        <f>IF(J33="","",VLOOKUP(J33,'Списки участников'!$A:$P,12,FALSE))</f>
        <v/>
      </c>
      <c r="L33" s="594"/>
      <c r="M33" s="593"/>
      <c r="N33" s="593"/>
      <c r="O33" s="594" t="s">
        <v>940</v>
      </c>
      <c r="P33" s="598" t="str">
        <f>IF(S7="","",IF(S7=P6,P8,IF(S7=P8,P6)))</f>
        <v/>
      </c>
      <c r="Q33" s="599" t="str">
        <f>IF(P33="",P33,VLOOKUP(P33,'Списки участников'!$A:$P,12,FALSE))</f>
        <v/>
      </c>
      <c r="R33" s="674"/>
      <c r="S33" s="594"/>
      <c r="T33" s="594"/>
      <c r="U33" s="594"/>
      <c r="V33" s="594"/>
      <c r="W33" s="933"/>
      <c r="X33" s="593"/>
      <c r="Y33" s="593"/>
      <c r="Z33" s="597" t="s">
        <v>70</v>
      </c>
      <c r="AA33" s="598" t="str">
        <f>IF(S24="","",IF(S24=P25,P23,IF(S24=P23,P25)))</f>
        <v/>
      </c>
      <c r="AB33" s="599" t="str">
        <f>IF(AA33="",AA33,VLOOKUP(AA33,'Списки участников'!$A:$P,12,FALSE))</f>
        <v/>
      </c>
      <c r="AC33" s="670"/>
      <c r="AD33" s="664"/>
      <c r="AE33" s="593"/>
      <c r="AF33" s="924"/>
      <c r="AG33" s="632"/>
      <c r="AH33" s="591"/>
      <c r="AI33" s="655"/>
      <c r="AJ33" s="655"/>
      <c r="AK33" s="655"/>
      <c r="AL33" s="655"/>
      <c r="AM33" s="655"/>
      <c r="AN33" s="655"/>
    </row>
    <row r="34" spans="1:40" ht="17.100000000000001" customHeight="1" x14ac:dyDescent="0.25">
      <c r="A34" s="636">
        <v>13</v>
      </c>
      <c r="B34" s="637"/>
      <c r="C34" s="599" t="str">
        <f>IF(B34="","",VLOOKUP(B34,'Списки участников'!$A:$P,3,FALSE))</f>
        <v/>
      </c>
      <c r="D34" s="638" t="str">
        <f>IF(B34="","",VLOOKUP(B34,'Списки участников'!A:L,6,FALSE))</f>
        <v/>
      </c>
      <c r="E34" s="632"/>
      <c r="F34" s="643"/>
      <c r="G34" s="594"/>
      <c r="H34" s="594"/>
      <c r="I34" s="660"/>
      <c r="J34" s="632"/>
      <c r="K34" s="626"/>
      <c r="L34" s="593"/>
      <c r="M34" s="593"/>
      <c r="N34" s="593"/>
      <c r="O34" s="603"/>
      <c r="P34" s="603"/>
      <c r="Q34" s="613"/>
      <c r="R34" s="666" t="s">
        <v>16</v>
      </c>
      <c r="S34" s="610"/>
      <c r="T34" s="599" t="str">
        <f>IF(S34="","",VLOOKUP(S34,'Списки участников'!$A:$P,12,FALSE))</f>
        <v/>
      </c>
      <c r="U34" s="593"/>
      <c r="V34" s="593"/>
      <c r="W34" s="931"/>
      <c r="Y34" s="593"/>
      <c r="Z34" s="672"/>
      <c r="AA34" s="603"/>
      <c r="AB34" s="613" t="s">
        <v>20</v>
      </c>
      <c r="AC34" s="659"/>
      <c r="AD34" s="665"/>
      <c r="AE34" s="599" t="str">
        <f>IF(AD34="","",VLOOKUP(AD34,'Списки участников'!$A:$P,12,FALSE))</f>
        <v/>
      </c>
      <c r="AF34" s="921" t="str">
        <f>CONCATENATE(H4+10," ","м")</f>
        <v>11 м</v>
      </c>
      <c r="AG34" s="611"/>
      <c r="AH34" s="591"/>
      <c r="AI34" s="655"/>
      <c r="AJ34" s="655"/>
      <c r="AK34" s="655"/>
      <c r="AL34" s="655"/>
      <c r="AM34" s="655"/>
      <c r="AN34" s="655"/>
    </row>
    <row r="35" spans="1:40" ht="17.100000000000001" customHeight="1" x14ac:dyDescent="0.25">
      <c r="A35" s="646"/>
      <c r="B35" s="646"/>
      <c r="C35" s="647"/>
      <c r="D35" s="648">
        <v>7</v>
      </c>
      <c r="E35" s="649"/>
      <c r="F35" s="599" t="str">
        <f>IF(E35="","",VLOOKUP(E35,'Списки участников'!$A:$P,3,FALSE))</f>
        <v/>
      </c>
      <c r="G35" s="594"/>
      <c r="H35" s="594"/>
      <c r="I35" s="606"/>
      <c r="J35" s="593"/>
      <c r="K35" s="593"/>
      <c r="L35" s="593"/>
      <c r="M35" s="593"/>
      <c r="N35" s="593"/>
      <c r="O35" s="624" t="s">
        <v>941</v>
      </c>
      <c r="P35" s="598" t="str">
        <f>IF(S11="","",IF(S11=P12,P10,IF(S11=P10,P12)))</f>
        <v/>
      </c>
      <c r="Q35" s="599" t="str">
        <f>IF(P35="",P35,VLOOKUP(P35,'Списки участников'!$A:$P,12,FALSE))</f>
        <v/>
      </c>
      <c r="R35" s="668"/>
      <c r="S35" s="603"/>
      <c r="T35" s="618"/>
      <c r="U35" s="593"/>
      <c r="V35" s="593"/>
      <c r="W35" s="930"/>
      <c r="X35" s="593"/>
      <c r="Y35" s="593"/>
      <c r="Z35" s="597" t="s">
        <v>924</v>
      </c>
      <c r="AA35" s="598" t="str">
        <f>IF(S28="","",IF(S28=P29,P27,IF(S28=P27,P29)))</f>
        <v/>
      </c>
      <c r="AB35" s="599" t="str">
        <f>IF(AA35="",AA35,VLOOKUP(AA35,'Списки участников'!$A:$P,12,FALSE))</f>
        <v/>
      </c>
      <c r="AC35" s="642"/>
      <c r="AD35" s="664"/>
      <c r="AE35" s="626"/>
      <c r="AF35" s="926"/>
      <c r="AG35" s="632"/>
      <c r="AH35" s="591"/>
      <c r="AI35" s="655"/>
      <c r="AJ35" s="655"/>
      <c r="AK35" s="655"/>
      <c r="AL35" s="655"/>
      <c r="AM35" s="655"/>
      <c r="AN35" s="655"/>
    </row>
    <row r="36" spans="1:40" ht="17.100000000000001" customHeight="1" x14ac:dyDescent="0.2">
      <c r="A36" s="651">
        <v>14</v>
      </c>
      <c r="B36" s="652"/>
      <c r="C36" s="599" t="str">
        <f>IF(B36="","",VLOOKUP(B36,'Списки участников'!$A:$P,3,FALSE))</f>
        <v/>
      </c>
      <c r="D36" s="919" t="str">
        <f>IF(B36="","",VLOOKUP(B36,'Списки участников'!A:L,6,FALSE))</f>
        <v/>
      </c>
      <c r="E36" s="653"/>
      <c r="F36" s="618"/>
      <c r="G36" s="594"/>
      <c r="H36" s="594"/>
      <c r="I36" s="630"/>
      <c r="J36" s="593"/>
      <c r="K36" s="593"/>
      <c r="L36" s="593"/>
      <c r="M36" s="593"/>
      <c r="N36" s="593"/>
      <c r="O36" s="593"/>
      <c r="P36" s="593"/>
      <c r="Q36" s="593"/>
      <c r="R36" s="593"/>
      <c r="S36" s="594"/>
      <c r="T36" s="628" t="s">
        <v>21</v>
      </c>
      <c r="U36" s="610"/>
      <c r="V36" s="599" t="str">
        <f>IF(U36="","",VLOOKUP(U36,'Списки участников'!$A:$P,12,FALSE))</f>
        <v/>
      </c>
      <c r="W36" s="932" t="str">
        <f>CONCATENATE(H4+12," ","м")</f>
        <v>13 м</v>
      </c>
      <c r="X36" s="644"/>
      <c r="Y36" s="593"/>
      <c r="Z36" s="672"/>
      <c r="AA36" s="593"/>
      <c r="AB36" s="593"/>
      <c r="AC36" s="593"/>
      <c r="AD36" s="593"/>
      <c r="AE36" s="593"/>
      <c r="AF36" s="924"/>
      <c r="AG36" s="632"/>
      <c r="AH36" s="591"/>
      <c r="AI36" s="655"/>
      <c r="AJ36" s="655"/>
      <c r="AK36" s="655"/>
      <c r="AL36" s="655"/>
      <c r="AM36" s="655"/>
      <c r="AN36" s="655"/>
    </row>
    <row r="37" spans="1:40" ht="17.100000000000001" customHeight="1" x14ac:dyDescent="0.25">
      <c r="A37" s="636"/>
      <c r="B37" s="636"/>
      <c r="C37" s="656"/>
      <c r="D37" s="656"/>
      <c r="E37" s="621"/>
      <c r="F37" s="606">
        <v>12</v>
      </c>
      <c r="G37" s="657"/>
      <c r="H37" s="920"/>
      <c r="I37" s="616" t="str">
        <f>IF(G37="","",VLOOKUP(G37,'Списки участников'!$A:$P,12,FALSE))</f>
        <v/>
      </c>
      <c r="J37" s="593"/>
      <c r="K37" s="593"/>
      <c r="L37" s="593"/>
      <c r="N37" s="593"/>
      <c r="O37" s="593" t="s">
        <v>943</v>
      </c>
      <c r="P37" s="598" t="str">
        <f>IF(S15="","",IF(S15=P14,P16,IF(S15=P16,P14)))</f>
        <v/>
      </c>
      <c r="Q37" s="599" t="str">
        <f>IF(P37="",P37,VLOOKUP(P37,'Списки участников'!$A:$P,12,FALSE))</f>
        <v/>
      </c>
      <c r="R37" s="674"/>
      <c r="S37" s="594"/>
      <c r="T37" s="606"/>
      <c r="U37" s="671"/>
      <c r="V37" s="594"/>
      <c r="W37" s="929"/>
      <c r="X37" s="594"/>
      <c r="Y37" s="593"/>
      <c r="Z37" s="672"/>
      <c r="AA37" s="593"/>
      <c r="AB37" s="594"/>
      <c r="AC37" s="672" t="s">
        <v>935</v>
      </c>
      <c r="AD37" s="598" t="str">
        <f>IF(AD34="","",IF(AD34=AA35,AA33,IF(AD34=AA33,AA35)))</f>
        <v/>
      </c>
      <c r="AE37" s="599" t="str">
        <f>IF(AD37="",AD37,VLOOKUP(AD37,'Списки участников'!$A:$P,12,FALSE))</f>
        <v/>
      </c>
      <c r="AF37" s="921" t="str">
        <f>CONCATENATE(H4+11," ","м")</f>
        <v>12 м</v>
      </c>
      <c r="AG37" s="611"/>
      <c r="AH37" s="591"/>
      <c r="AI37" s="655"/>
      <c r="AJ37" s="655"/>
      <c r="AK37" s="655"/>
      <c r="AL37" s="655"/>
      <c r="AM37" s="655"/>
      <c r="AN37" s="655"/>
    </row>
    <row r="38" spans="1:40" ht="17.100000000000001" customHeight="1" x14ac:dyDescent="0.2">
      <c r="A38" s="636">
        <v>15</v>
      </c>
      <c r="B38" s="637"/>
      <c r="C38" s="599" t="str">
        <f>IF(B38="","",VLOOKUP(B38,'Списки участников'!$A:$P,3,FALSE))</f>
        <v/>
      </c>
      <c r="D38" s="638" t="str">
        <f>IF(B38="","",VLOOKUP(B38,'Списки участников'!A:L,6,FALSE))</f>
        <v/>
      </c>
      <c r="E38" s="621"/>
      <c r="F38" s="660"/>
      <c r="G38" s="632"/>
      <c r="H38" s="632"/>
      <c r="I38" s="626"/>
      <c r="J38" s="593"/>
      <c r="K38" s="593"/>
      <c r="L38" s="593"/>
      <c r="M38" s="593"/>
      <c r="N38" s="593"/>
      <c r="O38" s="603"/>
      <c r="P38" s="594"/>
      <c r="Q38" s="613"/>
      <c r="R38" s="666" t="s">
        <v>11</v>
      </c>
      <c r="S38" s="629"/>
      <c r="T38" s="616" t="str">
        <f>IF(S38="","",VLOOKUP(S38,'Списки участников'!$A:$P,12,FALSE))</f>
        <v/>
      </c>
      <c r="U38" s="593"/>
      <c r="V38" s="593"/>
      <c r="W38" s="930"/>
      <c r="X38" s="593"/>
      <c r="Y38" s="594"/>
      <c r="Z38" s="672"/>
      <c r="AA38" s="593"/>
      <c r="AB38" s="593"/>
      <c r="AC38" s="593"/>
      <c r="AD38" s="593"/>
      <c r="AE38" s="594"/>
      <c r="AF38" s="927"/>
      <c r="AG38" s="594"/>
      <c r="AH38" s="591"/>
      <c r="AI38" s="655"/>
      <c r="AJ38" s="655"/>
      <c r="AK38" s="655"/>
      <c r="AL38" s="655"/>
      <c r="AM38" s="655"/>
      <c r="AN38" s="655"/>
    </row>
    <row r="39" spans="1:40" ht="17.100000000000001" customHeight="1" x14ac:dyDescent="0.25">
      <c r="A39" s="646"/>
      <c r="B39" s="646"/>
      <c r="C39" s="661"/>
      <c r="D39" s="648">
        <v>8</v>
      </c>
      <c r="E39" s="649"/>
      <c r="F39" s="616" t="str">
        <f>IF(E39="","",VLOOKUP(E39,'Списки участников'!$A:$P,3,FALSE))</f>
        <v/>
      </c>
      <c r="G39" s="593"/>
      <c r="H39" s="593"/>
      <c r="I39" s="593"/>
      <c r="J39" s="593"/>
      <c r="K39" s="643" t="s">
        <v>937</v>
      </c>
      <c r="L39" s="598" t="str">
        <f>IF(L25="","",IF(L25=J33,J17,IF(L25=J17,J33)))</f>
        <v/>
      </c>
      <c r="M39" s="599" t="str">
        <f>IF(L39="",L39,VLOOKUP(L39,'Списки участников'!$A:$P,12,FALSE))</f>
        <v/>
      </c>
      <c r="N39" s="921" t="str">
        <f>CONCATENATE(H4+1," ","м")</f>
        <v>2 м</v>
      </c>
      <c r="O39" s="624" t="s">
        <v>946</v>
      </c>
      <c r="P39" s="598" t="str">
        <f>IF(S19="","",IF(S19=P18,P20,IF(S19=P20,P18)))</f>
        <v/>
      </c>
      <c r="Q39" s="599" t="str">
        <f>IF(P39="",P39,VLOOKUP(P39,'Списки участников'!$A:$P,12,FALSE))</f>
        <v/>
      </c>
      <c r="R39" s="668"/>
      <c r="S39" s="593"/>
      <c r="T39" s="626"/>
      <c r="U39" s="593"/>
      <c r="V39" s="593"/>
      <c r="W39" s="931"/>
      <c r="X39" s="593"/>
      <c r="Y39" s="593"/>
      <c r="Z39" s="672"/>
      <c r="AA39" s="593"/>
      <c r="AB39" s="593"/>
      <c r="AC39" s="593"/>
      <c r="AD39" s="593"/>
      <c r="AE39" s="593"/>
      <c r="AF39" s="924"/>
      <c r="AG39" s="632"/>
      <c r="AH39" s="591"/>
      <c r="AI39" s="655"/>
      <c r="AJ39" s="655"/>
      <c r="AK39" s="655"/>
      <c r="AL39" s="655"/>
      <c r="AM39" s="655"/>
      <c r="AN39" s="655"/>
    </row>
    <row r="40" spans="1:40" ht="17.100000000000001" customHeight="1" x14ac:dyDescent="0.25">
      <c r="A40" s="651">
        <v>16</v>
      </c>
      <c r="B40" s="652"/>
      <c r="C40" s="599" t="str">
        <f>IF(B40="","",VLOOKUP(B40,'Списки участников'!$A:$P,3,FALSE))</f>
        <v/>
      </c>
      <c r="D40" s="919" t="str">
        <f>IF(B40="","",VLOOKUP(B40,'Списки участников'!A:L,6,FALSE))</f>
        <v/>
      </c>
      <c r="E40" s="632"/>
      <c r="F40" s="626"/>
      <c r="G40" s="593"/>
      <c r="H40" s="593"/>
      <c r="I40" s="593"/>
      <c r="J40" s="594"/>
      <c r="K40" s="594"/>
      <c r="L40" s="594"/>
      <c r="M40" s="669" t="str">
        <f>IF(L39="",L39,VLOOKUP(L39,'Списки участников'!A:L,6,FALSE))</f>
        <v/>
      </c>
      <c r="N40" s="594"/>
      <c r="O40" s="593"/>
      <c r="P40" s="593"/>
      <c r="Q40" s="593"/>
      <c r="R40" s="593"/>
      <c r="S40" s="593"/>
      <c r="T40" s="593"/>
      <c r="U40" s="593"/>
      <c r="V40" s="593"/>
      <c r="W40" s="930"/>
      <c r="X40" s="593"/>
      <c r="Y40" s="593"/>
      <c r="Z40" s="597" t="s">
        <v>930</v>
      </c>
      <c r="AA40" s="598" t="str">
        <f>IF(S34="","",IF(S34=P33,P35,IF(S34=P35,P33)))</f>
        <v/>
      </c>
      <c r="AB40" s="599" t="str">
        <f>IF(AA40="",AA40,VLOOKUP(AA40,'Списки участников'!$A:$P,12,FALSE))</f>
        <v/>
      </c>
      <c r="AC40" s="674"/>
      <c r="AD40" s="675"/>
      <c r="AE40" s="593"/>
      <c r="AF40" s="924"/>
      <c r="AG40" s="593"/>
      <c r="AH40" s="591"/>
      <c r="AI40" s="655"/>
      <c r="AJ40" s="655"/>
      <c r="AK40" s="655"/>
      <c r="AL40" s="655"/>
      <c r="AM40" s="655"/>
      <c r="AN40" s="655"/>
    </row>
    <row r="41" spans="1:40" ht="17.100000000000001" customHeight="1" x14ac:dyDescent="0.25">
      <c r="C41" s="676"/>
      <c r="D41" s="676"/>
      <c r="E41" s="677"/>
      <c r="F41" s="677"/>
      <c r="G41" s="677"/>
      <c r="H41" s="677"/>
      <c r="I41" s="677"/>
      <c r="J41" s="678"/>
      <c r="K41" s="594"/>
      <c r="L41" s="594"/>
      <c r="M41" s="678"/>
      <c r="N41" s="678"/>
      <c r="O41" s="593"/>
      <c r="P41" s="593"/>
      <c r="Q41" s="593"/>
      <c r="R41" s="593"/>
      <c r="S41" s="593"/>
      <c r="T41" s="679" t="s">
        <v>968</v>
      </c>
      <c r="U41" s="598" t="str">
        <f>IF(U36="","",IF(U36=S38,S34,IF(U36=S34,S38)))</f>
        <v/>
      </c>
      <c r="V41" s="599" t="str">
        <f>IF(U41="",U41,VLOOKUP(U41,'Списки участников'!$A:$P,12,FALSE))</f>
        <v/>
      </c>
      <c r="W41" s="934" t="str">
        <f>CONCATENATE(H4+13," ","м")</f>
        <v>14 м</v>
      </c>
      <c r="X41" s="644"/>
      <c r="Y41" s="593"/>
      <c r="Z41" s="672"/>
      <c r="AA41" s="603"/>
      <c r="AB41" s="613" t="s">
        <v>45</v>
      </c>
      <c r="AC41" s="659"/>
      <c r="AD41" s="665"/>
      <c r="AE41" s="599" t="str">
        <f>IF(AD41="","",VLOOKUP(AD41,'Списки участников'!$A:$P,12,FALSE))</f>
        <v/>
      </c>
      <c r="AF41" s="921" t="str">
        <f>CONCATENATE(H4+14," ","м")</f>
        <v>15 м</v>
      </c>
      <c r="AG41" s="611"/>
      <c r="AH41" s="591"/>
      <c r="AI41" s="655"/>
      <c r="AJ41" s="655"/>
      <c r="AK41" s="655"/>
      <c r="AL41" s="655"/>
      <c r="AM41" s="655"/>
      <c r="AN41" s="655"/>
    </row>
    <row r="42" spans="1:40" ht="17.100000000000001" customHeight="1" x14ac:dyDescent="0.25">
      <c r="C42" s="639"/>
      <c r="D42" s="639"/>
      <c r="E42" s="639"/>
      <c r="F42" s="639"/>
      <c r="G42" s="639"/>
      <c r="H42" s="639"/>
      <c r="I42" s="639"/>
      <c r="J42" s="639"/>
      <c r="K42" s="639"/>
      <c r="L42" s="639"/>
      <c r="M42" s="639"/>
      <c r="N42" s="639"/>
      <c r="O42" s="594"/>
      <c r="P42" s="594"/>
      <c r="Q42" s="594"/>
      <c r="R42" s="594"/>
      <c r="S42" s="594"/>
      <c r="T42" s="594"/>
      <c r="U42" s="594"/>
      <c r="V42" s="594"/>
      <c r="W42" s="594"/>
      <c r="X42" s="593"/>
      <c r="Y42" s="593"/>
      <c r="Z42" s="597" t="s">
        <v>930</v>
      </c>
      <c r="AA42" s="598" t="str">
        <f>IF(S38="","",IF(S38=P39,P37,IF(S38=P37,P39)))</f>
        <v/>
      </c>
      <c r="AB42" s="599" t="str">
        <f>IF(AA42="",AA42,VLOOKUP(AA42,'Списки участников'!$A:$P,12,FALSE))</f>
        <v/>
      </c>
      <c r="AC42" s="668"/>
      <c r="AD42" s="664"/>
      <c r="AE42" s="626"/>
      <c r="AF42" s="926"/>
      <c r="AG42" s="632"/>
    </row>
    <row r="43" spans="1:40" ht="17.100000000000001" customHeight="1" x14ac:dyDescent="0.2">
      <c r="C43" s="639"/>
      <c r="D43" s="639"/>
      <c r="E43" s="639"/>
      <c r="F43" s="639"/>
      <c r="G43" s="639"/>
      <c r="H43" s="639"/>
      <c r="I43" s="639"/>
      <c r="J43" s="639"/>
      <c r="K43" s="639"/>
      <c r="L43" s="639"/>
      <c r="M43" s="639"/>
      <c r="N43" s="639"/>
      <c r="O43" s="594"/>
      <c r="P43" s="594"/>
      <c r="Q43" s="594"/>
      <c r="R43" s="594"/>
      <c r="S43" s="594"/>
      <c r="T43" s="594"/>
      <c r="U43" s="594"/>
      <c r="V43" s="594"/>
      <c r="W43" s="594"/>
      <c r="X43" s="593"/>
      <c r="Y43" s="593"/>
      <c r="Z43" s="593"/>
      <c r="AA43" s="593"/>
      <c r="AB43" s="593"/>
      <c r="AC43" s="593"/>
      <c r="AD43" s="593"/>
      <c r="AE43" s="593"/>
      <c r="AF43" s="924"/>
      <c r="AG43" s="632"/>
    </row>
    <row r="44" spans="1:40" ht="17.100000000000001" customHeight="1" x14ac:dyDescent="0.25">
      <c r="C44" s="639"/>
      <c r="D44" s="639"/>
      <c r="E44" s="639"/>
      <c r="F44" s="639"/>
      <c r="G44" s="639"/>
      <c r="H44" s="639"/>
      <c r="I44" s="639"/>
      <c r="J44" s="639"/>
      <c r="K44" s="639"/>
      <c r="L44" s="639"/>
      <c r="M44" s="639"/>
      <c r="N44" s="639"/>
      <c r="O44" s="1294" t="s">
        <v>1129</v>
      </c>
      <c r="P44" s="1294"/>
      <c r="Q44" s="1294"/>
      <c r="R44" s="1294"/>
      <c r="S44" s="1294"/>
      <c r="T44" s="680"/>
      <c r="U44" s="681"/>
      <c r="V44" s="682" t="str">
        <f>'Списки участников'!I121</f>
        <v>В.А. Коваль</v>
      </c>
      <c r="W44" s="681"/>
      <c r="X44" s="593"/>
      <c r="Y44" s="592"/>
      <c r="Z44" s="592"/>
      <c r="AA44" s="677"/>
      <c r="AB44" s="677"/>
      <c r="AC44" s="672" t="s">
        <v>972</v>
      </c>
      <c r="AD44" s="598" t="str">
        <f>IF(AD41="","",IF(AD41=AA42,AA40,IF(AD41=AA40,AA42)))</f>
        <v/>
      </c>
      <c r="AE44" s="599" t="str">
        <f>IF(AD44="",AD44,VLOOKUP(AD44,'Списки участников'!$A:$P,12,FALSE))</f>
        <v/>
      </c>
      <c r="AF44" s="921" t="str">
        <f>CONCATENATE(H4+15," ","м")</f>
        <v>16 м</v>
      </c>
      <c r="AG44" s="683"/>
    </row>
    <row r="45" spans="1:40" ht="15.75" x14ac:dyDescent="0.25">
      <c r="C45" s="639"/>
      <c r="D45" s="639"/>
      <c r="E45" s="639"/>
      <c r="F45" s="639"/>
      <c r="G45" s="639"/>
      <c r="H45" s="639"/>
      <c r="I45" s="639"/>
      <c r="J45" s="639"/>
      <c r="K45" s="639"/>
      <c r="L45" s="639"/>
      <c r="M45" s="639"/>
      <c r="N45" s="639"/>
      <c r="O45" s="684"/>
      <c r="P45" s="684"/>
      <c r="Q45" s="743"/>
      <c r="R45" s="743"/>
      <c r="S45" s="743"/>
      <c r="T45" s="1296"/>
      <c r="U45" s="1296"/>
      <c r="V45" s="1296"/>
      <c r="W45" s="1296"/>
      <c r="X45" s="684"/>
      <c r="Y45" s="684"/>
      <c r="Z45" s="684"/>
    </row>
    <row r="46" spans="1:40" ht="15.75" x14ac:dyDescent="0.25">
      <c r="C46" s="639"/>
      <c r="D46" s="639"/>
      <c r="E46" s="639"/>
      <c r="F46" s="639"/>
      <c r="G46" s="639"/>
      <c r="H46" s="639"/>
      <c r="I46" s="639"/>
      <c r="J46" s="639"/>
      <c r="K46" s="639"/>
      <c r="L46" s="639"/>
      <c r="M46" s="639"/>
      <c r="N46" s="639"/>
      <c r="O46" s="1294" t="s">
        <v>1130</v>
      </c>
      <c r="P46" s="1294"/>
      <c r="Q46" s="1294"/>
      <c r="R46" s="1294"/>
      <c r="S46" s="1294"/>
      <c r="T46" s="685"/>
      <c r="U46" s="686"/>
      <c r="V46" s="687" t="str">
        <f>'Списки участников'!I122</f>
        <v>А.С. Рожкова</v>
      </c>
      <c r="W46" s="686"/>
      <c r="X46" s="684"/>
      <c r="Y46" s="631"/>
      <c r="Z46" s="631"/>
    </row>
    <row r="47" spans="1:40" x14ac:dyDescent="0.2">
      <c r="C47" s="656"/>
      <c r="D47" s="656"/>
      <c r="E47" s="639"/>
      <c r="F47" s="639"/>
      <c r="G47" s="639"/>
      <c r="H47" s="639"/>
      <c r="I47" s="639"/>
      <c r="J47" s="656"/>
      <c r="K47" s="656"/>
      <c r="L47" s="656"/>
      <c r="M47" s="639"/>
      <c r="N47" s="639"/>
      <c r="T47" s="1295"/>
      <c r="U47" s="1295"/>
      <c r="V47" s="1295"/>
      <c r="W47" s="1295"/>
      <c r="AA47" s="688"/>
      <c r="AB47" s="688"/>
      <c r="AC47" s="688"/>
      <c r="AD47" s="688"/>
      <c r="AE47" s="688"/>
      <c r="AF47" s="689"/>
      <c r="AG47" s="688"/>
    </row>
    <row r="48" spans="1:40" x14ac:dyDescent="0.2">
      <c r="C48" s="656"/>
      <c r="D48" s="656"/>
      <c r="E48" s="639"/>
      <c r="F48" s="639"/>
      <c r="G48" s="639"/>
      <c r="H48" s="639"/>
      <c r="I48" s="639"/>
      <c r="J48" s="656"/>
      <c r="K48" s="656"/>
      <c r="L48" s="656"/>
      <c r="M48" s="639"/>
      <c r="N48" s="639"/>
      <c r="AA48" s="688"/>
      <c r="AB48" s="688"/>
      <c r="AC48" s="688"/>
      <c r="AD48" s="688"/>
      <c r="AE48" s="688"/>
      <c r="AF48" s="689"/>
      <c r="AG48" s="688"/>
    </row>
    <row r="49" spans="3:14" ht="13.5" customHeight="1" x14ac:dyDescent="0.2">
      <c r="C49" s="656"/>
      <c r="D49" s="656"/>
      <c r="E49" s="639"/>
      <c r="F49" s="639"/>
      <c r="G49" s="639"/>
      <c r="H49" s="639"/>
      <c r="I49" s="639"/>
      <c r="J49" s="656"/>
      <c r="K49" s="656"/>
      <c r="L49" s="656"/>
      <c r="M49" s="639"/>
      <c r="N49" s="639"/>
    </row>
    <row r="50" spans="3:14" ht="10.5" customHeight="1" x14ac:dyDescent="0.25">
      <c r="C50" s="684"/>
      <c r="D50" s="684"/>
      <c r="J50" s="684"/>
      <c r="K50" s="684"/>
      <c r="L50" s="684"/>
    </row>
    <row r="51" spans="3:14" ht="13.5" customHeight="1" x14ac:dyDescent="0.2"/>
    <row r="52" spans="3:14" ht="10.5" customHeight="1" x14ac:dyDescent="0.2"/>
  </sheetData>
  <mergeCells count="9">
    <mergeCell ref="A1:N1"/>
    <mergeCell ref="A2:N2"/>
    <mergeCell ref="O46:S46"/>
    <mergeCell ref="T47:W47"/>
    <mergeCell ref="C3:M3"/>
    <mergeCell ref="B4:C4"/>
    <mergeCell ref="L4:N4"/>
    <mergeCell ref="O44:S44"/>
    <mergeCell ref="T45:W45"/>
  </mergeCells>
  <pageMargins left="0.25" right="0.25" top="0.75" bottom="0.75" header="0.3" footer="0.3"/>
  <pageSetup paperSize="9" scale="83" fitToHeight="0" orientation="portrait" r:id="rId1"/>
  <headerFooter alignWithMargins="0"/>
  <colBreaks count="1" manualBreakCount="1">
    <brk id="14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7030A0"/>
  </sheetPr>
  <dimension ref="A1:T68"/>
  <sheetViews>
    <sheetView view="pageBreakPreview" zoomScale="60" zoomScaleNormal="100" workbookViewId="0">
      <selection activeCell="T24" sqref="T24"/>
    </sheetView>
  </sheetViews>
  <sheetFormatPr defaultRowHeight="12.75" outlineLevelCol="1" x14ac:dyDescent="0.2"/>
  <cols>
    <col min="1" max="1" width="6.6640625" customWidth="1"/>
    <col min="2" max="2" width="4.5" customWidth="1"/>
    <col min="3" max="4" width="5" customWidth="1"/>
    <col min="5" max="5" width="8" hidden="1" customWidth="1" outlineLevel="1"/>
    <col min="6" max="6" width="29.1640625" customWidth="1" collapsed="1"/>
    <col min="7" max="7" width="9.33203125" hidden="1" customWidth="1" outlineLevel="1"/>
    <col min="8" max="8" width="29.1640625" customWidth="1" collapsed="1"/>
    <col min="9" max="9" width="6.6640625" customWidth="1"/>
    <col min="10" max="10" width="4.83203125" customWidth="1"/>
    <col min="11" max="12" width="5" customWidth="1"/>
    <col min="13" max="13" width="9.33203125" hidden="1" customWidth="1" outlineLevel="1"/>
    <col min="14" max="14" width="29.1640625" customWidth="1" collapsed="1"/>
    <col min="15" max="15" width="9.33203125" hidden="1" customWidth="1" outlineLevel="1"/>
    <col min="16" max="16" width="29.1640625" customWidth="1" collapsed="1"/>
  </cols>
  <sheetData>
    <row r="1" spans="1:20" ht="21.75" customHeight="1" x14ac:dyDescent="0.3">
      <c r="A1" s="1301" t="str">
        <f>'Списки участников'!A1</f>
        <v>IV Мемориал Заслуженного тренера России В.А.Воробьева</v>
      </c>
      <c r="B1" s="1301"/>
      <c r="C1" s="1301"/>
      <c r="D1" s="1301"/>
      <c r="E1" s="1301"/>
      <c r="F1" s="1301"/>
      <c r="G1" s="1301"/>
      <c r="H1" s="1301"/>
      <c r="I1" s="1301"/>
      <c r="J1" s="1301"/>
      <c r="K1" s="1301"/>
      <c r="L1" s="1301"/>
      <c r="M1" s="1301"/>
      <c r="N1" s="1301"/>
      <c r="O1" s="1301"/>
      <c r="P1" s="1301"/>
    </row>
    <row r="2" spans="1:20" ht="16.5" thickBot="1" x14ac:dyDescent="0.3">
      <c r="A2" s="699" t="str">
        <f>'Списки участников'!C3</f>
        <v>26-29 мая 2016 г.</v>
      </c>
      <c r="B2" s="699"/>
      <c r="C2" s="699"/>
      <c r="D2" s="699"/>
      <c r="E2" s="698" t="s">
        <v>1131</v>
      </c>
      <c r="F2" s="698"/>
      <c r="G2" s="698"/>
      <c r="H2" s="811" t="s">
        <v>1146</v>
      </c>
      <c r="I2" s="1322" t="str">
        <f>'Списки участников'!D6</f>
        <v>ЮНОШИ</v>
      </c>
      <c r="J2" s="1323"/>
      <c r="K2" s="1323"/>
      <c r="L2" s="1323"/>
      <c r="M2" s="698"/>
      <c r="N2" s="698"/>
      <c r="P2" s="697" t="str">
        <f>'Списки участников'!I3</f>
        <v>г. Москва</v>
      </c>
    </row>
    <row r="3" spans="1:20" ht="16.5" customHeight="1" x14ac:dyDescent="0.25">
      <c r="A3" s="1302" t="s">
        <v>1132</v>
      </c>
      <c r="B3" s="1304" t="s">
        <v>1000</v>
      </c>
      <c r="C3" s="1318" t="s">
        <v>3</v>
      </c>
      <c r="D3" s="1319"/>
      <c r="E3" s="1306"/>
      <c r="F3" s="1308" t="s">
        <v>4</v>
      </c>
      <c r="G3" s="693"/>
      <c r="H3" s="1310" t="s">
        <v>4</v>
      </c>
      <c r="I3" s="1312" t="s">
        <v>1132</v>
      </c>
      <c r="J3" s="1314" t="s">
        <v>1000</v>
      </c>
      <c r="K3" s="1324" t="s">
        <v>3</v>
      </c>
      <c r="L3" s="1325"/>
      <c r="M3" s="745"/>
      <c r="N3" s="1316" t="s">
        <v>4</v>
      </c>
      <c r="O3" s="694"/>
      <c r="P3" s="1299" t="s">
        <v>4</v>
      </c>
      <c r="R3" s="113"/>
      <c r="S3" s="113"/>
      <c r="T3" s="113"/>
    </row>
    <row r="4" spans="1:20" ht="16.5" thickBot="1" x14ac:dyDescent="0.3">
      <c r="A4" s="1303"/>
      <c r="B4" s="1305"/>
      <c r="C4" s="1320"/>
      <c r="D4" s="1321"/>
      <c r="E4" s="1307"/>
      <c r="F4" s="1309"/>
      <c r="G4" s="695"/>
      <c r="H4" s="1311"/>
      <c r="I4" s="1313"/>
      <c r="J4" s="1315"/>
      <c r="K4" s="1326"/>
      <c r="L4" s="1327"/>
      <c r="M4" s="746"/>
      <c r="N4" s="1317"/>
      <c r="O4" s="696"/>
      <c r="P4" s="1300"/>
      <c r="R4" s="113"/>
      <c r="S4" s="113"/>
      <c r="T4" s="113"/>
    </row>
    <row r="5" spans="1:20" ht="15.75" x14ac:dyDescent="0.25">
      <c r="A5" s="690">
        <v>1</v>
      </c>
      <c r="B5" s="495">
        <v>1</v>
      </c>
      <c r="C5" s="755">
        <v>1</v>
      </c>
      <c r="D5" s="756">
        <v>16</v>
      </c>
      <c r="E5" s="497">
        <f>LOOKUP(C5,'Юноши 1ф'!A:A,'Юноши 1ф'!B:B)</f>
        <v>0</v>
      </c>
      <c r="F5" s="691" t="e">
        <f>IF(E5="","",VLOOKUP(E5,'Списки участников'!A:L,3,FALSE))</f>
        <v>#N/A</v>
      </c>
      <c r="G5" s="498">
        <f>LOOKUP(D5,'Юноши 1ф'!A:A,'Юноши 1ф'!B:B)</f>
        <v>0</v>
      </c>
      <c r="H5" s="691" t="e">
        <f>IF(G5="","",VLOOKUP(G5,'Списки участников'!A:L,3,FALSE))</f>
        <v>#N/A</v>
      </c>
      <c r="I5" s="690">
        <v>65</v>
      </c>
      <c r="J5" s="509">
        <v>9</v>
      </c>
      <c r="K5" s="760">
        <v>1</v>
      </c>
      <c r="L5" s="760">
        <v>8</v>
      </c>
      <c r="M5" s="498">
        <f>LOOKUP(K5,'Юноши 1ф'!A:A,'Юноши 1ф'!B:B)</f>
        <v>0</v>
      </c>
      <c r="N5" s="691" t="e">
        <f>IF(M5="","",VLOOKUP(M5,'Списки участников'!A:L,3,FALSE))</f>
        <v>#N/A</v>
      </c>
      <c r="O5" s="498">
        <f>LOOKUP(L5,'Юноши 1ф'!A:A,'Юноши 1ф'!B:B)</f>
        <v>0</v>
      </c>
      <c r="P5" s="691" t="e">
        <f>IF(O5="","",VLOOKUP(O5,'Списки участников'!A:L,3,FALSE))</f>
        <v>#N/A</v>
      </c>
      <c r="Q5" s="766">
        <v>1</v>
      </c>
      <c r="R5" s="766">
        <v>1</v>
      </c>
      <c r="S5" s="113"/>
      <c r="T5" s="113"/>
    </row>
    <row r="6" spans="1:20" ht="15.75" x14ac:dyDescent="0.25">
      <c r="A6" s="499">
        <v>2</v>
      </c>
      <c r="B6" s="500">
        <v>1</v>
      </c>
      <c r="C6" s="755">
        <v>2</v>
      </c>
      <c r="D6" s="756">
        <v>15</v>
      </c>
      <c r="E6" s="497">
        <f>LOOKUP(C6,'Юноши 1ф'!A:A,'Юноши 1ф'!B:B)</f>
        <v>0</v>
      </c>
      <c r="F6" s="708" t="e">
        <f>IF(E6="","",VLOOKUP(E6,'Списки участников'!A:L,3,FALSE))</f>
        <v>#N/A</v>
      </c>
      <c r="G6" s="498">
        <f>LOOKUP(D6,'Юноши 1ф'!A:A,'Юноши 1ф'!B:B)</f>
        <v>0</v>
      </c>
      <c r="H6" s="708" t="e">
        <f>IF(G6="","",VLOOKUP(G6,'Списки участников'!A:L,3,FALSE))</f>
        <v>#N/A</v>
      </c>
      <c r="I6" s="499">
        <v>66</v>
      </c>
      <c r="J6" s="509">
        <v>9</v>
      </c>
      <c r="K6" s="756">
        <v>9</v>
      </c>
      <c r="L6" s="756">
        <v>7</v>
      </c>
      <c r="M6" s="498">
        <f>LOOKUP(K6,'Юноши 1ф'!A:A,'Юноши 1ф'!B:B)</f>
        <v>0</v>
      </c>
      <c r="N6" s="708" t="e">
        <f>IF(M6="","",VLOOKUP(M6,'Списки участников'!A:L,3,FALSE))</f>
        <v>#N/A</v>
      </c>
      <c r="O6" s="498">
        <f>LOOKUP(L6,'Юноши 1ф'!A:A,'Юноши 1ф'!B:B)</f>
        <v>0</v>
      </c>
      <c r="P6" s="708" t="e">
        <f>IF(O6="","",VLOOKUP(O6,'Списки участников'!A:L,3,FALSE))</f>
        <v>#N/A</v>
      </c>
      <c r="Q6" s="766">
        <v>2</v>
      </c>
      <c r="R6" s="766">
        <v>9</v>
      </c>
      <c r="S6" s="113"/>
      <c r="T6" s="113"/>
    </row>
    <row r="7" spans="1:20" ht="15.75" x14ac:dyDescent="0.25">
      <c r="A7" s="499">
        <v>3</v>
      </c>
      <c r="B7" s="500">
        <v>1</v>
      </c>
      <c r="C7" s="755">
        <v>3</v>
      </c>
      <c r="D7" s="756">
        <v>14</v>
      </c>
      <c r="E7" s="497">
        <f>LOOKUP(C7,'Юноши 1ф'!A:A,'Юноши 1ф'!B:B)</f>
        <v>0</v>
      </c>
      <c r="F7" s="708" t="e">
        <f>IF(E7="","",VLOOKUP(E7,'Списки участников'!A:L,3,FALSE))</f>
        <v>#N/A</v>
      </c>
      <c r="G7" s="498">
        <f>LOOKUP(D7,'Юноши 1ф'!A:A,'Юноши 1ф'!B:B)</f>
        <v>0</v>
      </c>
      <c r="H7" s="708" t="e">
        <f>IF(G7="","",VLOOKUP(G7,'Списки участников'!A:L,3,FALSE))</f>
        <v>#N/A</v>
      </c>
      <c r="I7" s="499">
        <v>67</v>
      </c>
      <c r="J7" s="509">
        <v>9</v>
      </c>
      <c r="K7" s="756">
        <v>10</v>
      </c>
      <c r="L7" s="756">
        <v>6</v>
      </c>
      <c r="M7" s="498">
        <f>LOOKUP(K7,'Юноши 1ф'!A:A,'Юноши 1ф'!B:B)</f>
        <v>0</v>
      </c>
      <c r="N7" s="708" t="e">
        <f>IF(M7="","",VLOOKUP(M7,'Списки участников'!A:L,3,FALSE))</f>
        <v>#N/A</v>
      </c>
      <c r="O7" s="498">
        <f>LOOKUP(L7,'Юноши 1ф'!A:A,'Юноши 1ф'!B:B)</f>
        <v>0</v>
      </c>
      <c r="P7" s="708" t="e">
        <f>IF(O7="","",VLOOKUP(O7,'Списки участников'!A:L,3,FALSE))</f>
        <v>#N/A</v>
      </c>
      <c r="Q7" s="766">
        <v>3</v>
      </c>
      <c r="R7" s="766">
        <v>17</v>
      </c>
      <c r="S7" s="113"/>
      <c r="T7" s="113"/>
    </row>
    <row r="8" spans="1:20" ht="15.75" x14ac:dyDescent="0.25">
      <c r="A8" s="499">
        <v>4</v>
      </c>
      <c r="B8" s="500">
        <v>1</v>
      </c>
      <c r="C8" s="755">
        <v>4</v>
      </c>
      <c r="D8" s="756">
        <v>13</v>
      </c>
      <c r="E8" s="497">
        <f>LOOKUP(C8,'Юноши 1ф'!A:A,'Юноши 1ф'!B:B)</f>
        <v>0</v>
      </c>
      <c r="F8" s="708" t="e">
        <f>IF(E8="","",VLOOKUP(E8,'Списки участников'!A:L,3,FALSE))</f>
        <v>#N/A</v>
      </c>
      <c r="G8" s="498">
        <f>LOOKUP(D8,'Юноши 1ф'!A:A,'Юноши 1ф'!B:B)</f>
        <v>0</v>
      </c>
      <c r="H8" s="708" t="e">
        <f>IF(G8="","",VLOOKUP(G8,'Списки участников'!A:L,3,FALSE))</f>
        <v>#N/A</v>
      </c>
      <c r="I8" s="499">
        <v>68</v>
      </c>
      <c r="J8" s="509">
        <v>9</v>
      </c>
      <c r="K8" s="756">
        <v>11</v>
      </c>
      <c r="L8" s="756">
        <v>5</v>
      </c>
      <c r="M8" s="498">
        <f>LOOKUP(K8,'Юноши 1ф'!A:A,'Юноши 1ф'!B:B)</f>
        <v>0</v>
      </c>
      <c r="N8" s="708" t="e">
        <f>IF(M8="","",VLOOKUP(M8,'Списки участников'!A:L,3,FALSE))</f>
        <v>#N/A</v>
      </c>
      <c r="O8" s="498">
        <f>LOOKUP(L8,'Юноши 1ф'!A:A,'Юноши 1ф'!B:B)</f>
        <v>0</v>
      </c>
      <c r="P8" s="708" t="e">
        <f>IF(O8="","",VLOOKUP(O8,'Списки участников'!A:L,3,FALSE))</f>
        <v>#N/A</v>
      </c>
      <c r="Q8" s="766">
        <v>4</v>
      </c>
      <c r="R8" s="766">
        <v>25</v>
      </c>
      <c r="S8" s="113"/>
      <c r="T8" s="113"/>
    </row>
    <row r="9" spans="1:20" ht="15.75" x14ac:dyDescent="0.25">
      <c r="A9" s="499">
        <v>5</v>
      </c>
      <c r="B9" s="502">
        <v>1</v>
      </c>
      <c r="C9" s="755">
        <v>5</v>
      </c>
      <c r="D9" s="756">
        <v>12</v>
      </c>
      <c r="E9" s="497">
        <f>LOOKUP(C9,'Юноши 1ф'!A:A,'Юноши 1ф'!B:B)</f>
        <v>0</v>
      </c>
      <c r="F9" s="708" t="e">
        <f>IF(E9="","",VLOOKUP(E9,'Списки участников'!A:L,3,FALSE))</f>
        <v>#N/A</v>
      </c>
      <c r="G9" s="498">
        <f>LOOKUP(D9,'Юноши 1ф'!A:A,'Юноши 1ф'!B:B)</f>
        <v>0</v>
      </c>
      <c r="H9" s="708" t="e">
        <f>IF(G9="","",VLOOKUP(G9,'Списки участников'!A:L,3,FALSE))</f>
        <v>#N/A</v>
      </c>
      <c r="I9" s="499">
        <v>69</v>
      </c>
      <c r="J9" s="514">
        <v>9</v>
      </c>
      <c r="K9" s="756">
        <v>12</v>
      </c>
      <c r="L9" s="756">
        <v>4</v>
      </c>
      <c r="M9" s="498">
        <f>LOOKUP(K9,'Юноши 1ф'!A:A,'Юноши 1ф'!B:B)</f>
        <v>0</v>
      </c>
      <c r="N9" s="708" t="e">
        <f>IF(M9="","",VLOOKUP(M9,'Списки участников'!A:L,3,FALSE))</f>
        <v>#N/A</v>
      </c>
      <c r="O9" s="498">
        <f>LOOKUP(L9,'Юноши 1ф'!A:A,'Юноши 1ф'!B:B)</f>
        <v>0</v>
      </c>
      <c r="P9" s="708" t="e">
        <f>IF(O9="","",VLOOKUP(O9,'Списки участников'!A:L,3,FALSE))</f>
        <v>#N/A</v>
      </c>
      <c r="Q9" s="766">
        <v>5</v>
      </c>
      <c r="R9" s="766">
        <v>33</v>
      </c>
      <c r="S9" s="113"/>
      <c r="T9" s="113"/>
    </row>
    <row r="10" spans="1:20" ht="15.75" x14ac:dyDescent="0.25">
      <c r="A10" s="499">
        <v>6</v>
      </c>
      <c r="B10" s="500">
        <v>1</v>
      </c>
      <c r="C10" s="755">
        <v>6</v>
      </c>
      <c r="D10" s="756">
        <v>11</v>
      </c>
      <c r="E10" s="497">
        <f>LOOKUP(C10,'Юноши 1ф'!A:A,'Юноши 1ф'!B:B)</f>
        <v>0</v>
      </c>
      <c r="F10" s="708" t="e">
        <f>IF(E10="","",VLOOKUP(E10,'Списки участников'!A:L,3,FALSE))</f>
        <v>#N/A</v>
      </c>
      <c r="G10" s="498">
        <f>LOOKUP(D10,'Юноши 1ф'!A:A,'Юноши 1ф'!B:B)</f>
        <v>0</v>
      </c>
      <c r="H10" s="708" t="e">
        <f>IF(G10="","",VLOOKUP(G10,'Списки участников'!A:L,3,FALSE))</f>
        <v>#N/A</v>
      </c>
      <c r="I10" s="499">
        <v>70</v>
      </c>
      <c r="J10" s="509">
        <v>9</v>
      </c>
      <c r="K10" s="762">
        <v>13</v>
      </c>
      <c r="L10" s="762">
        <v>3</v>
      </c>
      <c r="M10" s="498">
        <f>LOOKUP(K10,'Юноши 1ф'!A:A,'Юноши 1ф'!B:B)</f>
        <v>0</v>
      </c>
      <c r="N10" s="708" t="e">
        <f>IF(M10="","",VLOOKUP(M10,'Списки участников'!A:L,3,FALSE))</f>
        <v>#N/A</v>
      </c>
      <c r="O10" s="498">
        <f>LOOKUP(L10,'Юноши 1ф'!A:A,'Юноши 1ф'!B:B)</f>
        <v>0</v>
      </c>
      <c r="P10" s="708" t="e">
        <f>IF(O10="","",VLOOKUP(O10,'Списки участников'!A:L,3,FALSE))</f>
        <v>#N/A</v>
      </c>
      <c r="Q10" s="766">
        <v>6</v>
      </c>
      <c r="R10" s="766">
        <v>41</v>
      </c>
      <c r="S10" s="113"/>
      <c r="T10" s="113"/>
    </row>
    <row r="11" spans="1:20" ht="15.75" x14ac:dyDescent="0.25">
      <c r="A11" s="499">
        <v>7</v>
      </c>
      <c r="B11" s="500">
        <v>1</v>
      </c>
      <c r="C11" s="755">
        <v>7</v>
      </c>
      <c r="D11" s="756">
        <v>10</v>
      </c>
      <c r="E11" s="497">
        <f>LOOKUP(C11,'Юноши 1ф'!A:A,'Юноши 1ф'!B:B)</f>
        <v>0</v>
      </c>
      <c r="F11" s="708" t="e">
        <f>IF(E11="","",VLOOKUP(E11,'Списки участников'!A:L,3,FALSE))</f>
        <v>#N/A</v>
      </c>
      <c r="G11" s="498">
        <f>LOOKUP(D11,'Юноши 1ф'!A:A,'Юноши 1ф'!B:B)</f>
        <v>0</v>
      </c>
      <c r="H11" s="708" t="e">
        <f>IF(G11="","",VLOOKUP(G11,'Списки участников'!A:L,3,FALSE))</f>
        <v>#N/A</v>
      </c>
      <c r="I11" s="499">
        <v>71</v>
      </c>
      <c r="J11" s="509">
        <v>9</v>
      </c>
      <c r="K11" s="762">
        <v>14</v>
      </c>
      <c r="L11" s="762">
        <v>2</v>
      </c>
      <c r="M11" s="498">
        <f>LOOKUP(K11,'Юноши 1ф'!A:A,'Юноши 1ф'!B:B)</f>
        <v>0</v>
      </c>
      <c r="N11" s="708" t="e">
        <f>IF(M11="","",VLOOKUP(M11,'Списки участников'!A:L,3,FALSE))</f>
        <v>#N/A</v>
      </c>
      <c r="O11" s="498">
        <f>LOOKUP(L11,'Юноши 1ф'!A:A,'Юноши 1ф'!B:B)</f>
        <v>0</v>
      </c>
      <c r="P11" s="708" t="e">
        <f>IF(O11="","",VLOOKUP(O11,'Списки участников'!A:L,3,FALSE))</f>
        <v>#N/A</v>
      </c>
      <c r="Q11" s="766">
        <v>7</v>
      </c>
      <c r="R11" s="766">
        <v>49</v>
      </c>
      <c r="S11" s="113"/>
      <c r="T11" s="113"/>
    </row>
    <row r="12" spans="1:20" ht="16.5" thickBot="1" x14ac:dyDescent="0.3">
      <c r="A12" s="499">
        <v>8</v>
      </c>
      <c r="B12" s="505">
        <v>1</v>
      </c>
      <c r="C12" s="757">
        <v>8</v>
      </c>
      <c r="D12" s="758">
        <v>9</v>
      </c>
      <c r="E12" s="497">
        <f>LOOKUP(C12,'Юноши 1ф'!A:A,'Юноши 1ф'!B:B)</f>
        <v>0</v>
      </c>
      <c r="F12" s="747" t="e">
        <f>IF(E12="","",VLOOKUP(E12,'Списки участников'!A:L,3,FALSE))</f>
        <v>#N/A</v>
      </c>
      <c r="G12" s="748">
        <f>LOOKUP(D12,'Юноши 1ф'!A:A,'Юноши 1ф'!B:B)</f>
        <v>0</v>
      </c>
      <c r="H12" s="747" t="e">
        <f>IF(G12="","",VLOOKUP(G12,'Списки участников'!A:L,3,FALSE))</f>
        <v>#N/A</v>
      </c>
      <c r="I12" s="716">
        <v>72</v>
      </c>
      <c r="J12" s="513">
        <v>9</v>
      </c>
      <c r="K12" s="758">
        <v>15</v>
      </c>
      <c r="L12" s="758">
        <v>16</v>
      </c>
      <c r="M12" s="748">
        <f>LOOKUP(K12,'Юноши 1ф'!A:A,'Юноши 1ф'!B:B)</f>
        <v>0</v>
      </c>
      <c r="N12" s="747" t="e">
        <f>IF(M12="","",VLOOKUP(M12,'Списки участников'!A:L,3,FALSE))</f>
        <v>#N/A</v>
      </c>
      <c r="O12" s="748">
        <f>LOOKUP(L12,'Юноши 1ф'!A:A,'Юноши 1ф'!B:B)</f>
        <v>0</v>
      </c>
      <c r="P12" s="747" t="e">
        <f>IF(O12="","",VLOOKUP(O12,'Списки участников'!A:L,3,FALSE))</f>
        <v>#N/A</v>
      </c>
      <c r="Q12" s="766">
        <v>8</v>
      </c>
      <c r="R12" s="766">
        <v>57</v>
      </c>
    </row>
    <row r="13" spans="1:20" ht="17.25" x14ac:dyDescent="0.25">
      <c r="A13" s="499">
        <v>9</v>
      </c>
      <c r="B13" s="500">
        <v>2</v>
      </c>
      <c r="C13" s="759">
        <v>15</v>
      </c>
      <c r="D13" s="760">
        <v>1</v>
      </c>
      <c r="E13" s="497">
        <f>LOOKUP(C13,'Юноши 1ф'!A:A,'Юноши 1ф'!B:B)</f>
        <v>0</v>
      </c>
      <c r="F13" s="708" t="e">
        <f>IF(E13="","",VLOOKUP(E13,'Списки участников'!A:L,3,FALSE))</f>
        <v>#N/A</v>
      </c>
      <c r="G13" s="498">
        <f>LOOKUP(D13,'Юноши 1ф'!A:A,'Юноши 1ф'!B:B)</f>
        <v>0</v>
      </c>
      <c r="H13" s="708" t="e">
        <f>IF(G13="","",VLOOKUP(G13,'Списки участников'!A:L,3,FALSE))</f>
        <v>#N/A</v>
      </c>
      <c r="I13" s="705">
        <v>73</v>
      </c>
      <c r="J13" s="509">
        <v>10</v>
      </c>
      <c r="K13" s="760">
        <v>7</v>
      </c>
      <c r="L13" s="760">
        <v>1</v>
      </c>
      <c r="M13" s="498">
        <f>LOOKUP(K13,'Юноши 1ф'!A:A,'Юноши 1ф'!B:B)</f>
        <v>0</v>
      </c>
      <c r="N13" s="708" t="e">
        <f>IF(M13="","",VLOOKUP(M13,'Списки участников'!A:L,3,FALSE))</f>
        <v>#N/A</v>
      </c>
      <c r="O13" s="498">
        <f>LOOKUP(L13,'Юноши 1ф'!A:A,'Юноши 1ф'!B:B)</f>
        <v>0</v>
      </c>
      <c r="P13" s="708" t="e">
        <f>IF(O13="","",VLOOKUP(O13,'Списки участников'!A:L,3,FALSE))</f>
        <v>#N/A</v>
      </c>
      <c r="Q13" s="766">
        <v>9</v>
      </c>
      <c r="R13" s="766">
        <v>65</v>
      </c>
    </row>
    <row r="14" spans="1:20" ht="17.25" x14ac:dyDescent="0.25">
      <c r="A14" s="499">
        <v>10</v>
      </c>
      <c r="B14" s="500">
        <v>2</v>
      </c>
      <c r="C14" s="755">
        <v>16</v>
      </c>
      <c r="D14" s="756">
        <v>14</v>
      </c>
      <c r="E14" s="497">
        <f>LOOKUP(C14,'Юноши 1ф'!A:A,'Юноши 1ф'!B:B)</f>
        <v>0</v>
      </c>
      <c r="F14" s="708" t="e">
        <f>IF(E14="","",VLOOKUP(E14,'Списки участников'!A:L,3,FALSE))</f>
        <v>#N/A</v>
      </c>
      <c r="G14" s="498">
        <f>LOOKUP(D14,'Юноши 1ф'!A:A,'Юноши 1ф'!B:B)</f>
        <v>0</v>
      </c>
      <c r="H14" s="708" t="e">
        <f>IF(G14="","",VLOOKUP(G14,'Списки участников'!A:L,3,FALSE))</f>
        <v>#N/A</v>
      </c>
      <c r="I14" s="499">
        <v>74</v>
      </c>
      <c r="J14" s="509">
        <v>10</v>
      </c>
      <c r="K14" s="756">
        <v>8</v>
      </c>
      <c r="L14" s="760">
        <v>6</v>
      </c>
      <c r="M14" s="498">
        <f>LOOKUP(K14,'Юноши 1ф'!A:A,'Юноши 1ф'!B:B)</f>
        <v>0</v>
      </c>
      <c r="N14" s="708" t="e">
        <f>IF(M14="","",VLOOKUP(M14,'Списки участников'!A:L,3,FALSE))</f>
        <v>#N/A</v>
      </c>
      <c r="O14" s="498">
        <f>LOOKUP(L14,'Юноши 1ф'!A:A,'Юноши 1ф'!B:B)</f>
        <v>0</v>
      </c>
      <c r="P14" s="708" t="e">
        <f>IF(O14="","",VLOOKUP(O14,'Списки участников'!A:L,3,FALSE))</f>
        <v>#N/A</v>
      </c>
      <c r="Q14" s="766">
        <v>10</v>
      </c>
      <c r="R14" s="766">
        <v>73</v>
      </c>
    </row>
    <row r="15" spans="1:20" ht="17.25" x14ac:dyDescent="0.25">
      <c r="A15" s="499">
        <v>11</v>
      </c>
      <c r="B15" s="500">
        <v>2</v>
      </c>
      <c r="C15" s="755">
        <v>2</v>
      </c>
      <c r="D15" s="756">
        <v>13</v>
      </c>
      <c r="E15" s="497">
        <f>LOOKUP(C15,'Юноши 1ф'!A:A,'Юноши 1ф'!B:B)</f>
        <v>0</v>
      </c>
      <c r="F15" s="708" t="e">
        <f>IF(E15="","",VLOOKUP(E15,'Списки участников'!A:L,3,FALSE))</f>
        <v>#N/A</v>
      </c>
      <c r="G15" s="498">
        <f>LOOKUP(D15,'Юноши 1ф'!A:A,'Юноши 1ф'!B:B)</f>
        <v>0</v>
      </c>
      <c r="H15" s="708" t="e">
        <f>IF(G15="","",VLOOKUP(G15,'Списки участников'!A:L,3,FALSE))</f>
        <v>#N/A</v>
      </c>
      <c r="I15" s="499">
        <v>75</v>
      </c>
      <c r="J15" s="509">
        <v>10</v>
      </c>
      <c r="K15" s="756">
        <v>9</v>
      </c>
      <c r="L15" s="760">
        <v>5</v>
      </c>
      <c r="M15" s="498">
        <f>LOOKUP(K15,'Юноши 1ф'!A:A,'Юноши 1ф'!B:B)</f>
        <v>0</v>
      </c>
      <c r="N15" s="708" t="e">
        <f>IF(M15="","",VLOOKUP(M15,'Списки участников'!A:L,3,FALSE))</f>
        <v>#N/A</v>
      </c>
      <c r="O15" s="498">
        <f>LOOKUP(L15,'Юноши 1ф'!A:A,'Юноши 1ф'!B:B)</f>
        <v>0</v>
      </c>
      <c r="P15" s="708" t="e">
        <f>IF(O15="","",VLOOKUP(O15,'Списки участников'!A:L,3,FALSE))</f>
        <v>#N/A</v>
      </c>
      <c r="Q15" s="766">
        <v>11</v>
      </c>
      <c r="R15" s="766">
        <v>81</v>
      </c>
    </row>
    <row r="16" spans="1:20" ht="17.25" x14ac:dyDescent="0.25">
      <c r="A16" s="499">
        <v>12</v>
      </c>
      <c r="B16" s="500">
        <v>2</v>
      </c>
      <c r="C16" s="755">
        <v>3</v>
      </c>
      <c r="D16" s="756">
        <v>12</v>
      </c>
      <c r="E16" s="497">
        <f>LOOKUP(C16,'Юноши 1ф'!A:A,'Юноши 1ф'!B:B)</f>
        <v>0</v>
      </c>
      <c r="F16" s="708" t="e">
        <f>IF(E16="","",VLOOKUP(E16,'Списки участников'!A:L,3,FALSE))</f>
        <v>#N/A</v>
      </c>
      <c r="G16" s="498">
        <f>LOOKUP(D16,'Юноши 1ф'!A:A,'Юноши 1ф'!B:B)</f>
        <v>0</v>
      </c>
      <c r="H16" s="708" t="e">
        <f>IF(G16="","",VLOOKUP(G16,'Списки участников'!A:L,3,FALSE))</f>
        <v>#N/A</v>
      </c>
      <c r="I16" s="499">
        <v>76</v>
      </c>
      <c r="J16" s="509">
        <v>10</v>
      </c>
      <c r="K16" s="756">
        <v>10</v>
      </c>
      <c r="L16" s="760">
        <v>4</v>
      </c>
      <c r="M16" s="498">
        <f>LOOKUP(K16,'Юноши 1ф'!A:A,'Юноши 1ф'!B:B)</f>
        <v>0</v>
      </c>
      <c r="N16" s="708" t="e">
        <f>IF(M16="","",VLOOKUP(M16,'Списки участников'!A:L,3,FALSE))</f>
        <v>#N/A</v>
      </c>
      <c r="O16" s="498">
        <f>LOOKUP(L16,'Юноши 1ф'!A:A,'Юноши 1ф'!B:B)</f>
        <v>0</v>
      </c>
      <c r="P16" s="708" t="e">
        <f>IF(O16="","",VLOOKUP(O16,'Списки участников'!A:L,3,FALSE))</f>
        <v>#N/A</v>
      </c>
      <c r="Q16" s="766">
        <v>12</v>
      </c>
      <c r="R16" s="766">
        <v>89</v>
      </c>
    </row>
    <row r="17" spans="1:18" ht="17.25" x14ac:dyDescent="0.25">
      <c r="A17" s="499">
        <v>13</v>
      </c>
      <c r="B17" s="502">
        <v>2</v>
      </c>
      <c r="C17" s="755">
        <v>4</v>
      </c>
      <c r="D17" s="756">
        <v>11</v>
      </c>
      <c r="E17" s="497">
        <f>LOOKUP(C17,'Юноши 1ф'!A:A,'Юноши 1ф'!B:B)</f>
        <v>0</v>
      </c>
      <c r="F17" s="708" t="e">
        <f>IF(E17="","",VLOOKUP(E17,'Списки участников'!A:L,3,FALSE))</f>
        <v>#N/A</v>
      </c>
      <c r="G17" s="498">
        <f>LOOKUP(D17,'Юноши 1ф'!A:A,'Юноши 1ф'!B:B)</f>
        <v>0</v>
      </c>
      <c r="H17" s="708" t="e">
        <f>IF(G17="","",VLOOKUP(G17,'Списки участников'!A:L,3,FALSE))</f>
        <v>#N/A</v>
      </c>
      <c r="I17" s="499">
        <v>77</v>
      </c>
      <c r="J17" s="514">
        <v>10</v>
      </c>
      <c r="K17" s="756">
        <v>11</v>
      </c>
      <c r="L17" s="760">
        <v>3</v>
      </c>
      <c r="M17" s="498">
        <f>LOOKUP(K17,'Юноши 1ф'!A:A,'Юноши 1ф'!B:B)</f>
        <v>0</v>
      </c>
      <c r="N17" s="708" t="e">
        <f>IF(M17="","",VLOOKUP(M17,'Списки участников'!A:L,3,FALSE))</f>
        <v>#N/A</v>
      </c>
      <c r="O17" s="498">
        <f>LOOKUP(L17,'Юноши 1ф'!A:A,'Юноши 1ф'!B:B)</f>
        <v>0</v>
      </c>
      <c r="P17" s="708" t="e">
        <f>IF(O17="","",VLOOKUP(O17,'Списки участников'!A:L,3,FALSE))</f>
        <v>#N/A</v>
      </c>
      <c r="Q17" s="766">
        <v>13</v>
      </c>
      <c r="R17" s="766">
        <v>97</v>
      </c>
    </row>
    <row r="18" spans="1:18" ht="17.25" x14ac:dyDescent="0.25">
      <c r="A18" s="499">
        <v>14</v>
      </c>
      <c r="B18" s="500">
        <v>2</v>
      </c>
      <c r="C18" s="755">
        <v>5</v>
      </c>
      <c r="D18" s="756">
        <v>10</v>
      </c>
      <c r="E18" s="497">
        <f>LOOKUP(C18,'Юноши 1ф'!A:A,'Юноши 1ф'!B:B)</f>
        <v>0</v>
      </c>
      <c r="F18" s="708" t="e">
        <f>IF(E18="","",VLOOKUP(E18,'Списки участников'!A:L,3,FALSE))</f>
        <v>#N/A</v>
      </c>
      <c r="G18" s="498">
        <f>LOOKUP(D18,'Юноши 1ф'!A:A,'Юноши 1ф'!B:B)</f>
        <v>0</v>
      </c>
      <c r="H18" s="708" t="e">
        <f>IF(G18="","",VLOOKUP(G18,'Списки участников'!A:L,3,FALSE))</f>
        <v>#N/A</v>
      </c>
      <c r="I18" s="499">
        <v>78</v>
      </c>
      <c r="J18" s="509">
        <v>10</v>
      </c>
      <c r="K18" s="762">
        <v>12</v>
      </c>
      <c r="L18" s="756">
        <v>2</v>
      </c>
      <c r="M18" s="498">
        <f>LOOKUP(K18,'Юноши 1ф'!A:A,'Юноши 1ф'!B:B)</f>
        <v>0</v>
      </c>
      <c r="N18" s="708" t="e">
        <f>IF(M18="","",VLOOKUP(M18,'Списки участников'!A:L,3,FALSE))</f>
        <v>#N/A</v>
      </c>
      <c r="O18" s="498">
        <f>LOOKUP(L18,'Юноши 1ф'!A:A,'Юноши 1ф'!B:B)</f>
        <v>0</v>
      </c>
      <c r="P18" s="708" t="e">
        <f>IF(O18="","",VLOOKUP(O18,'Списки участников'!A:L,3,FALSE))</f>
        <v>#N/A</v>
      </c>
      <c r="Q18" s="766">
        <v>14</v>
      </c>
      <c r="R18" s="766">
        <v>105</v>
      </c>
    </row>
    <row r="19" spans="1:18" ht="17.25" x14ac:dyDescent="0.25">
      <c r="A19" s="499">
        <v>15</v>
      </c>
      <c r="B19" s="500">
        <v>2</v>
      </c>
      <c r="C19" s="755">
        <v>6</v>
      </c>
      <c r="D19" s="756">
        <v>9</v>
      </c>
      <c r="E19" s="497">
        <f>LOOKUP(C19,'Юноши 1ф'!A:A,'Юноши 1ф'!B:B)</f>
        <v>0</v>
      </c>
      <c r="F19" s="708" t="e">
        <f>IF(E19="","",VLOOKUP(E19,'Списки участников'!A:L,3,FALSE))</f>
        <v>#N/A</v>
      </c>
      <c r="G19" s="498">
        <f>LOOKUP(D19,'Юноши 1ф'!A:A,'Юноши 1ф'!B:B)</f>
        <v>0</v>
      </c>
      <c r="H19" s="708" t="e">
        <f>IF(G19="","",VLOOKUP(G19,'Списки участников'!A:L,3,FALSE))</f>
        <v>#N/A</v>
      </c>
      <c r="I19" s="499">
        <v>79</v>
      </c>
      <c r="J19" s="509">
        <v>10</v>
      </c>
      <c r="K19" s="762">
        <v>13</v>
      </c>
      <c r="L19" s="756">
        <v>16</v>
      </c>
      <c r="M19" s="498">
        <f>LOOKUP(K19,'Юноши 1ф'!A:A,'Юноши 1ф'!B:B)</f>
        <v>0</v>
      </c>
      <c r="N19" s="708" t="e">
        <f>IF(M19="","",VLOOKUP(M19,'Списки участников'!A:L,3,FALSE))</f>
        <v>#N/A</v>
      </c>
      <c r="O19" s="498">
        <f>LOOKUP(L19,'Юноши 1ф'!A:A,'Юноши 1ф'!B:B)</f>
        <v>0</v>
      </c>
      <c r="P19" s="708" t="e">
        <f>IF(O19="","",VLOOKUP(O19,'Списки участников'!A:L,3,FALSE))</f>
        <v>#N/A</v>
      </c>
      <c r="Q19" s="766">
        <v>15</v>
      </c>
      <c r="R19" s="766">
        <v>113</v>
      </c>
    </row>
    <row r="20" spans="1:18" ht="18" thickBot="1" x14ac:dyDescent="0.3">
      <c r="A20" s="499">
        <v>16</v>
      </c>
      <c r="B20" s="505">
        <v>2</v>
      </c>
      <c r="C20" s="757">
        <v>7</v>
      </c>
      <c r="D20" s="758">
        <v>8</v>
      </c>
      <c r="E20" s="507">
        <f>LOOKUP(C20,'Юноши 1ф'!A:A,'Юноши 1ф'!B:B)</f>
        <v>0</v>
      </c>
      <c r="F20" s="747" t="e">
        <f>IF(E20="","",VLOOKUP(E20,'Списки участников'!A:L,3,FALSE))</f>
        <v>#N/A</v>
      </c>
      <c r="G20" s="748">
        <f>LOOKUP(D20,'Юноши 1ф'!A:A,'Юноши 1ф'!B:B)</f>
        <v>0</v>
      </c>
      <c r="H20" s="747" t="e">
        <f>IF(G20="","",VLOOKUP(G20,'Списки участников'!A:L,3,FALSE))</f>
        <v>#N/A</v>
      </c>
      <c r="I20" s="716">
        <v>80</v>
      </c>
      <c r="J20" s="513">
        <v>10</v>
      </c>
      <c r="K20" s="758">
        <v>14</v>
      </c>
      <c r="L20" s="763">
        <v>15</v>
      </c>
      <c r="M20" s="748">
        <f>LOOKUP(K20,'Юноши 1ф'!A:A,'Юноши 1ф'!B:B)</f>
        <v>0</v>
      </c>
      <c r="N20" s="747" t="e">
        <f>IF(M20="","",VLOOKUP(M20,'Списки участников'!A:L,3,FALSE))</f>
        <v>#N/A</v>
      </c>
      <c r="O20" s="748">
        <f>LOOKUP(L20,'Юноши 1ф'!A:A,'Юноши 1ф'!B:B)</f>
        <v>0</v>
      </c>
      <c r="P20" s="747" t="e">
        <f>IF(O20="","",VLOOKUP(O20,'Списки участников'!A:L,3,FALSE))</f>
        <v>#N/A</v>
      </c>
      <c r="Q20" s="766"/>
      <c r="R20" s="766"/>
    </row>
    <row r="21" spans="1:18" ht="17.25" x14ac:dyDescent="0.25">
      <c r="A21" s="499">
        <v>17</v>
      </c>
      <c r="B21" s="509">
        <v>3</v>
      </c>
      <c r="C21" s="759">
        <v>1</v>
      </c>
      <c r="D21" s="760">
        <v>14</v>
      </c>
      <c r="E21" s="498">
        <f>LOOKUP(C21,'Юноши 1ф'!A:A,'Юноши 1ф'!B:B)</f>
        <v>0</v>
      </c>
      <c r="F21" s="708" t="e">
        <f>IF(E21="","",VLOOKUP(E21,'Списки участников'!A:L,3,FALSE))</f>
        <v>#N/A</v>
      </c>
      <c r="G21" s="498">
        <f>LOOKUP(D21,'Юноши 1ф'!A:A,'Юноши 1ф'!B:B)</f>
        <v>0</v>
      </c>
      <c r="H21" s="708" t="e">
        <f>IF(G21="","",VLOOKUP(G21,'Списки участников'!A:L,3,FALSE))</f>
        <v>#N/A</v>
      </c>
      <c r="I21" s="705">
        <v>81</v>
      </c>
      <c r="J21" s="509">
        <v>11</v>
      </c>
      <c r="K21" s="760">
        <v>1</v>
      </c>
      <c r="L21" s="760">
        <v>6</v>
      </c>
      <c r="M21" s="498">
        <f>LOOKUP(K21,'Юноши 1ф'!A:A,'Юноши 1ф'!B:B)</f>
        <v>0</v>
      </c>
      <c r="N21" s="708" t="e">
        <f>IF(M21="","",VLOOKUP(M21,'Списки участников'!A:L,3,FALSE))</f>
        <v>#N/A</v>
      </c>
      <c r="O21" s="498">
        <f>LOOKUP(L21,'Юноши 1ф'!A:A,'Юноши 1ф'!B:B)</f>
        <v>0</v>
      </c>
      <c r="P21" s="708" t="e">
        <f>IF(O21="","",VLOOKUP(O21,'Списки участников'!A:L,3,FALSE))</f>
        <v>#N/A</v>
      </c>
    </row>
    <row r="22" spans="1:18" ht="17.25" x14ac:dyDescent="0.25">
      <c r="A22" s="499">
        <v>18</v>
      </c>
      <c r="B22" s="509">
        <v>3</v>
      </c>
      <c r="C22" s="755">
        <v>15</v>
      </c>
      <c r="D22" s="756">
        <v>13</v>
      </c>
      <c r="E22" s="497">
        <f>LOOKUP(C22,'Юноши 1ф'!A:A,'Юноши 1ф'!B:B)</f>
        <v>0</v>
      </c>
      <c r="F22" s="708" t="e">
        <f>IF(E22="","",VLOOKUP(E22,'Списки участников'!A:L,3,FALSE))</f>
        <v>#N/A</v>
      </c>
      <c r="G22" s="498">
        <f>LOOKUP(D22,'Юноши 1ф'!A:A,'Юноши 1ф'!B:B)</f>
        <v>0</v>
      </c>
      <c r="H22" s="708" t="e">
        <f>IF(G22="","",VLOOKUP(G22,'Списки участников'!A:L,3,FALSE))</f>
        <v>#N/A</v>
      </c>
      <c r="I22" s="499">
        <v>82</v>
      </c>
      <c r="J22" s="509">
        <v>11</v>
      </c>
      <c r="K22" s="756">
        <v>7</v>
      </c>
      <c r="L22" s="756">
        <v>5</v>
      </c>
      <c r="M22" s="498">
        <f>LOOKUP(K22,'Юноши 1ф'!A:A,'Юноши 1ф'!B:B)</f>
        <v>0</v>
      </c>
      <c r="N22" s="708" t="e">
        <f>IF(M22="","",VLOOKUP(M22,'Списки участников'!A:L,3,FALSE))</f>
        <v>#N/A</v>
      </c>
      <c r="O22" s="498">
        <f>LOOKUP(L22,'Юноши 1ф'!A:A,'Юноши 1ф'!B:B)</f>
        <v>0</v>
      </c>
      <c r="P22" s="708" t="e">
        <f>IF(O22="","",VLOOKUP(O22,'Списки участников'!A:L,3,FALSE))</f>
        <v>#N/A</v>
      </c>
    </row>
    <row r="23" spans="1:18" ht="17.25" x14ac:dyDescent="0.25">
      <c r="A23" s="499">
        <v>19</v>
      </c>
      <c r="B23" s="509">
        <v>3</v>
      </c>
      <c r="C23" s="755">
        <v>16</v>
      </c>
      <c r="D23" s="756">
        <v>12</v>
      </c>
      <c r="E23" s="497">
        <f>LOOKUP(C23,'Юноши 1ф'!A:A,'Юноши 1ф'!B:B)</f>
        <v>0</v>
      </c>
      <c r="F23" s="708" t="e">
        <f>IF(E23="","",VLOOKUP(E23,'Списки участников'!A:L,3,FALSE))</f>
        <v>#N/A</v>
      </c>
      <c r="G23" s="498">
        <f>LOOKUP(D23,'Юноши 1ф'!A:A,'Юноши 1ф'!B:B)</f>
        <v>0</v>
      </c>
      <c r="H23" s="708" t="e">
        <f>IF(G23="","",VLOOKUP(G23,'Списки участников'!A:L,3,FALSE))</f>
        <v>#N/A</v>
      </c>
      <c r="I23" s="499">
        <v>83</v>
      </c>
      <c r="J23" s="509">
        <v>11</v>
      </c>
      <c r="K23" s="756">
        <v>8</v>
      </c>
      <c r="L23" s="756">
        <v>4</v>
      </c>
      <c r="M23" s="498">
        <f>LOOKUP(K23,'Юноши 1ф'!A:A,'Юноши 1ф'!B:B)</f>
        <v>0</v>
      </c>
      <c r="N23" s="708" t="e">
        <f>IF(M23="","",VLOOKUP(M23,'Списки участников'!A:L,3,FALSE))</f>
        <v>#N/A</v>
      </c>
      <c r="O23" s="498">
        <f>LOOKUP(L23,'Юноши 1ф'!A:A,'Юноши 1ф'!B:B)</f>
        <v>0</v>
      </c>
      <c r="P23" s="708" t="e">
        <f>IF(O23="","",VLOOKUP(O23,'Списки участников'!A:L,3,FALSE))</f>
        <v>#N/A</v>
      </c>
    </row>
    <row r="24" spans="1:18" ht="17.25" x14ac:dyDescent="0.25">
      <c r="A24" s="499">
        <v>20</v>
      </c>
      <c r="B24" s="509">
        <v>3</v>
      </c>
      <c r="C24" s="755">
        <v>2</v>
      </c>
      <c r="D24" s="756">
        <v>11</v>
      </c>
      <c r="E24" s="497">
        <f>LOOKUP(C24,'Юноши 1ф'!A:A,'Юноши 1ф'!B:B)</f>
        <v>0</v>
      </c>
      <c r="F24" s="708" t="e">
        <f>IF(E24="","",VLOOKUP(E24,'Списки участников'!A:L,3,FALSE))</f>
        <v>#N/A</v>
      </c>
      <c r="G24" s="498">
        <f>LOOKUP(D24,'Юноши 1ф'!A:A,'Юноши 1ф'!B:B)</f>
        <v>0</v>
      </c>
      <c r="H24" s="708" t="e">
        <f>IF(G24="","",VLOOKUP(G24,'Списки участников'!A:L,3,FALSE))</f>
        <v>#N/A</v>
      </c>
      <c r="I24" s="499">
        <v>84</v>
      </c>
      <c r="J24" s="509">
        <v>11</v>
      </c>
      <c r="K24" s="756">
        <v>9</v>
      </c>
      <c r="L24" s="756">
        <v>3</v>
      </c>
      <c r="M24" s="498">
        <f>LOOKUP(K24,'Юноши 1ф'!A:A,'Юноши 1ф'!B:B)</f>
        <v>0</v>
      </c>
      <c r="N24" s="708" t="e">
        <f>IF(M24="","",VLOOKUP(M24,'Списки участников'!A:L,3,FALSE))</f>
        <v>#N/A</v>
      </c>
      <c r="O24" s="498">
        <f>LOOKUP(L24,'Юноши 1ф'!A:A,'Юноши 1ф'!B:B)</f>
        <v>0</v>
      </c>
      <c r="P24" s="708" t="e">
        <f>IF(O24="","",VLOOKUP(O24,'Списки участников'!A:L,3,FALSE))</f>
        <v>#N/A</v>
      </c>
    </row>
    <row r="25" spans="1:18" ht="17.25" x14ac:dyDescent="0.25">
      <c r="A25" s="499">
        <v>21</v>
      </c>
      <c r="B25" s="502">
        <v>3</v>
      </c>
      <c r="C25" s="755">
        <v>3</v>
      </c>
      <c r="D25" s="756">
        <v>10</v>
      </c>
      <c r="E25" s="497">
        <f>LOOKUP(C25,'Юноши 1ф'!A:A,'Юноши 1ф'!B:B)</f>
        <v>0</v>
      </c>
      <c r="F25" s="708" t="e">
        <f>IF(E25="","",VLOOKUP(E25,'Списки участников'!A:L,3,FALSE))</f>
        <v>#N/A</v>
      </c>
      <c r="G25" s="498">
        <f>LOOKUP(D25,'Юноши 1ф'!A:A,'Юноши 1ф'!B:B)</f>
        <v>0</v>
      </c>
      <c r="H25" s="708" t="e">
        <f>IF(G25="","",VLOOKUP(G25,'Списки участников'!A:L,3,FALSE))</f>
        <v>#N/A</v>
      </c>
      <c r="I25" s="499">
        <v>85</v>
      </c>
      <c r="J25" s="514">
        <v>11</v>
      </c>
      <c r="K25" s="756">
        <v>10</v>
      </c>
      <c r="L25" s="756">
        <v>2</v>
      </c>
      <c r="M25" s="498">
        <f>LOOKUP(K25,'Юноши 1ф'!A:A,'Юноши 1ф'!B:B)</f>
        <v>0</v>
      </c>
      <c r="N25" s="708" t="e">
        <f>IF(M25="","",VLOOKUP(M25,'Списки участников'!A:L,3,FALSE))</f>
        <v>#N/A</v>
      </c>
      <c r="O25" s="498">
        <f>LOOKUP(L25,'Юноши 1ф'!A:A,'Юноши 1ф'!B:B)</f>
        <v>0</v>
      </c>
      <c r="P25" s="708" t="e">
        <f>IF(O25="","",VLOOKUP(O25,'Списки участников'!A:L,3,FALSE))</f>
        <v>#N/A</v>
      </c>
    </row>
    <row r="26" spans="1:18" ht="17.25" x14ac:dyDescent="0.25">
      <c r="A26" s="499">
        <v>22</v>
      </c>
      <c r="B26" s="509">
        <v>3</v>
      </c>
      <c r="C26" s="755">
        <v>4</v>
      </c>
      <c r="D26" s="756">
        <v>9</v>
      </c>
      <c r="E26" s="497">
        <f>LOOKUP(C26,'Юноши 1ф'!A:A,'Юноши 1ф'!B:B)</f>
        <v>0</v>
      </c>
      <c r="F26" s="708" t="e">
        <f>IF(E26="","",VLOOKUP(E26,'Списки участников'!A:L,3,FALSE))</f>
        <v>#N/A</v>
      </c>
      <c r="G26" s="498">
        <f>LOOKUP(D26,'Юноши 1ф'!A:A,'Юноши 1ф'!B:B)</f>
        <v>0</v>
      </c>
      <c r="H26" s="708" t="e">
        <f>IF(G26="","",VLOOKUP(G26,'Списки участников'!A:L,3,FALSE))</f>
        <v>#N/A</v>
      </c>
      <c r="I26" s="499">
        <v>86</v>
      </c>
      <c r="J26" s="509">
        <v>11</v>
      </c>
      <c r="K26" s="762">
        <v>11</v>
      </c>
      <c r="L26" s="762">
        <v>16</v>
      </c>
      <c r="M26" s="498">
        <f>LOOKUP(K26,'Юноши 1ф'!A:A,'Юноши 1ф'!B:B)</f>
        <v>0</v>
      </c>
      <c r="N26" s="708" t="e">
        <f>IF(M26="","",VLOOKUP(M26,'Списки участников'!A:L,3,FALSE))</f>
        <v>#N/A</v>
      </c>
      <c r="O26" s="498">
        <f>LOOKUP(L26,'Юноши 1ф'!A:A,'Юноши 1ф'!B:B)</f>
        <v>0</v>
      </c>
      <c r="P26" s="708" t="e">
        <f>IF(O26="","",VLOOKUP(O26,'Списки участников'!A:L,3,FALSE))</f>
        <v>#N/A</v>
      </c>
    </row>
    <row r="27" spans="1:18" ht="17.25" x14ac:dyDescent="0.25">
      <c r="A27" s="499">
        <v>23</v>
      </c>
      <c r="B27" s="509">
        <v>3</v>
      </c>
      <c r="C27" s="755">
        <v>5</v>
      </c>
      <c r="D27" s="756">
        <v>8</v>
      </c>
      <c r="E27" s="497">
        <f>LOOKUP(C27,'Юноши 1ф'!A:A,'Юноши 1ф'!B:B)</f>
        <v>0</v>
      </c>
      <c r="F27" s="708" t="e">
        <f>IF(E27="","",VLOOKUP(E27,'Списки участников'!A:L,3,FALSE))</f>
        <v>#N/A</v>
      </c>
      <c r="G27" s="498">
        <f>LOOKUP(D27,'Юноши 1ф'!A:A,'Юноши 1ф'!B:B)</f>
        <v>0</v>
      </c>
      <c r="H27" s="708" t="e">
        <f>IF(G27="","",VLOOKUP(G27,'Списки участников'!A:L,3,FALSE))</f>
        <v>#N/A</v>
      </c>
      <c r="I27" s="499">
        <v>87</v>
      </c>
      <c r="J27" s="509">
        <v>11</v>
      </c>
      <c r="K27" s="762">
        <v>12</v>
      </c>
      <c r="L27" s="762">
        <v>15</v>
      </c>
      <c r="M27" s="498">
        <f>LOOKUP(K27,'Юноши 1ф'!A:A,'Юноши 1ф'!B:B)</f>
        <v>0</v>
      </c>
      <c r="N27" s="708" t="e">
        <f>IF(M27="","",VLOOKUP(M27,'Списки участников'!A:L,3,FALSE))</f>
        <v>#N/A</v>
      </c>
      <c r="O27" s="498">
        <f>LOOKUP(L27,'Юноши 1ф'!A:A,'Юноши 1ф'!B:B)</f>
        <v>0</v>
      </c>
      <c r="P27" s="708" t="e">
        <f>IF(O27="","",VLOOKUP(O27,'Списки участников'!A:L,3,FALSE))</f>
        <v>#N/A</v>
      </c>
    </row>
    <row r="28" spans="1:18" ht="18" thickBot="1" x14ac:dyDescent="0.3">
      <c r="A28" s="499">
        <v>24</v>
      </c>
      <c r="B28" s="513">
        <v>3</v>
      </c>
      <c r="C28" s="757">
        <v>6</v>
      </c>
      <c r="D28" s="758">
        <v>7</v>
      </c>
      <c r="E28" s="507">
        <f>LOOKUP(C28,'Юноши 1ф'!A:A,'Юноши 1ф'!B:B)</f>
        <v>0</v>
      </c>
      <c r="F28" s="747" t="e">
        <f>IF(E28="","",VLOOKUP(E28,'Списки участников'!A:L,3,FALSE))</f>
        <v>#N/A</v>
      </c>
      <c r="G28" s="748">
        <f>LOOKUP(D28,'Юноши 1ф'!A:A,'Юноши 1ф'!B:B)</f>
        <v>0</v>
      </c>
      <c r="H28" s="747" t="e">
        <f>IF(G28="","",VLOOKUP(G28,'Списки участников'!A:L,3,FALSE))</f>
        <v>#N/A</v>
      </c>
      <c r="I28" s="716">
        <v>88</v>
      </c>
      <c r="J28" s="513">
        <v>11</v>
      </c>
      <c r="K28" s="758">
        <v>13</v>
      </c>
      <c r="L28" s="758">
        <v>14</v>
      </c>
      <c r="M28" s="748">
        <f>LOOKUP(K28,'Юноши 1ф'!A:A,'Юноши 1ф'!B:B)</f>
        <v>0</v>
      </c>
      <c r="N28" s="747" t="e">
        <f>IF(M28="","",VLOOKUP(M28,'Списки участников'!A:L,3,FALSE))</f>
        <v>#N/A</v>
      </c>
      <c r="O28" s="748">
        <f>LOOKUP(L28,'Юноши 1ф'!A:A,'Юноши 1ф'!B:B)</f>
        <v>0</v>
      </c>
      <c r="P28" s="747" t="e">
        <f>IF(O28="","",VLOOKUP(O28,'Списки участников'!A:L,3,FALSE))</f>
        <v>#N/A</v>
      </c>
    </row>
    <row r="29" spans="1:18" ht="17.25" x14ac:dyDescent="0.25">
      <c r="A29" s="499">
        <v>25</v>
      </c>
      <c r="B29" s="750">
        <v>4</v>
      </c>
      <c r="C29" s="759">
        <v>13</v>
      </c>
      <c r="D29" s="760">
        <v>1</v>
      </c>
      <c r="E29" s="498">
        <f>LOOKUP(C29,'Юноши 1ф'!A:A,'Юноши 1ф'!B:B)</f>
        <v>0</v>
      </c>
      <c r="F29" s="708" t="e">
        <f>IF(E29="","",VLOOKUP(E29,'Списки участников'!A:L,3,FALSE))</f>
        <v>#N/A</v>
      </c>
      <c r="G29" s="498">
        <f>LOOKUP(D29,'Юноши 1ф'!A:A,'Юноши 1ф'!B:B)</f>
        <v>0</v>
      </c>
      <c r="H29" s="708" t="e">
        <f>IF(G29="","",VLOOKUP(G29,'Списки участников'!A:L,3,FALSE))</f>
        <v>#N/A</v>
      </c>
      <c r="I29" s="705">
        <v>89</v>
      </c>
      <c r="J29" s="509">
        <v>12</v>
      </c>
      <c r="K29" s="760">
        <v>5</v>
      </c>
      <c r="L29" s="760">
        <v>1</v>
      </c>
      <c r="M29" s="498">
        <f>LOOKUP(K29,'Юноши 1ф'!A:A,'Юноши 1ф'!B:B)</f>
        <v>0</v>
      </c>
      <c r="N29" s="708" t="e">
        <f>IF(M29="","",VLOOKUP(M29,'Списки участников'!A:L,3,FALSE))</f>
        <v>#N/A</v>
      </c>
      <c r="O29" s="498">
        <f>LOOKUP(L29,'Юноши 1ф'!A:A,'Юноши 1ф'!B:B)</f>
        <v>0</v>
      </c>
      <c r="P29" s="708" t="e">
        <f>IF(O29="","",VLOOKUP(O29,'Списки участников'!A:L,3,FALSE))</f>
        <v>#N/A</v>
      </c>
    </row>
    <row r="30" spans="1:18" ht="17.25" x14ac:dyDescent="0.25">
      <c r="A30" s="499">
        <v>26</v>
      </c>
      <c r="B30" s="750">
        <v>4</v>
      </c>
      <c r="C30" s="755">
        <v>14</v>
      </c>
      <c r="D30" s="756">
        <v>12</v>
      </c>
      <c r="E30" s="497">
        <f>LOOKUP(C30,'Юноши 1ф'!A:A,'Юноши 1ф'!B:B)</f>
        <v>0</v>
      </c>
      <c r="F30" s="708" t="e">
        <f>IF(E30="","",VLOOKUP(E30,'Списки участников'!A:L,3,FALSE))</f>
        <v>#N/A</v>
      </c>
      <c r="G30" s="498">
        <f>LOOKUP(D30,'Юноши 1ф'!A:A,'Юноши 1ф'!B:B)</f>
        <v>0</v>
      </c>
      <c r="H30" s="708" t="e">
        <f>IF(G30="","",VLOOKUP(G30,'Списки участников'!A:L,3,FALSE))</f>
        <v>#N/A</v>
      </c>
      <c r="I30" s="499">
        <v>90</v>
      </c>
      <c r="J30" s="509">
        <v>12</v>
      </c>
      <c r="K30" s="756">
        <v>6</v>
      </c>
      <c r="L30" s="760">
        <v>4</v>
      </c>
      <c r="M30" s="498">
        <f>LOOKUP(K30,'Юноши 1ф'!A:A,'Юноши 1ф'!B:B)</f>
        <v>0</v>
      </c>
      <c r="N30" s="708" t="e">
        <f>IF(M30="","",VLOOKUP(M30,'Списки участников'!A:L,3,FALSE))</f>
        <v>#N/A</v>
      </c>
      <c r="O30" s="498">
        <f>LOOKUP(L30,'Юноши 1ф'!A:A,'Юноши 1ф'!B:B)</f>
        <v>0</v>
      </c>
      <c r="P30" s="708" t="e">
        <f>IF(O30="","",VLOOKUP(O30,'Списки участников'!A:L,3,FALSE))</f>
        <v>#N/A</v>
      </c>
    </row>
    <row r="31" spans="1:18" ht="17.25" x14ac:dyDescent="0.25">
      <c r="A31" s="499">
        <v>27</v>
      </c>
      <c r="B31" s="750">
        <v>4</v>
      </c>
      <c r="C31" s="755">
        <v>15</v>
      </c>
      <c r="D31" s="756">
        <v>11</v>
      </c>
      <c r="E31" s="497">
        <f>LOOKUP(C31,'Юноши 1ф'!A:A,'Юноши 1ф'!B:B)</f>
        <v>0</v>
      </c>
      <c r="F31" s="708" t="e">
        <f>IF(E31="","",VLOOKUP(E31,'Списки участников'!A:L,3,FALSE))</f>
        <v>#N/A</v>
      </c>
      <c r="G31" s="498">
        <f>LOOKUP(D31,'Юноши 1ф'!A:A,'Юноши 1ф'!B:B)</f>
        <v>0</v>
      </c>
      <c r="H31" s="708" t="e">
        <f>IF(G31="","",VLOOKUP(G31,'Списки участников'!A:L,3,FALSE))</f>
        <v>#N/A</v>
      </c>
      <c r="I31" s="499">
        <v>91</v>
      </c>
      <c r="J31" s="509">
        <v>12</v>
      </c>
      <c r="K31" s="756">
        <v>7</v>
      </c>
      <c r="L31" s="760">
        <v>3</v>
      </c>
      <c r="M31" s="498">
        <f>LOOKUP(K31,'Юноши 1ф'!A:A,'Юноши 1ф'!B:B)</f>
        <v>0</v>
      </c>
      <c r="N31" s="708" t="e">
        <f>IF(M31="","",VLOOKUP(M31,'Списки участников'!A:L,3,FALSE))</f>
        <v>#N/A</v>
      </c>
      <c r="O31" s="498">
        <f>LOOKUP(L31,'Юноши 1ф'!A:A,'Юноши 1ф'!B:B)</f>
        <v>0</v>
      </c>
      <c r="P31" s="708" t="e">
        <f>IF(O31="","",VLOOKUP(O31,'Списки участников'!A:L,3,FALSE))</f>
        <v>#N/A</v>
      </c>
    </row>
    <row r="32" spans="1:18" ht="17.25" x14ac:dyDescent="0.25">
      <c r="A32" s="499">
        <v>28</v>
      </c>
      <c r="B32" s="750">
        <v>4</v>
      </c>
      <c r="C32" s="755">
        <v>16</v>
      </c>
      <c r="D32" s="756">
        <v>10</v>
      </c>
      <c r="E32" s="497">
        <f>LOOKUP(C32,'Юноши 1ф'!A:A,'Юноши 1ф'!B:B)</f>
        <v>0</v>
      </c>
      <c r="F32" s="708" t="e">
        <f>IF(E32="","",VLOOKUP(E32,'Списки участников'!A:L,3,FALSE))</f>
        <v>#N/A</v>
      </c>
      <c r="G32" s="498">
        <f>LOOKUP(D32,'Юноши 1ф'!A:A,'Юноши 1ф'!B:B)</f>
        <v>0</v>
      </c>
      <c r="H32" s="708" t="e">
        <f>IF(G32="","",VLOOKUP(G32,'Списки участников'!A:L,3,FALSE))</f>
        <v>#N/A</v>
      </c>
      <c r="I32" s="499">
        <v>92</v>
      </c>
      <c r="J32" s="509">
        <v>12</v>
      </c>
      <c r="K32" s="756">
        <v>8</v>
      </c>
      <c r="L32" s="760">
        <v>2</v>
      </c>
      <c r="M32" s="498">
        <f>LOOKUP(K32,'Юноши 1ф'!A:A,'Юноши 1ф'!B:B)</f>
        <v>0</v>
      </c>
      <c r="N32" s="708" t="e">
        <f>IF(M32="","",VLOOKUP(M32,'Списки участников'!A:L,3,FALSE))</f>
        <v>#N/A</v>
      </c>
      <c r="O32" s="498">
        <f>LOOKUP(L32,'Юноши 1ф'!A:A,'Юноши 1ф'!B:B)</f>
        <v>0</v>
      </c>
      <c r="P32" s="708" t="e">
        <f>IF(O32="","",VLOOKUP(O32,'Списки участников'!A:L,3,FALSE))</f>
        <v>#N/A</v>
      </c>
    </row>
    <row r="33" spans="1:16" ht="17.25" x14ac:dyDescent="0.25">
      <c r="A33" s="499">
        <v>29</v>
      </c>
      <c r="B33" s="751">
        <v>4</v>
      </c>
      <c r="C33" s="755">
        <v>2</v>
      </c>
      <c r="D33" s="756">
        <v>9</v>
      </c>
      <c r="E33" s="497">
        <f>LOOKUP(C33,'Юноши 1ф'!A:A,'Юноши 1ф'!B:B)</f>
        <v>0</v>
      </c>
      <c r="F33" s="708" t="e">
        <f>IF(E33="","",VLOOKUP(E33,'Списки участников'!A:L,3,FALSE))</f>
        <v>#N/A</v>
      </c>
      <c r="G33" s="498">
        <f>LOOKUP(D33,'Юноши 1ф'!A:A,'Юноши 1ф'!B:B)</f>
        <v>0</v>
      </c>
      <c r="H33" s="708" t="e">
        <f>IF(G33="","",VLOOKUP(G33,'Списки участников'!A:L,3,FALSE))</f>
        <v>#N/A</v>
      </c>
      <c r="I33" s="499">
        <v>93</v>
      </c>
      <c r="J33" s="514">
        <v>12</v>
      </c>
      <c r="K33" s="756">
        <v>9</v>
      </c>
      <c r="L33" s="760">
        <v>16</v>
      </c>
      <c r="M33" s="498">
        <f>LOOKUP(K33,'Юноши 1ф'!A:A,'Юноши 1ф'!B:B)</f>
        <v>0</v>
      </c>
      <c r="N33" s="708" t="e">
        <f>IF(M33="","",VLOOKUP(M33,'Списки участников'!A:L,3,FALSE))</f>
        <v>#N/A</v>
      </c>
      <c r="O33" s="498">
        <f>LOOKUP(L33,'Юноши 1ф'!A:A,'Юноши 1ф'!B:B)</f>
        <v>0</v>
      </c>
      <c r="P33" s="708" t="e">
        <f>IF(O33="","",VLOOKUP(O33,'Списки участников'!A:L,3,FALSE))</f>
        <v>#N/A</v>
      </c>
    </row>
    <row r="34" spans="1:16" ht="17.25" x14ac:dyDescent="0.25">
      <c r="A34" s="499">
        <v>30</v>
      </c>
      <c r="B34" s="750">
        <v>4</v>
      </c>
      <c r="C34" s="755">
        <v>3</v>
      </c>
      <c r="D34" s="756">
        <v>8</v>
      </c>
      <c r="E34" s="497">
        <f>LOOKUP(C34,'Юноши 1ф'!A:A,'Юноши 1ф'!B:B)</f>
        <v>0</v>
      </c>
      <c r="F34" s="708" t="e">
        <f>IF(E34="","",VLOOKUP(E34,'Списки участников'!A:L,3,FALSE))</f>
        <v>#N/A</v>
      </c>
      <c r="G34" s="498">
        <f>LOOKUP(D34,'Юноши 1ф'!A:A,'Юноши 1ф'!B:B)</f>
        <v>0</v>
      </c>
      <c r="H34" s="708" t="e">
        <f>IF(G34="","",VLOOKUP(G34,'Списки участников'!A:L,3,FALSE))</f>
        <v>#N/A</v>
      </c>
      <c r="I34" s="499">
        <v>94</v>
      </c>
      <c r="J34" s="509">
        <v>12</v>
      </c>
      <c r="K34" s="762">
        <v>10</v>
      </c>
      <c r="L34" s="756">
        <v>15</v>
      </c>
      <c r="M34" s="498">
        <f>LOOKUP(K34,'Юноши 1ф'!A:A,'Юноши 1ф'!B:B)</f>
        <v>0</v>
      </c>
      <c r="N34" s="708" t="e">
        <f>IF(M34="","",VLOOKUP(M34,'Списки участников'!A:L,3,FALSE))</f>
        <v>#N/A</v>
      </c>
      <c r="O34" s="498">
        <f>LOOKUP(L34,'Юноши 1ф'!A:A,'Юноши 1ф'!B:B)</f>
        <v>0</v>
      </c>
      <c r="P34" s="708" t="e">
        <f>IF(O34="","",VLOOKUP(O34,'Списки участников'!A:L,3,FALSE))</f>
        <v>#N/A</v>
      </c>
    </row>
    <row r="35" spans="1:16" ht="17.25" x14ac:dyDescent="0.25">
      <c r="A35" s="499">
        <v>31</v>
      </c>
      <c r="B35" s="750">
        <v>4</v>
      </c>
      <c r="C35" s="755">
        <v>4</v>
      </c>
      <c r="D35" s="756">
        <v>7</v>
      </c>
      <c r="E35" s="497">
        <f>LOOKUP(C35,'Юноши 1ф'!A:A,'Юноши 1ф'!B:B)</f>
        <v>0</v>
      </c>
      <c r="F35" s="708" t="e">
        <f>IF(E35="","",VLOOKUP(E35,'Списки участников'!A:L,3,FALSE))</f>
        <v>#N/A</v>
      </c>
      <c r="G35" s="498">
        <f>LOOKUP(D35,'Юноши 1ф'!A:A,'Юноши 1ф'!B:B)</f>
        <v>0</v>
      </c>
      <c r="H35" s="708" t="e">
        <f>IF(G35="","",VLOOKUP(G35,'Списки участников'!A:L,3,FALSE))</f>
        <v>#N/A</v>
      </c>
      <c r="I35" s="499">
        <v>95</v>
      </c>
      <c r="J35" s="509">
        <v>12</v>
      </c>
      <c r="K35" s="762">
        <v>11</v>
      </c>
      <c r="L35" s="756">
        <v>14</v>
      </c>
      <c r="M35" s="498">
        <f>LOOKUP(K35,'Юноши 1ф'!A:A,'Юноши 1ф'!B:B)</f>
        <v>0</v>
      </c>
      <c r="N35" s="708" t="e">
        <f>IF(M35="","",VLOOKUP(M35,'Списки участников'!A:L,3,FALSE))</f>
        <v>#N/A</v>
      </c>
      <c r="O35" s="498">
        <f>LOOKUP(L35,'Юноши 1ф'!A:A,'Юноши 1ф'!B:B)</f>
        <v>0</v>
      </c>
      <c r="P35" s="708" t="e">
        <f>IF(O35="","",VLOOKUP(O35,'Списки участников'!A:L,3,FALSE))</f>
        <v>#N/A</v>
      </c>
    </row>
    <row r="36" spans="1:16" ht="18" thickBot="1" x14ac:dyDescent="0.3">
      <c r="A36" s="499">
        <v>32</v>
      </c>
      <c r="B36" s="753">
        <v>4</v>
      </c>
      <c r="C36" s="757">
        <v>5</v>
      </c>
      <c r="D36" s="758">
        <v>6</v>
      </c>
      <c r="E36" s="507">
        <f>LOOKUP(C36,'Юноши 1ф'!A:A,'Юноши 1ф'!B:B)</f>
        <v>0</v>
      </c>
      <c r="F36" s="747" t="e">
        <f>IF(E36="","",VLOOKUP(E36,'Списки участников'!A:L,3,FALSE))</f>
        <v>#N/A</v>
      </c>
      <c r="G36" s="748">
        <f>LOOKUP(D36,'Юноши 1ф'!A:A,'Юноши 1ф'!B:B)</f>
        <v>0</v>
      </c>
      <c r="H36" s="747" t="e">
        <f>IF(G36="","",VLOOKUP(G36,'Списки участников'!A:L,3,FALSE))</f>
        <v>#N/A</v>
      </c>
      <c r="I36" s="716">
        <v>96</v>
      </c>
      <c r="J36" s="513">
        <v>12</v>
      </c>
      <c r="K36" s="758">
        <v>12</v>
      </c>
      <c r="L36" s="763">
        <v>13</v>
      </c>
      <c r="M36" s="748">
        <f>LOOKUP(K36,'Юноши 1ф'!A:A,'Юноши 1ф'!B:B)</f>
        <v>0</v>
      </c>
      <c r="N36" s="747" t="e">
        <f>IF(M36="","",VLOOKUP(M36,'Списки участников'!A:L,3,FALSE))</f>
        <v>#N/A</v>
      </c>
      <c r="O36" s="748">
        <f>LOOKUP(L36,'Юноши 1ф'!A:A,'Юноши 1ф'!B:B)</f>
        <v>0</v>
      </c>
      <c r="P36" s="747" t="e">
        <f>IF(O36="","",VLOOKUP(O36,'Списки участников'!A:L,3,FALSE))</f>
        <v>#N/A</v>
      </c>
    </row>
    <row r="37" spans="1:16" ht="17.25" x14ac:dyDescent="0.25">
      <c r="A37" s="499">
        <v>33</v>
      </c>
      <c r="B37" s="754">
        <v>5</v>
      </c>
      <c r="C37" s="759">
        <v>1</v>
      </c>
      <c r="D37" s="760">
        <v>12</v>
      </c>
      <c r="E37" s="498">
        <f>LOOKUP(C37,'Юноши 1ф'!A:A,'Юноши 1ф'!B:B)</f>
        <v>0</v>
      </c>
      <c r="F37" s="708" t="e">
        <f>IF(E37="","",VLOOKUP(E37,'Списки участников'!A:L,3,FALSE))</f>
        <v>#N/A</v>
      </c>
      <c r="G37" s="498">
        <f>LOOKUP(D37,'Юноши 1ф'!A:A,'Юноши 1ф'!B:B)</f>
        <v>0</v>
      </c>
      <c r="H37" s="708" t="e">
        <f>IF(G37="","",VLOOKUP(G37,'Списки участников'!A:L,3,FALSE))</f>
        <v>#N/A</v>
      </c>
      <c r="I37" s="705">
        <v>97</v>
      </c>
      <c r="J37" s="510">
        <v>13</v>
      </c>
      <c r="K37" s="760">
        <v>1</v>
      </c>
      <c r="L37" s="760">
        <v>4</v>
      </c>
      <c r="M37" s="498">
        <f>LOOKUP(K37,'Юноши 1ф'!A:A,'Юноши 1ф'!B:B)</f>
        <v>0</v>
      </c>
      <c r="N37" s="708" t="e">
        <f>IF(M37="","",VLOOKUP(M37,'Списки участников'!A:L,3,FALSE))</f>
        <v>#N/A</v>
      </c>
      <c r="O37" s="498">
        <f>LOOKUP(L37,'Юноши 1ф'!A:A,'Юноши 1ф'!B:B)</f>
        <v>0</v>
      </c>
      <c r="P37" s="708" t="e">
        <f>IF(O37="","",VLOOKUP(O37,'Списки участников'!A:L,3,FALSE))</f>
        <v>#N/A</v>
      </c>
    </row>
    <row r="38" spans="1:16" ht="17.25" x14ac:dyDescent="0.25">
      <c r="A38" s="499">
        <v>34</v>
      </c>
      <c r="B38" s="750">
        <v>5</v>
      </c>
      <c r="C38" s="755">
        <v>13</v>
      </c>
      <c r="D38" s="760">
        <v>11</v>
      </c>
      <c r="E38" s="497">
        <f>LOOKUP(C38,'Юноши 1ф'!A:A,'Юноши 1ф'!B:B)</f>
        <v>0</v>
      </c>
      <c r="F38" s="708" t="e">
        <f>IF(E38="","",VLOOKUP(E38,'Списки участников'!A:L,3,FALSE))</f>
        <v>#N/A</v>
      </c>
      <c r="G38" s="498">
        <f>LOOKUP(D38,'Юноши 1ф'!A:A,'Юноши 1ф'!B:B)</f>
        <v>0</v>
      </c>
      <c r="H38" s="708" t="e">
        <f>IF(G38="","",VLOOKUP(G38,'Списки участников'!A:L,3,FALSE))</f>
        <v>#N/A</v>
      </c>
      <c r="I38" s="705">
        <v>98</v>
      </c>
      <c r="J38" s="510">
        <v>13</v>
      </c>
      <c r="K38" s="760">
        <v>5</v>
      </c>
      <c r="L38" s="760">
        <v>3</v>
      </c>
      <c r="M38" s="498">
        <f>LOOKUP(K38,'Юноши 1ф'!A:A,'Юноши 1ф'!B:B)</f>
        <v>0</v>
      </c>
      <c r="N38" s="708" t="e">
        <f>IF(M38="","",VLOOKUP(M38,'Списки участников'!A:L,3,FALSE))</f>
        <v>#N/A</v>
      </c>
      <c r="O38" s="498">
        <f>LOOKUP(L38,'Юноши 1ф'!A:A,'Юноши 1ф'!B:B)</f>
        <v>0</v>
      </c>
      <c r="P38" s="708" t="e">
        <f>IF(O38="","",VLOOKUP(O38,'Списки участников'!A:L,3,FALSE))</f>
        <v>#N/A</v>
      </c>
    </row>
    <row r="39" spans="1:16" ht="17.25" x14ac:dyDescent="0.25">
      <c r="A39" s="499">
        <v>35</v>
      </c>
      <c r="B39" s="752">
        <v>5</v>
      </c>
      <c r="C39" s="759">
        <v>14</v>
      </c>
      <c r="D39" s="760">
        <v>10</v>
      </c>
      <c r="E39" s="497">
        <f>LOOKUP(C39,'Юноши 1ф'!A:A,'Юноши 1ф'!B:B)</f>
        <v>0</v>
      </c>
      <c r="F39" s="708" t="e">
        <f>IF(E39="","",VLOOKUP(E39,'Списки участников'!A:L,3,FALSE))</f>
        <v>#N/A</v>
      </c>
      <c r="G39" s="498">
        <f>LOOKUP(D39,'Юноши 1ф'!A:A,'Юноши 1ф'!B:B)</f>
        <v>0</v>
      </c>
      <c r="H39" s="708" t="e">
        <f>IF(G39="","",VLOOKUP(G39,'Списки участников'!A:L,3,FALSE))</f>
        <v>#N/A</v>
      </c>
      <c r="I39" s="705">
        <v>99</v>
      </c>
      <c r="J39" s="509">
        <v>13</v>
      </c>
      <c r="K39" s="760">
        <v>6</v>
      </c>
      <c r="L39" s="760">
        <v>2</v>
      </c>
      <c r="M39" s="498">
        <f>LOOKUP(K39,'Юноши 1ф'!A:A,'Юноши 1ф'!B:B)</f>
        <v>0</v>
      </c>
      <c r="N39" s="708" t="e">
        <f>IF(M39="","",VLOOKUP(M39,'Списки участников'!A:L,3,FALSE))</f>
        <v>#N/A</v>
      </c>
      <c r="O39" s="498">
        <f>LOOKUP(L39,'Юноши 1ф'!A:A,'Юноши 1ф'!B:B)</f>
        <v>0</v>
      </c>
      <c r="P39" s="708" t="e">
        <f>IF(O39="","",VLOOKUP(O39,'Списки участников'!A:L,3,FALSE))</f>
        <v>#N/A</v>
      </c>
    </row>
    <row r="40" spans="1:16" ht="17.25" x14ac:dyDescent="0.25">
      <c r="A40" s="499">
        <v>36</v>
      </c>
      <c r="B40" s="509">
        <v>5</v>
      </c>
      <c r="C40" s="755">
        <v>15</v>
      </c>
      <c r="D40" s="756">
        <v>9</v>
      </c>
      <c r="E40" s="497">
        <f>LOOKUP(C40,'Юноши 1ф'!A:A,'Юноши 1ф'!B:B)</f>
        <v>0</v>
      </c>
      <c r="F40" s="708" t="e">
        <f>IF(E40="","",VLOOKUP(E40,'Списки участников'!A:L,3,FALSE))</f>
        <v>#N/A</v>
      </c>
      <c r="G40" s="498">
        <f>LOOKUP(D40,'Юноши 1ф'!A:A,'Юноши 1ф'!B:B)</f>
        <v>0</v>
      </c>
      <c r="H40" s="708" t="e">
        <f>IF(G40="","",VLOOKUP(G40,'Списки участников'!A:L,3,FALSE))</f>
        <v>#N/A</v>
      </c>
      <c r="I40" s="499">
        <v>100</v>
      </c>
      <c r="J40" s="509">
        <v>13</v>
      </c>
      <c r="K40" s="756">
        <v>7</v>
      </c>
      <c r="L40" s="756">
        <v>16</v>
      </c>
      <c r="M40" s="498">
        <f>LOOKUP(K40,'Юноши 1ф'!A:A,'Юноши 1ф'!B:B)</f>
        <v>0</v>
      </c>
      <c r="N40" s="708" t="e">
        <f>IF(M40="","",VLOOKUP(M40,'Списки участников'!A:L,3,FALSE))</f>
        <v>#N/A</v>
      </c>
      <c r="O40" s="498">
        <f>LOOKUP(L40,'Юноши 1ф'!A:A,'Юноши 1ф'!B:B)</f>
        <v>0</v>
      </c>
      <c r="P40" s="708" t="e">
        <f>IF(O40="","",VLOOKUP(O40,'Списки участников'!A:L,3,FALSE))</f>
        <v>#N/A</v>
      </c>
    </row>
    <row r="41" spans="1:16" ht="17.25" x14ac:dyDescent="0.25">
      <c r="A41" s="499">
        <v>37</v>
      </c>
      <c r="B41" s="502">
        <v>5</v>
      </c>
      <c r="C41" s="755">
        <v>16</v>
      </c>
      <c r="D41" s="756">
        <v>8</v>
      </c>
      <c r="E41" s="497">
        <f>LOOKUP(C41,'Юноши 1ф'!A:A,'Юноши 1ф'!B:B)</f>
        <v>0</v>
      </c>
      <c r="F41" s="708" t="e">
        <f>IF(E41="","",VLOOKUP(E41,'Списки участников'!A:L,3,FALSE))</f>
        <v>#N/A</v>
      </c>
      <c r="G41" s="498">
        <f>LOOKUP(D41,'Юноши 1ф'!A:A,'Юноши 1ф'!B:B)</f>
        <v>0</v>
      </c>
      <c r="H41" s="708" t="e">
        <f>IF(G41="","",VLOOKUP(G41,'Списки участников'!A:L,3,FALSE))</f>
        <v>#N/A</v>
      </c>
      <c r="I41" s="499">
        <v>101</v>
      </c>
      <c r="J41" s="514">
        <v>13</v>
      </c>
      <c r="K41" s="756">
        <v>8</v>
      </c>
      <c r="L41" s="756">
        <v>15</v>
      </c>
      <c r="M41" s="498">
        <f>LOOKUP(K41,'Юноши 1ф'!A:A,'Юноши 1ф'!B:B)</f>
        <v>0</v>
      </c>
      <c r="N41" s="708" t="e">
        <f>IF(M41="","",VLOOKUP(M41,'Списки участников'!A:L,3,FALSE))</f>
        <v>#N/A</v>
      </c>
      <c r="O41" s="498">
        <f>LOOKUP(L41,'Юноши 1ф'!A:A,'Юноши 1ф'!B:B)</f>
        <v>0</v>
      </c>
      <c r="P41" s="708" t="e">
        <f>IF(O41="","",VLOOKUP(O41,'Списки участников'!A:L,3,FALSE))</f>
        <v>#N/A</v>
      </c>
    </row>
    <row r="42" spans="1:16" ht="17.25" x14ac:dyDescent="0.25">
      <c r="A42" s="499">
        <v>38</v>
      </c>
      <c r="B42" s="509">
        <v>5</v>
      </c>
      <c r="C42" s="755">
        <v>2</v>
      </c>
      <c r="D42" s="756">
        <v>7</v>
      </c>
      <c r="E42" s="497">
        <f>LOOKUP(C42,'Юноши 1ф'!A:A,'Юноши 1ф'!B:B)</f>
        <v>0</v>
      </c>
      <c r="F42" s="708" t="e">
        <f>IF(E42="","",VLOOKUP(E42,'Списки участников'!A:L,3,FALSE))</f>
        <v>#N/A</v>
      </c>
      <c r="G42" s="498">
        <f>LOOKUP(D42,'Юноши 1ф'!A:A,'Юноши 1ф'!B:B)</f>
        <v>0</v>
      </c>
      <c r="H42" s="708" t="e">
        <f>IF(G42="","",VLOOKUP(G42,'Списки участников'!A:L,3,FALSE))</f>
        <v>#N/A</v>
      </c>
      <c r="I42" s="499">
        <v>102</v>
      </c>
      <c r="J42" s="509">
        <v>13</v>
      </c>
      <c r="K42" s="762">
        <v>9</v>
      </c>
      <c r="L42" s="762">
        <v>14</v>
      </c>
      <c r="M42" s="498">
        <f>LOOKUP(K42,'Юноши 1ф'!A:A,'Юноши 1ф'!B:B)</f>
        <v>0</v>
      </c>
      <c r="N42" s="708" t="e">
        <f>IF(M42="","",VLOOKUP(M42,'Списки участников'!A:L,3,FALSE))</f>
        <v>#N/A</v>
      </c>
      <c r="O42" s="498">
        <f>LOOKUP(L42,'Юноши 1ф'!A:A,'Юноши 1ф'!B:B)</f>
        <v>0</v>
      </c>
      <c r="P42" s="708" t="e">
        <f>IF(O42="","",VLOOKUP(O42,'Списки участников'!A:L,3,FALSE))</f>
        <v>#N/A</v>
      </c>
    </row>
    <row r="43" spans="1:16" ht="17.25" x14ac:dyDescent="0.25">
      <c r="A43" s="499">
        <v>39</v>
      </c>
      <c r="B43" s="509">
        <v>5</v>
      </c>
      <c r="C43" s="755">
        <v>3</v>
      </c>
      <c r="D43" s="756">
        <v>6</v>
      </c>
      <c r="E43" s="497">
        <f>LOOKUP(C43,'Юноши 1ф'!A:A,'Юноши 1ф'!B:B)</f>
        <v>0</v>
      </c>
      <c r="F43" s="708" t="e">
        <f>IF(E43="","",VLOOKUP(E43,'Списки участников'!A:L,3,FALSE))</f>
        <v>#N/A</v>
      </c>
      <c r="G43" s="498">
        <f>LOOKUP(D43,'Юноши 1ф'!A:A,'Юноши 1ф'!B:B)</f>
        <v>0</v>
      </c>
      <c r="H43" s="708" t="e">
        <f>IF(G43="","",VLOOKUP(G43,'Списки участников'!A:L,3,FALSE))</f>
        <v>#N/A</v>
      </c>
      <c r="I43" s="499">
        <v>103</v>
      </c>
      <c r="J43" s="509">
        <v>13</v>
      </c>
      <c r="K43" s="762">
        <v>10</v>
      </c>
      <c r="L43" s="762">
        <v>13</v>
      </c>
      <c r="M43" s="498">
        <f>LOOKUP(K43,'Юноши 1ф'!A:A,'Юноши 1ф'!B:B)</f>
        <v>0</v>
      </c>
      <c r="N43" s="708" t="e">
        <f>IF(M43="","",VLOOKUP(M43,'Списки участников'!A:L,3,FALSE))</f>
        <v>#N/A</v>
      </c>
      <c r="O43" s="498">
        <f>LOOKUP(L43,'Юноши 1ф'!A:A,'Юноши 1ф'!B:B)</f>
        <v>0</v>
      </c>
      <c r="P43" s="708" t="e">
        <f>IF(O43="","",VLOOKUP(O43,'Списки участников'!A:L,3,FALSE))</f>
        <v>#N/A</v>
      </c>
    </row>
    <row r="44" spans="1:16" ht="18" thickBot="1" x14ac:dyDescent="0.3">
      <c r="A44" s="499">
        <v>40</v>
      </c>
      <c r="B44" s="513">
        <v>5</v>
      </c>
      <c r="C44" s="757">
        <v>4</v>
      </c>
      <c r="D44" s="758">
        <v>5</v>
      </c>
      <c r="E44" s="507">
        <f>LOOKUP(C44,'Юноши 1ф'!A:A,'Юноши 1ф'!B:B)</f>
        <v>0</v>
      </c>
      <c r="F44" s="747" t="e">
        <f>IF(E44="","",VLOOKUP(E44,'Списки участников'!A:L,3,FALSE))</f>
        <v>#N/A</v>
      </c>
      <c r="G44" s="748">
        <f>LOOKUP(D44,'Юноши 1ф'!A:A,'Юноши 1ф'!B:B)</f>
        <v>0</v>
      </c>
      <c r="H44" s="747" t="e">
        <f>IF(G44="","",VLOOKUP(G44,'Списки участников'!A:L,3,FALSE))</f>
        <v>#N/A</v>
      </c>
      <c r="I44" s="716">
        <v>104</v>
      </c>
      <c r="J44" s="513">
        <v>13</v>
      </c>
      <c r="K44" s="758">
        <v>11</v>
      </c>
      <c r="L44" s="758">
        <v>12</v>
      </c>
      <c r="M44" s="748">
        <f>LOOKUP(K44,'Юноши 1ф'!A:A,'Юноши 1ф'!B:B)</f>
        <v>0</v>
      </c>
      <c r="N44" s="747" t="e">
        <f>IF(M44="","",VLOOKUP(M44,'Списки участников'!A:L,3,FALSE))</f>
        <v>#N/A</v>
      </c>
      <c r="O44" s="748">
        <f>LOOKUP(L44,'Юноши 1ф'!A:A,'Юноши 1ф'!B:B)</f>
        <v>0</v>
      </c>
      <c r="P44" s="747" t="e">
        <f>IF(O44="","",VLOOKUP(O44,'Списки участников'!A:L,3,FALSE))</f>
        <v>#N/A</v>
      </c>
    </row>
    <row r="45" spans="1:16" ht="17.25" x14ac:dyDescent="0.25">
      <c r="A45" s="499">
        <v>41</v>
      </c>
      <c r="B45" s="509">
        <v>6</v>
      </c>
      <c r="C45" s="759">
        <v>11</v>
      </c>
      <c r="D45" s="760">
        <v>1</v>
      </c>
      <c r="E45" s="498">
        <f>LOOKUP(C45,'Юноши 1ф'!A:A,'Юноши 1ф'!B:B)</f>
        <v>0</v>
      </c>
      <c r="F45" s="708" t="e">
        <f>IF(E45="","",VLOOKUP(E45,'Списки участников'!A:L,3,FALSE))</f>
        <v>#N/A</v>
      </c>
      <c r="G45" s="498">
        <f>LOOKUP(D45,'Юноши 1ф'!A:A,'Юноши 1ф'!B:B)</f>
        <v>0</v>
      </c>
      <c r="H45" s="708" t="e">
        <f>IF(G45="","",VLOOKUP(G45,'Списки участников'!A:L,3,FALSE))</f>
        <v>#N/A</v>
      </c>
      <c r="I45" s="705">
        <v>105</v>
      </c>
      <c r="J45" s="509">
        <v>14</v>
      </c>
      <c r="K45" s="760">
        <v>3</v>
      </c>
      <c r="L45" s="760">
        <v>1</v>
      </c>
      <c r="M45" s="498">
        <f>LOOKUP(K45,'Юноши 1ф'!A:A,'Юноши 1ф'!B:B)</f>
        <v>0</v>
      </c>
      <c r="N45" s="708" t="e">
        <f>IF(M45="","",VLOOKUP(M45,'Списки участников'!A:L,3,FALSE))</f>
        <v>#N/A</v>
      </c>
      <c r="O45" s="498">
        <f>LOOKUP(L45,'Юноши 1ф'!A:A,'Юноши 1ф'!B:B)</f>
        <v>0</v>
      </c>
      <c r="P45" s="708" t="e">
        <f>IF(O45="","",VLOOKUP(O45,'Списки участников'!A:L,3,FALSE))</f>
        <v>#N/A</v>
      </c>
    </row>
    <row r="46" spans="1:16" ht="17.25" x14ac:dyDescent="0.25">
      <c r="A46" s="499">
        <v>42</v>
      </c>
      <c r="B46" s="509">
        <v>6</v>
      </c>
      <c r="C46" s="755">
        <v>12</v>
      </c>
      <c r="D46" s="756">
        <v>10</v>
      </c>
      <c r="E46" s="497">
        <f>LOOKUP(C46,'Юноши 1ф'!A:A,'Юноши 1ф'!B:B)</f>
        <v>0</v>
      </c>
      <c r="F46" s="708" t="e">
        <f>IF(E46="","",VLOOKUP(E46,'Списки участников'!A:L,3,FALSE))</f>
        <v>#N/A</v>
      </c>
      <c r="G46" s="498">
        <f>LOOKUP(D46,'Юноши 1ф'!A:A,'Юноши 1ф'!B:B)</f>
        <v>0</v>
      </c>
      <c r="H46" s="708" t="e">
        <f>IF(G46="","",VLOOKUP(G46,'Списки участников'!A:L,3,FALSE))</f>
        <v>#N/A</v>
      </c>
      <c r="I46" s="499">
        <v>106</v>
      </c>
      <c r="J46" s="509">
        <v>14</v>
      </c>
      <c r="K46" s="756">
        <v>4</v>
      </c>
      <c r="L46" s="760">
        <v>2</v>
      </c>
      <c r="M46" s="498">
        <f>LOOKUP(K46,'Юноши 1ф'!A:A,'Юноши 1ф'!B:B)</f>
        <v>0</v>
      </c>
      <c r="N46" s="708" t="e">
        <f>IF(M46="","",VLOOKUP(M46,'Списки участников'!A:L,3,FALSE))</f>
        <v>#N/A</v>
      </c>
      <c r="O46" s="498">
        <f>LOOKUP(L46,'Юноши 1ф'!A:A,'Юноши 1ф'!B:B)</f>
        <v>0</v>
      </c>
      <c r="P46" s="708" t="e">
        <f>IF(O46="","",VLOOKUP(O46,'Списки участников'!A:L,3,FALSE))</f>
        <v>#N/A</v>
      </c>
    </row>
    <row r="47" spans="1:16" ht="17.25" x14ac:dyDescent="0.25">
      <c r="A47" s="499">
        <v>43</v>
      </c>
      <c r="B47" s="509">
        <v>6</v>
      </c>
      <c r="C47" s="755">
        <v>13</v>
      </c>
      <c r="D47" s="756">
        <v>9</v>
      </c>
      <c r="E47" s="497">
        <f>LOOKUP(C47,'Юноши 1ф'!A:A,'Юноши 1ф'!B:B)</f>
        <v>0</v>
      </c>
      <c r="F47" s="708" t="e">
        <f>IF(E47="","",VLOOKUP(E47,'Списки участников'!A:L,3,FALSE))</f>
        <v>#N/A</v>
      </c>
      <c r="G47" s="498">
        <f>LOOKUP(D47,'Юноши 1ф'!A:A,'Юноши 1ф'!B:B)</f>
        <v>0</v>
      </c>
      <c r="H47" s="708" t="e">
        <f>IF(G47="","",VLOOKUP(G47,'Списки участников'!A:L,3,FALSE))</f>
        <v>#N/A</v>
      </c>
      <c r="I47" s="499">
        <v>107</v>
      </c>
      <c r="J47" s="509">
        <v>14</v>
      </c>
      <c r="K47" s="756">
        <v>5</v>
      </c>
      <c r="L47" s="760">
        <v>16</v>
      </c>
      <c r="M47" s="498">
        <f>LOOKUP(K47,'Юноши 1ф'!A:A,'Юноши 1ф'!B:B)</f>
        <v>0</v>
      </c>
      <c r="N47" s="708" t="e">
        <f>IF(M47="","",VLOOKUP(M47,'Списки участников'!A:L,3,FALSE))</f>
        <v>#N/A</v>
      </c>
      <c r="O47" s="498">
        <f>LOOKUP(L47,'Юноши 1ф'!A:A,'Юноши 1ф'!B:B)</f>
        <v>0</v>
      </c>
      <c r="P47" s="708" t="e">
        <f>IF(O47="","",VLOOKUP(O47,'Списки участников'!A:L,3,FALSE))</f>
        <v>#N/A</v>
      </c>
    </row>
    <row r="48" spans="1:16" ht="17.25" x14ac:dyDescent="0.25">
      <c r="A48" s="499">
        <v>44</v>
      </c>
      <c r="B48" s="509">
        <v>6</v>
      </c>
      <c r="C48" s="755">
        <v>14</v>
      </c>
      <c r="D48" s="756">
        <v>8</v>
      </c>
      <c r="E48" s="497">
        <f>LOOKUP(C48,'Юноши 1ф'!A:A,'Юноши 1ф'!B:B)</f>
        <v>0</v>
      </c>
      <c r="F48" s="708" t="e">
        <f>IF(E48="","",VLOOKUP(E48,'Списки участников'!A:L,3,FALSE))</f>
        <v>#N/A</v>
      </c>
      <c r="G48" s="498">
        <f>LOOKUP(D48,'Юноши 1ф'!A:A,'Юноши 1ф'!B:B)</f>
        <v>0</v>
      </c>
      <c r="H48" s="708" t="e">
        <f>IF(G48="","",VLOOKUP(G48,'Списки участников'!A:L,3,FALSE))</f>
        <v>#N/A</v>
      </c>
      <c r="I48" s="499">
        <v>108</v>
      </c>
      <c r="J48" s="509">
        <v>14</v>
      </c>
      <c r="K48" s="756">
        <v>6</v>
      </c>
      <c r="L48" s="760">
        <v>15</v>
      </c>
      <c r="M48" s="498">
        <f>LOOKUP(K48,'Юноши 1ф'!A:A,'Юноши 1ф'!B:B)</f>
        <v>0</v>
      </c>
      <c r="N48" s="708" t="e">
        <f>IF(M48="","",VLOOKUP(M48,'Списки участников'!A:L,3,FALSE))</f>
        <v>#N/A</v>
      </c>
      <c r="O48" s="498">
        <f>LOOKUP(L48,'Юноши 1ф'!A:A,'Юноши 1ф'!B:B)</f>
        <v>0</v>
      </c>
      <c r="P48" s="708" t="e">
        <f>IF(O48="","",VLOOKUP(O48,'Списки участников'!A:L,3,FALSE))</f>
        <v>#N/A</v>
      </c>
    </row>
    <row r="49" spans="1:16" ht="17.25" x14ac:dyDescent="0.25">
      <c r="A49" s="499">
        <v>45</v>
      </c>
      <c r="B49" s="514">
        <v>6</v>
      </c>
      <c r="C49" s="755">
        <v>15</v>
      </c>
      <c r="D49" s="756">
        <v>7</v>
      </c>
      <c r="E49" s="497">
        <f>LOOKUP(C49,'Юноши 1ф'!A:A,'Юноши 1ф'!B:B)</f>
        <v>0</v>
      </c>
      <c r="F49" s="708" t="e">
        <f>IF(E49="","",VLOOKUP(E49,'Списки участников'!A:L,3,FALSE))</f>
        <v>#N/A</v>
      </c>
      <c r="G49" s="498">
        <f>LOOKUP(D49,'Юноши 1ф'!A:A,'Юноши 1ф'!B:B)</f>
        <v>0</v>
      </c>
      <c r="H49" s="708" t="e">
        <f>IF(G49="","",VLOOKUP(G49,'Списки участников'!A:L,3,FALSE))</f>
        <v>#N/A</v>
      </c>
      <c r="I49" s="499">
        <v>109</v>
      </c>
      <c r="J49" s="514">
        <v>14</v>
      </c>
      <c r="K49" s="756">
        <v>7</v>
      </c>
      <c r="L49" s="760">
        <v>14</v>
      </c>
      <c r="M49" s="498">
        <f>LOOKUP(K49,'Юноши 1ф'!A:A,'Юноши 1ф'!B:B)</f>
        <v>0</v>
      </c>
      <c r="N49" s="708" t="e">
        <f>IF(M49="","",VLOOKUP(M49,'Списки участников'!A:L,3,FALSE))</f>
        <v>#N/A</v>
      </c>
      <c r="O49" s="498">
        <f>LOOKUP(L49,'Юноши 1ф'!A:A,'Юноши 1ф'!B:B)</f>
        <v>0</v>
      </c>
      <c r="P49" s="708" t="e">
        <f>IF(O49="","",VLOOKUP(O49,'Списки участников'!A:L,3,FALSE))</f>
        <v>#N/A</v>
      </c>
    </row>
    <row r="50" spans="1:16" ht="17.25" x14ac:dyDescent="0.25">
      <c r="A50" s="499">
        <v>46</v>
      </c>
      <c r="B50" s="509">
        <v>6</v>
      </c>
      <c r="C50" s="755">
        <v>16</v>
      </c>
      <c r="D50" s="756">
        <v>6</v>
      </c>
      <c r="E50" s="497">
        <f>LOOKUP(C50,'Юноши 1ф'!A:A,'Юноши 1ф'!B:B)</f>
        <v>0</v>
      </c>
      <c r="F50" s="708" t="e">
        <f>IF(E50="","",VLOOKUP(E50,'Списки участников'!A:L,3,FALSE))</f>
        <v>#N/A</v>
      </c>
      <c r="G50" s="498">
        <f>LOOKUP(D50,'Юноши 1ф'!A:A,'Юноши 1ф'!B:B)</f>
        <v>0</v>
      </c>
      <c r="H50" s="708" t="e">
        <f>IF(G50="","",VLOOKUP(G50,'Списки участников'!A:L,3,FALSE))</f>
        <v>#N/A</v>
      </c>
      <c r="I50" s="499">
        <v>110</v>
      </c>
      <c r="J50" s="509">
        <v>14</v>
      </c>
      <c r="K50" s="762">
        <v>8</v>
      </c>
      <c r="L50" s="756">
        <v>13</v>
      </c>
      <c r="M50" s="498">
        <f>LOOKUP(K50,'Юноши 1ф'!A:A,'Юноши 1ф'!B:B)</f>
        <v>0</v>
      </c>
      <c r="N50" s="708" t="e">
        <f>IF(M50="","",VLOOKUP(M50,'Списки участников'!A:L,3,FALSE))</f>
        <v>#N/A</v>
      </c>
      <c r="O50" s="498">
        <f>LOOKUP(L50,'Юноши 1ф'!A:A,'Юноши 1ф'!B:B)</f>
        <v>0</v>
      </c>
      <c r="P50" s="708" t="e">
        <f>IF(O50="","",VLOOKUP(O50,'Списки участников'!A:L,3,FALSE))</f>
        <v>#N/A</v>
      </c>
    </row>
    <row r="51" spans="1:16" ht="17.25" x14ac:dyDescent="0.25">
      <c r="A51" s="499">
        <v>47</v>
      </c>
      <c r="B51" s="509">
        <v>6</v>
      </c>
      <c r="C51" s="755">
        <v>2</v>
      </c>
      <c r="D51" s="756">
        <v>5</v>
      </c>
      <c r="E51" s="497">
        <f>LOOKUP(C51,'Юноши 1ф'!A:A,'Юноши 1ф'!B:B)</f>
        <v>0</v>
      </c>
      <c r="F51" s="708" t="e">
        <f>IF(E51="","",VLOOKUP(E51,'Списки участников'!A:L,3,FALSE))</f>
        <v>#N/A</v>
      </c>
      <c r="G51" s="498">
        <f>LOOKUP(D51,'Юноши 1ф'!A:A,'Юноши 1ф'!B:B)</f>
        <v>0</v>
      </c>
      <c r="H51" s="708" t="e">
        <f>IF(G51="","",VLOOKUP(G51,'Списки участников'!A:L,3,FALSE))</f>
        <v>#N/A</v>
      </c>
      <c r="I51" s="499">
        <v>111</v>
      </c>
      <c r="J51" s="509">
        <v>14</v>
      </c>
      <c r="K51" s="762">
        <v>9</v>
      </c>
      <c r="L51" s="756">
        <v>12</v>
      </c>
      <c r="M51" s="498">
        <f>LOOKUP(K51,'Юноши 1ф'!A:A,'Юноши 1ф'!B:B)</f>
        <v>0</v>
      </c>
      <c r="N51" s="708" t="e">
        <f>IF(M51="","",VLOOKUP(M51,'Списки участников'!A:L,3,FALSE))</f>
        <v>#N/A</v>
      </c>
      <c r="O51" s="498">
        <f>LOOKUP(L51,'Юноши 1ф'!A:A,'Юноши 1ф'!B:B)</f>
        <v>0</v>
      </c>
      <c r="P51" s="708" t="e">
        <f>IF(O51="","",VLOOKUP(O51,'Списки участников'!A:L,3,FALSE))</f>
        <v>#N/A</v>
      </c>
    </row>
    <row r="52" spans="1:16" ht="18" thickBot="1" x14ac:dyDescent="0.3">
      <c r="A52" s="499">
        <v>48</v>
      </c>
      <c r="B52" s="513">
        <v>6</v>
      </c>
      <c r="C52" s="757">
        <v>3</v>
      </c>
      <c r="D52" s="758">
        <v>4</v>
      </c>
      <c r="E52" s="507">
        <f>LOOKUP(C52,'Юноши 1ф'!A:A,'Юноши 1ф'!B:B)</f>
        <v>0</v>
      </c>
      <c r="F52" s="747" t="e">
        <f>IF(E52="","",VLOOKUP(E52,'Списки участников'!A:L,3,FALSE))</f>
        <v>#N/A</v>
      </c>
      <c r="G52" s="748">
        <f>LOOKUP(D52,'Юноши 1ф'!A:A,'Юноши 1ф'!B:B)</f>
        <v>0</v>
      </c>
      <c r="H52" s="747" t="e">
        <f>IF(G52="","",VLOOKUP(G52,'Списки участников'!A:L,3,FALSE))</f>
        <v>#N/A</v>
      </c>
      <c r="I52" s="716">
        <v>112</v>
      </c>
      <c r="J52" s="513">
        <v>14</v>
      </c>
      <c r="K52" s="758">
        <v>10</v>
      </c>
      <c r="L52" s="763">
        <v>11</v>
      </c>
      <c r="M52" s="748">
        <f>LOOKUP(K52,'Юноши 1ф'!A:A,'Юноши 1ф'!B:B)</f>
        <v>0</v>
      </c>
      <c r="N52" s="747" t="e">
        <f>IF(M52="","",VLOOKUP(M52,'Списки участников'!A:L,3,FALSE))</f>
        <v>#N/A</v>
      </c>
      <c r="O52" s="748">
        <f>LOOKUP(L52,'Юноши 1ф'!A:A,'Юноши 1ф'!B:B)</f>
        <v>0</v>
      </c>
      <c r="P52" s="747" t="e">
        <f>IF(O52="","",VLOOKUP(O52,'Списки участников'!A:L,3,FALSE))</f>
        <v>#N/A</v>
      </c>
    </row>
    <row r="53" spans="1:16" ht="17.25" x14ac:dyDescent="0.25">
      <c r="A53" s="499">
        <v>49</v>
      </c>
      <c r="B53" s="509">
        <v>7</v>
      </c>
      <c r="C53" s="759">
        <v>1</v>
      </c>
      <c r="D53" s="760">
        <v>10</v>
      </c>
      <c r="E53" s="498">
        <f>LOOKUP(C53,'Юноши 1ф'!A:A,'Юноши 1ф'!B:B)</f>
        <v>0</v>
      </c>
      <c r="F53" s="708" t="e">
        <f>IF(E53="","",VLOOKUP(E53,'Списки участников'!A:L,3,FALSE))</f>
        <v>#N/A</v>
      </c>
      <c r="G53" s="498">
        <f>LOOKUP(D53,'Юноши 1ф'!A:A,'Юноши 1ф'!B:B)</f>
        <v>0</v>
      </c>
      <c r="H53" s="708" t="e">
        <f>IF(G53="","",VLOOKUP(G53,'Списки участников'!A:L,3,FALSE))</f>
        <v>#N/A</v>
      </c>
      <c r="I53" s="705">
        <v>113</v>
      </c>
      <c r="J53" s="509">
        <v>15</v>
      </c>
      <c r="K53" s="760">
        <v>1</v>
      </c>
      <c r="L53" s="760">
        <v>2</v>
      </c>
      <c r="M53" s="498">
        <f>LOOKUP(K53,'Юноши 1ф'!A:A,'Юноши 1ф'!B:B)</f>
        <v>0</v>
      </c>
      <c r="N53" s="708" t="e">
        <f>IF(M53="","",VLOOKUP(M53,'Списки участников'!A:L,3,FALSE))</f>
        <v>#N/A</v>
      </c>
      <c r="O53" s="498">
        <f>LOOKUP(L53,'Юноши 1ф'!A:A,'Юноши 1ф'!B:B)</f>
        <v>0</v>
      </c>
      <c r="P53" s="708" t="e">
        <f>IF(O53="","",VLOOKUP(O53,'Списки участников'!A:L,3,FALSE))</f>
        <v>#N/A</v>
      </c>
    </row>
    <row r="54" spans="1:16" ht="17.25" x14ac:dyDescent="0.25">
      <c r="A54" s="499">
        <v>50</v>
      </c>
      <c r="B54" s="509">
        <v>7</v>
      </c>
      <c r="C54" s="755">
        <v>11</v>
      </c>
      <c r="D54" s="756">
        <v>9</v>
      </c>
      <c r="E54" s="497">
        <f>LOOKUP(C54,'Юноши 1ф'!A:A,'Юноши 1ф'!B:B)</f>
        <v>0</v>
      </c>
      <c r="F54" s="708" t="e">
        <f>IF(E54="","",VLOOKUP(E54,'Списки участников'!A:L,3,FALSE))</f>
        <v>#N/A</v>
      </c>
      <c r="G54" s="498">
        <f>LOOKUP(D54,'Юноши 1ф'!A:A,'Юноши 1ф'!B:B)</f>
        <v>0</v>
      </c>
      <c r="H54" s="708" t="e">
        <f>IF(G54="","",VLOOKUP(G54,'Списки участников'!A:L,3,FALSE))</f>
        <v>#N/A</v>
      </c>
      <c r="I54" s="499">
        <v>114</v>
      </c>
      <c r="J54" s="509">
        <v>15</v>
      </c>
      <c r="K54" s="756">
        <v>3</v>
      </c>
      <c r="L54" s="756">
        <v>16</v>
      </c>
      <c r="M54" s="498">
        <f>LOOKUP(K54,'Юноши 1ф'!A:A,'Юноши 1ф'!B:B)</f>
        <v>0</v>
      </c>
      <c r="N54" s="708" t="e">
        <f>IF(M54="","",VLOOKUP(M54,'Списки участников'!A:L,3,FALSE))</f>
        <v>#N/A</v>
      </c>
      <c r="O54" s="498">
        <f>LOOKUP(L54,'Юноши 1ф'!A:A,'Юноши 1ф'!B:B)</f>
        <v>0</v>
      </c>
      <c r="P54" s="708" t="e">
        <f>IF(O54="","",VLOOKUP(O54,'Списки участников'!A:L,3,FALSE))</f>
        <v>#N/A</v>
      </c>
    </row>
    <row r="55" spans="1:16" ht="17.25" x14ac:dyDescent="0.25">
      <c r="A55" s="499">
        <v>51</v>
      </c>
      <c r="B55" s="509">
        <v>7</v>
      </c>
      <c r="C55" s="755">
        <v>12</v>
      </c>
      <c r="D55" s="756">
        <v>8</v>
      </c>
      <c r="E55" s="497">
        <f>LOOKUP(C55,'Юноши 1ф'!A:A,'Юноши 1ф'!B:B)</f>
        <v>0</v>
      </c>
      <c r="F55" s="708" t="e">
        <f>IF(E55="","",VLOOKUP(E55,'Списки участников'!A:L,3,FALSE))</f>
        <v>#N/A</v>
      </c>
      <c r="G55" s="498">
        <f>LOOKUP(D55,'Юноши 1ф'!A:A,'Юноши 1ф'!B:B)</f>
        <v>0</v>
      </c>
      <c r="H55" s="708" t="e">
        <f>IF(G55="","",VLOOKUP(G55,'Списки участников'!A:L,3,FALSE))</f>
        <v>#N/A</v>
      </c>
      <c r="I55" s="499">
        <v>115</v>
      </c>
      <c r="J55" s="509">
        <v>15</v>
      </c>
      <c r="K55" s="756">
        <v>4</v>
      </c>
      <c r="L55" s="756">
        <v>15</v>
      </c>
      <c r="M55" s="498">
        <f>LOOKUP(K55,'Юноши 1ф'!A:A,'Юноши 1ф'!B:B)</f>
        <v>0</v>
      </c>
      <c r="N55" s="708" t="e">
        <f>IF(M55="","",VLOOKUP(M55,'Списки участников'!A:L,3,FALSE))</f>
        <v>#N/A</v>
      </c>
      <c r="O55" s="498">
        <f>LOOKUP(L55,'Юноши 1ф'!A:A,'Юноши 1ф'!B:B)</f>
        <v>0</v>
      </c>
      <c r="P55" s="708" t="e">
        <f>IF(O55="","",VLOOKUP(O55,'Списки участников'!A:L,3,FALSE))</f>
        <v>#N/A</v>
      </c>
    </row>
    <row r="56" spans="1:16" ht="17.25" x14ac:dyDescent="0.25">
      <c r="A56" s="499">
        <v>52</v>
      </c>
      <c r="B56" s="509">
        <v>7</v>
      </c>
      <c r="C56" s="755">
        <v>13</v>
      </c>
      <c r="D56" s="756">
        <v>7</v>
      </c>
      <c r="E56" s="497">
        <f>LOOKUP(C56,'Юноши 1ф'!A:A,'Юноши 1ф'!B:B)</f>
        <v>0</v>
      </c>
      <c r="F56" s="708" t="e">
        <f>IF(E56="","",VLOOKUP(E56,'Списки участников'!A:L,3,FALSE))</f>
        <v>#N/A</v>
      </c>
      <c r="G56" s="498">
        <f>LOOKUP(D56,'Юноши 1ф'!A:A,'Юноши 1ф'!B:B)</f>
        <v>0</v>
      </c>
      <c r="H56" s="708" t="e">
        <f>IF(G56="","",VLOOKUP(G56,'Списки участников'!A:L,3,FALSE))</f>
        <v>#N/A</v>
      </c>
      <c r="I56" s="499">
        <v>116</v>
      </c>
      <c r="J56" s="509">
        <v>15</v>
      </c>
      <c r="K56" s="756">
        <v>5</v>
      </c>
      <c r="L56" s="756">
        <v>14</v>
      </c>
      <c r="M56" s="498">
        <f>LOOKUP(K56,'Юноши 1ф'!A:A,'Юноши 1ф'!B:B)</f>
        <v>0</v>
      </c>
      <c r="N56" s="708" t="e">
        <f>IF(M56="","",VLOOKUP(M56,'Списки участников'!A:L,3,FALSE))</f>
        <v>#N/A</v>
      </c>
      <c r="O56" s="498">
        <f>LOOKUP(L56,'Юноши 1ф'!A:A,'Юноши 1ф'!B:B)</f>
        <v>0</v>
      </c>
      <c r="P56" s="708" t="e">
        <f>IF(O56="","",VLOOKUP(O56,'Списки участников'!A:L,3,FALSE))</f>
        <v>#N/A</v>
      </c>
    </row>
    <row r="57" spans="1:16" ht="17.25" x14ac:dyDescent="0.25">
      <c r="A57" s="499">
        <v>53</v>
      </c>
      <c r="B57" s="514">
        <v>7</v>
      </c>
      <c r="C57" s="755">
        <v>14</v>
      </c>
      <c r="D57" s="756">
        <v>6</v>
      </c>
      <c r="E57" s="497">
        <f>LOOKUP(C57,'Юноши 1ф'!A:A,'Юноши 1ф'!B:B)</f>
        <v>0</v>
      </c>
      <c r="F57" s="708" t="e">
        <f>IF(E57="","",VLOOKUP(E57,'Списки участников'!A:L,3,FALSE))</f>
        <v>#N/A</v>
      </c>
      <c r="G57" s="498">
        <f>LOOKUP(D57,'Юноши 1ф'!A:A,'Юноши 1ф'!B:B)</f>
        <v>0</v>
      </c>
      <c r="H57" s="708" t="e">
        <f>IF(G57="","",VLOOKUP(G57,'Списки участников'!A:L,3,FALSE))</f>
        <v>#N/A</v>
      </c>
      <c r="I57" s="499">
        <v>117</v>
      </c>
      <c r="J57" s="514">
        <v>15</v>
      </c>
      <c r="K57" s="756">
        <v>6</v>
      </c>
      <c r="L57" s="756">
        <v>13</v>
      </c>
      <c r="M57" s="498">
        <f>LOOKUP(K57,'Юноши 1ф'!A:A,'Юноши 1ф'!B:B)</f>
        <v>0</v>
      </c>
      <c r="N57" s="708" t="e">
        <f>IF(M57="","",VLOOKUP(M57,'Списки участников'!A:L,3,FALSE))</f>
        <v>#N/A</v>
      </c>
      <c r="O57" s="498">
        <f>LOOKUP(L57,'Юноши 1ф'!A:A,'Юноши 1ф'!B:B)</f>
        <v>0</v>
      </c>
      <c r="P57" s="708" t="e">
        <f>IF(O57="","",VLOOKUP(O57,'Списки участников'!A:L,3,FALSE))</f>
        <v>#N/A</v>
      </c>
    </row>
    <row r="58" spans="1:16" ht="17.25" x14ac:dyDescent="0.25">
      <c r="A58" s="499">
        <v>54</v>
      </c>
      <c r="B58" s="509">
        <v>7</v>
      </c>
      <c r="C58" s="755">
        <v>15</v>
      </c>
      <c r="D58" s="756">
        <v>5</v>
      </c>
      <c r="E58" s="497">
        <f>LOOKUP(C58,'Юноши 1ф'!A:A,'Юноши 1ф'!B:B)</f>
        <v>0</v>
      </c>
      <c r="F58" s="708" t="e">
        <f>IF(E58="","",VLOOKUP(E58,'Списки участников'!A:L,3,FALSE))</f>
        <v>#N/A</v>
      </c>
      <c r="G58" s="498">
        <f>LOOKUP(D58,'Юноши 1ф'!A:A,'Юноши 1ф'!B:B)</f>
        <v>0</v>
      </c>
      <c r="H58" s="708" t="e">
        <f>IF(G58="","",VLOOKUP(G58,'Списки участников'!A:L,3,FALSE))</f>
        <v>#N/A</v>
      </c>
      <c r="I58" s="499">
        <v>118</v>
      </c>
      <c r="J58" s="509">
        <v>15</v>
      </c>
      <c r="K58" s="762">
        <v>7</v>
      </c>
      <c r="L58" s="762">
        <v>12</v>
      </c>
      <c r="M58" s="498">
        <f>LOOKUP(K58,'Юноши 1ф'!A:A,'Юноши 1ф'!B:B)</f>
        <v>0</v>
      </c>
      <c r="N58" s="708" t="e">
        <f>IF(M58="","",VLOOKUP(M58,'Списки участников'!A:L,3,FALSE))</f>
        <v>#N/A</v>
      </c>
      <c r="O58" s="498">
        <f>LOOKUP(L58,'Юноши 1ф'!A:A,'Юноши 1ф'!B:B)</f>
        <v>0</v>
      </c>
      <c r="P58" s="708" t="e">
        <f>IF(O58="","",VLOOKUP(O58,'Списки участников'!A:L,3,FALSE))</f>
        <v>#N/A</v>
      </c>
    </row>
    <row r="59" spans="1:16" ht="17.25" x14ac:dyDescent="0.25">
      <c r="A59" s="499">
        <v>55</v>
      </c>
      <c r="B59" s="509">
        <v>7</v>
      </c>
      <c r="C59" s="755">
        <v>16</v>
      </c>
      <c r="D59" s="756">
        <v>4</v>
      </c>
      <c r="E59" s="497">
        <f>LOOKUP(C59,'Юноши 1ф'!A:A,'Юноши 1ф'!B:B)</f>
        <v>0</v>
      </c>
      <c r="F59" s="708" t="e">
        <f>IF(E59="","",VLOOKUP(E59,'Списки участников'!A:L,3,FALSE))</f>
        <v>#N/A</v>
      </c>
      <c r="G59" s="498">
        <f>LOOKUP(D59,'Юноши 1ф'!A:A,'Юноши 1ф'!B:B)</f>
        <v>0</v>
      </c>
      <c r="H59" s="708" t="e">
        <f>IF(G59="","",VLOOKUP(G59,'Списки участников'!A:L,3,FALSE))</f>
        <v>#N/A</v>
      </c>
      <c r="I59" s="499">
        <v>119</v>
      </c>
      <c r="J59" s="509">
        <v>15</v>
      </c>
      <c r="K59" s="762">
        <v>8</v>
      </c>
      <c r="L59" s="762">
        <v>11</v>
      </c>
      <c r="M59" s="498">
        <f>LOOKUP(K59,'Юноши 1ф'!A:A,'Юноши 1ф'!B:B)</f>
        <v>0</v>
      </c>
      <c r="N59" s="708" t="e">
        <f>IF(M59="","",VLOOKUP(M59,'Списки участников'!A:L,3,FALSE))</f>
        <v>#N/A</v>
      </c>
      <c r="O59" s="498">
        <f>LOOKUP(L59,'Юноши 1ф'!A:A,'Юноши 1ф'!B:B)</f>
        <v>0</v>
      </c>
      <c r="P59" s="708" t="e">
        <f>IF(O59="","",VLOOKUP(O59,'Списки участников'!A:L,3,FALSE))</f>
        <v>#N/A</v>
      </c>
    </row>
    <row r="60" spans="1:16" ht="18" thickBot="1" x14ac:dyDescent="0.3">
      <c r="A60" s="499">
        <v>56</v>
      </c>
      <c r="B60" s="513">
        <v>7</v>
      </c>
      <c r="C60" s="757">
        <v>2</v>
      </c>
      <c r="D60" s="761">
        <v>3</v>
      </c>
      <c r="E60" s="507">
        <f>LOOKUP(C60,'Юноши 1ф'!A:A,'Юноши 1ф'!B:B)</f>
        <v>0</v>
      </c>
      <c r="F60" s="747" t="e">
        <f>IF(E60="","",VLOOKUP(E60,'Списки участников'!A:L,3,FALSE))</f>
        <v>#N/A</v>
      </c>
      <c r="G60" s="748">
        <f>LOOKUP(D60,'Юноши 1ф'!A:A,'Юноши 1ф'!B:B)</f>
        <v>0</v>
      </c>
      <c r="H60" s="747" t="e">
        <f>IF(G60="","",VLOOKUP(G60,'Списки участников'!A:L,3,FALSE))</f>
        <v>#N/A</v>
      </c>
      <c r="I60" s="749">
        <v>120</v>
      </c>
      <c r="J60" s="513">
        <v>15</v>
      </c>
      <c r="K60" s="761">
        <v>9</v>
      </c>
      <c r="L60" s="761">
        <v>10</v>
      </c>
      <c r="M60" s="748">
        <f>LOOKUP(K60,'Юноши 1ф'!A:A,'Юноши 1ф'!B:B)</f>
        <v>0</v>
      </c>
      <c r="N60" s="747" t="e">
        <f>IF(M60="","",VLOOKUP(M60,'Списки участников'!A:L,3,FALSE))</f>
        <v>#N/A</v>
      </c>
      <c r="O60" s="748">
        <f>LOOKUP(L60,'Юноши 1ф'!A:A,'Юноши 1ф'!B:B)</f>
        <v>0</v>
      </c>
      <c r="P60" s="747" t="e">
        <f>IF(O60="","",VLOOKUP(O60,'Списки участников'!A:L,3,FALSE))</f>
        <v>#N/A</v>
      </c>
    </row>
    <row r="61" spans="1:16" ht="15.75" x14ac:dyDescent="0.25">
      <c r="A61" s="499">
        <v>57</v>
      </c>
      <c r="B61" s="509">
        <v>8</v>
      </c>
      <c r="C61" s="759">
        <v>9</v>
      </c>
      <c r="D61" s="760">
        <v>1</v>
      </c>
      <c r="E61" s="498">
        <f>LOOKUP(C61,'Юноши 1ф'!A:A,'Юноши 1ф'!B:B)</f>
        <v>0</v>
      </c>
      <c r="F61" s="708" t="e">
        <f>IF(E61="","",VLOOKUP(E61,'Списки участников'!A:L,3,FALSE))</f>
        <v>#N/A</v>
      </c>
      <c r="G61" s="498">
        <f>LOOKUP(D61,'Юноши 1ф'!A:A,'Юноши 1ф'!B:B)</f>
        <v>0</v>
      </c>
      <c r="H61" s="708" t="e">
        <f>IF(G61="","",VLOOKUP(G61,'Списки участников'!A:L,3,FALSE))</f>
        <v>#N/A</v>
      </c>
    </row>
    <row r="62" spans="1:16" ht="15.75" x14ac:dyDescent="0.25">
      <c r="A62" s="499">
        <v>58</v>
      </c>
      <c r="B62" s="509">
        <v>8</v>
      </c>
      <c r="C62" s="755">
        <v>10</v>
      </c>
      <c r="D62" s="756">
        <v>8</v>
      </c>
      <c r="E62" s="497">
        <f>LOOKUP(C62,'Юноши 1ф'!A:A,'Юноши 1ф'!B:B)</f>
        <v>0</v>
      </c>
      <c r="F62" s="708" t="e">
        <f>IF(E62="","",VLOOKUP(E62,'Списки участников'!A:L,3,FALSE))</f>
        <v>#N/A</v>
      </c>
      <c r="G62" s="498">
        <f>LOOKUP(D62,'Юноши 1ф'!A:A,'Юноши 1ф'!B:B)</f>
        <v>0</v>
      </c>
      <c r="H62" s="708" t="e">
        <f>IF(G62="","",VLOOKUP(G62,'Списки участников'!A:L,3,FALSE))</f>
        <v>#N/A</v>
      </c>
    </row>
    <row r="63" spans="1:16" ht="15.75" x14ac:dyDescent="0.25">
      <c r="A63" s="499">
        <v>59</v>
      </c>
      <c r="B63" s="509">
        <v>8</v>
      </c>
      <c r="C63" s="755">
        <v>11</v>
      </c>
      <c r="D63" s="756">
        <v>7</v>
      </c>
      <c r="E63" s="497">
        <f>LOOKUP(C63,'Юноши 1ф'!A:A,'Юноши 1ф'!B:B)</f>
        <v>0</v>
      </c>
      <c r="F63" s="708" t="e">
        <f>IF(E63="","",VLOOKUP(E63,'Списки участников'!A:L,3,FALSE))</f>
        <v>#N/A</v>
      </c>
      <c r="G63" s="498">
        <f>LOOKUP(D63,'Юноши 1ф'!A:A,'Юноши 1ф'!B:B)</f>
        <v>0</v>
      </c>
      <c r="H63" s="708" t="e">
        <f>IF(G63="","",VLOOKUP(G63,'Списки участников'!A:L,3,FALSE))</f>
        <v>#N/A</v>
      </c>
    </row>
    <row r="64" spans="1:16" ht="15.75" x14ac:dyDescent="0.25">
      <c r="A64" s="499">
        <v>60</v>
      </c>
      <c r="B64" s="509">
        <v>8</v>
      </c>
      <c r="C64" s="755">
        <v>12</v>
      </c>
      <c r="D64" s="756">
        <v>6</v>
      </c>
      <c r="E64" s="497">
        <f>LOOKUP(C64,'Юноши 1ф'!A:A,'Юноши 1ф'!B:B)</f>
        <v>0</v>
      </c>
      <c r="F64" s="708" t="e">
        <f>IF(E64="","",VLOOKUP(E64,'Списки участников'!A:L,3,FALSE))</f>
        <v>#N/A</v>
      </c>
      <c r="G64" s="498">
        <f>LOOKUP(D64,'Юноши 1ф'!A:A,'Юноши 1ф'!B:B)</f>
        <v>0</v>
      </c>
      <c r="H64" s="708" t="e">
        <f>IF(G64="","",VLOOKUP(G64,'Списки участников'!A:L,3,FALSE))</f>
        <v>#N/A</v>
      </c>
    </row>
    <row r="65" spans="1:8" ht="15.75" x14ac:dyDescent="0.25">
      <c r="A65" s="499">
        <v>61</v>
      </c>
      <c r="B65" s="514">
        <v>8</v>
      </c>
      <c r="C65" s="755">
        <v>13</v>
      </c>
      <c r="D65" s="756">
        <v>5</v>
      </c>
      <c r="E65" s="497">
        <f>LOOKUP(C65,'Юноши 1ф'!A:A,'Юноши 1ф'!B:B)</f>
        <v>0</v>
      </c>
      <c r="F65" s="708" t="e">
        <f>IF(E65="","",VLOOKUP(E65,'Списки участников'!A:L,3,FALSE))</f>
        <v>#N/A</v>
      </c>
      <c r="G65" s="498">
        <f>LOOKUP(D65,'Юноши 1ф'!A:A,'Юноши 1ф'!B:B)</f>
        <v>0</v>
      </c>
      <c r="H65" s="708" t="e">
        <f>IF(G65="","",VLOOKUP(G65,'Списки участников'!A:L,3,FALSE))</f>
        <v>#N/A</v>
      </c>
    </row>
    <row r="66" spans="1:8" ht="15.75" x14ac:dyDescent="0.25">
      <c r="A66" s="499">
        <v>62</v>
      </c>
      <c r="B66" s="509">
        <v>8</v>
      </c>
      <c r="C66" s="755">
        <v>14</v>
      </c>
      <c r="D66" s="756">
        <v>4</v>
      </c>
      <c r="E66" s="497">
        <f>LOOKUP(C66,'Юноши 1ф'!A:A,'Юноши 1ф'!B:B)</f>
        <v>0</v>
      </c>
      <c r="F66" s="708" t="e">
        <f>IF(E66="","",VLOOKUP(E66,'Списки участников'!A:L,3,FALSE))</f>
        <v>#N/A</v>
      </c>
      <c r="G66" s="498">
        <f>LOOKUP(D66,'Юноши 1ф'!A:A,'Юноши 1ф'!B:B)</f>
        <v>0</v>
      </c>
      <c r="H66" s="708" t="e">
        <f>IF(G66="","",VLOOKUP(G66,'Списки участников'!A:L,3,FALSE))</f>
        <v>#N/A</v>
      </c>
    </row>
    <row r="67" spans="1:8" ht="15.75" x14ac:dyDescent="0.25">
      <c r="A67" s="499">
        <v>63</v>
      </c>
      <c r="B67" s="509">
        <v>8</v>
      </c>
      <c r="C67" s="755">
        <v>15</v>
      </c>
      <c r="D67" s="756">
        <v>3</v>
      </c>
      <c r="E67" s="497">
        <f>LOOKUP(C67,'Юноши 1ф'!A:A,'Юноши 1ф'!B:B)</f>
        <v>0</v>
      </c>
      <c r="F67" s="708" t="e">
        <f>IF(E67="","",VLOOKUP(E67,'Списки участников'!A:L,3,FALSE))</f>
        <v>#N/A</v>
      </c>
      <c r="G67" s="498">
        <f>LOOKUP(D67,'Юноши 1ф'!A:A,'Юноши 1ф'!B:B)</f>
        <v>0</v>
      </c>
      <c r="H67" s="708" t="e">
        <f>IF(G67="","",VLOOKUP(G67,'Списки участников'!A:L,3,FALSE))</f>
        <v>#N/A</v>
      </c>
    </row>
    <row r="68" spans="1:8" ht="16.5" thickBot="1" x14ac:dyDescent="0.3">
      <c r="A68" s="499">
        <v>64</v>
      </c>
      <c r="B68" s="513">
        <v>8</v>
      </c>
      <c r="C68" s="757">
        <v>16</v>
      </c>
      <c r="D68" s="758">
        <v>2</v>
      </c>
      <c r="E68" s="497">
        <f>LOOKUP(C68,'Юноши 1ф'!A:A,'Юноши 1ф'!B:B)</f>
        <v>0</v>
      </c>
      <c r="F68" s="715" t="e">
        <f>IF(E68="","",VLOOKUP(E68,'Списки участников'!A:L,3,FALSE))</f>
        <v>#N/A</v>
      </c>
      <c r="G68" s="507">
        <f>LOOKUP(D68,'Юноши 1ф'!A:A,'Юноши 1ф'!B:B)</f>
        <v>0</v>
      </c>
      <c r="H68" s="715" t="e">
        <f>IF(G68="","",VLOOKUP(G68,'Списки участников'!A:L,3,FALSE))</f>
        <v>#N/A</v>
      </c>
    </row>
  </sheetData>
  <mergeCells count="13">
    <mergeCell ref="P3:P4"/>
    <mergeCell ref="A1:P1"/>
    <mergeCell ref="A3:A4"/>
    <mergeCell ref="B3:B4"/>
    <mergeCell ref="E3:E4"/>
    <mergeCell ref="F3:F4"/>
    <mergeCell ref="H3:H4"/>
    <mergeCell ref="I3:I4"/>
    <mergeCell ref="J3:J4"/>
    <mergeCell ref="N3:N4"/>
    <mergeCell ref="C3:D4"/>
    <mergeCell ref="I2:L2"/>
    <mergeCell ref="K3:L4"/>
  </mergeCells>
  <pageMargins left="0.31496062992125984" right="0.31496062992125984" top="0.35433070866141736" bottom="0.35433070866141736" header="0.31496062992125984" footer="0.31496062992125984"/>
  <pageSetup paperSize="9" scale="68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7030A0"/>
  </sheetPr>
  <dimension ref="A1:T68"/>
  <sheetViews>
    <sheetView view="pageBreakPreview" zoomScale="60" zoomScaleNormal="100" workbookViewId="0">
      <selection activeCell="H7" sqref="H7"/>
    </sheetView>
  </sheetViews>
  <sheetFormatPr defaultRowHeight="12.75" outlineLevelCol="1" x14ac:dyDescent="0.2"/>
  <cols>
    <col min="1" max="1" width="6.6640625" customWidth="1"/>
    <col min="2" max="2" width="4.5" customWidth="1"/>
    <col min="3" max="4" width="5" customWidth="1"/>
    <col min="5" max="5" width="8" hidden="1" customWidth="1" outlineLevel="1"/>
    <col min="6" max="6" width="29.1640625" customWidth="1" collapsed="1"/>
    <col min="7" max="7" width="9.33203125" hidden="1" customWidth="1" outlineLevel="1"/>
    <col min="8" max="8" width="29.1640625" customWidth="1" collapsed="1"/>
    <col min="9" max="9" width="6.6640625" customWidth="1"/>
    <col min="10" max="10" width="4.83203125" customWidth="1"/>
    <col min="11" max="12" width="5" customWidth="1"/>
    <col min="13" max="13" width="9.33203125" hidden="1" customWidth="1" outlineLevel="1"/>
    <col min="14" max="14" width="29.1640625" customWidth="1" collapsed="1"/>
    <col min="15" max="15" width="9.33203125" hidden="1" customWidth="1" outlineLevel="1"/>
    <col min="16" max="16" width="29.1640625" customWidth="1" collapsed="1"/>
  </cols>
  <sheetData>
    <row r="1" spans="1:20" ht="21.75" customHeight="1" x14ac:dyDescent="0.3">
      <c r="A1" s="1301" t="str">
        <f>'Списки участников'!A1</f>
        <v>IV Мемориал Заслуженного тренера России В.А.Воробьева</v>
      </c>
      <c r="B1" s="1301"/>
      <c r="C1" s="1301"/>
      <c r="D1" s="1301"/>
      <c r="E1" s="1301"/>
      <c r="F1" s="1301"/>
      <c r="G1" s="1301"/>
      <c r="H1" s="1301"/>
      <c r="I1" s="1301"/>
      <c r="J1" s="1301"/>
      <c r="K1" s="1301"/>
      <c r="L1" s="1301"/>
      <c r="M1" s="1301"/>
      <c r="N1" s="1301"/>
      <c r="O1" s="1301"/>
      <c r="P1" s="1301"/>
    </row>
    <row r="2" spans="1:20" ht="16.5" thickBot="1" x14ac:dyDescent="0.3">
      <c r="A2" s="699" t="str">
        <f>'Списки участников'!C3</f>
        <v>26-29 мая 2016 г.</v>
      </c>
      <c r="B2" s="699"/>
      <c r="C2" s="699"/>
      <c r="D2" s="699"/>
      <c r="E2" s="698" t="s">
        <v>1140</v>
      </c>
      <c r="F2" s="698"/>
      <c r="G2" s="698"/>
      <c r="H2" s="811" t="s">
        <v>1147</v>
      </c>
      <c r="I2" s="1328" t="str">
        <f>'Списки участников'!D6</f>
        <v>ЮНОШИ</v>
      </c>
      <c r="J2" s="1329"/>
      <c r="K2" s="1329"/>
      <c r="L2" s="1329"/>
      <c r="M2" s="1329"/>
      <c r="N2" s="698"/>
      <c r="P2" s="697" t="str">
        <f>'Списки участников'!I3</f>
        <v>г. Москва</v>
      </c>
    </row>
    <row r="3" spans="1:20" ht="16.5" customHeight="1" x14ac:dyDescent="0.25">
      <c r="A3" s="1302" t="s">
        <v>1132</v>
      </c>
      <c r="B3" s="1304" t="s">
        <v>1000</v>
      </c>
      <c r="C3" s="1318" t="s">
        <v>3</v>
      </c>
      <c r="D3" s="1319"/>
      <c r="E3" s="1306"/>
      <c r="F3" s="1308" t="s">
        <v>4</v>
      </c>
      <c r="G3" s="693"/>
      <c r="H3" s="1330" t="s">
        <v>4</v>
      </c>
      <c r="I3" s="1312" t="s">
        <v>1132</v>
      </c>
      <c r="J3" s="1314" t="s">
        <v>1000</v>
      </c>
      <c r="K3" s="1324" t="s">
        <v>3</v>
      </c>
      <c r="L3" s="1325"/>
      <c r="M3" s="745"/>
      <c r="N3" s="1316" t="s">
        <v>4</v>
      </c>
      <c r="O3" s="694"/>
      <c r="P3" s="1299" t="s">
        <v>4</v>
      </c>
      <c r="R3" s="113"/>
      <c r="S3" s="113"/>
      <c r="T3" s="113"/>
    </row>
    <row r="4" spans="1:20" ht="16.5" thickBot="1" x14ac:dyDescent="0.3">
      <c r="A4" s="1303"/>
      <c r="B4" s="1305"/>
      <c r="C4" s="1320"/>
      <c r="D4" s="1321"/>
      <c r="E4" s="1307"/>
      <c r="F4" s="1309"/>
      <c r="G4" s="695"/>
      <c r="H4" s="1331"/>
      <c r="I4" s="1313"/>
      <c r="J4" s="1315"/>
      <c r="K4" s="1326"/>
      <c r="L4" s="1327"/>
      <c r="M4" s="746"/>
      <c r="N4" s="1317"/>
      <c r="O4" s="696"/>
      <c r="P4" s="1300"/>
      <c r="R4" s="113"/>
      <c r="S4" s="113"/>
      <c r="T4" s="113"/>
    </row>
    <row r="5" spans="1:20" ht="15.75" x14ac:dyDescent="0.25">
      <c r="A5" s="717">
        <v>1</v>
      </c>
      <c r="B5" s="495">
        <v>1</v>
      </c>
      <c r="C5" s="755">
        <v>1</v>
      </c>
      <c r="D5" s="756">
        <v>16</v>
      </c>
      <c r="E5" s="497">
        <f>LOOKUP(C5,'Юноши 2ф'!A:A,'Юноши 2ф'!B:B)</f>
        <v>0</v>
      </c>
      <c r="F5" s="718" t="e">
        <f>IF(E5="","",VLOOKUP(E5,'Списки участников'!A:L,3,FALSE))</f>
        <v>#N/A</v>
      </c>
      <c r="G5" s="498">
        <f>LOOKUP(D5,'Юноши 2ф'!A:A,'Юноши 2ф'!B:B)</f>
        <v>0</v>
      </c>
      <c r="H5" s="718" t="e">
        <f>IF(G5="","",VLOOKUP(G5,'Списки участников'!A:L,3,FALSE))</f>
        <v>#N/A</v>
      </c>
      <c r="I5" s="717">
        <v>65</v>
      </c>
      <c r="J5" s="509">
        <v>9</v>
      </c>
      <c r="K5" s="760">
        <v>1</v>
      </c>
      <c r="L5" s="760">
        <v>8</v>
      </c>
      <c r="M5" s="498">
        <f>LOOKUP(K5,'Юноши 2ф'!A:A,'Юноши 2ф'!B:B)</f>
        <v>0</v>
      </c>
      <c r="N5" s="718" t="e">
        <f>IF(M5="","",VLOOKUP(M5,'Списки участников'!A:L,3,FALSE))</f>
        <v>#N/A</v>
      </c>
      <c r="O5" s="498">
        <f>LOOKUP(L5,'Юноши 2ф'!A:A,'Юноши 2ф'!B:B)</f>
        <v>0</v>
      </c>
      <c r="P5" s="718" t="e">
        <f>IF(O5="","",VLOOKUP(O5,'Списки участников'!A:L,3,FALSE))</f>
        <v>#N/A</v>
      </c>
      <c r="Q5" s="766">
        <v>1</v>
      </c>
      <c r="R5" s="766">
        <v>1</v>
      </c>
      <c r="S5" s="113"/>
      <c r="T5" s="113"/>
    </row>
    <row r="6" spans="1:20" ht="15.75" x14ac:dyDescent="0.25">
      <c r="A6" s="499">
        <v>2</v>
      </c>
      <c r="B6" s="500">
        <v>1</v>
      </c>
      <c r="C6" s="755">
        <v>2</v>
      </c>
      <c r="D6" s="756">
        <v>15</v>
      </c>
      <c r="E6" s="497">
        <f>LOOKUP(C6,'Юноши 2ф'!A:A,'Юноши 2ф'!B:B)</f>
        <v>0</v>
      </c>
      <c r="F6" s="718" t="e">
        <f>IF(E6="","",VLOOKUP(E6,'Списки участников'!A:L,3,FALSE))</f>
        <v>#N/A</v>
      </c>
      <c r="G6" s="498">
        <f>LOOKUP(D6,'Юноши 2ф'!A:A,'Юноши 2ф'!B:B)</f>
        <v>0</v>
      </c>
      <c r="H6" s="718" t="e">
        <f>IF(G6="","",VLOOKUP(G6,'Списки участников'!A:L,3,FALSE))</f>
        <v>#N/A</v>
      </c>
      <c r="I6" s="499">
        <v>66</v>
      </c>
      <c r="J6" s="509">
        <v>9</v>
      </c>
      <c r="K6" s="756">
        <v>9</v>
      </c>
      <c r="L6" s="756">
        <v>7</v>
      </c>
      <c r="M6" s="498">
        <f>LOOKUP(K6,'Юноши 2ф'!A:A,'Юноши 2ф'!B:B)</f>
        <v>0</v>
      </c>
      <c r="N6" s="718" t="e">
        <f>IF(M6="","",VLOOKUP(M6,'Списки участников'!A:L,3,FALSE))</f>
        <v>#N/A</v>
      </c>
      <c r="O6" s="498">
        <f>LOOKUP(L6,'Юноши 2ф'!A:A,'Юноши 2ф'!B:B)</f>
        <v>0</v>
      </c>
      <c r="P6" s="718" t="e">
        <f>IF(O6="","",VLOOKUP(O6,'Списки участников'!A:L,3,FALSE))</f>
        <v>#N/A</v>
      </c>
      <c r="Q6" s="766">
        <v>2</v>
      </c>
      <c r="R6" s="766">
        <v>9</v>
      </c>
      <c r="S6" s="113"/>
      <c r="T6" s="113"/>
    </row>
    <row r="7" spans="1:20" ht="15.75" x14ac:dyDescent="0.25">
      <c r="A7" s="499">
        <v>3</v>
      </c>
      <c r="B7" s="500">
        <v>1</v>
      </c>
      <c r="C7" s="755">
        <v>3</v>
      </c>
      <c r="D7" s="756">
        <v>14</v>
      </c>
      <c r="E7" s="497">
        <f>LOOKUP(C7,'Юноши 2ф'!A:A,'Юноши 2ф'!B:B)</f>
        <v>0</v>
      </c>
      <c r="F7" s="718" t="e">
        <f>IF(E7="","",VLOOKUP(E7,'Списки участников'!A:L,3,FALSE))</f>
        <v>#N/A</v>
      </c>
      <c r="G7" s="498">
        <f>LOOKUP(D7,'Юноши 2ф'!A:A,'Юноши 2ф'!B:B)</f>
        <v>0</v>
      </c>
      <c r="H7" s="718" t="e">
        <f>IF(G7="","",VLOOKUP(G7,'Списки участников'!A:L,3,FALSE))</f>
        <v>#N/A</v>
      </c>
      <c r="I7" s="499">
        <v>67</v>
      </c>
      <c r="J7" s="509">
        <v>9</v>
      </c>
      <c r="K7" s="756">
        <v>10</v>
      </c>
      <c r="L7" s="756">
        <v>6</v>
      </c>
      <c r="M7" s="498">
        <f>LOOKUP(K7,'Юноши 2ф'!A:A,'Юноши 2ф'!B:B)</f>
        <v>0</v>
      </c>
      <c r="N7" s="718" t="e">
        <f>IF(M7="","",VLOOKUP(M7,'Списки участников'!A:L,3,FALSE))</f>
        <v>#N/A</v>
      </c>
      <c r="O7" s="498">
        <f>LOOKUP(L7,'Юноши 2ф'!A:A,'Юноши 2ф'!B:B)</f>
        <v>0</v>
      </c>
      <c r="P7" s="718" t="e">
        <f>IF(O7="","",VLOOKUP(O7,'Списки участников'!A:L,3,FALSE))</f>
        <v>#N/A</v>
      </c>
      <c r="Q7" s="766">
        <v>3</v>
      </c>
      <c r="R7" s="766">
        <v>17</v>
      </c>
      <c r="S7" s="113"/>
      <c r="T7" s="113"/>
    </row>
    <row r="8" spans="1:20" ht="15.75" x14ac:dyDescent="0.25">
      <c r="A8" s="499">
        <v>4</v>
      </c>
      <c r="B8" s="500">
        <v>1</v>
      </c>
      <c r="C8" s="755">
        <v>4</v>
      </c>
      <c r="D8" s="756">
        <v>13</v>
      </c>
      <c r="E8" s="497">
        <f>LOOKUP(C8,'Юноши 2ф'!A:A,'Юноши 2ф'!B:B)</f>
        <v>0</v>
      </c>
      <c r="F8" s="718" t="e">
        <f>IF(E8="","",VLOOKUP(E8,'Списки участников'!A:L,3,FALSE))</f>
        <v>#N/A</v>
      </c>
      <c r="G8" s="498">
        <f>LOOKUP(D8,'Юноши 2ф'!A:A,'Юноши 2ф'!B:B)</f>
        <v>0</v>
      </c>
      <c r="H8" s="718" t="e">
        <f>IF(G8="","",VLOOKUP(G8,'Списки участников'!A:L,3,FALSE))</f>
        <v>#N/A</v>
      </c>
      <c r="I8" s="499">
        <v>68</v>
      </c>
      <c r="J8" s="509">
        <v>9</v>
      </c>
      <c r="K8" s="756">
        <v>11</v>
      </c>
      <c r="L8" s="756">
        <v>5</v>
      </c>
      <c r="M8" s="498">
        <f>LOOKUP(K8,'Юноши 2ф'!A:A,'Юноши 2ф'!B:B)</f>
        <v>0</v>
      </c>
      <c r="N8" s="718" t="e">
        <f>IF(M8="","",VLOOKUP(M8,'Списки участников'!A:L,3,FALSE))</f>
        <v>#N/A</v>
      </c>
      <c r="O8" s="498">
        <f>LOOKUP(L8,'Юноши 2ф'!A:A,'Юноши 2ф'!B:B)</f>
        <v>0</v>
      </c>
      <c r="P8" s="718" t="e">
        <f>IF(O8="","",VLOOKUP(O8,'Списки участников'!A:L,3,FALSE))</f>
        <v>#N/A</v>
      </c>
      <c r="Q8" s="766">
        <v>4</v>
      </c>
      <c r="R8" s="766">
        <v>25</v>
      </c>
      <c r="S8" s="113"/>
      <c r="T8" s="113"/>
    </row>
    <row r="9" spans="1:20" ht="15.75" x14ac:dyDescent="0.25">
      <c r="A9" s="499">
        <v>5</v>
      </c>
      <c r="B9" s="502">
        <v>1</v>
      </c>
      <c r="C9" s="755">
        <v>5</v>
      </c>
      <c r="D9" s="756">
        <v>12</v>
      </c>
      <c r="E9" s="497">
        <f>LOOKUP(C9,'Юноши 2ф'!A:A,'Юноши 2ф'!B:B)</f>
        <v>0</v>
      </c>
      <c r="F9" s="718" t="e">
        <f>IF(E9="","",VLOOKUP(E9,'Списки участников'!A:L,3,FALSE))</f>
        <v>#N/A</v>
      </c>
      <c r="G9" s="498">
        <f>LOOKUP(D9,'Юноши 2ф'!A:A,'Юноши 2ф'!B:B)</f>
        <v>0</v>
      </c>
      <c r="H9" s="718" t="e">
        <f>IF(G9="","",VLOOKUP(G9,'Списки участников'!A:L,3,FALSE))</f>
        <v>#N/A</v>
      </c>
      <c r="I9" s="499">
        <v>69</v>
      </c>
      <c r="J9" s="514">
        <v>9</v>
      </c>
      <c r="K9" s="756">
        <v>12</v>
      </c>
      <c r="L9" s="756">
        <v>4</v>
      </c>
      <c r="M9" s="498">
        <f>LOOKUP(K9,'Юноши 2ф'!A:A,'Юноши 2ф'!B:B)</f>
        <v>0</v>
      </c>
      <c r="N9" s="718" t="e">
        <f>IF(M9="","",VLOOKUP(M9,'Списки участников'!A:L,3,FALSE))</f>
        <v>#N/A</v>
      </c>
      <c r="O9" s="498">
        <f>LOOKUP(L9,'Юноши 2ф'!A:A,'Юноши 2ф'!B:B)</f>
        <v>0</v>
      </c>
      <c r="P9" s="718" t="e">
        <f>IF(O9="","",VLOOKUP(O9,'Списки участников'!A:L,3,FALSE))</f>
        <v>#N/A</v>
      </c>
      <c r="Q9" s="766">
        <v>5</v>
      </c>
      <c r="R9" s="766">
        <v>33</v>
      </c>
      <c r="S9" s="113"/>
      <c r="T9" s="113"/>
    </row>
    <row r="10" spans="1:20" ht="15.75" x14ac:dyDescent="0.25">
      <c r="A10" s="499">
        <v>6</v>
      </c>
      <c r="B10" s="500">
        <v>1</v>
      </c>
      <c r="C10" s="755">
        <v>6</v>
      </c>
      <c r="D10" s="756">
        <v>11</v>
      </c>
      <c r="E10" s="497">
        <f>LOOKUP(C10,'Юноши 2ф'!A:A,'Юноши 2ф'!B:B)</f>
        <v>0</v>
      </c>
      <c r="F10" s="718" t="e">
        <f>IF(E10="","",VLOOKUP(E10,'Списки участников'!A:L,3,FALSE))</f>
        <v>#N/A</v>
      </c>
      <c r="G10" s="498">
        <f>LOOKUP(D10,'Юноши 2ф'!A:A,'Юноши 2ф'!B:B)</f>
        <v>0</v>
      </c>
      <c r="H10" s="718" t="e">
        <f>IF(G10="","",VLOOKUP(G10,'Списки участников'!A:L,3,FALSE))</f>
        <v>#N/A</v>
      </c>
      <c r="I10" s="499">
        <v>70</v>
      </c>
      <c r="J10" s="509">
        <v>9</v>
      </c>
      <c r="K10" s="762">
        <v>13</v>
      </c>
      <c r="L10" s="762">
        <v>3</v>
      </c>
      <c r="M10" s="498">
        <f>LOOKUP(K10,'Юноши 2ф'!A:A,'Юноши 2ф'!B:B)</f>
        <v>0</v>
      </c>
      <c r="N10" s="718" t="e">
        <f>IF(M10="","",VLOOKUP(M10,'Списки участников'!A:L,3,FALSE))</f>
        <v>#N/A</v>
      </c>
      <c r="O10" s="498">
        <f>LOOKUP(L10,'Юноши 2ф'!A:A,'Юноши 2ф'!B:B)</f>
        <v>0</v>
      </c>
      <c r="P10" s="718" t="e">
        <f>IF(O10="","",VLOOKUP(O10,'Списки участников'!A:L,3,FALSE))</f>
        <v>#N/A</v>
      </c>
      <c r="Q10" s="766">
        <v>6</v>
      </c>
      <c r="R10" s="766">
        <v>41</v>
      </c>
      <c r="S10" s="113"/>
      <c r="T10" s="113"/>
    </row>
    <row r="11" spans="1:20" ht="15.75" x14ac:dyDescent="0.25">
      <c r="A11" s="499">
        <v>7</v>
      </c>
      <c r="B11" s="500">
        <v>1</v>
      </c>
      <c r="C11" s="755">
        <v>7</v>
      </c>
      <c r="D11" s="756">
        <v>10</v>
      </c>
      <c r="E11" s="497">
        <f>LOOKUP(C11,'Юноши 2ф'!A:A,'Юноши 2ф'!B:B)</f>
        <v>0</v>
      </c>
      <c r="F11" s="718" t="e">
        <f>IF(E11="","",VLOOKUP(E11,'Списки участников'!A:L,3,FALSE))</f>
        <v>#N/A</v>
      </c>
      <c r="G11" s="498">
        <f>LOOKUP(D11,'Юноши 2ф'!A:A,'Юноши 2ф'!B:B)</f>
        <v>0</v>
      </c>
      <c r="H11" s="718" t="e">
        <f>IF(G11="","",VLOOKUP(G11,'Списки участников'!A:L,3,FALSE))</f>
        <v>#N/A</v>
      </c>
      <c r="I11" s="499">
        <v>71</v>
      </c>
      <c r="J11" s="509">
        <v>9</v>
      </c>
      <c r="K11" s="762">
        <v>14</v>
      </c>
      <c r="L11" s="762">
        <v>2</v>
      </c>
      <c r="M11" s="498">
        <f>LOOKUP(K11,'Юноши 2ф'!A:A,'Юноши 2ф'!B:B)</f>
        <v>0</v>
      </c>
      <c r="N11" s="718" t="e">
        <f>IF(M11="","",VLOOKUP(M11,'Списки участников'!A:L,3,FALSE))</f>
        <v>#N/A</v>
      </c>
      <c r="O11" s="498">
        <f>LOOKUP(L11,'Юноши 2ф'!A:A,'Юноши 2ф'!B:B)</f>
        <v>0</v>
      </c>
      <c r="P11" s="718" t="e">
        <f>IF(O11="","",VLOOKUP(O11,'Списки участников'!A:L,3,FALSE))</f>
        <v>#N/A</v>
      </c>
      <c r="Q11" s="766">
        <v>7</v>
      </c>
      <c r="R11" s="766">
        <v>49</v>
      </c>
      <c r="S11" s="113"/>
      <c r="T11" s="113"/>
    </row>
    <row r="12" spans="1:20" ht="16.5" thickBot="1" x14ac:dyDescent="0.3">
      <c r="A12" s="499">
        <v>8</v>
      </c>
      <c r="B12" s="505">
        <v>1</v>
      </c>
      <c r="C12" s="757">
        <v>8</v>
      </c>
      <c r="D12" s="758">
        <v>9</v>
      </c>
      <c r="E12" s="497">
        <f>LOOKUP(C12,'Юноши 2ф'!A:A,'Юноши 2ф'!B:B)</f>
        <v>0</v>
      </c>
      <c r="F12" s="747" t="e">
        <f>IF(E12="","",VLOOKUP(E12,'Списки участников'!A:L,3,FALSE))</f>
        <v>#N/A</v>
      </c>
      <c r="G12" s="748">
        <f>LOOKUP(D12,'Юноши 2ф'!A:A,'Юноши 2ф'!B:B)</f>
        <v>0</v>
      </c>
      <c r="H12" s="747" t="e">
        <f>IF(G12="","",VLOOKUP(G12,'Списки участников'!A:L,3,FALSE))</f>
        <v>#N/A</v>
      </c>
      <c r="I12" s="716">
        <v>72</v>
      </c>
      <c r="J12" s="513">
        <v>9</v>
      </c>
      <c r="K12" s="758">
        <v>15</v>
      </c>
      <c r="L12" s="758">
        <v>16</v>
      </c>
      <c r="M12" s="748">
        <f>LOOKUP(K12,'Юноши 2ф'!A:A,'Юноши 2ф'!B:B)</f>
        <v>0</v>
      </c>
      <c r="N12" s="747" t="e">
        <f>IF(M12="","",VLOOKUP(M12,'Списки участников'!A:L,3,FALSE))</f>
        <v>#N/A</v>
      </c>
      <c r="O12" s="748">
        <f>LOOKUP(L12,'Юноши 2ф'!A:A,'Юноши 2ф'!B:B)</f>
        <v>0</v>
      </c>
      <c r="P12" s="747" t="e">
        <f>IF(O12="","",VLOOKUP(O12,'Списки участников'!A:L,3,FALSE))</f>
        <v>#N/A</v>
      </c>
      <c r="Q12" s="766">
        <v>8</v>
      </c>
      <c r="R12" s="766">
        <v>57</v>
      </c>
    </row>
    <row r="13" spans="1:20" ht="17.25" x14ac:dyDescent="0.25">
      <c r="A13" s="499">
        <v>9</v>
      </c>
      <c r="B13" s="500">
        <v>2</v>
      </c>
      <c r="C13" s="759">
        <v>15</v>
      </c>
      <c r="D13" s="760">
        <v>1</v>
      </c>
      <c r="E13" s="497">
        <f>LOOKUP(C13,'Юноши 2ф'!A:A,'Юноши 2ф'!B:B)</f>
        <v>0</v>
      </c>
      <c r="F13" s="718" t="e">
        <f>IF(E13="","",VLOOKUP(E13,'Списки участников'!A:L,3,FALSE))</f>
        <v>#N/A</v>
      </c>
      <c r="G13" s="498">
        <f>LOOKUP(D13,'Юноши 2ф'!A:A,'Юноши 2ф'!B:B)</f>
        <v>0</v>
      </c>
      <c r="H13" s="718" t="e">
        <f>IF(G13="","",VLOOKUP(G13,'Списки участников'!A:L,3,FALSE))</f>
        <v>#N/A</v>
      </c>
      <c r="I13" s="717">
        <v>73</v>
      </c>
      <c r="J13" s="509">
        <v>10</v>
      </c>
      <c r="K13" s="760">
        <v>7</v>
      </c>
      <c r="L13" s="760">
        <v>1</v>
      </c>
      <c r="M13" s="498">
        <f>LOOKUP(K13,'Юноши 2ф'!A:A,'Юноши 2ф'!B:B)</f>
        <v>0</v>
      </c>
      <c r="N13" s="718" t="e">
        <f>IF(M13="","",VLOOKUP(M13,'Списки участников'!A:L,3,FALSE))</f>
        <v>#N/A</v>
      </c>
      <c r="O13" s="498">
        <f>LOOKUP(L13,'Юноши 2ф'!A:A,'Юноши 2ф'!B:B)</f>
        <v>0</v>
      </c>
      <c r="P13" s="718" t="e">
        <f>IF(O13="","",VLOOKUP(O13,'Списки участников'!A:L,3,FALSE))</f>
        <v>#N/A</v>
      </c>
      <c r="Q13" s="766">
        <v>9</v>
      </c>
      <c r="R13" s="766">
        <v>65</v>
      </c>
    </row>
    <row r="14" spans="1:20" ht="17.25" x14ac:dyDescent="0.25">
      <c r="A14" s="499">
        <v>10</v>
      </c>
      <c r="B14" s="500">
        <v>2</v>
      </c>
      <c r="C14" s="755">
        <v>16</v>
      </c>
      <c r="D14" s="756">
        <v>14</v>
      </c>
      <c r="E14" s="497">
        <f>LOOKUP(C14,'Юноши 2ф'!A:A,'Юноши 2ф'!B:B)</f>
        <v>0</v>
      </c>
      <c r="F14" s="718" t="e">
        <f>IF(E14="","",VLOOKUP(E14,'Списки участников'!A:L,3,FALSE))</f>
        <v>#N/A</v>
      </c>
      <c r="G14" s="498">
        <f>LOOKUP(D14,'Юноши 2ф'!A:A,'Юноши 2ф'!B:B)</f>
        <v>0</v>
      </c>
      <c r="H14" s="718" t="e">
        <f>IF(G14="","",VLOOKUP(G14,'Списки участников'!A:L,3,FALSE))</f>
        <v>#N/A</v>
      </c>
      <c r="I14" s="499">
        <v>74</v>
      </c>
      <c r="J14" s="509">
        <v>10</v>
      </c>
      <c r="K14" s="756">
        <v>8</v>
      </c>
      <c r="L14" s="760">
        <v>6</v>
      </c>
      <c r="M14" s="498">
        <f>LOOKUP(K14,'Юноши 2ф'!A:A,'Юноши 2ф'!B:B)</f>
        <v>0</v>
      </c>
      <c r="N14" s="718" t="e">
        <f>IF(M14="","",VLOOKUP(M14,'Списки участников'!A:L,3,FALSE))</f>
        <v>#N/A</v>
      </c>
      <c r="O14" s="498">
        <f>LOOKUP(L14,'Юноши 2ф'!A:A,'Юноши 2ф'!B:B)</f>
        <v>0</v>
      </c>
      <c r="P14" s="718" t="e">
        <f>IF(O14="","",VLOOKUP(O14,'Списки участников'!A:L,3,FALSE))</f>
        <v>#N/A</v>
      </c>
      <c r="Q14" s="766">
        <v>10</v>
      </c>
      <c r="R14" s="766">
        <v>73</v>
      </c>
    </row>
    <row r="15" spans="1:20" ht="17.25" x14ac:dyDescent="0.25">
      <c r="A15" s="499">
        <v>11</v>
      </c>
      <c r="B15" s="500">
        <v>2</v>
      </c>
      <c r="C15" s="755">
        <v>2</v>
      </c>
      <c r="D15" s="756">
        <v>13</v>
      </c>
      <c r="E15" s="497">
        <f>LOOKUP(C15,'Юноши 2ф'!A:A,'Юноши 2ф'!B:B)</f>
        <v>0</v>
      </c>
      <c r="F15" s="718" t="e">
        <f>IF(E15="","",VLOOKUP(E15,'Списки участников'!A:L,3,FALSE))</f>
        <v>#N/A</v>
      </c>
      <c r="G15" s="498">
        <f>LOOKUP(D15,'Юноши 2ф'!A:A,'Юноши 2ф'!B:B)</f>
        <v>0</v>
      </c>
      <c r="H15" s="718" t="e">
        <f>IF(G15="","",VLOOKUP(G15,'Списки участников'!A:L,3,FALSE))</f>
        <v>#N/A</v>
      </c>
      <c r="I15" s="499">
        <v>75</v>
      </c>
      <c r="J15" s="509">
        <v>10</v>
      </c>
      <c r="K15" s="756">
        <v>9</v>
      </c>
      <c r="L15" s="760">
        <v>5</v>
      </c>
      <c r="M15" s="498">
        <f>LOOKUP(K15,'Юноши 2ф'!A:A,'Юноши 2ф'!B:B)</f>
        <v>0</v>
      </c>
      <c r="N15" s="718" t="e">
        <f>IF(M15="","",VLOOKUP(M15,'Списки участников'!A:L,3,FALSE))</f>
        <v>#N/A</v>
      </c>
      <c r="O15" s="498">
        <f>LOOKUP(L15,'Юноши 2ф'!A:A,'Юноши 2ф'!B:B)</f>
        <v>0</v>
      </c>
      <c r="P15" s="718" t="e">
        <f>IF(O15="","",VLOOKUP(O15,'Списки участников'!A:L,3,FALSE))</f>
        <v>#N/A</v>
      </c>
      <c r="Q15" s="766">
        <v>11</v>
      </c>
      <c r="R15" s="766">
        <v>81</v>
      </c>
    </row>
    <row r="16" spans="1:20" ht="17.25" x14ac:dyDescent="0.25">
      <c r="A16" s="499">
        <v>12</v>
      </c>
      <c r="B16" s="500">
        <v>2</v>
      </c>
      <c r="C16" s="755">
        <v>3</v>
      </c>
      <c r="D16" s="756">
        <v>12</v>
      </c>
      <c r="E16" s="497">
        <f>LOOKUP(C16,'Юноши 2ф'!A:A,'Юноши 2ф'!B:B)</f>
        <v>0</v>
      </c>
      <c r="F16" s="718" t="e">
        <f>IF(E16="","",VLOOKUP(E16,'Списки участников'!A:L,3,FALSE))</f>
        <v>#N/A</v>
      </c>
      <c r="G16" s="498">
        <f>LOOKUP(D16,'Юноши 2ф'!A:A,'Юноши 2ф'!B:B)</f>
        <v>0</v>
      </c>
      <c r="H16" s="718" t="e">
        <f>IF(G16="","",VLOOKUP(G16,'Списки участников'!A:L,3,FALSE))</f>
        <v>#N/A</v>
      </c>
      <c r="I16" s="499">
        <v>76</v>
      </c>
      <c r="J16" s="509">
        <v>10</v>
      </c>
      <c r="K16" s="756">
        <v>10</v>
      </c>
      <c r="L16" s="760">
        <v>4</v>
      </c>
      <c r="M16" s="498">
        <f>LOOKUP(K16,'Юноши 2ф'!A:A,'Юноши 2ф'!B:B)</f>
        <v>0</v>
      </c>
      <c r="N16" s="718" t="e">
        <f>IF(M16="","",VLOOKUP(M16,'Списки участников'!A:L,3,FALSE))</f>
        <v>#N/A</v>
      </c>
      <c r="O16" s="498">
        <f>LOOKUP(L16,'Юноши 2ф'!A:A,'Юноши 2ф'!B:B)</f>
        <v>0</v>
      </c>
      <c r="P16" s="718" t="e">
        <f>IF(O16="","",VLOOKUP(O16,'Списки участников'!A:L,3,FALSE))</f>
        <v>#N/A</v>
      </c>
      <c r="Q16" s="766">
        <v>12</v>
      </c>
      <c r="R16" s="766">
        <v>89</v>
      </c>
    </row>
    <row r="17" spans="1:18" ht="17.25" x14ac:dyDescent="0.25">
      <c r="A17" s="499">
        <v>13</v>
      </c>
      <c r="B17" s="502">
        <v>2</v>
      </c>
      <c r="C17" s="755">
        <v>4</v>
      </c>
      <c r="D17" s="756">
        <v>11</v>
      </c>
      <c r="E17" s="497">
        <f>LOOKUP(C17,'Юноши 2ф'!A:A,'Юноши 2ф'!B:B)</f>
        <v>0</v>
      </c>
      <c r="F17" s="718" t="e">
        <f>IF(E17="","",VLOOKUP(E17,'Списки участников'!A:L,3,FALSE))</f>
        <v>#N/A</v>
      </c>
      <c r="G17" s="498">
        <f>LOOKUP(D17,'Юноши 2ф'!A:A,'Юноши 2ф'!B:B)</f>
        <v>0</v>
      </c>
      <c r="H17" s="718" t="e">
        <f>IF(G17="","",VLOOKUP(G17,'Списки участников'!A:L,3,FALSE))</f>
        <v>#N/A</v>
      </c>
      <c r="I17" s="499">
        <v>77</v>
      </c>
      <c r="J17" s="514">
        <v>10</v>
      </c>
      <c r="K17" s="756">
        <v>11</v>
      </c>
      <c r="L17" s="760">
        <v>3</v>
      </c>
      <c r="M17" s="498">
        <f>LOOKUP(K17,'Юноши 2ф'!A:A,'Юноши 2ф'!B:B)</f>
        <v>0</v>
      </c>
      <c r="N17" s="718" t="e">
        <f>IF(M17="","",VLOOKUP(M17,'Списки участников'!A:L,3,FALSE))</f>
        <v>#N/A</v>
      </c>
      <c r="O17" s="498">
        <f>LOOKUP(L17,'Юноши 2ф'!A:A,'Юноши 2ф'!B:B)</f>
        <v>0</v>
      </c>
      <c r="P17" s="718" t="e">
        <f>IF(O17="","",VLOOKUP(O17,'Списки участников'!A:L,3,FALSE))</f>
        <v>#N/A</v>
      </c>
      <c r="Q17" s="766">
        <v>13</v>
      </c>
      <c r="R17" s="766">
        <v>97</v>
      </c>
    </row>
    <row r="18" spans="1:18" ht="17.25" x14ac:dyDescent="0.25">
      <c r="A18" s="499">
        <v>14</v>
      </c>
      <c r="B18" s="500">
        <v>2</v>
      </c>
      <c r="C18" s="755">
        <v>5</v>
      </c>
      <c r="D18" s="756">
        <v>10</v>
      </c>
      <c r="E18" s="497">
        <f>LOOKUP(C18,'Юноши 2ф'!A:A,'Юноши 2ф'!B:B)</f>
        <v>0</v>
      </c>
      <c r="F18" s="718" t="e">
        <f>IF(E18="","",VLOOKUP(E18,'Списки участников'!A:L,3,FALSE))</f>
        <v>#N/A</v>
      </c>
      <c r="G18" s="498">
        <f>LOOKUP(D18,'Юноши 2ф'!A:A,'Юноши 2ф'!B:B)</f>
        <v>0</v>
      </c>
      <c r="H18" s="718" t="e">
        <f>IF(G18="","",VLOOKUP(G18,'Списки участников'!A:L,3,FALSE))</f>
        <v>#N/A</v>
      </c>
      <c r="I18" s="499">
        <v>78</v>
      </c>
      <c r="J18" s="509">
        <v>10</v>
      </c>
      <c r="K18" s="762">
        <v>12</v>
      </c>
      <c r="L18" s="756">
        <v>2</v>
      </c>
      <c r="M18" s="498">
        <f>LOOKUP(K18,'Юноши 2ф'!A:A,'Юноши 2ф'!B:B)</f>
        <v>0</v>
      </c>
      <c r="N18" s="718" t="e">
        <f>IF(M18="","",VLOOKUP(M18,'Списки участников'!A:L,3,FALSE))</f>
        <v>#N/A</v>
      </c>
      <c r="O18" s="498">
        <f>LOOKUP(L18,'Юноши 2ф'!A:A,'Юноши 2ф'!B:B)</f>
        <v>0</v>
      </c>
      <c r="P18" s="718" t="e">
        <f>IF(O18="","",VLOOKUP(O18,'Списки участников'!A:L,3,FALSE))</f>
        <v>#N/A</v>
      </c>
      <c r="Q18" s="766">
        <v>14</v>
      </c>
      <c r="R18" s="766">
        <v>105</v>
      </c>
    </row>
    <row r="19" spans="1:18" ht="17.25" x14ac:dyDescent="0.25">
      <c r="A19" s="499">
        <v>15</v>
      </c>
      <c r="B19" s="500">
        <v>2</v>
      </c>
      <c r="C19" s="755">
        <v>6</v>
      </c>
      <c r="D19" s="756">
        <v>9</v>
      </c>
      <c r="E19" s="497">
        <f>LOOKUP(C19,'Юноши 2ф'!A:A,'Юноши 2ф'!B:B)</f>
        <v>0</v>
      </c>
      <c r="F19" s="718" t="e">
        <f>IF(E19="","",VLOOKUP(E19,'Списки участников'!A:L,3,FALSE))</f>
        <v>#N/A</v>
      </c>
      <c r="G19" s="498">
        <f>LOOKUP(D19,'Юноши 2ф'!A:A,'Юноши 2ф'!B:B)</f>
        <v>0</v>
      </c>
      <c r="H19" s="718" t="e">
        <f>IF(G19="","",VLOOKUP(G19,'Списки участников'!A:L,3,FALSE))</f>
        <v>#N/A</v>
      </c>
      <c r="I19" s="499">
        <v>79</v>
      </c>
      <c r="J19" s="509">
        <v>10</v>
      </c>
      <c r="K19" s="762">
        <v>13</v>
      </c>
      <c r="L19" s="756">
        <v>16</v>
      </c>
      <c r="M19" s="498">
        <f>LOOKUP(K19,'Юноши 2ф'!A:A,'Юноши 2ф'!B:B)</f>
        <v>0</v>
      </c>
      <c r="N19" s="718" t="e">
        <f>IF(M19="","",VLOOKUP(M19,'Списки участников'!A:L,3,FALSE))</f>
        <v>#N/A</v>
      </c>
      <c r="O19" s="498">
        <f>LOOKUP(L19,'Юноши 2ф'!A:A,'Юноши 2ф'!B:B)</f>
        <v>0</v>
      </c>
      <c r="P19" s="718" t="e">
        <f>IF(O19="","",VLOOKUP(O19,'Списки участников'!A:L,3,FALSE))</f>
        <v>#N/A</v>
      </c>
      <c r="Q19" s="766">
        <v>15</v>
      </c>
      <c r="R19" s="766">
        <v>113</v>
      </c>
    </row>
    <row r="20" spans="1:18" ht="18" thickBot="1" x14ac:dyDescent="0.3">
      <c r="A20" s="499">
        <v>16</v>
      </c>
      <c r="B20" s="505">
        <v>2</v>
      </c>
      <c r="C20" s="757">
        <v>7</v>
      </c>
      <c r="D20" s="758">
        <v>8</v>
      </c>
      <c r="E20" s="507">
        <f>LOOKUP(C20,'Юноши 2ф'!A:A,'Юноши 2ф'!B:B)</f>
        <v>0</v>
      </c>
      <c r="F20" s="747" t="e">
        <f>IF(E20="","",VLOOKUP(E20,'Списки участников'!A:L,3,FALSE))</f>
        <v>#N/A</v>
      </c>
      <c r="G20" s="748">
        <f>LOOKUP(D20,'Юноши 2ф'!A:A,'Юноши 2ф'!B:B)</f>
        <v>0</v>
      </c>
      <c r="H20" s="747" t="e">
        <f>IF(G20="","",VLOOKUP(G20,'Списки участников'!A:L,3,FALSE))</f>
        <v>#N/A</v>
      </c>
      <c r="I20" s="716">
        <v>80</v>
      </c>
      <c r="J20" s="513">
        <v>10</v>
      </c>
      <c r="K20" s="758">
        <v>14</v>
      </c>
      <c r="L20" s="763">
        <v>15</v>
      </c>
      <c r="M20" s="748">
        <f>LOOKUP(K20,'Юноши 2ф'!A:A,'Юноши 2ф'!B:B)</f>
        <v>0</v>
      </c>
      <c r="N20" s="747" t="e">
        <f>IF(M20="","",VLOOKUP(M20,'Списки участников'!A:L,3,FALSE))</f>
        <v>#N/A</v>
      </c>
      <c r="O20" s="748">
        <f>LOOKUP(L20,'Юноши 2ф'!A:A,'Юноши 2ф'!B:B)</f>
        <v>0</v>
      </c>
      <c r="P20" s="747" t="e">
        <f>IF(O20="","",VLOOKUP(O20,'Списки участников'!A:L,3,FALSE))</f>
        <v>#N/A</v>
      </c>
      <c r="Q20" s="766"/>
      <c r="R20" s="766"/>
    </row>
    <row r="21" spans="1:18" ht="17.25" x14ac:dyDescent="0.25">
      <c r="A21" s="499">
        <v>17</v>
      </c>
      <c r="B21" s="509">
        <v>3</v>
      </c>
      <c r="C21" s="759">
        <v>1</v>
      </c>
      <c r="D21" s="760">
        <v>14</v>
      </c>
      <c r="E21" s="498">
        <f>LOOKUP(C21,'Юноши 2ф'!A:A,'Юноши 2ф'!B:B)</f>
        <v>0</v>
      </c>
      <c r="F21" s="718" t="e">
        <f>IF(E21="","",VLOOKUP(E21,'Списки участников'!A:L,3,FALSE))</f>
        <v>#N/A</v>
      </c>
      <c r="G21" s="498">
        <f>LOOKUP(D21,'Юноши 2ф'!A:A,'Юноши 2ф'!B:B)</f>
        <v>0</v>
      </c>
      <c r="H21" s="718" t="e">
        <f>IF(G21="","",VLOOKUP(G21,'Списки участников'!A:L,3,FALSE))</f>
        <v>#N/A</v>
      </c>
      <c r="I21" s="717">
        <v>81</v>
      </c>
      <c r="J21" s="509">
        <v>11</v>
      </c>
      <c r="K21" s="760">
        <v>1</v>
      </c>
      <c r="L21" s="760">
        <v>6</v>
      </c>
      <c r="M21" s="498">
        <f>LOOKUP(K21,'Юноши 2ф'!A:A,'Юноши 2ф'!B:B)</f>
        <v>0</v>
      </c>
      <c r="N21" s="718" t="e">
        <f>IF(M21="","",VLOOKUP(M21,'Списки участников'!A:L,3,FALSE))</f>
        <v>#N/A</v>
      </c>
      <c r="O21" s="498">
        <f>LOOKUP(L21,'Юноши 2ф'!A:A,'Юноши 2ф'!B:B)</f>
        <v>0</v>
      </c>
      <c r="P21" s="718" t="e">
        <f>IF(O21="","",VLOOKUP(O21,'Списки участников'!A:L,3,FALSE))</f>
        <v>#N/A</v>
      </c>
    </row>
    <row r="22" spans="1:18" ht="17.25" x14ac:dyDescent="0.25">
      <c r="A22" s="499">
        <v>18</v>
      </c>
      <c r="B22" s="509">
        <v>3</v>
      </c>
      <c r="C22" s="755">
        <v>15</v>
      </c>
      <c r="D22" s="756">
        <v>13</v>
      </c>
      <c r="E22" s="497">
        <f>LOOKUP(C22,'Юноши 2ф'!A:A,'Юноши 2ф'!B:B)</f>
        <v>0</v>
      </c>
      <c r="F22" s="718" t="e">
        <f>IF(E22="","",VLOOKUP(E22,'Списки участников'!A:L,3,FALSE))</f>
        <v>#N/A</v>
      </c>
      <c r="G22" s="498">
        <f>LOOKUP(D22,'Юноши 2ф'!A:A,'Юноши 2ф'!B:B)</f>
        <v>0</v>
      </c>
      <c r="H22" s="718" t="e">
        <f>IF(G22="","",VLOOKUP(G22,'Списки участников'!A:L,3,FALSE))</f>
        <v>#N/A</v>
      </c>
      <c r="I22" s="499">
        <v>82</v>
      </c>
      <c r="J22" s="509">
        <v>11</v>
      </c>
      <c r="K22" s="756">
        <v>7</v>
      </c>
      <c r="L22" s="756">
        <v>5</v>
      </c>
      <c r="M22" s="498">
        <f>LOOKUP(K22,'Юноши 2ф'!A:A,'Юноши 2ф'!B:B)</f>
        <v>0</v>
      </c>
      <c r="N22" s="718" t="e">
        <f>IF(M22="","",VLOOKUP(M22,'Списки участников'!A:L,3,FALSE))</f>
        <v>#N/A</v>
      </c>
      <c r="O22" s="498">
        <f>LOOKUP(L22,'Юноши 2ф'!A:A,'Юноши 2ф'!B:B)</f>
        <v>0</v>
      </c>
      <c r="P22" s="718" t="e">
        <f>IF(O22="","",VLOOKUP(O22,'Списки участников'!A:L,3,FALSE))</f>
        <v>#N/A</v>
      </c>
    </row>
    <row r="23" spans="1:18" ht="17.25" x14ac:dyDescent="0.25">
      <c r="A23" s="499">
        <v>19</v>
      </c>
      <c r="B23" s="509">
        <v>3</v>
      </c>
      <c r="C23" s="755">
        <v>16</v>
      </c>
      <c r="D23" s="756">
        <v>12</v>
      </c>
      <c r="E23" s="497">
        <f>LOOKUP(C23,'Юноши 2ф'!A:A,'Юноши 2ф'!B:B)</f>
        <v>0</v>
      </c>
      <c r="F23" s="718" t="e">
        <f>IF(E23="","",VLOOKUP(E23,'Списки участников'!A:L,3,FALSE))</f>
        <v>#N/A</v>
      </c>
      <c r="G23" s="498">
        <f>LOOKUP(D23,'Юноши 2ф'!A:A,'Юноши 2ф'!B:B)</f>
        <v>0</v>
      </c>
      <c r="H23" s="718" t="e">
        <f>IF(G23="","",VLOOKUP(G23,'Списки участников'!A:L,3,FALSE))</f>
        <v>#N/A</v>
      </c>
      <c r="I23" s="499">
        <v>83</v>
      </c>
      <c r="J23" s="509">
        <v>11</v>
      </c>
      <c r="K23" s="756">
        <v>8</v>
      </c>
      <c r="L23" s="756">
        <v>4</v>
      </c>
      <c r="M23" s="498">
        <f>LOOKUP(K23,'Юноши 2ф'!A:A,'Юноши 2ф'!B:B)</f>
        <v>0</v>
      </c>
      <c r="N23" s="718" t="e">
        <f>IF(M23="","",VLOOKUP(M23,'Списки участников'!A:L,3,FALSE))</f>
        <v>#N/A</v>
      </c>
      <c r="O23" s="498">
        <f>LOOKUP(L23,'Юноши 2ф'!A:A,'Юноши 2ф'!B:B)</f>
        <v>0</v>
      </c>
      <c r="P23" s="718" t="e">
        <f>IF(O23="","",VLOOKUP(O23,'Списки участников'!A:L,3,FALSE))</f>
        <v>#N/A</v>
      </c>
    </row>
    <row r="24" spans="1:18" ht="17.25" x14ac:dyDescent="0.25">
      <c r="A24" s="499">
        <v>20</v>
      </c>
      <c r="B24" s="509">
        <v>3</v>
      </c>
      <c r="C24" s="755">
        <v>2</v>
      </c>
      <c r="D24" s="756">
        <v>11</v>
      </c>
      <c r="E24" s="497">
        <f>LOOKUP(C24,'Юноши 2ф'!A:A,'Юноши 2ф'!B:B)</f>
        <v>0</v>
      </c>
      <c r="F24" s="718" t="e">
        <f>IF(E24="","",VLOOKUP(E24,'Списки участников'!A:L,3,FALSE))</f>
        <v>#N/A</v>
      </c>
      <c r="G24" s="498">
        <f>LOOKUP(D24,'Юноши 2ф'!A:A,'Юноши 2ф'!B:B)</f>
        <v>0</v>
      </c>
      <c r="H24" s="718" t="e">
        <f>IF(G24="","",VLOOKUP(G24,'Списки участников'!A:L,3,FALSE))</f>
        <v>#N/A</v>
      </c>
      <c r="I24" s="499">
        <v>84</v>
      </c>
      <c r="J24" s="509">
        <v>11</v>
      </c>
      <c r="K24" s="756">
        <v>9</v>
      </c>
      <c r="L24" s="756">
        <v>3</v>
      </c>
      <c r="M24" s="498">
        <f>LOOKUP(K24,'Юноши 2ф'!A:A,'Юноши 2ф'!B:B)</f>
        <v>0</v>
      </c>
      <c r="N24" s="718" t="e">
        <f>IF(M24="","",VLOOKUP(M24,'Списки участников'!A:L,3,FALSE))</f>
        <v>#N/A</v>
      </c>
      <c r="O24" s="498">
        <f>LOOKUP(L24,'Юноши 2ф'!A:A,'Юноши 2ф'!B:B)</f>
        <v>0</v>
      </c>
      <c r="P24" s="718" t="e">
        <f>IF(O24="","",VLOOKUP(O24,'Списки участников'!A:L,3,FALSE))</f>
        <v>#N/A</v>
      </c>
    </row>
    <row r="25" spans="1:18" ht="17.25" x14ac:dyDescent="0.25">
      <c r="A25" s="499">
        <v>21</v>
      </c>
      <c r="B25" s="502">
        <v>3</v>
      </c>
      <c r="C25" s="755">
        <v>3</v>
      </c>
      <c r="D25" s="756">
        <v>10</v>
      </c>
      <c r="E25" s="497">
        <f>LOOKUP(C25,'Юноши 2ф'!A:A,'Юноши 2ф'!B:B)</f>
        <v>0</v>
      </c>
      <c r="F25" s="718" t="e">
        <f>IF(E25="","",VLOOKUP(E25,'Списки участников'!A:L,3,FALSE))</f>
        <v>#N/A</v>
      </c>
      <c r="G25" s="498">
        <f>LOOKUP(D25,'Юноши 2ф'!A:A,'Юноши 2ф'!B:B)</f>
        <v>0</v>
      </c>
      <c r="H25" s="718" t="e">
        <f>IF(G25="","",VLOOKUP(G25,'Списки участников'!A:L,3,FALSE))</f>
        <v>#N/A</v>
      </c>
      <c r="I25" s="499">
        <v>85</v>
      </c>
      <c r="J25" s="509">
        <v>11</v>
      </c>
      <c r="K25" s="756">
        <v>10</v>
      </c>
      <c r="L25" s="756">
        <v>2</v>
      </c>
      <c r="M25" s="498">
        <f>LOOKUP(K25,'Юноши 2ф'!A:A,'Юноши 2ф'!B:B)</f>
        <v>0</v>
      </c>
      <c r="N25" s="718" t="e">
        <f>IF(M25="","",VLOOKUP(M25,'Списки участников'!A:L,3,FALSE))</f>
        <v>#N/A</v>
      </c>
      <c r="O25" s="498">
        <f>LOOKUP(L25,'Юноши 2ф'!A:A,'Юноши 2ф'!B:B)</f>
        <v>0</v>
      </c>
      <c r="P25" s="718" t="e">
        <f>IF(O25="","",VLOOKUP(O25,'Списки участников'!A:L,3,FALSE))</f>
        <v>#N/A</v>
      </c>
    </row>
    <row r="26" spans="1:18" ht="17.25" x14ac:dyDescent="0.25">
      <c r="A26" s="499">
        <v>22</v>
      </c>
      <c r="B26" s="509">
        <v>3</v>
      </c>
      <c r="C26" s="755">
        <v>4</v>
      </c>
      <c r="D26" s="756">
        <v>9</v>
      </c>
      <c r="E26" s="497">
        <f>LOOKUP(C26,'Юноши 2ф'!A:A,'Юноши 2ф'!B:B)</f>
        <v>0</v>
      </c>
      <c r="F26" s="718" t="e">
        <f>IF(E26="","",VLOOKUP(E26,'Списки участников'!A:L,3,FALSE))</f>
        <v>#N/A</v>
      </c>
      <c r="G26" s="498">
        <f>LOOKUP(D26,'Юноши 2ф'!A:A,'Юноши 2ф'!B:B)</f>
        <v>0</v>
      </c>
      <c r="H26" s="718" t="e">
        <f>IF(G26="","",VLOOKUP(G26,'Списки участников'!A:L,3,FALSE))</f>
        <v>#N/A</v>
      </c>
      <c r="I26" s="499">
        <v>86</v>
      </c>
      <c r="J26" s="509">
        <v>11</v>
      </c>
      <c r="K26" s="762">
        <v>11</v>
      </c>
      <c r="L26" s="762">
        <v>16</v>
      </c>
      <c r="M26" s="498">
        <f>LOOKUP(K26,'Юноши 2ф'!A:A,'Юноши 2ф'!B:B)</f>
        <v>0</v>
      </c>
      <c r="N26" s="718" t="e">
        <f>IF(M26="","",VLOOKUP(M26,'Списки участников'!A:L,3,FALSE))</f>
        <v>#N/A</v>
      </c>
      <c r="O26" s="498">
        <f>LOOKUP(L26,'Юноши 2ф'!A:A,'Юноши 2ф'!B:B)</f>
        <v>0</v>
      </c>
      <c r="P26" s="718" t="e">
        <f>IF(O26="","",VLOOKUP(O26,'Списки участников'!A:L,3,FALSE))</f>
        <v>#N/A</v>
      </c>
    </row>
    <row r="27" spans="1:18" ht="17.25" x14ac:dyDescent="0.25">
      <c r="A27" s="499">
        <v>23</v>
      </c>
      <c r="B27" s="509">
        <v>3</v>
      </c>
      <c r="C27" s="755">
        <v>5</v>
      </c>
      <c r="D27" s="756">
        <v>8</v>
      </c>
      <c r="E27" s="497">
        <f>LOOKUP(C27,'Юноши 2ф'!A:A,'Юноши 2ф'!B:B)</f>
        <v>0</v>
      </c>
      <c r="F27" s="718" t="e">
        <f>IF(E27="","",VLOOKUP(E27,'Списки участников'!A:L,3,FALSE))</f>
        <v>#N/A</v>
      </c>
      <c r="G27" s="498">
        <f>LOOKUP(D27,'Юноши 2ф'!A:A,'Юноши 2ф'!B:B)</f>
        <v>0</v>
      </c>
      <c r="H27" s="718" t="e">
        <f>IF(G27="","",VLOOKUP(G27,'Списки участников'!A:L,3,FALSE))</f>
        <v>#N/A</v>
      </c>
      <c r="I27" s="499">
        <v>87</v>
      </c>
      <c r="J27" s="509">
        <v>11</v>
      </c>
      <c r="K27" s="762">
        <v>12</v>
      </c>
      <c r="L27" s="762">
        <v>15</v>
      </c>
      <c r="M27" s="498">
        <f>LOOKUP(K27,'Юноши 2ф'!A:A,'Юноши 2ф'!B:B)</f>
        <v>0</v>
      </c>
      <c r="N27" s="718" t="e">
        <f>IF(M27="","",VLOOKUP(M27,'Списки участников'!A:L,3,FALSE))</f>
        <v>#N/A</v>
      </c>
      <c r="O27" s="498">
        <f>LOOKUP(L27,'Юноши 2ф'!A:A,'Юноши 2ф'!B:B)</f>
        <v>0</v>
      </c>
      <c r="P27" s="718" t="e">
        <f>IF(O27="","",VLOOKUP(O27,'Списки участников'!A:L,3,FALSE))</f>
        <v>#N/A</v>
      </c>
    </row>
    <row r="28" spans="1:18" ht="18" thickBot="1" x14ac:dyDescent="0.3">
      <c r="A28" s="499">
        <v>24</v>
      </c>
      <c r="B28" s="513">
        <v>3</v>
      </c>
      <c r="C28" s="757">
        <v>6</v>
      </c>
      <c r="D28" s="758">
        <v>7</v>
      </c>
      <c r="E28" s="507">
        <f>LOOKUP(C28,'Юноши 2ф'!A:A,'Юноши 2ф'!B:B)</f>
        <v>0</v>
      </c>
      <c r="F28" s="747" t="e">
        <f>IF(E28="","",VLOOKUP(E28,'Списки участников'!A:L,3,FALSE))</f>
        <v>#N/A</v>
      </c>
      <c r="G28" s="748">
        <f>LOOKUP(D28,'Юноши 2ф'!A:A,'Юноши 2ф'!B:B)</f>
        <v>0</v>
      </c>
      <c r="H28" s="747" t="e">
        <f>IF(G28="","",VLOOKUP(G28,'Списки участников'!A:L,3,FALSE))</f>
        <v>#N/A</v>
      </c>
      <c r="I28" s="716">
        <v>88</v>
      </c>
      <c r="J28" s="513">
        <v>11</v>
      </c>
      <c r="K28" s="758">
        <v>13</v>
      </c>
      <c r="L28" s="758">
        <v>14</v>
      </c>
      <c r="M28" s="748">
        <f>LOOKUP(K28,'Юноши 2ф'!A:A,'Юноши 2ф'!B:B)</f>
        <v>0</v>
      </c>
      <c r="N28" s="747" t="e">
        <f>IF(M28="","",VLOOKUP(M28,'Списки участников'!A:L,3,FALSE))</f>
        <v>#N/A</v>
      </c>
      <c r="O28" s="748">
        <f>LOOKUP(L28,'Юноши 2ф'!A:A,'Юноши 2ф'!B:B)</f>
        <v>0</v>
      </c>
      <c r="P28" s="747" t="e">
        <f>IF(O28="","",VLOOKUP(O28,'Списки участников'!A:L,3,FALSE))</f>
        <v>#N/A</v>
      </c>
    </row>
    <row r="29" spans="1:18" ht="17.25" x14ac:dyDescent="0.25">
      <c r="A29" s="499">
        <v>25</v>
      </c>
      <c r="B29" s="750">
        <v>4</v>
      </c>
      <c r="C29" s="759">
        <v>13</v>
      </c>
      <c r="D29" s="760">
        <v>1</v>
      </c>
      <c r="E29" s="498">
        <f>LOOKUP(C29,'Юноши 2ф'!A:A,'Юноши 2ф'!B:B)</f>
        <v>0</v>
      </c>
      <c r="F29" s="718" t="e">
        <f>IF(E29="","",VLOOKUP(E29,'Списки участников'!A:L,3,FALSE))</f>
        <v>#N/A</v>
      </c>
      <c r="G29" s="498">
        <f>LOOKUP(D29,'Юноши 2ф'!A:A,'Юноши 2ф'!B:B)</f>
        <v>0</v>
      </c>
      <c r="H29" s="718" t="e">
        <f>IF(G29="","",VLOOKUP(G29,'Списки участников'!A:L,3,FALSE))</f>
        <v>#N/A</v>
      </c>
      <c r="I29" s="717">
        <v>89</v>
      </c>
      <c r="J29" s="509">
        <v>12</v>
      </c>
      <c r="K29" s="760">
        <v>5</v>
      </c>
      <c r="L29" s="760">
        <v>1</v>
      </c>
      <c r="M29" s="498">
        <f>LOOKUP(K29,'Юноши 2ф'!A:A,'Юноши 2ф'!B:B)</f>
        <v>0</v>
      </c>
      <c r="N29" s="718" t="e">
        <f>IF(M29="","",VLOOKUP(M29,'Списки участников'!A:L,3,FALSE))</f>
        <v>#N/A</v>
      </c>
      <c r="O29" s="498">
        <f>LOOKUP(L29,'Юноши 2ф'!A:A,'Юноши 2ф'!B:B)</f>
        <v>0</v>
      </c>
      <c r="P29" s="718" t="e">
        <f>IF(O29="","",VLOOKUP(O29,'Списки участников'!A:L,3,FALSE))</f>
        <v>#N/A</v>
      </c>
    </row>
    <row r="30" spans="1:18" ht="17.25" x14ac:dyDescent="0.25">
      <c r="A30" s="499">
        <v>26</v>
      </c>
      <c r="B30" s="750">
        <v>4</v>
      </c>
      <c r="C30" s="755">
        <v>14</v>
      </c>
      <c r="D30" s="756">
        <v>12</v>
      </c>
      <c r="E30" s="497">
        <f>LOOKUP(C30,'Юноши 2ф'!A:A,'Юноши 2ф'!B:B)</f>
        <v>0</v>
      </c>
      <c r="F30" s="718" t="e">
        <f>IF(E30="","",VLOOKUP(E30,'Списки участников'!A:L,3,FALSE))</f>
        <v>#N/A</v>
      </c>
      <c r="G30" s="498">
        <f>LOOKUP(D30,'Юноши 2ф'!A:A,'Юноши 2ф'!B:B)</f>
        <v>0</v>
      </c>
      <c r="H30" s="718" t="e">
        <f>IF(G30="","",VLOOKUP(G30,'Списки участников'!A:L,3,FALSE))</f>
        <v>#N/A</v>
      </c>
      <c r="I30" s="499">
        <v>90</v>
      </c>
      <c r="J30" s="509">
        <v>12</v>
      </c>
      <c r="K30" s="756">
        <v>6</v>
      </c>
      <c r="L30" s="760">
        <v>4</v>
      </c>
      <c r="M30" s="498">
        <f>LOOKUP(K30,'Юноши 2ф'!A:A,'Юноши 2ф'!B:B)</f>
        <v>0</v>
      </c>
      <c r="N30" s="718" t="e">
        <f>IF(M30="","",VLOOKUP(M30,'Списки участников'!A:L,3,FALSE))</f>
        <v>#N/A</v>
      </c>
      <c r="O30" s="498">
        <f>LOOKUP(L30,'Юноши 2ф'!A:A,'Юноши 2ф'!B:B)</f>
        <v>0</v>
      </c>
      <c r="P30" s="718" t="e">
        <f>IF(O30="","",VLOOKUP(O30,'Списки участников'!A:L,3,FALSE))</f>
        <v>#N/A</v>
      </c>
    </row>
    <row r="31" spans="1:18" ht="17.25" x14ac:dyDescent="0.25">
      <c r="A31" s="499">
        <v>27</v>
      </c>
      <c r="B31" s="750">
        <v>4</v>
      </c>
      <c r="C31" s="755">
        <v>15</v>
      </c>
      <c r="D31" s="756">
        <v>11</v>
      </c>
      <c r="E31" s="497">
        <f>LOOKUP(C31,'Юноши 2ф'!A:A,'Юноши 2ф'!B:B)</f>
        <v>0</v>
      </c>
      <c r="F31" s="718" t="e">
        <f>IF(E31="","",VLOOKUP(E31,'Списки участников'!A:L,3,FALSE))</f>
        <v>#N/A</v>
      </c>
      <c r="G31" s="498">
        <f>LOOKUP(D31,'Юноши 2ф'!A:A,'Юноши 2ф'!B:B)</f>
        <v>0</v>
      </c>
      <c r="H31" s="718" t="e">
        <f>IF(G31="","",VLOOKUP(G31,'Списки участников'!A:L,3,FALSE))</f>
        <v>#N/A</v>
      </c>
      <c r="I31" s="499">
        <v>91</v>
      </c>
      <c r="J31" s="509">
        <v>12</v>
      </c>
      <c r="K31" s="756">
        <v>7</v>
      </c>
      <c r="L31" s="760">
        <v>3</v>
      </c>
      <c r="M31" s="498">
        <f>LOOKUP(K31,'Юноши 2ф'!A:A,'Юноши 2ф'!B:B)</f>
        <v>0</v>
      </c>
      <c r="N31" s="718" t="e">
        <f>IF(M31="","",VLOOKUP(M31,'Списки участников'!A:L,3,FALSE))</f>
        <v>#N/A</v>
      </c>
      <c r="O31" s="498">
        <f>LOOKUP(L31,'Юноши 2ф'!A:A,'Юноши 2ф'!B:B)</f>
        <v>0</v>
      </c>
      <c r="P31" s="718" t="e">
        <f>IF(O31="","",VLOOKUP(O31,'Списки участников'!A:L,3,FALSE))</f>
        <v>#N/A</v>
      </c>
    </row>
    <row r="32" spans="1:18" ht="17.25" x14ac:dyDescent="0.25">
      <c r="A32" s="499">
        <v>28</v>
      </c>
      <c r="B32" s="750">
        <v>4</v>
      </c>
      <c r="C32" s="755">
        <v>16</v>
      </c>
      <c r="D32" s="756">
        <v>10</v>
      </c>
      <c r="E32" s="497">
        <f>LOOKUP(C32,'Юноши 2ф'!A:A,'Юноши 2ф'!B:B)</f>
        <v>0</v>
      </c>
      <c r="F32" s="718" t="e">
        <f>IF(E32="","",VLOOKUP(E32,'Списки участников'!A:L,3,FALSE))</f>
        <v>#N/A</v>
      </c>
      <c r="G32" s="498">
        <f>LOOKUP(D32,'Юноши 2ф'!A:A,'Юноши 2ф'!B:B)</f>
        <v>0</v>
      </c>
      <c r="H32" s="718" t="e">
        <f>IF(G32="","",VLOOKUP(G32,'Списки участников'!A:L,3,FALSE))</f>
        <v>#N/A</v>
      </c>
      <c r="I32" s="499">
        <v>92</v>
      </c>
      <c r="J32" s="509">
        <v>12</v>
      </c>
      <c r="K32" s="756">
        <v>8</v>
      </c>
      <c r="L32" s="760">
        <v>2</v>
      </c>
      <c r="M32" s="498">
        <f>LOOKUP(K32,'Юноши 2ф'!A:A,'Юноши 2ф'!B:B)</f>
        <v>0</v>
      </c>
      <c r="N32" s="718" t="e">
        <f>IF(M32="","",VLOOKUP(M32,'Списки участников'!A:L,3,FALSE))</f>
        <v>#N/A</v>
      </c>
      <c r="O32" s="498">
        <f>LOOKUP(L32,'Юноши 2ф'!A:A,'Юноши 2ф'!B:B)</f>
        <v>0</v>
      </c>
      <c r="P32" s="718" t="e">
        <f>IF(O32="","",VLOOKUP(O32,'Списки участников'!A:L,3,FALSE))</f>
        <v>#N/A</v>
      </c>
    </row>
    <row r="33" spans="1:16" ht="17.25" x14ac:dyDescent="0.25">
      <c r="A33" s="499">
        <v>29</v>
      </c>
      <c r="B33" s="751">
        <v>4</v>
      </c>
      <c r="C33" s="755">
        <v>2</v>
      </c>
      <c r="D33" s="756">
        <v>9</v>
      </c>
      <c r="E33" s="497">
        <f>LOOKUP(C33,'Юноши 2ф'!A:A,'Юноши 2ф'!B:B)</f>
        <v>0</v>
      </c>
      <c r="F33" s="718" t="e">
        <f>IF(E33="","",VLOOKUP(E33,'Списки участников'!A:L,3,FALSE))</f>
        <v>#N/A</v>
      </c>
      <c r="G33" s="498">
        <f>LOOKUP(D33,'Юноши 2ф'!A:A,'Юноши 2ф'!B:B)</f>
        <v>0</v>
      </c>
      <c r="H33" s="718" t="e">
        <f>IF(G33="","",VLOOKUP(G33,'Списки участников'!A:L,3,FALSE))</f>
        <v>#N/A</v>
      </c>
      <c r="I33" s="499">
        <v>93</v>
      </c>
      <c r="J33" s="514">
        <v>12</v>
      </c>
      <c r="K33" s="756">
        <v>9</v>
      </c>
      <c r="L33" s="760">
        <v>16</v>
      </c>
      <c r="M33" s="498">
        <f>LOOKUP(K33,'Юноши 2ф'!A:A,'Юноши 2ф'!B:B)</f>
        <v>0</v>
      </c>
      <c r="N33" s="718" t="e">
        <f>IF(M33="","",VLOOKUP(M33,'Списки участников'!A:L,3,FALSE))</f>
        <v>#N/A</v>
      </c>
      <c r="O33" s="498">
        <f>LOOKUP(L33,'Юноши 2ф'!A:A,'Юноши 2ф'!B:B)</f>
        <v>0</v>
      </c>
      <c r="P33" s="718" t="e">
        <f>IF(O33="","",VLOOKUP(O33,'Списки участников'!A:L,3,FALSE))</f>
        <v>#N/A</v>
      </c>
    </row>
    <row r="34" spans="1:16" ht="17.25" x14ac:dyDescent="0.25">
      <c r="A34" s="499">
        <v>30</v>
      </c>
      <c r="B34" s="750">
        <v>4</v>
      </c>
      <c r="C34" s="755">
        <v>3</v>
      </c>
      <c r="D34" s="756">
        <v>8</v>
      </c>
      <c r="E34" s="497">
        <f>LOOKUP(C34,'Юноши 2ф'!A:A,'Юноши 2ф'!B:B)</f>
        <v>0</v>
      </c>
      <c r="F34" s="718" t="e">
        <f>IF(E34="","",VLOOKUP(E34,'Списки участников'!A:L,3,FALSE))</f>
        <v>#N/A</v>
      </c>
      <c r="G34" s="498">
        <f>LOOKUP(D34,'Юноши 2ф'!A:A,'Юноши 2ф'!B:B)</f>
        <v>0</v>
      </c>
      <c r="H34" s="718" t="e">
        <f>IF(G34="","",VLOOKUP(G34,'Списки участников'!A:L,3,FALSE))</f>
        <v>#N/A</v>
      </c>
      <c r="I34" s="499">
        <v>94</v>
      </c>
      <c r="J34" s="509">
        <v>12</v>
      </c>
      <c r="K34" s="762">
        <v>10</v>
      </c>
      <c r="L34" s="756">
        <v>15</v>
      </c>
      <c r="M34" s="498">
        <f>LOOKUP(K34,'Юноши 2ф'!A:A,'Юноши 2ф'!B:B)</f>
        <v>0</v>
      </c>
      <c r="N34" s="718" t="e">
        <f>IF(M34="","",VLOOKUP(M34,'Списки участников'!A:L,3,FALSE))</f>
        <v>#N/A</v>
      </c>
      <c r="O34" s="498">
        <f>LOOKUP(L34,'Юноши 2ф'!A:A,'Юноши 2ф'!B:B)</f>
        <v>0</v>
      </c>
      <c r="P34" s="718" t="e">
        <f>IF(O34="","",VLOOKUP(O34,'Списки участников'!A:L,3,FALSE))</f>
        <v>#N/A</v>
      </c>
    </row>
    <row r="35" spans="1:16" ht="17.25" x14ac:dyDescent="0.25">
      <c r="A35" s="499">
        <v>31</v>
      </c>
      <c r="B35" s="750">
        <v>4</v>
      </c>
      <c r="C35" s="755">
        <v>4</v>
      </c>
      <c r="D35" s="756">
        <v>7</v>
      </c>
      <c r="E35" s="497">
        <f>LOOKUP(C35,'Юноши 2ф'!A:A,'Юноши 2ф'!B:B)</f>
        <v>0</v>
      </c>
      <c r="F35" s="718" t="e">
        <f>IF(E35="","",VLOOKUP(E35,'Списки участников'!A:L,3,FALSE))</f>
        <v>#N/A</v>
      </c>
      <c r="G35" s="498">
        <f>LOOKUP(D35,'Юноши 2ф'!A:A,'Юноши 2ф'!B:B)</f>
        <v>0</v>
      </c>
      <c r="H35" s="718" t="e">
        <f>IF(G35="","",VLOOKUP(G35,'Списки участников'!A:L,3,FALSE))</f>
        <v>#N/A</v>
      </c>
      <c r="I35" s="499">
        <v>95</v>
      </c>
      <c r="J35" s="509">
        <v>12</v>
      </c>
      <c r="K35" s="762">
        <v>11</v>
      </c>
      <c r="L35" s="756">
        <v>14</v>
      </c>
      <c r="M35" s="498">
        <f>LOOKUP(K35,'Юноши 2ф'!A:A,'Юноши 2ф'!B:B)</f>
        <v>0</v>
      </c>
      <c r="N35" s="718" t="e">
        <f>IF(M35="","",VLOOKUP(M35,'Списки участников'!A:L,3,FALSE))</f>
        <v>#N/A</v>
      </c>
      <c r="O35" s="498">
        <f>LOOKUP(L35,'Юноши 2ф'!A:A,'Юноши 2ф'!B:B)</f>
        <v>0</v>
      </c>
      <c r="P35" s="718" t="e">
        <f>IF(O35="","",VLOOKUP(O35,'Списки участников'!A:L,3,FALSE))</f>
        <v>#N/A</v>
      </c>
    </row>
    <row r="36" spans="1:16" ht="18" thickBot="1" x14ac:dyDescent="0.3">
      <c r="A36" s="499">
        <v>32</v>
      </c>
      <c r="B36" s="753">
        <v>4</v>
      </c>
      <c r="C36" s="757">
        <v>5</v>
      </c>
      <c r="D36" s="758">
        <v>6</v>
      </c>
      <c r="E36" s="507">
        <f>LOOKUP(C36,'Юноши 2ф'!A:A,'Юноши 2ф'!B:B)</f>
        <v>0</v>
      </c>
      <c r="F36" s="747" t="e">
        <f>IF(E36="","",VLOOKUP(E36,'Списки участников'!A:L,3,FALSE))</f>
        <v>#N/A</v>
      </c>
      <c r="G36" s="748">
        <f>LOOKUP(D36,'Юноши 2ф'!A:A,'Юноши 2ф'!B:B)</f>
        <v>0</v>
      </c>
      <c r="H36" s="747" t="e">
        <f>IF(G36="","",VLOOKUP(G36,'Списки участников'!A:L,3,FALSE))</f>
        <v>#N/A</v>
      </c>
      <c r="I36" s="716">
        <v>96</v>
      </c>
      <c r="J36" s="513">
        <v>12</v>
      </c>
      <c r="K36" s="758">
        <v>12</v>
      </c>
      <c r="L36" s="763">
        <v>13</v>
      </c>
      <c r="M36" s="748">
        <f>LOOKUP(K36,'Юноши 2ф'!A:A,'Юноши 2ф'!B:B)</f>
        <v>0</v>
      </c>
      <c r="N36" s="747" t="e">
        <f>IF(M36="","",VLOOKUP(M36,'Списки участников'!A:L,3,FALSE))</f>
        <v>#N/A</v>
      </c>
      <c r="O36" s="748">
        <f>LOOKUP(L36,'Юноши 2ф'!A:A,'Юноши 2ф'!B:B)</f>
        <v>0</v>
      </c>
      <c r="P36" s="747" t="e">
        <f>IF(O36="","",VLOOKUP(O36,'Списки участников'!A:L,3,FALSE))</f>
        <v>#N/A</v>
      </c>
    </row>
    <row r="37" spans="1:16" ht="17.25" x14ac:dyDescent="0.25">
      <c r="A37" s="499">
        <v>33</v>
      </c>
      <c r="B37" s="754">
        <v>5</v>
      </c>
      <c r="C37" s="759">
        <v>1</v>
      </c>
      <c r="D37" s="760">
        <v>12</v>
      </c>
      <c r="E37" s="498">
        <f>LOOKUP(C37,'Юноши 2ф'!A:A,'Юноши 2ф'!B:B)</f>
        <v>0</v>
      </c>
      <c r="F37" s="718" t="e">
        <f>IF(E37="","",VLOOKUP(E37,'Списки участников'!A:L,3,FALSE))</f>
        <v>#N/A</v>
      </c>
      <c r="G37" s="498">
        <f>LOOKUP(D37,'Юноши 2ф'!A:A,'Юноши 2ф'!B:B)</f>
        <v>0</v>
      </c>
      <c r="H37" s="718" t="e">
        <f>IF(G37="","",VLOOKUP(G37,'Списки участников'!A:L,3,FALSE))</f>
        <v>#N/A</v>
      </c>
      <c r="I37" s="717">
        <v>97</v>
      </c>
      <c r="J37" s="510">
        <v>13</v>
      </c>
      <c r="K37" s="760">
        <v>1</v>
      </c>
      <c r="L37" s="760">
        <v>4</v>
      </c>
      <c r="M37" s="498">
        <f>LOOKUP(K37,'Юноши 2ф'!A:A,'Юноши 2ф'!B:B)</f>
        <v>0</v>
      </c>
      <c r="N37" s="718" t="e">
        <f>IF(M37="","",VLOOKUP(M37,'Списки участников'!A:L,3,FALSE))</f>
        <v>#N/A</v>
      </c>
      <c r="O37" s="498">
        <f>LOOKUP(L37,'Юноши 2ф'!A:A,'Юноши 2ф'!B:B)</f>
        <v>0</v>
      </c>
      <c r="P37" s="718" t="e">
        <f>IF(O37="","",VLOOKUP(O37,'Списки участников'!A:L,3,FALSE))</f>
        <v>#N/A</v>
      </c>
    </row>
    <row r="38" spans="1:16" ht="17.25" x14ac:dyDescent="0.25">
      <c r="A38" s="499">
        <v>34</v>
      </c>
      <c r="B38" s="750">
        <v>5</v>
      </c>
      <c r="C38" s="755">
        <v>13</v>
      </c>
      <c r="D38" s="760">
        <v>11</v>
      </c>
      <c r="E38" s="497">
        <f>LOOKUP(C38,'Юноши 2ф'!A:A,'Юноши 2ф'!B:B)</f>
        <v>0</v>
      </c>
      <c r="F38" s="718" t="e">
        <f>IF(E38="","",VLOOKUP(E38,'Списки участников'!A:L,3,FALSE))</f>
        <v>#N/A</v>
      </c>
      <c r="G38" s="498">
        <f>LOOKUP(D38,'Юноши 2ф'!A:A,'Юноши 2ф'!B:B)</f>
        <v>0</v>
      </c>
      <c r="H38" s="718" t="e">
        <f>IF(G38="","",VLOOKUP(G38,'Списки участников'!A:L,3,FALSE))</f>
        <v>#N/A</v>
      </c>
      <c r="I38" s="717">
        <v>98</v>
      </c>
      <c r="J38" s="510">
        <v>13</v>
      </c>
      <c r="K38" s="760">
        <v>5</v>
      </c>
      <c r="L38" s="760">
        <v>3</v>
      </c>
      <c r="M38" s="498">
        <f>LOOKUP(K38,'Юноши 2ф'!A:A,'Юноши 2ф'!B:B)</f>
        <v>0</v>
      </c>
      <c r="N38" s="718" t="e">
        <f>IF(M38="","",VLOOKUP(M38,'Списки участников'!A:L,3,FALSE))</f>
        <v>#N/A</v>
      </c>
      <c r="O38" s="498">
        <f>LOOKUP(L38,'Юноши 2ф'!A:A,'Юноши 2ф'!B:B)</f>
        <v>0</v>
      </c>
      <c r="P38" s="718" t="e">
        <f>IF(O38="","",VLOOKUP(O38,'Списки участников'!A:L,3,FALSE))</f>
        <v>#N/A</v>
      </c>
    </row>
    <row r="39" spans="1:16" ht="17.25" x14ac:dyDescent="0.25">
      <c r="A39" s="499">
        <v>35</v>
      </c>
      <c r="B39" s="752">
        <v>5</v>
      </c>
      <c r="C39" s="759">
        <v>14</v>
      </c>
      <c r="D39" s="760">
        <v>10</v>
      </c>
      <c r="E39" s="497">
        <f>LOOKUP(C39,'Юноши 2ф'!A:A,'Юноши 2ф'!B:B)</f>
        <v>0</v>
      </c>
      <c r="F39" s="718" t="e">
        <f>IF(E39="","",VLOOKUP(E39,'Списки участников'!A:L,3,FALSE))</f>
        <v>#N/A</v>
      </c>
      <c r="G39" s="498">
        <f>LOOKUP(D39,'Юноши 2ф'!A:A,'Юноши 2ф'!B:B)</f>
        <v>0</v>
      </c>
      <c r="H39" s="718" t="e">
        <f>IF(G39="","",VLOOKUP(G39,'Списки участников'!A:L,3,FALSE))</f>
        <v>#N/A</v>
      </c>
      <c r="I39" s="717">
        <v>99</v>
      </c>
      <c r="J39" s="509">
        <v>13</v>
      </c>
      <c r="K39" s="760">
        <v>6</v>
      </c>
      <c r="L39" s="760">
        <v>2</v>
      </c>
      <c r="M39" s="498">
        <f>LOOKUP(K39,'Юноши 2ф'!A:A,'Юноши 2ф'!B:B)</f>
        <v>0</v>
      </c>
      <c r="N39" s="718" t="e">
        <f>IF(M39="","",VLOOKUP(M39,'Списки участников'!A:L,3,FALSE))</f>
        <v>#N/A</v>
      </c>
      <c r="O39" s="498">
        <f>LOOKUP(L39,'Юноши 2ф'!A:A,'Юноши 2ф'!B:B)</f>
        <v>0</v>
      </c>
      <c r="P39" s="718" t="e">
        <f>IF(O39="","",VLOOKUP(O39,'Списки участников'!A:L,3,FALSE))</f>
        <v>#N/A</v>
      </c>
    </row>
    <row r="40" spans="1:16" ht="17.25" x14ac:dyDescent="0.25">
      <c r="A40" s="499">
        <v>36</v>
      </c>
      <c r="B40" s="509">
        <v>5</v>
      </c>
      <c r="C40" s="755">
        <v>15</v>
      </c>
      <c r="D40" s="756">
        <v>9</v>
      </c>
      <c r="E40" s="497">
        <f>LOOKUP(C40,'Юноши 2ф'!A:A,'Юноши 2ф'!B:B)</f>
        <v>0</v>
      </c>
      <c r="F40" s="718" t="e">
        <f>IF(E40="","",VLOOKUP(E40,'Списки участников'!A:L,3,FALSE))</f>
        <v>#N/A</v>
      </c>
      <c r="G40" s="498">
        <f>LOOKUP(D40,'Юноши 2ф'!A:A,'Юноши 2ф'!B:B)</f>
        <v>0</v>
      </c>
      <c r="H40" s="718" t="e">
        <f>IF(G40="","",VLOOKUP(G40,'Списки участников'!A:L,3,FALSE))</f>
        <v>#N/A</v>
      </c>
      <c r="I40" s="499">
        <v>100</v>
      </c>
      <c r="J40" s="509">
        <v>13</v>
      </c>
      <c r="K40" s="756">
        <v>7</v>
      </c>
      <c r="L40" s="756">
        <v>16</v>
      </c>
      <c r="M40" s="498">
        <f>LOOKUP(K40,'Юноши 2ф'!A:A,'Юноши 2ф'!B:B)</f>
        <v>0</v>
      </c>
      <c r="N40" s="718" t="e">
        <f>IF(M40="","",VLOOKUP(M40,'Списки участников'!A:L,3,FALSE))</f>
        <v>#N/A</v>
      </c>
      <c r="O40" s="498">
        <f>LOOKUP(L40,'Юноши 2ф'!A:A,'Юноши 2ф'!B:B)</f>
        <v>0</v>
      </c>
      <c r="P40" s="718" t="e">
        <f>IF(O40="","",VLOOKUP(O40,'Списки участников'!A:L,3,FALSE))</f>
        <v>#N/A</v>
      </c>
    </row>
    <row r="41" spans="1:16" ht="17.25" x14ac:dyDescent="0.25">
      <c r="A41" s="499">
        <v>37</v>
      </c>
      <c r="B41" s="502">
        <v>5</v>
      </c>
      <c r="C41" s="755">
        <v>16</v>
      </c>
      <c r="D41" s="756">
        <v>8</v>
      </c>
      <c r="E41" s="497">
        <f>LOOKUP(C41,'Юноши 2ф'!A:A,'Юноши 2ф'!B:B)</f>
        <v>0</v>
      </c>
      <c r="F41" s="718" t="e">
        <f>IF(E41="","",VLOOKUP(E41,'Списки участников'!A:L,3,FALSE))</f>
        <v>#N/A</v>
      </c>
      <c r="G41" s="498">
        <f>LOOKUP(D41,'Юноши 2ф'!A:A,'Юноши 2ф'!B:B)</f>
        <v>0</v>
      </c>
      <c r="H41" s="718" t="e">
        <f>IF(G41="","",VLOOKUP(G41,'Списки участников'!A:L,3,FALSE))</f>
        <v>#N/A</v>
      </c>
      <c r="I41" s="499">
        <v>101</v>
      </c>
      <c r="J41" s="514">
        <v>13</v>
      </c>
      <c r="K41" s="756">
        <v>8</v>
      </c>
      <c r="L41" s="756">
        <v>15</v>
      </c>
      <c r="M41" s="498">
        <f>LOOKUP(K41,'Юноши 2ф'!A:A,'Юноши 2ф'!B:B)</f>
        <v>0</v>
      </c>
      <c r="N41" s="718" t="e">
        <f>IF(M41="","",VLOOKUP(M41,'Списки участников'!A:L,3,FALSE))</f>
        <v>#N/A</v>
      </c>
      <c r="O41" s="498">
        <f>LOOKUP(L41,'Юноши 2ф'!A:A,'Юноши 2ф'!B:B)</f>
        <v>0</v>
      </c>
      <c r="P41" s="718" t="e">
        <f>IF(O41="","",VLOOKUP(O41,'Списки участников'!A:L,3,FALSE))</f>
        <v>#N/A</v>
      </c>
    </row>
    <row r="42" spans="1:16" ht="17.25" x14ac:dyDescent="0.25">
      <c r="A42" s="499">
        <v>38</v>
      </c>
      <c r="B42" s="509">
        <v>5</v>
      </c>
      <c r="C42" s="755">
        <v>2</v>
      </c>
      <c r="D42" s="756">
        <v>7</v>
      </c>
      <c r="E42" s="497">
        <f>LOOKUP(C42,'Юноши 2ф'!A:A,'Юноши 2ф'!B:B)</f>
        <v>0</v>
      </c>
      <c r="F42" s="718" t="e">
        <f>IF(E42="","",VLOOKUP(E42,'Списки участников'!A:L,3,FALSE))</f>
        <v>#N/A</v>
      </c>
      <c r="G42" s="498">
        <f>LOOKUP(D42,'Юноши 2ф'!A:A,'Юноши 2ф'!B:B)</f>
        <v>0</v>
      </c>
      <c r="H42" s="718" t="e">
        <f>IF(G42="","",VLOOKUP(G42,'Списки участников'!A:L,3,FALSE))</f>
        <v>#N/A</v>
      </c>
      <c r="I42" s="499">
        <v>102</v>
      </c>
      <c r="J42" s="509">
        <v>13</v>
      </c>
      <c r="K42" s="762">
        <v>9</v>
      </c>
      <c r="L42" s="762">
        <v>14</v>
      </c>
      <c r="M42" s="498">
        <f>LOOKUP(K42,'Юноши 2ф'!A:A,'Юноши 2ф'!B:B)</f>
        <v>0</v>
      </c>
      <c r="N42" s="718" t="e">
        <f>IF(M42="","",VLOOKUP(M42,'Списки участников'!A:L,3,FALSE))</f>
        <v>#N/A</v>
      </c>
      <c r="O42" s="498">
        <f>LOOKUP(L42,'Юноши 2ф'!A:A,'Юноши 2ф'!B:B)</f>
        <v>0</v>
      </c>
      <c r="P42" s="718" t="e">
        <f>IF(O42="","",VLOOKUP(O42,'Списки участников'!A:L,3,FALSE))</f>
        <v>#N/A</v>
      </c>
    </row>
    <row r="43" spans="1:16" ht="17.25" x14ac:dyDescent="0.25">
      <c r="A43" s="499">
        <v>39</v>
      </c>
      <c r="B43" s="509">
        <v>5</v>
      </c>
      <c r="C43" s="755">
        <v>3</v>
      </c>
      <c r="D43" s="756">
        <v>6</v>
      </c>
      <c r="E43" s="497">
        <f>LOOKUP(C43,'Юноши 2ф'!A:A,'Юноши 2ф'!B:B)</f>
        <v>0</v>
      </c>
      <c r="F43" s="718" t="e">
        <f>IF(E43="","",VLOOKUP(E43,'Списки участников'!A:L,3,FALSE))</f>
        <v>#N/A</v>
      </c>
      <c r="G43" s="498">
        <f>LOOKUP(D43,'Юноши 2ф'!A:A,'Юноши 2ф'!B:B)</f>
        <v>0</v>
      </c>
      <c r="H43" s="718" t="e">
        <f>IF(G43="","",VLOOKUP(G43,'Списки участников'!A:L,3,FALSE))</f>
        <v>#N/A</v>
      </c>
      <c r="I43" s="499">
        <v>103</v>
      </c>
      <c r="J43" s="509">
        <v>13</v>
      </c>
      <c r="K43" s="762">
        <v>10</v>
      </c>
      <c r="L43" s="762">
        <v>13</v>
      </c>
      <c r="M43" s="498">
        <f>LOOKUP(K43,'Юноши 2ф'!A:A,'Юноши 2ф'!B:B)</f>
        <v>0</v>
      </c>
      <c r="N43" s="718" t="e">
        <f>IF(M43="","",VLOOKUP(M43,'Списки участников'!A:L,3,FALSE))</f>
        <v>#N/A</v>
      </c>
      <c r="O43" s="498">
        <f>LOOKUP(L43,'Юноши 2ф'!A:A,'Юноши 2ф'!B:B)</f>
        <v>0</v>
      </c>
      <c r="P43" s="718" t="e">
        <f>IF(O43="","",VLOOKUP(O43,'Списки участников'!A:L,3,FALSE))</f>
        <v>#N/A</v>
      </c>
    </row>
    <row r="44" spans="1:16" ht="18" thickBot="1" x14ac:dyDescent="0.3">
      <c r="A44" s="499">
        <v>40</v>
      </c>
      <c r="B44" s="513">
        <v>5</v>
      </c>
      <c r="C44" s="757">
        <v>4</v>
      </c>
      <c r="D44" s="758">
        <v>5</v>
      </c>
      <c r="E44" s="507">
        <f>LOOKUP(C44,'Юноши 2ф'!A:A,'Юноши 2ф'!B:B)</f>
        <v>0</v>
      </c>
      <c r="F44" s="747" t="e">
        <f>IF(E44="","",VLOOKUP(E44,'Списки участников'!A:L,3,FALSE))</f>
        <v>#N/A</v>
      </c>
      <c r="G44" s="748">
        <f>LOOKUP(D44,'Юноши 2ф'!A:A,'Юноши 2ф'!B:B)</f>
        <v>0</v>
      </c>
      <c r="H44" s="747" t="e">
        <f>IF(G44="","",VLOOKUP(G44,'Списки участников'!A:L,3,FALSE))</f>
        <v>#N/A</v>
      </c>
      <c r="I44" s="716">
        <v>104</v>
      </c>
      <c r="J44" s="513">
        <v>13</v>
      </c>
      <c r="K44" s="758">
        <v>11</v>
      </c>
      <c r="L44" s="758">
        <v>12</v>
      </c>
      <c r="M44" s="748">
        <f>LOOKUP(K44,'Юноши 2ф'!A:A,'Юноши 2ф'!B:B)</f>
        <v>0</v>
      </c>
      <c r="N44" s="747" t="e">
        <f>IF(M44="","",VLOOKUP(M44,'Списки участников'!A:L,3,FALSE))</f>
        <v>#N/A</v>
      </c>
      <c r="O44" s="748">
        <f>LOOKUP(L44,'Юноши 2ф'!A:A,'Юноши 2ф'!B:B)</f>
        <v>0</v>
      </c>
      <c r="P44" s="747" t="e">
        <f>IF(O44="","",VLOOKUP(O44,'Списки участников'!A:L,3,FALSE))</f>
        <v>#N/A</v>
      </c>
    </row>
    <row r="45" spans="1:16" ht="17.25" x14ac:dyDescent="0.25">
      <c r="A45" s="499">
        <v>41</v>
      </c>
      <c r="B45" s="509">
        <v>6</v>
      </c>
      <c r="C45" s="759">
        <v>11</v>
      </c>
      <c r="D45" s="760">
        <v>1</v>
      </c>
      <c r="E45" s="498">
        <f>LOOKUP(C45,'Юноши 2ф'!A:A,'Юноши 2ф'!B:B)</f>
        <v>0</v>
      </c>
      <c r="F45" s="718" t="e">
        <f>IF(E45="","",VLOOKUP(E45,'Списки участников'!A:L,3,FALSE))</f>
        <v>#N/A</v>
      </c>
      <c r="G45" s="498">
        <f>LOOKUP(D45,'Юноши 2ф'!A:A,'Юноши 2ф'!B:B)</f>
        <v>0</v>
      </c>
      <c r="H45" s="718" t="e">
        <f>IF(G45="","",VLOOKUP(G45,'Списки участников'!A:L,3,FALSE))</f>
        <v>#N/A</v>
      </c>
      <c r="I45" s="717">
        <v>105</v>
      </c>
      <c r="J45" s="509">
        <v>14</v>
      </c>
      <c r="K45" s="760">
        <v>3</v>
      </c>
      <c r="L45" s="760">
        <v>1</v>
      </c>
      <c r="M45" s="498">
        <f>LOOKUP(K45,'Юноши 2ф'!A:A,'Юноши 2ф'!B:B)</f>
        <v>0</v>
      </c>
      <c r="N45" s="718" t="e">
        <f>IF(M45="","",VLOOKUP(M45,'Списки участников'!A:L,3,FALSE))</f>
        <v>#N/A</v>
      </c>
      <c r="O45" s="498">
        <f>LOOKUP(L45,'Юноши 2ф'!A:A,'Юноши 2ф'!B:B)</f>
        <v>0</v>
      </c>
      <c r="P45" s="718" t="e">
        <f>IF(O45="","",VLOOKUP(O45,'Списки участников'!A:L,3,FALSE))</f>
        <v>#N/A</v>
      </c>
    </row>
    <row r="46" spans="1:16" ht="17.25" x14ac:dyDescent="0.25">
      <c r="A46" s="499">
        <v>42</v>
      </c>
      <c r="B46" s="509">
        <v>6</v>
      </c>
      <c r="C46" s="755">
        <v>12</v>
      </c>
      <c r="D46" s="756">
        <v>10</v>
      </c>
      <c r="E46" s="497">
        <f>LOOKUP(C46,'Юноши 2ф'!A:A,'Юноши 2ф'!B:B)</f>
        <v>0</v>
      </c>
      <c r="F46" s="718" t="e">
        <f>IF(E46="","",VLOOKUP(E46,'Списки участников'!A:L,3,FALSE))</f>
        <v>#N/A</v>
      </c>
      <c r="G46" s="498">
        <f>LOOKUP(D46,'Юноши 2ф'!A:A,'Юноши 2ф'!B:B)</f>
        <v>0</v>
      </c>
      <c r="H46" s="718" t="e">
        <f>IF(G46="","",VLOOKUP(G46,'Списки участников'!A:L,3,FALSE))</f>
        <v>#N/A</v>
      </c>
      <c r="I46" s="499">
        <v>106</v>
      </c>
      <c r="J46" s="509">
        <v>14</v>
      </c>
      <c r="K46" s="756">
        <v>4</v>
      </c>
      <c r="L46" s="760">
        <v>2</v>
      </c>
      <c r="M46" s="498">
        <f>LOOKUP(K46,'Юноши 2ф'!A:A,'Юноши 2ф'!B:B)</f>
        <v>0</v>
      </c>
      <c r="N46" s="718" t="e">
        <f>IF(M46="","",VLOOKUP(M46,'Списки участников'!A:L,3,FALSE))</f>
        <v>#N/A</v>
      </c>
      <c r="O46" s="498">
        <f>LOOKUP(L46,'Юноши 2ф'!A:A,'Юноши 2ф'!B:B)</f>
        <v>0</v>
      </c>
      <c r="P46" s="718" t="e">
        <f>IF(O46="","",VLOOKUP(O46,'Списки участников'!A:L,3,FALSE))</f>
        <v>#N/A</v>
      </c>
    </row>
    <row r="47" spans="1:16" ht="17.25" x14ac:dyDescent="0.25">
      <c r="A47" s="499">
        <v>43</v>
      </c>
      <c r="B47" s="509">
        <v>6</v>
      </c>
      <c r="C47" s="755">
        <v>13</v>
      </c>
      <c r="D47" s="756">
        <v>9</v>
      </c>
      <c r="E47" s="497">
        <f>LOOKUP(C47,'Юноши 2ф'!A:A,'Юноши 2ф'!B:B)</f>
        <v>0</v>
      </c>
      <c r="F47" s="718" t="e">
        <f>IF(E47="","",VLOOKUP(E47,'Списки участников'!A:L,3,FALSE))</f>
        <v>#N/A</v>
      </c>
      <c r="G47" s="498">
        <f>LOOKUP(D47,'Юноши 2ф'!A:A,'Юноши 2ф'!B:B)</f>
        <v>0</v>
      </c>
      <c r="H47" s="718" t="e">
        <f>IF(G47="","",VLOOKUP(G47,'Списки участников'!A:L,3,FALSE))</f>
        <v>#N/A</v>
      </c>
      <c r="I47" s="499">
        <v>107</v>
      </c>
      <c r="J47" s="509">
        <v>14</v>
      </c>
      <c r="K47" s="756">
        <v>5</v>
      </c>
      <c r="L47" s="760">
        <v>16</v>
      </c>
      <c r="M47" s="498">
        <f>LOOKUP(K47,'Юноши 2ф'!A:A,'Юноши 2ф'!B:B)</f>
        <v>0</v>
      </c>
      <c r="N47" s="718" t="e">
        <f>IF(M47="","",VLOOKUP(M47,'Списки участников'!A:L,3,FALSE))</f>
        <v>#N/A</v>
      </c>
      <c r="O47" s="498">
        <f>LOOKUP(L47,'Юноши 2ф'!A:A,'Юноши 2ф'!B:B)</f>
        <v>0</v>
      </c>
      <c r="P47" s="718" t="e">
        <f>IF(O47="","",VLOOKUP(O47,'Списки участников'!A:L,3,FALSE))</f>
        <v>#N/A</v>
      </c>
    </row>
    <row r="48" spans="1:16" ht="17.25" x14ac:dyDescent="0.25">
      <c r="A48" s="499">
        <v>44</v>
      </c>
      <c r="B48" s="509">
        <v>6</v>
      </c>
      <c r="C48" s="755">
        <v>14</v>
      </c>
      <c r="D48" s="756">
        <v>8</v>
      </c>
      <c r="E48" s="497">
        <f>LOOKUP(C48,'Юноши 2ф'!A:A,'Юноши 2ф'!B:B)</f>
        <v>0</v>
      </c>
      <c r="F48" s="718" t="e">
        <f>IF(E48="","",VLOOKUP(E48,'Списки участников'!A:L,3,FALSE))</f>
        <v>#N/A</v>
      </c>
      <c r="G48" s="498">
        <f>LOOKUP(D48,'Юноши 2ф'!A:A,'Юноши 2ф'!B:B)</f>
        <v>0</v>
      </c>
      <c r="H48" s="718" t="e">
        <f>IF(G48="","",VLOOKUP(G48,'Списки участников'!A:L,3,FALSE))</f>
        <v>#N/A</v>
      </c>
      <c r="I48" s="499">
        <v>108</v>
      </c>
      <c r="J48" s="509">
        <v>14</v>
      </c>
      <c r="K48" s="756">
        <v>6</v>
      </c>
      <c r="L48" s="760">
        <v>15</v>
      </c>
      <c r="M48" s="498">
        <f>LOOKUP(K48,'Юноши 2ф'!A:A,'Юноши 2ф'!B:B)</f>
        <v>0</v>
      </c>
      <c r="N48" s="718" t="e">
        <f>IF(M48="","",VLOOKUP(M48,'Списки участников'!A:L,3,FALSE))</f>
        <v>#N/A</v>
      </c>
      <c r="O48" s="498">
        <f>LOOKUP(L48,'Юноши 2ф'!A:A,'Юноши 2ф'!B:B)</f>
        <v>0</v>
      </c>
      <c r="P48" s="718" t="e">
        <f>IF(O48="","",VLOOKUP(O48,'Списки участников'!A:L,3,FALSE))</f>
        <v>#N/A</v>
      </c>
    </row>
    <row r="49" spans="1:16" ht="17.25" x14ac:dyDescent="0.25">
      <c r="A49" s="499">
        <v>45</v>
      </c>
      <c r="B49" s="514">
        <v>6</v>
      </c>
      <c r="C49" s="755">
        <v>15</v>
      </c>
      <c r="D49" s="756">
        <v>7</v>
      </c>
      <c r="E49" s="497">
        <f>LOOKUP(C49,'Юноши 2ф'!A:A,'Юноши 2ф'!B:B)</f>
        <v>0</v>
      </c>
      <c r="F49" s="718" t="e">
        <f>IF(E49="","",VLOOKUP(E49,'Списки участников'!A:L,3,FALSE))</f>
        <v>#N/A</v>
      </c>
      <c r="G49" s="498">
        <f>LOOKUP(D49,'Юноши 2ф'!A:A,'Юноши 2ф'!B:B)</f>
        <v>0</v>
      </c>
      <c r="H49" s="718" t="e">
        <f>IF(G49="","",VLOOKUP(G49,'Списки участников'!A:L,3,FALSE))</f>
        <v>#N/A</v>
      </c>
      <c r="I49" s="499">
        <v>109</v>
      </c>
      <c r="J49" s="514">
        <v>14</v>
      </c>
      <c r="K49" s="756">
        <v>7</v>
      </c>
      <c r="L49" s="760">
        <v>14</v>
      </c>
      <c r="M49" s="498">
        <f>LOOKUP(K49,'Юноши 2ф'!A:A,'Юноши 2ф'!B:B)</f>
        <v>0</v>
      </c>
      <c r="N49" s="718" t="e">
        <f>IF(M49="","",VLOOKUP(M49,'Списки участников'!A:L,3,FALSE))</f>
        <v>#N/A</v>
      </c>
      <c r="O49" s="498">
        <f>LOOKUP(L49,'Юноши 2ф'!A:A,'Юноши 2ф'!B:B)</f>
        <v>0</v>
      </c>
      <c r="P49" s="718" t="e">
        <f>IF(O49="","",VLOOKUP(O49,'Списки участников'!A:L,3,FALSE))</f>
        <v>#N/A</v>
      </c>
    </row>
    <row r="50" spans="1:16" ht="17.25" x14ac:dyDescent="0.25">
      <c r="A50" s="499">
        <v>46</v>
      </c>
      <c r="B50" s="509">
        <v>6</v>
      </c>
      <c r="C50" s="755">
        <v>16</v>
      </c>
      <c r="D50" s="756">
        <v>6</v>
      </c>
      <c r="E50" s="497">
        <f>LOOKUP(C50,'Юноши 2ф'!A:A,'Юноши 2ф'!B:B)</f>
        <v>0</v>
      </c>
      <c r="F50" s="718" t="e">
        <f>IF(E50="","",VLOOKUP(E50,'Списки участников'!A:L,3,FALSE))</f>
        <v>#N/A</v>
      </c>
      <c r="G50" s="498">
        <f>LOOKUP(D50,'Юноши 2ф'!A:A,'Юноши 2ф'!B:B)</f>
        <v>0</v>
      </c>
      <c r="H50" s="718" t="e">
        <f>IF(G50="","",VLOOKUP(G50,'Списки участников'!A:L,3,FALSE))</f>
        <v>#N/A</v>
      </c>
      <c r="I50" s="499">
        <v>110</v>
      </c>
      <c r="J50" s="509">
        <v>14</v>
      </c>
      <c r="K50" s="762">
        <v>8</v>
      </c>
      <c r="L50" s="756">
        <v>13</v>
      </c>
      <c r="M50" s="498">
        <f>LOOKUP(K50,'Юноши 2ф'!A:A,'Юноши 2ф'!B:B)</f>
        <v>0</v>
      </c>
      <c r="N50" s="718" t="e">
        <f>IF(M50="","",VLOOKUP(M50,'Списки участников'!A:L,3,FALSE))</f>
        <v>#N/A</v>
      </c>
      <c r="O50" s="498">
        <f>LOOKUP(L50,'Юноши 2ф'!A:A,'Юноши 2ф'!B:B)</f>
        <v>0</v>
      </c>
      <c r="P50" s="718" t="e">
        <f>IF(O50="","",VLOOKUP(O50,'Списки участников'!A:L,3,FALSE))</f>
        <v>#N/A</v>
      </c>
    </row>
    <row r="51" spans="1:16" ht="17.25" x14ac:dyDescent="0.25">
      <c r="A51" s="499">
        <v>47</v>
      </c>
      <c r="B51" s="509">
        <v>6</v>
      </c>
      <c r="C51" s="755">
        <v>2</v>
      </c>
      <c r="D51" s="756">
        <v>5</v>
      </c>
      <c r="E51" s="497">
        <f>LOOKUP(C51,'Юноши 2ф'!A:A,'Юноши 2ф'!B:B)</f>
        <v>0</v>
      </c>
      <c r="F51" s="718" t="e">
        <f>IF(E51="","",VLOOKUP(E51,'Списки участников'!A:L,3,FALSE))</f>
        <v>#N/A</v>
      </c>
      <c r="G51" s="498">
        <f>LOOKUP(D51,'Юноши 2ф'!A:A,'Юноши 2ф'!B:B)</f>
        <v>0</v>
      </c>
      <c r="H51" s="718" t="e">
        <f>IF(G51="","",VLOOKUP(G51,'Списки участников'!A:L,3,FALSE))</f>
        <v>#N/A</v>
      </c>
      <c r="I51" s="499">
        <v>111</v>
      </c>
      <c r="J51" s="509">
        <v>14</v>
      </c>
      <c r="K51" s="762">
        <v>9</v>
      </c>
      <c r="L51" s="756">
        <v>12</v>
      </c>
      <c r="M51" s="498">
        <f>LOOKUP(K51,'Юноши 2ф'!A:A,'Юноши 2ф'!B:B)</f>
        <v>0</v>
      </c>
      <c r="N51" s="718" t="e">
        <f>IF(M51="","",VLOOKUP(M51,'Списки участников'!A:L,3,FALSE))</f>
        <v>#N/A</v>
      </c>
      <c r="O51" s="498">
        <f>LOOKUP(L51,'Юноши 2ф'!A:A,'Юноши 2ф'!B:B)</f>
        <v>0</v>
      </c>
      <c r="P51" s="718" t="e">
        <f>IF(O51="","",VLOOKUP(O51,'Списки участников'!A:L,3,FALSE))</f>
        <v>#N/A</v>
      </c>
    </row>
    <row r="52" spans="1:16" ht="18" thickBot="1" x14ac:dyDescent="0.3">
      <c r="A52" s="499">
        <v>48</v>
      </c>
      <c r="B52" s="513">
        <v>6</v>
      </c>
      <c r="C52" s="757">
        <v>3</v>
      </c>
      <c r="D52" s="758">
        <v>4</v>
      </c>
      <c r="E52" s="507">
        <f>LOOKUP(C52,'Юноши 2ф'!A:A,'Юноши 2ф'!B:B)</f>
        <v>0</v>
      </c>
      <c r="F52" s="747" t="e">
        <f>IF(E52="","",VLOOKUP(E52,'Списки участников'!A:L,3,FALSE))</f>
        <v>#N/A</v>
      </c>
      <c r="G52" s="748">
        <f>LOOKUP(D52,'Юноши 2ф'!A:A,'Юноши 2ф'!B:B)</f>
        <v>0</v>
      </c>
      <c r="H52" s="747" t="e">
        <f>IF(G52="","",VLOOKUP(G52,'Списки участников'!A:L,3,FALSE))</f>
        <v>#N/A</v>
      </c>
      <c r="I52" s="716">
        <v>112</v>
      </c>
      <c r="J52" s="513">
        <v>14</v>
      </c>
      <c r="K52" s="758">
        <v>10</v>
      </c>
      <c r="L52" s="763">
        <v>11</v>
      </c>
      <c r="M52" s="748">
        <f>LOOKUP(K52,'Юноши 2ф'!A:A,'Юноши 2ф'!B:B)</f>
        <v>0</v>
      </c>
      <c r="N52" s="747" t="e">
        <f>IF(M52="","",VLOOKUP(M52,'Списки участников'!A:L,3,FALSE))</f>
        <v>#N/A</v>
      </c>
      <c r="O52" s="748">
        <f>LOOKUP(L52,'Юноши 2ф'!A:A,'Юноши 2ф'!B:B)</f>
        <v>0</v>
      </c>
      <c r="P52" s="747" t="e">
        <f>IF(O52="","",VLOOKUP(O52,'Списки участников'!A:L,3,FALSE))</f>
        <v>#N/A</v>
      </c>
    </row>
    <row r="53" spans="1:16" ht="17.25" x14ac:dyDescent="0.25">
      <c r="A53" s="499">
        <v>49</v>
      </c>
      <c r="B53" s="509">
        <v>7</v>
      </c>
      <c r="C53" s="759">
        <v>1</v>
      </c>
      <c r="D53" s="760">
        <v>10</v>
      </c>
      <c r="E53" s="498">
        <f>LOOKUP(C53,'Юноши 2ф'!A:A,'Юноши 2ф'!B:B)</f>
        <v>0</v>
      </c>
      <c r="F53" s="718" t="e">
        <f>IF(E53="","",VLOOKUP(E53,'Списки участников'!A:L,3,FALSE))</f>
        <v>#N/A</v>
      </c>
      <c r="G53" s="498">
        <f>LOOKUP(D53,'Юноши 2ф'!A:A,'Юноши 2ф'!B:B)</f>
        <v>0</v>
      </c>
      <c r="H53" s="718" t="e">
        <f>IF(G53="","",VLOOKUP(G53,'Списки участников'!A:L,3,FALSE))</f>
        <v>#N/A</v>
      </c>
      <c r="I53" s="717">
        <v>113</v>
      </c>
      <c r="J53" s="509">
        <v>15</v>
      </c>
      <c r="K53" s="760">
        <v>1</v>
      </c>
      <c r="L53" s="760">
        <v>2</v>
      </c>
      <c r="M53" s="498">
        <f>LOOKUP(K53,'Юноши 2ф'!A:A,'Юноши 2ф'!B:B)</f>
        <v>0</v>
      </c>
      <c r="N53" s="718" t="e">
        <f>IF(M53="","",VLOOKUP(M53,'Списки участников'!A:L,3,FALSE))</f>
        <v>#N/A</v>
      </c>
      <c r="O53" s="498">
        <f>LOOKUP(L53,'Юноши 2ф'!A:A,'Юноши 2ф'!B:B)</f>
        <v>0</v>
      </c>
      <c r="P53" s="718" t="e">
        <f>IF(O53="","",VLOOKUP(O53,'Списки участников'!A:L,3,FALSE))</f>
        <v>#N/A</v>
      </c>
    </row>
    <row r="54" spans="1:16" ht="17.25" x14ac:dyDescent="0.25">
      <c r="A54" s="499">
        <v>50</v>
      </c>
      <c r="B54" s="509">
        <v>7</v>
      </c>
      <c r="C54" s="755">
        <v>11</v>
      </c>
      <c r="D54" s="756">
        <v>9</v>
      </c>
      <c r="E54" s="497">
        <f>LOOKUP(C54,'Юноши 2ф'!A:A,'Юноши 2ф'!B:B)</f>
        <v>0</v>
      </c>
      <c r="F54" s="718" t="e">
        <f>IF(E54="","",VLOOKUP(E54,'Списки участников'!A:L,3,FALSE))</f>
        <v>#N/A</v>
      </c>
      <c r="G54" s="498">
        <f>LOOKUP(D54,'Юноши 2ф'!A:A,'Юноши 2ф'!B:B)</f>
        <v>0</v>
      </c>
      <c r="H54" s="718" t="e">
        <f>IF(G54="","",VLOOKUP(G54,'Списки участников'!A:L,3,FALSE))</f>
        <v>#N/A</v>
      </c>
      <c r="I54" s="499">
        <v>114</v>
      </c>
      <c r="J54" s="509">
        <v>15</v>
      </c>
      <c r="K54" s="756">
        <v>3</v>
      </c>
      <c r="L54" s="756">
        <v>16</v>
      </c>
      <c r="M54" s="498">
        <f>LOOKUP(K54,'Юноши 2ф'!A:A,'Юноши 2ф'!B:B)</f>
        <v>0</v>
      </c>
      <c r="N54" s="718" t="e">
        <f>IF(M54="","",VLOOKUP(M54,'Списки участников'!A:L,3,FALSE))</f>
        <v>#N/A</v>
      </c>
      <c r="O54" s="498">
        <f>LOOKUP(L54,'Юноши 2ф'!A:A,'Юноши 2ф'!B:B)</f>
        <v>0</v>
      </c>
      <c r="P54" s="718" t="e">
        <f>IF(O54="","",VLOOKUP(O54,'Списки участников'!A:L,3,FALSE))</f>
        <v>#N/A</v>
      </c>
    </row>
    <row r="55" spans="1:16" ht="17.25" x14ac:dyDescent="0.25">
      <c r="A55" s="499">
        <v>51</v>
      </c>
      <c r="B55" s="509">
        <v>7</v>
      </c>
      <c r="C55" s="755">
        <v>12</v>
      </c>
      <c r="D55" s="756">
        <v>8</v>
      </c>
      <c r="E55" s="497">
        <f>LOOKUP(C55,'Юноши 2ф'!A:A,'Юноши 2ф'!B:B)</f>
        <v>0</v>
      </c>
      <c r="F55" s="718" t="e">
        <f>IF(E55="","",VLOOKUP(E55,'Списки участников'!A:L,3,FALSE))</f>
        <v>#N/A</v>
      </c>
      <c r="G55" s="498">
        <f>LOOKUP(D55,'Юноши 2ф'!A:A,'Юноши 2ф'!B:B)</f>
        <v>0</v>
      </c>
      <c r="H55" s="718" t="e">
        <f>IF(G55="","",VLOOKUP(G55,'Списки участников'!A:L,3,FALSE))</f>
        <v>#N/A</v>
      </c>
      <c r="I55" s="499">
        <v>115</v>
      </c>
      <c r="J55" s="509">
        <v>15</v>
      </c>
      <c r="K55" s="756">
        <v>4</v>
      </c>
      <c r="L55" s="756">
        <v>15</v>
      </c>
      <c r="M55" s="498">
        <f>LOOKUP(K55,'Юноши 2ф'!A:A,'Юноши 2ф'!B:B)</f>
        <v>0</v>
      </c>
      <c r="N55" s="718" t="e">
        <f>IF(M55="","",VLOOKUP(M55,'Списки участников'!A:L,3,FALSE))</f>
        <v>#N/A</v>
      </c>
      <c r="O55" s="498">
        <f>LOOKUP(L55,'Юноши 2ф'!A:A,'Юноши 2ф'!B:B)</f>
        <v>0</v>
      </c>
      <c r="P55" s="718" t="e">
        <f>IF(O55="","",VLOOKUP(O55,'Списки участников'!A:L,3,FALSE))</f>
        <v>#N/A</v>
      </c>
    </row>
    <row r="56" spans="1:16" ht="17.25" x14ac:dyDescent="0.25">
      <c r="A56" s="499">
        <v>52</v>
      </c>
      <c r="B56" s="509">
        <v>7</v>
      </c>
      <c r="C56" s="755">
        <v>13</v>
      </c>
      <c r="D56" s="756">
        <v>7</v>
      </c>
      <c r="E56" s="497">
        <f>LOOKUP(C56,'Юноши 2ф'!A:A,'Юноши 2ф'!B:B)</f>
        <v>0</v>
      </c>
      <c r="F56" s="718" t="e">
        <f>IF(E56="","",VLOOKUP(E56,'Списки участников'!A:L,3,FALSE))</f>
        <v>#N/A</v>
      </c>
      <c r="G56" s="498">
        <f>LOOKUP(D56,'Юноши 2ф'!A:A,'Юноши 2ф'!B:B)</f>
        <v>0</v>
      </c>
      <c r="H56" s="718" t="e">
        <f>IF(G56="","",VLOOKUP(G56,'Списки участников'!A:L,3,FALSE))</f>
        <v>#N/A</v>
      </c>
      <c r="I56" s="499">
        <v>116</v>
      </c>
      <c r="J56" s="509">
        <v>15</v>
      </c>
      <c r="K56" s="756">
        <v>5</v>
      </c>
      <c r="L56" s="756">
        <v>14</v>
      </c>
      <c r="M56" s="498">
        <f>LOOKUP(K56,'Юноши 2ф'!A:A,'Юноши 2ф'!B:B)</f>
        <v>0</v>
      </c>
      <c r="N56" s="718" t="e">
        <f>IF(M56="","",VLOOKUP(M56,'Списки участников'!A:L,3,FALSE))</f>
        <v>#N/A</v>
      </c>
      <c r="O56" s="498">
        <f>LOOKUP(L56,'Юноши 2ф'!A:A,'Юноши 2ф'!B:B)</f>
        <v>0</v>
      </c>
      <c r="P56" s="718" t="e">
        <f>IF(O56="","",VLOOKUP(O56,'Списки участников'!A:L,3,FALSE))</f>
        <v>#N/A</v>
      </c>
    </row>
    <row r="57" spans="1:16" ht="17.25" x14ac:dyDescent="0.25">
      <c r="A57" s="499">
        <v>53</v>
      </c>
      <c r="B57" s="514">
        <v>7</v>
      </c>
      <c r="C57" s="755">
        <v>14</v>
      </c>
      <c r="D57" s="756">
        <v>6</v>
      </c>
      <c r="E57" s="497">
        <f>LOOKUP(C57,'Юноши 2ф'!A:A,'Юноши 2ф'!B:B)</f>
        <v>0</v>
      </c>
      <c r="F57" s="718" t="e">
        <f>IF(E57="","",VLOOKUP(E57,'Списки участников'!A:L,3,FALSE))</f>
        <v>#N/A</v>
      </c>
      <c r="G57" s="498">
        <f>LOOKUP(D57,'Юноши 2ф'!A:A,'Юноши 2ф'!B:B)</f>
        <v>0</v>
      </c>
      <c r="H57" s="718" t="e">
        <f>IF(G57="","",VLOOKUP(G57,'Списки участников'!A:L,3,FALSE))</f>
        <v>#N/A</v>
      </c>
      <c r="I57" s="499">
        <v>117</v>
      </c>
      <c r="J57" s="514">
        <v>15</v>
      </c>
      <c r="K57" s="756">
        <v>6</v>
      </c>
      <c r="L57" s="756">
        <v>13</v>
      </c>
      <c r="M57" s="498">
        <f>LOOKUP(K57,'Юноши 2ф'!A:A,'Юноши 2ф'!B:B)</f>
        <v>0</v>
      </c>
      <c r="N57" s="718" t="e">
        <f>IF(M57="","",VLOOKUP(M57,'Списки участников'!A:L,3,FALSE))</f>
        <v>#N/A</v>
      </c>
      <c r="O57" s="498">
        <f>LOOKUP(L57,'Юноши 2ф'!A:A,'Юноши 2ф'!B:B)</f>
        <v>0</v>
      </c>
      <c r="P57" s="718" t="e">
        <f>IF(O57="","",VLOOKUP(O57,'Списки участников'!A:L,3,FALSE))</f>
        <v>#N/A</v>
      </c>
    </row>
    <row r="58" spans="1:16" ht="17.25" x14ac:dyDescent="0.25">
      <c r="A58" s="499">
        <v>54</v>
      </c>
      <c r="B58" s="509">
        <v>7</v>
      </c>
      <c r="C58" s="755">
        <v>15</v>
      </c>
      <c r="D58" s="756">
        <v>5</v>
      </c>
      <c r="E58" s="497">
        <f>LOOKUP(C58,'Юноши 2ф'!A:A,'Юноши 2ф'!B:B)</f>
        <v>0</v>
      </c>
      <c r="F58" s="718" t="e">
        <f>IF(E58="","",VLOOKUP(E58,'Списки участников'!A:L,3,FALSE))</f>
        <v>#N/A</v>
      </c>
      <c r="G58" s="498">
        <f>LOOKUP(D58,'Юноши 2ф'!A:A,'Юноши 2ф'!B:B)</f>
        <v>0</v>
      </c>
      <c r="H58" s="718" t="e">
        <f>IF(G58="","",VLOOKUP(G58,'Списки участников'!A:L,3,FALSE))</f>
        <v>#N/A</v>
      </c>
      <c r="I58" s="499">
        <v>118</v>
      </c>
      <c r="J58" s="509">
        <v>15</v>
      </c>
      <c r="K58" s="762">
        <v>7</v>
      </c>
      <c r="L58" s="762">
        <v>12</v>
      </c>
      <c r="M58" s="498">
        <f>LOOKUP(K58,'Юноши 2ф'!A:A,'Юноши 2ф'!B:B)</f>
        <v>0</v>
      </c>
      <c r="N58" s="718" t="e">
        <f>IF(M58="","",VLOOKUP(M58,'Списки участников'!A:L,3,FALSE))</f>
        <v>#N/A</v>
      </c>
      <c r="O58" s="498">
        <f>LOOKUP(L58,'Юноши 2ф'!A:A,'Юноши 2ф'!B:B)</f>
        <v>0</v>
      </c>
      <c r="P58" s="718" t="e">
        <f>IF(O58="","",VLOOKUP(O58,'Списки участников'!A:L,3,FALSE))</f>
        <v>#N/A</v>
      </c>
    </row>
    <row r="59" spans="1:16" ht="17.25" x14ac:dyDescent="0.25">
      <c r="A59" s="499">
        <v>55</v>
      </c>
      <c r="B59" s="509">
        <v>7</v>
      </c>
      <c r="C59" s="755">
        <v>16</v>
      </c>
      <c r="D59" s="756">
        <v>4</v>
      </c>
      <c r="E59" s="497">
        <f>LOOKUP(C59,'Юноши 2ф'!A:A,'Юноши 2ф'!B:B)</f>
        <v>0</v>
      </c>
      <c r="F59" s="718" t="e">
        <f>IF(E59="","",VLOOKUP(E59,'Списки участников'!A:L,3,FALSE))</f>
        <v>#N/A</v>
      </c>
      <c r="G59" s="498">
        <f>LOOKUP(D59,'Юноши 2ф'!A:A,'Юноши 2ф'!B:B)</f>
        <v>0</v>
      </c>
      <c r="H59" s="718" t="e">
        <f>IF(G59="","",VLOOKUP(G59,'Списки участников'!A:L,3,FALSE))</f>
        <v>#N/A</v>
      </c>
      <c r="I59" s="499">
        <v>119</v>
      </c>
      <c r="J59" s="509">
        <v>15</v>
      </c>
      <c r="K59" s="762">
        <v>8</v>
      </c>
      <c r="L59" s="762">
        <v>11</v>
      </c>
      <c r="M59" s="498">
        <f>LOOKUP(K59,'Юноши 2ф'!A:A,'Юноши 2ф'!B:B)</f>
        <v>0</v>
      </c>
      <c r="N59" s="718" t="e">
        <f>IF(M59="","",VLOOKUP(M59,'Списки участников'!A:L,3,FALSE))</f>
        <v>#N/A</v>
      </c>
      <c r="O59" s="498">
        <f>LOOKUP(L59,'Юноши 2ф'!A:A,'Юноши 2ф'!B:B)</f>
        <v>0</v>
      </c>
      <c r="P59" s="718" t="e">
        <f>IF(O59="","",VLOOKUP(O59,'Списки участников'!A:L,3,FALSE))</f>
        <v>#N/A</v>
      </c>
    </row>
    <row r="60" spans="1:16" ht="18" thickBot="1" x14ac:dyDescent="0.3">
      <c r="A60" s="499">
        <v>56</v>
      </c>
      <c r="B60" s="513">
        <v>7</v>
      </c>
      <c r="C60" s="757">
        <v>2</v>
      </c>
      <c r="D60" s="761">
        <v>3</v>
      </c>
      <c r="E60" s="507">
        <f>LOOKUP(C60,'Юноши 2ф'!A:A,'Юноши 2ф'!B:B)</f>
        <v>0</v>
      </c>
      <c r="F60" s="747" t="e">
        <f>IF(E60="","",VLOOKUP(E60,'Списки участников'!A:L,3,FALSE))</f>
        <v>#N/A</v>
      </c>
      <c r="G60" s="748">
        <f>LOOKUP(D60,'Юноши 2ф'!A:A,'Юноши 2ф'!B:B)</f>
        <v>0</v>
      </c>
      <c r="H60" s="747" t="e">
        <f>IF(G60="","",VLOOKUP(G60,'Списки участников'!A:L,3,FALSE))</f>
        <v>#N/A</v>
      </c>
      <c r="I60" s="749">
        <v>120</v>
      </c>
      <c r="J60" s="513">
        <v>15</v>
      </c>
      <c r="K60" s="761">
        <v>9</v>
      </c>
      <c r="L60" s="761">
        <v>10</v>
      </c>
      <c r="M60" s="748">
        <f>LOOKUP(K60,'Юноши 2ф'!A:A,'Юноши 2ф'!B:B)</f>
        <v>0</v>
      </c>
      <c r="N60" s="747" t="e">
        <f>IF(M60="","",VLOOKUP(M60,'Списки участников'!A:L,3,FALSE))</f>
        <v>#N/A</v>
      </c>
      <c r="O60" s="748">
        <f>LOOKUP(L60,'Юноши 2ф'!A:A,'Юноши 2ф'!B:B)</f>
        <v>0</v>
      </c>
      <c r="P60" s="747" t="e">
        <f>IF(O60="","",VLOOKUP(O60,'Списки участников'!A:L,3,FALSE))</f>
        <v>#N/A</v>
      </c>
    </row>
    <row r="61" spans="1:16" ht="15.75" x14ac:dyDescent="0.25">
      <c r="A61" s="499">
        <v>57</v>
      </c>
      <c r="B61" s="509">
        <v>8</v>
      </c>
      <c r="C61" s="759">
        <v>9</v>
      </c>
      <c r="D61" s="760">
        <v>1</v>
      </c>
      <c r="E61" s="498">
        <f>LOOKUP(C61,'Юноши 2ф'!A:A,'Юноши 2ф'!B:B)</f>
        <v>0</v>
      </c>
      <c r="F61" s="718" t="e">
        <f>IF(E61="","",VLOOKUP(E61,'Списки участников'!A:L,3,FALSE))</f>
        <v>#N/A</v>
      </c>
      <c r="G61" s="498">
        <f>LOOKUP(D61,'Юноши 2ф'!A:A,'Юноши 2ф'!B:B)</f>
        <v>0</v>
      </c>
      <c r="H61" s="718" t="e">
        <f>IF(G61="","",VLOOKUP(G61,'Списки участников'!A:L,3,FALSE))</f>
        <v>#N/A</v>
      </c>
    </row>
    <row r="62" spans="1:16" ht="15.75" x14ac:dyDescent="0.25">
      <c r="A62" s="499">
        <v>58</v>
      </c>
      <c r="B62" s="509">
        <v>8</v>
      </c>
      <c r="C62" s="755">
        <v>10</v>
      </c>
      <c r="D62" s="756">
        <v>8</v>
      </c>
      <c r="E62" s="497">
        <f>LOOKUP(C62,'Юноши 2ф'!A:A,'Юноши 2ф'!B:B)</f>
        <v>0</v>
      </c>
      <c r="F62" s="718" t="e">
        <f>IF(E62="","",VLOOKUP(E62,'Списки участников'!A:L,3,FALSE))</f>
        <v>#N/A</v>
      </c>
      <c r="G62" s="498">
        <f>LOOKUP(D62,'Юноши 2ф'!A:A,'Юноши 2ф'!B:B)</f>
        <v>0</v>
      </c>
      <c r="H62" s="718" t="e">
        <f>IF(G62="","",VLOOKUP(G62,'Списки участников'!A:L,3,FALSE))</f>
        <v>#N/A</v>
      </c>
    </row>
    <row r="63" spans="1:16" ht="15.75" x14ac:dyDescent="0.25">
      <c r="A63" s="499">
        <v>59</v>
      </c>
      <c r="B63" s="509">
        <v>8</v>
      </c>
      <c r="C63" s="755">
        <v>11</v>
      </c>
      <c r="D63" s="756">
        <v>7</v>
      </c>
      <c r="E63" s="497">
        <f>LOOKUP(C63,'Юноши 2ф'!A:A,'Юноши 2ф'!B:B)</f>
        <v>0</v>
      </c>
      <c r="F63" s="718" t="e">
        <f>IF(E63="","",VLOOKUP(E63,'Списки участников'!A:L,3,FALSE))</f>
        <v>#N/A</v>
      </c>
      <c r="G63" s="498">
        <f>LOOKUP(D63,'Юноши 2ф'!A:A,'Юноши 2ф'!B:B)</f>
        <v>0</v>
      </c>
      <c r="H63" s="718" t="e">
        <f>IF(G63="","",VLOOKUP(G63,'Списки участников'!A:L,3,FALSE))</f>
        <v>#N/A</v>
      </c>
    </row>
    <row r="64" spans="1:16" ht="15.75" x14ac:dyDescent="0.25">
      <c r="A64" s="499">
        <v>60</v>
      </c>
      <c r="B64" s="509">
        <v>8</v>
      </c>
      <c r="C64" s="755">
        <v>12</v>
      </c>
      <c r="D64" s="756">
        <v>6</v>
      </c>
      <c r="E64" s="497">
        <f>LOOKUP(C64,'Юноши 2ф'!A:A,'Юноши 2ф'!B:B)</f>
        <v>0</v>
      </c>
      <c r="F64" s="718" t="e">
        <f>IF(E64="","",VLOOKUP(E64,'Списки участников'!A:L,3,FALSE))</f>
        <v>#N/A</v>
      </c>
      <c r="G64" s="498">
        <f>LOOKUP(D64,'Юноши 2ф'!A:A,'Юноши 2ф'!B:B)</f>
        <v>0</v>
      </c>
      <c r="H64" s="718" t="e">
        <f>IF(G64="","",VLOOKUP(G64,'Списки участников'!A:L,3,FALSE))</f>
        <v>#N/A</v>
      </c>
    </row>
    <row r="65" spans="1:8" ht="15.75" x14ac:dyDescent="0.25">
      <c r="A65" s="499">
        <v>61</v>
      </c>
      <c r="B65" s="514">
        <v>8</v>
      </c>
      <c r="C65" s="755">
        <v>13</v>
      </c>
      <c r="D65" s="756">
        <v>5</v>
      </c>
      <c r="E65" s="497">
        <f>LOOKUP(C65,'Юноши 2ф'!A:A,'Юноши 2ф'!B:B)</f>
        <v>0</v>
      </c>
      <c r="F65" s="718" t="e">
        <f>IF(E65="","",VLOOKUP(E65,'Списки участников'!A:L,3,FALSE))</f>
        <v>#N/A</v>
      </c>
      <c r="G65" s="498">
        <f>LOOKUP(D65,'Юноши 2ф'!A:A,'Юноши 2ф'!B:B)</f>
        <v>0</v>
      </c>
      <c r="H65" s="718" t="e">
        <f>IF(G65="","",VLOOKUP(G65,'Списки участников'!A:L,3,FALSE))</f>
        <v>#N/A</v>
      </c>
    </row>
    <row r="66" spans="1:8" ht="15.75" x14ac:dyDescent="0.25">
      <c r="A66" s="499">
        <v>62</v>
      </c>
      <c r="B66" s="509">
        <v>8</v>
      </c>
      <c r="C66" s="755">
        <v>14</v>
      </c>
      <c r="D66" s="756">
        <v>4</v>
      </c>
      <c r="E66" s="497">
        <f>LOOKUP(C66,'Юноши 2ф'!A:A,'Юноши 2ф'!B:B)</f>
        <v>0</v>
      </c>
      <c r="F66" s="718" t="e">
        <f>IF(E66="","",VLOOKUP(E66,'Списки участников'!A:L,3,FALSE))</f>
        <v>#N/A</v>
      </c>
      <c r="G66" s="498">
        <f>LOOKUP(D66,'Юноши 2ф'!A:A,'Юноши 2ф'!B:B)</f>
        <v>0</v>
      </c>
      <c r="H66" s="718" t="e">
        <f>IF(G66="","",VLOOKUP(G66,'Списки участников'!A:L,3,FALSE))</f>
        <v>#N/A</v>
      </c>
    </row>
    <row r="67" spans="1:8" ht="15.75" x14ac:dyDescent="0.25">
      <c r="A67" s="499">
        <v>63</v>
      </c>
      <c r="B67" s="509">
        <v>8</v>
      </c>
      <c r="C67" s="755">
        <v>15</v>
      </c>
      <c r="D67" s="756">
        <v>3</v>
      </c>
      <c r="E67" s="497">
        <f>LOOKUP(C67,'Юноши 2ф'!A:A,'Юноши 2ф'!B:B)</f>
        <v>0</v>
      </c>
      <c r="F67" s="718" t="e">
        <f>IF(E67="","",VLOOKUP(E67,'Списки участников'!A:L,3,FALSE))</f>
        <v>#N/A</v>
      </c>
      <c r="G67" s="498">
        <f>LOOKUP(D67,'Юноши 2ф'!A:A,'Юноши 2ф'!B:B)</f>
        <v>0</v>
      </c>
      <c r="H67" s="718" t="e">
        <f>IF(G67="","",VLOOKUP(G67,'Списки участников'!A:L,3,FALSE))</f>
        <v>#N/A</v>
      </c>
    </row>
    <row r="68" spans="1:8" ht="16.5" thickBot="1" x14ac:dyDescent="0.3">
      <c r="A68" s="499">
        <v>64</v>
      </c>
      <c r="B68" s="513">
        <v>8</v>
      </c>
      <c r="C68" s="757">
        <v>16</v>
      </c>
      <c r="D68" s="758">
        <v>2</v>
      </c>
      <c r="E68" s="497">
        <f>LOOKUP(C68,'Юноши 2ф'!A:A,'Юноши 2ф'!B:B)</f>
        <v>0</v>
      </c>
      <c r="F68" s="715" t="e">
        <f>IF(E68="","",VLOOKUP(E68,'Списки участников'!A:L,3,FALSE))</f>
        <v>#N/A</v>
      </c>
      <c r="G68" s="507">
        <f>LOOKUP(D68,'Юноши 2ф'!A:A,'Юноши 2ф'!B:B)</f>
        <v>0</v>
      </c>
      <c r="H68" s="715" t="e">
        <f>IF(G68="","",VLOOKUP(G68,'Списки участников'!A:L,3,FALSE))</f>
        <v>#N/A</v>
      </c>
    </row>
  </sheetData>
  <mergeCells count="13">
    <mergeCell ref="A1:P1"/>
    <mergeCell ref="A3:A4"/>
    <mergeCell ref="B3:B4"/>
    <mergeCell ref="C3:D4"/>
    <mergeCell ref="E3:E4"/>
    <mergeCell ref="F3:F4"/>
    <mergeCell ref="I2:M2"/>
    <mergeCell ref="H3:H4"/>
    <mergeCell ref="I3:I4"/>
    <mergeCell ref="J3:J4"/>
    <mergeCell ref="K3:L4"/>
    <mergeCell ref="N3:N4"/>
    <mergeCell ref="P3:P4"/>
  </mergeCells>
  <pageMargins left="0.31496062992125984" right="0.31496062992125984" top="0.35433070866141736" bottom="0.35433070866141736" header="0.31496062992125984" footer="0.31496062992125984"/>
  <pageSetup paperSize="9" scale="6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7030A0"/>
  </sheetPr>
  <dimension ref="A1:T68"/>
  <sheetViews>
    <sheetView view="pageBreakPreview" zoomScale="60" zoomScaleNormal="100" workbookViewId="0">
      <selection activeCell="I2" sqref="I2:M2"/>
    </sheetView>
  </sheetViews>
  <sheetFormatPr defaultRowHeight="12.75" outlineLevelCol="1" x14ac:dyDescent="0.2"/>
  <cols>
    <col min="1" max="1" width="6.6640625" customWidth="1"/>
    <col min="2" max="2" width="4.5" customWidth="1"/>
    <col min="3" max="4" width="5" customWidth="1"/>
    <col min="5" max="5" width="8" hidden="1" customWidth="1" outlineLevel="1"/>
    <col min="6" max="6" width="29.1640625" customWidth="1" collapsed="1"/>
    <col min="7" max="7" width="9.33203125" hidden="1" customWidth="1" outlineLevel="1"/>
    <col min="8" max="8" width="29.1640625" customWidth="1" collapsed="1"/>
    <col min="9" max="9" width="6.6640625" customWidth="1"/>
    <col min="10" max="10" width="4.83203125" customWidth="1"/>
    <col min="11" max="12" width="5" customWidth="1"/>
    <col min="13" max="13" width="9.33203125" hidden="1" customWidth="1" outlineLevel="1"/>
    <col min="14" max="14" width="29.1640625" customWidth="1" collapsed="1"/>
    <col min="15" max="15" width="9.33203125" hidden="1" customWidth="1" outlineLevel="1"/>
    <col min="16" max="16" width="29.1640625" customWidth="1" collapsed="1"/>
  </cols>
  <sheetData>
    <row r="1" spans="1:20" ht="21.75" customHeight="1" x14ac:dyDescent="0.3">
      <c r="A1" s="1301" t="str">
        <f>'Списки участников'!A1</f>
        <v>IV Мемориал Заслуженного тренера России В.А.Воробьева</v>
      </c>
      <c r="B1" s="1301"/>
      <c r="C1" s="1301"/>
      <c r="D1" s="1301"/>
      <c r="E1" s="1301"/>
      <c r="F1" s="1301"/>
      <c r="G1" s="1301"/>
      <c r="H1" s="1301"/>
      <c r="I1" s="1301"/>
      <c r="J1" s="1301"/>
      <c r="K1" s="1301"/>
      <c r="L1" s="1301"/>
      <c r="M1" s="1301"/>
      <c r="N1" s="1301"/>
      <c r="O1" s="1301"/>
      <c r="P1" s="1301"/>
    </row>
    <row r="2" spans="1:20" ht="16.5" thickBot="1" x14ac:dyDescent="0.3">
      <c r="A2" s="699" t="str">
        <f>'Списки участников'!C3</f>
        <v>26-29 мая 2016 г.</v>
      </c>
      <c r="B2" s="699"/>
      <c r="C2" s="699"/>
      <c r="D2" s="699"/>
      <c r="E2" s="698" t="s">
        <v>1131</v>
      </c>
      <c r="F2" s="698"/>
      <c r="G2" s="698"/>
      <c r="H2" s="811" t="s">
        <v>1148</v>
      </c>
      <c r="I2" s="1328" t="str">
        <f>'Списки участников'!D6</f>
        <v>ЮНОШИ</v>
      </c>
      <c r="J2" s="1329"/>
      <c r="K2" s="1329"/>
      <c r="L2" s="1329"/>
      <c r="M2" s="1329"/>
      <c r="N2" s="698"/>
      <c r="P2" s="697" t="str">
        <f>'Списки участников'!I3</f>
        <v>г. Москва</v>
      </c>
    </row>
    <row r="3" spans="1:20" ht="16.5" customHeight="1" x14ac:dyDescent="0.25">
      <c r="A3" s="1302" t="s">
        <v>1132</v>
      </c>
      <c r="B3" s="1304" t="s">
        <v>1000</v>
      </c>
      <c r="C3" s="1318" t="s">
        <v>3</v>
      </c>
      <c r="D3" s="1319"/>
      <c r="E3" s="1306"/>
      <c r="F3" s="1308" t="s">
        <v>4</v>
      </c>
      <c r="G3" s="693"/>
      <c r="H3" s="1310" t="s">
        <v>4</v>
      </c>
      <c r="I3" s="1312" t="s">
        <v>1132</v>
      </c>
      <c r="J3" s="1314" t="s">
        <v>1000</v>
      </c>
      <c r="K3" s="1324" t="s">
        <v>3</v>
      </c>
      <c r="L3" s="1325"/>
      <c r="M3" s="745"/>
      <c r="N3" s="1316" t="s">
        <v>4</v>
      </c>
      <c r="O3" s="694"/>
      <c r="P3" s="1299" t="s">
        <v>4</v>
      </c>
      <c r="R3" s="113"/>
      <c r="S3" s="113"/>
      <c r="T3" s="113"/>
    </row>
    <row r="4" spans="1:20" ht="16.5" thickBot="1" x14ac:dyDescent="0.3">
      <c r="A4" s="1303"/>
      <c r="B4" s="1305"/>
      <c r="C4" s="1320"/>
      <c r="D4" s="1321"/>
      <c r="E4" s="1307"/>
      <c r="F4" s="1309"/>
      <c r="G4" s="695"/>
      <c r="H4" s="1311"/>
      <c r="I4" s="1313"/>
      <c r="J4" s="1315"/>
      <c r="K4" s="1326"/>
      <c r="L4" s="1327"/>
      <c r="M4" s="746"/>
      <c r="N4" s="1317"/>
      <c r="O4" s="696"/>
      <c r="P4" s="1300"/>
      <c r="R4" s="113"/>
      <c r="S4" s="113"/>
      <c r="T4" s="113"/>
    </row>
    <row r="5" spans="1:20" ht="15.75" x14ac:dyDescent="0.25">
      <c r="A5" s="717">
        <v>1</v>
      </c>
      <c r="B5" s="495">
        <v>1</v>
      </c>
      <c r="C5" s="755">
        <v>1</v>
      </c>
      <c r="D5" s="756">
        <v>16</v>
      </c>
      <c r="E5" s="497">
        <f>LOOKUP(C5,'Юноши 3ф'!A:A,'Юноши 3ф'!B:B)</f>
        <v>0</v>
      </c>
      <c r="F5" s="718" t="e">
        <f>IF(E5="","",VLOOKUP(E5,'Списки участников'!A:L,3,FALSE))</f>
        <v>#N/A</v>
      </c>
      <c r="G5" s="498">
        <f>LOOKUP(D5,'Юноши 3ф'!A:A,'Юноши 3ф'!B:B)</f>
        <v>0</v>
      </c>
      <c r="H5" s="718" t="e">
        <f>IF(G5="","",VLOOKUP(G5,'Списки участников'!A:L,3,FALSE))</f>
        <v>#N/A</v>
      </c>
      <c r="I5" s="717">
        <v>65</v>
      </c>
      <c r="J5" s="509">
        <v>9</v>
      </c>
      <c r="K5" s="760">
        <v>1</v>
      </c>
      <c r="L5" s="760">
        <v>8</v>
      </c>
      <c r="M5" s="498">
        <f>LOOKUP(K5,'Юноши 3ф'!A:A,'Юноши 3ф'!B:B)</f>
        <v>0</v>
      </c>
      <c r="N5" s="718" t="e">
        <f>IF(M5="","",VLOOKUP(M5,'Списки участников'!A:L,3,FALSE))</f>
        <v>#N/A</v>
      </c>
      <c r="O5" s="498">
        <f>LOOKUP(L5,'Юноши 3ф'!A:A,'Юноши 3ф'!B:B)</f>
        <v>0</v>
      </c>
      <c r="P5" s="718" t="e">
        <f>IF(O5="","",VLOOKUP(O5,'Списки участников'!A:L,3,FALSE))</f>
        <v>#N/A</v>
      </c>
      <c r="Q5" s="766">
        <v>1</v>
      </c>
      <c r="R5" s="766">
        <v>1</v>
      </c>
      <c r="S5" s="113"/>
      <c r="T5" s="113"/>
    </row>
    <row r="6" spans="1:20" ht="15.75" x14ac:dyDescent="0.25">
      <c r="A6" s="499">
        <v>2</v>
      </c>
      <c r="B6" s="500">
        <v>1</v>
      </c>
      <c r="C6" s="755">
        <v>2</v>
      </c>
      <c r="D6" s="756">
        <v>15</v>
      </c>
      <c r="E6" s="497">
        <f>LOOKUP(C6,'Юноши 3ф'!A:A,'Юноши 3ф'!B:B)</f>
        <v>0</v>
      </c>
      <c r="F6" s="718" t="e">
        <f>IF(E6="","",VLOOKUP(E6,'Списки участников'!A:L,3,FALSE))</f>
        <v>#N/A</v>
      </c>
      <c r="G6" s="498">
        <f>LOOKUP(D6,'Юноши 3ф'!A:A,'Юноши 3ф'!B:B)</f>
        <v>0</v>
      </c>
      <c r="H6" s="718" t="e">
        <f>IF(G6="","",VLOOKUP(G6,'Списки участников'!A:L,3,FALSE))</f>
        <v>#N/A</v>
      </c>
      <c r="I6" s="499">
        <v>66</v>
      </c>
      <c r="J6" s="509">
        <v>9</v>
      </c>
      <c r="K6" s="756">
        <v>9</v>
      </c>
      <c r="L6" s="756">
        <v>7</v>
      </c>
      <c r="M6" s="498">
        <f>LOOKUP(K6,'Юноши 3ф'!A:A,'Юноши 3ф'!B:B)</f>
        <v>0</v>
      </c>
      <c r="N6" s="718" t="e">
        <f>IF(M6="","",VLOOKUP(M6,'Списки участников'!A:L,3,FALSE))</f>
        <v>#N/A</v>
      </c>
      <c r="O6" s="498">
        <f>LOOKUP(L6,'Юноши 3ф'!A:A,'Юноши 3ф'!B:B)</f>
        <v>0</v>
      </c>
      <c r="P6" s="718" t="e">
        <f>IF(O6="","",VLOOKUP(O6,'Списки участников'!A:L,3,FALSE))</f>
        <v>#N/A</v>
      </c>
      <c r="Q6" s="766">
        <v>2</v>
      </c>
      <c r="R6" s="766">
        <v>9</v>
      </c>
      <c r="S6" s="113"/>
      <c r="T6" s="113"/>
    </row>
    <row r="7" spans="1:20" ht="15.75" x14ac:dyDescent="0.25">
      <c r="A7" s="499">
        <v>3</v>
      </c>
      <c r="B7" s="500">
        <v>1</v>
      </c>
      <c r="C7" s="755">
        <v>3</v>
      </c>
      <c r="D7" s="756">
        <v>14</v>
      </c>
      <c r="E7" s="497">
        <f>LOOKUP(C7,'Юноши 3ф'!A:A,'Юноши 3ф'!B:B)</f>
        <v>0</v>
      </c>
      <c r="F7" s="718" t="e">
        <f>IF(E7="","",VLOOKUP(E7,'Списки участников'!A:L,3,FALSE))</f>
        <v>#N/A</v>
      </c>
      <c r="G7" s="498">
        <f>LOOKUP(D7,'Юноши 3ф'!A:A,'Юноши 3ф'!B:B)</f>
        <v>0</v>
      </c>
      <c r="H7" s="718" t="e">
        <f>IF(G7="","",VLOOKUP(G7,'Списки участников'!A:L,3,FALSE))</f>
        <v>#N/A</v>
      </c>
      <c r="I7" s="499">
        <v>67</v>
      </c>
      <c r="J7" s="509">
        <v>9</v>
      </c>
      <c r="K7" s="756">
        <v>10</v>
      </c>
      <c r="L7" s="756">
        <v>6</v>
      </c>
      <c r="M7" s="498">
        <f>LOOKUP(K7,'Юноши 3ф'!A:A,'Юноши 3ф'!B:B)</f>
        <v>0</v>
      </c>
      <c r="N7" s="718" t="e">
        <f>IF(M7="","",VLOOKUP(M7,'Списки участников'!A:L,3,FALSE))</f>
        <v>#N/A</v>
      </c>
      <c r="O7" s="498">
        <f>LOOKUP(L7,'Юноши 3ф'!A:A,'Юноши 3ф'!B:B)</f>
        <v>0</v>
      </c>
      <c r="P7" s="718" t="e">
        <f>IF(O7="","",VLOOKUP(O7,'Списки участников'!A:L,3,FALSE))</f>
        <v>#N/A</v>
      </c>
      <c r="Q7" s="766">
        <v>3</v>
      </c>
      <c r="R7" s="766">
        <v>17</v>
      </c>
      <c r="S7" s="113"/>
      <c r="T7" s="113"/>
    </row>
    <row r="8" spans="1:20" ht="15.75" x14ac:dyDescent="0.25">
      <c r="A8" s="499">
        <v>4</v>
      </c>
      <c r="B8" s="500">
        <v>1</v>
      </c>
      <c r="C8" s="755">
        <v>4</v>
      </c>
      <c r="D8" s="756">
        <v>13</v>
      </c>
      <c r="E8" s="497">
        <f>LOOKUP(C8,'Юноши 3ф'!A:A,'Юноши 3ф'!B:B)</f>
        <v>0</v>
      </c>
      <c r="F8" s="718" t="e">
        <f>IF(E8="","",VLOOKUP(E8,'Списки участников'!A:L,3,FALSE))</f>
        <v>#N/A</v>
      </c>
      <c r="G8" s="498">
        <f>LOOKUP(D8,'Юноши 3ф'!A:A,'Юноши 3ф'!B:B)</f>
        <v>0</v>
      </c>
      <c r="H8" s="718" t="e">
        <f>IF(G8="","",VLOOKUP(G8,'Списки участников'!A:L,3,FALSE))</f>
        <v>#N/A</v>
      </c>
      <c r="I8" s="499">
        <v>68</v>
      </c>
      <c r="J8" s="509">
        <v>9</v>
      </c>
      <c r="K8" s="756">
        <v>11</v>
      </c>
      <c r="L8" s="756">
        <v>5</v>
      </c>
      <c r="M8" s="498">
        <f>LOOKUP(K8,'Юноши 3ф'!A:A,'Юноши 3ф'!B:B)</f>
        <v>0</v>
      </c>
      <c r="N8" s="718" t="e">
        <f>IF(M8="","",VLOOKUP(M8,'Списки участников'!A:L,3,FALSE))</f>
        <v>#N/A</v>
      </c>
      <c r="O8" s="498">
        <f>LOOKUP(L8,'Юноши 3ф'!A:A,'Юноши 3ф'!B:B)</f>
        <v>0</v>
      </c>
      <c r="P8" s="718" t="e">
        <f>IF(O8="","",VLOOKUP(O8,'Списки участников'!A:L,3,FALSE))</f>
        <v>#N/A</v>
      </c>
      <c r="Q8" s="766">
        <v>4</v>
      </c>
      <c r="R8" s="766">
        <v>25</v>
      </c>
      <c r="S8" s="113"/>
      <c r="T8" s="113"/>
    </row>
    <row r="9" spans="1:20" ht="15.75" x14ac:dyDescent="0.25">
      <c r="A9" s="499">
        <v>5</v>
      </c>
      <c r="B9" s="502">
        <v>1</v>
      </c>
      <c r="C9" s="755">
        <v>5</v>
      </c>
      <c r="D9" s="756">
        <v>12</v>
      </c>
      <c r="E9" s="497">
        <f>LOOKUP(C9,'Юноши 3ф'!A:A,'Юноши 3ф'!B:B)</f>
        <v>0</v>
      </c>
      <c r="F9" s="718" t="e">
        <f>IF(E9="","",VLOOKUP(E9,'Списки участников'!A:L,3,FALSE))</f>
        <v>#N/A</v>
      </c>
      <c r="G9" s="498">
        <f>LOOKUP(D9,'Юноши 3ф'!A:A,'Юноши 3ф'!B:B)</f>
        <v>0</v>
      </c>
      <c r="H9" s="718" t="e">
        <f>IF(G9="","",VLOOKUP(G9,'Списки участников'!A:L,3,FALSE))</f>
        <v>#N/A</v>
      </c>
      <c r="I9" s="499">
        <v>69</v>
      </c>
      <c r="J9" s="514">
        <v>9</v>
      </c>
      <c r="K9" s="756">
        <v>12</v>
      </c>
      <c r="L9" s="756">
        <v>4</v>
      </c>
      <c r="M9" s="498">
        <f>LOOKUP(K9,'Юноши 3ф'!A:A,'Юноши 3ф'!B:B)</f>
        <v>0</v>
      </c>
      <c r="N9" s="718" t="e">
        <f>IF(M9="","",VLOOKUP(M9,'Списки участников'!A:L,3,FALSE))</f>
        <v>#N/A</v>
      </c>
      <c r="O9" s="498">
        <f>LOOKUP(L9,'Юноши 3ф'!A:A,'Юноши 3ф'!B:B)</f>
        <v>0</v>
      </c>
      <c r="P9" s="718" t="e">
        <f>IF(O9="","",VLOOKUP(O9,'Списки участников'!A:L,3,FALSE))</f>
        <v>#N/A</v>
      </c>
      <c r="Q9" s="766">
        <v>5</v>
      </c>
      <c r="R9" s="766">
        <v>33</v>
      </c>
      <c r="S9" s="113"/>
      <c r="T9" s="113"/>
    </row>
    <row r="10" spans="1:20" ht="15.75" x14ac:dyDescent="0.25">
      <c r="A10" s="499">
        <v>6</v>
      </c>
      <c r="B10" s="500">
        <v>1</v>
      </c>
      <c r="C10" s="755">
        <v>6</v>
      </c>
      <c r="D10" s="756">
        <v>11</v>
      </c>
      <c r="E10" s="497">
        <f>LOOKUP(C10,'Юноши 3ф'!A:A,'Юноши 3ф'!B:B)</f>
        <v>0</v>
      </c>
      <c r="F10" s="718" t="e">
        <f>IF(E10="","",VLOOKUP(E10,'Списки участников'!A:L,3,FALSE))</f>
        <v>#N/A</v>
      </c>
      <c r="G10" s="498">
        <f>LOOKUP(D10,'Юноши 3ф'!A:A,'Юноши 3ф'!B:B)</f>
        <v>0</v>
      </c>
      <c r="H10" s="718" t="e">
        <f>IF(G10="","",VLOOKUP(G10,'Списки участников'!A:L,3,FALSE))</f>
        <v>#N/A</v>
      </c>
      <c r="I10" s="499">
        <v>70</v>
      </c>
      <c r="J10" s="509">
        <v>9</v>
      </c>
      <c r="K10" s="762">
        <v>13</v>
      </c>
      <c r="L10" s="762">
        <v>3</v>
      </c>
      <c r="M10" s="498">
        <f>LOOKUP(K10,'Юноши 3ф'!A:A,'Юноши 3ф'!B:B)</f>
        <v>0</v>
      </c>
      <c r="N10" s="718" t="e">
        <f>IF(M10="","",VLOOKUP(M10,'Списки участников'!A:L,3,FALSE))</f>
        <v>#N/A</v>
      </c>
      <c r="O10" s="498">
        <f>LOOKUP(L10,'Юноши 3ф'!A:A,'Юноши 3ф'!B:B)</f>
        <v>0</v>
      </c>
      <c r="P10" s="718" t="e">
        <f>IF(O10="","",VLOOKUP(O10,'Списки участников'!A:L,3,FALSE))</f>
        <v>#N/A</v>
      </c>
      <c r="Q10" s="766">
        <v>6</v>
      </c>
      <c r="R10" s="766">
        <v>41</v>
      </c>
      <c r="S10" s="113"/>
      <c r="T10" s="113"/>
    </row>
    <row r="11" spans="1:20" ht="15.75" x14ac:dyDescent="0.25">
      <c r="A11" s="499">
        <v>7</v>
      </c>
      <c r="B11" s="500">
        <v>1</v>
      </c>
      <c r="C11" s="755">
        <v>7</v>
      </c>
      <c r="D11" s="756">
        <v>10</v>
      </c>
      <c r="E11" s="497">
        <f>LOOKUP(C11,'Юноши 3ф'!A:A,'Юноши 3ф'!B:B)</f>
        <v>0</v>
      </c>
      <c r="F11" s="718" t="e">
        <f>IF(E11="","",VLOOKUP(E11,'Списки участников'!A:L,3,FALSE))</f>
        <v>#N/A</v>
      </c>
      <c r="G11" s="498">
        <f>LOOKUP(D11,'Юноши 3ф'!A:A,'Юноши 3ф'!B:B)</f>
        <v>0</v>
      </c>
      <c r="H11" s="718" t="e">
        <f>IF(G11="","",VLOOKUP(G11,'Списки участников'!A:L,3,FALSE))</f>
        <v>#N/A</v>
      </c>
      <c r="I11" s="499">
        <v>71</v>
      </c>
      <c r="J11" s="509">
        <v>9</v>
      </c>
      <c r="K11" s="762">
        <v>14</v>
      </c>
      <c r="L11" s="762">
        <v>2</v>
      </c>
      <c r="M11" s="498">
        <f>LOOKUP(K11,'Юноши 3ф'!A:A,'Юноши 3ф'!B:B)</f>
        <v>0</v>
      </c>
      <c r="N11" s="718" t="e">
        <f>IF(M11="","",VLOOKUP(M11,'Списки участников'!A:L,3,FALSE))</f>
        <v>#N/A</v>
      </c>
      <c r="O11" s="498">
        <f>LOOKUP(L11,'Юноши 3ф'!A:A,'Юноши 3ф'!B:B)</f>
        <v>0</v>
      </c>
      <c r="P11" s="718" t="e">
        <f>IF(O11="","",VLOOKUP(O11,'Списки участников'!A:L,3,FALSE))</f>
        <v>#N/A</v>
      </c>
      <c r="Q11" s="766">
        <v>7</v>
      </c>
      <c r="R11" s="766">
        <v>49</v>
      </c>
      <c r="S11" s="113"/>
      <c r="T11" s="113"/>
    </row>
    <row r="12" spans="1:20" ht="16.5" thickBot="1" x14ac:dyDescent="0.3">
      <c r="A12" s="499">
        <v>8</v>
      </c>
      <c r="B12" s="505">
        <v>1</v>
      </c>
      <c r="C12" s="757">
        <v>8</v>
      </c>
      <c r="D12" s="758">
        <v>9</v>
      </c>
      <c r="E12" s="497">
        <f>LOOKUP(C12,'Юноши 3ф'!A:A,'Юноши 3ф'!B:B)</f>
        <v>0</v>
      </c>
      <c r="F12" s="747" t="e">
        <f>IF(E12="","",VLOOKUP(E12,'Списки участников'!A:L,3,FALSE))</f>
        <v>#N/A</v>
      </c>
      <c r="G12" s="748">
        <f>LOOKUP(D12,'Юноши 3ф'!A:A,'Юноши 3ф'!B:B)</f>
        <v>0</v>
      </c>
      <c r="H12" s="747" t="e">
        <f>IF(G12="","",VLOOKUP(G12,'Списки участников'!A:L,3,FALSE))</f>
        <v>#N/A</v>
      </c>
      <c r="I12" s="716">
        <v>72</v>
      </c>
      <c r="J12" s="513">
        <v>9</v>
      </c>
      <c r="K12" s="758">
        <v>15</v>
      </c>
      <c r="L12" s="758">
        <v>16</v>
      </c>
      <c r="M12" s="748">
        <f>LOOKUP(K12,'Юноши 3ф'!A:A,'Юноши 3ф'!B:B)</f>
        <v>0</v>
      </c>
      <c r="N12" s="747" t="e">
        <f>IF(M12="","",VLOOKUP(M12,'Списки участников'!A:L,3,FALSE))</f>
        <v>#N/A</v>
      </c>
      <c r="O12" s="748">
        <f>LOOKUP(L12,'Юноши 3ф'!A:A,'Юноши 3ф'!B:B)</f>
        <v>0</v>
      </c>
      <c r="P12" s="747" t="e">
        <f>IF(O12="","",VLOOKUP(O12,'Списки участников'!A:L,3,FALSE))</f>
        <v>#N/A</v>
      </c>
      <c r="Q12" s="766">
        <v>8</v>
      </c>
      <c r="R12" s="766">
        <v>57</v>
      </c>
    </row>
    <row r="13" spans="1:20" ht="17.25" x14ac:dyDescent="0.25">
      <c r="A13" s="499">
        <v>9</v>
      </c>
      <c r="B13" s="500">
        <v>2</v>
      </c>
      <c r="C13" s="759">
        <v>15</v>
      </c>
      <c r="D13" s="760">
        <v>1</v>
      </c>
      <c r="E13" s="497">
        <f>LOOKUP(C13,'Юноши 3ф'!A:A,'Юноши 3ф'!B:B)</f>
        <v>0</v>
      </c>
      <c r="F13" s="718" t="e">
        <f>IF(E13="","",VLOOKUP(E13,'Списки участников'!A:L,3,FALSE))</f>
        <v>#N/A</v>
      </c>
      <c r="G13" s="498">
        <f>LOOKUP(D13,'Юноши 3ф'!A:A,'Юноши 3ф'!B:B)</f>
        <v>0</v>
      </c>
      <c r="H13" s="718" t="e">
        <f>IF(G13="","",VLOOKUP(G13,'Списки участников'!A:L,3,FALSE))</f>
        <v>#N/A</v>
      </c>
      <c r="I13" s="717">
        <v>73</v>
      </c>
      <c r="J13" s="509">
        <v>10</v>
      </c>
      <c r="K13" s="760">
        <v>7</v>
      </c>
      <c r="L13" s="760">
        <v>1</v>
      </c>
      <c r="M13" s="498">
        <f>LOOKUP(K13,'Юноши 3ф'!A:A,'Юноши 3ф'!B:B)</f>
        <v>0</v>
      </c>
      <c r="N13" s="718" t="e">
        <f>IF(M13="","",VLOOKUP(M13,'Списки участников'!A:L,3,FALSE))</f>
        <v>#N/A</v>
      </c>
      <c r="O13" s="498">
        <f>LOOKUP(L13,'Юноши 3ф'!A:A,'Юноши 3ф'!B:B)</f>
        <v>0</v>
      </c>
      <c r="P13" s="718" t="e">
        <f>IF(O13="","",VLOOKUP(O13,'Списки участников'!A:L,3,FALSE))</f>
        <v>#N/A</v>
      </c>
      <c r="Q13" s="766">
        <v>9</v>
      </c>
      <c r="R13" s="766">
        <v>65</v>
      </c>
    </row>
    <row r="14" spans="1:20" ht="17.25" x14ac:dyDescent="0.25">
      <c r="A14" s="499">
        <v>10</v>
      </c>
      <c r="B14" s="500">
        <v>2</v>
      </c>
      <c r="C14" s="755">
        <v>16</v>
      </c>
      <c r="D14" s="756">
        <v>14</v>
      </c>
      <c r="E14" s="497">
        <f>LOOKUP(C14,'Юноши 3ф'!A:A,'Юноши 3ф'!B:B)</f>
        <v>0</v>
      </c>
      <c r="F14" s="718" t="e">
        <f>IF(E14="","",VLOOKUP(E14,'Списки участников'!A:L,3,FALSE))</f>
        <v>#N/A</v>
      </c>
      <c r="G14" s="498">
        <f>LOOKUP(D14,'Юноши 3ф'!A:A,'Юноши 3ф'!B:B)</f>
        <v>0</v>
      </c>
      <c r="H14" s="718" t="e">
        <f>IF(G14="","",VLOOKUP(G14,'Списки участников'!A:L,3,FALSE))</f>
        <v>#N/A</v>
      </c>
      <c r="I14" s="499">
        <v>74</v>
      </c>
      <c r="J14" s="509">
        <v>10</v>
      </c>
      <c r="K14" s="756">
        <v>8</v>
      </c>
      <c r="L14" s="760">
        <v>6</v>
      </c>
      <c r="M14" s="498">
        <f>LOOKUP(K14,'Юноши 3ф'!A:A,'Юноши 3ф'!B:B)</f>
        <v>0</v>
      </c>
      <c r="N14" s="718" t="e">
        <f>IF(M14="","",VLOOKUP(M14,'Списки участников'!A:L,3,FALSE))</f>
        <v>#N/A</v>
      </c>
      <c r="O14" s="498">
        <f>LOOKUP(L14,'Юноши 3ф'!A:A,'Юноши 3ф'!B:B)</f>
        <v>0</v>
      </c>
      <c r="P14" s="718" t="e">
        <f>IF(O14="","",VLOOKUP(O14,'Списки участников'!A:L,3,FALSE))</f>
        <v>#N/A</v>
      </c>
      <c r="Q14" s="766">
        <v>10</v>
      </c>
      <c r="R14" s="766">
        <v>73</v>
      </c>
    </row>
    <row r="15" spans="1:20" ht="17.25" x14ac:dyDescent="0.25">
      <c r="A15" s="499">
        <v>11</v>
      </c>
      <c r="B15" s="500">
        <v>2</v>
      </c>
      <c r="C15" s="755">
        <v>2</v>
      </c>
      <c r="D15" s="756">
        <v>13</v>
      </c>
      <c r="E15" s="497">
        <f>LOOKUP(C15,'Юноши 3ф'!A:A,'Юноши 3ф'!B:B)</f>
        <v>0</v>
      </c>
      <c r="F15" s="718" t="e">
        <f>IF(E15="","",VLOOKUP(E15,'Списки участников'!A:L,3,FALSE))</f>
        <v>#N/A</v>
      </c>
      <c r="G15" s="498">
        <f>LOOKUP(D15,'Юноши 3ф'!A:A,'Юноши 3ф'!B:B)</f>
        <v>0</v>
      </c>
      <c r="H15" s="718" t="e">
        <f>IF(G15="","",VLOOKUP(G15,'Списки участников'!A:L,3,FALSE))</f>
        <v>#N/A</v>
      </c>
      <c r="I15" s="499">
        <v>75</v>
      </c>
      <c r="J15" s="509">
        <v>10</v>
      </c>
      <c r="K15" s="756">
        <v>9</v>
      </c>
      <c r="L15" s="760">
        <v>5</v>
      </c>
      <c r="M15" s="498">
        <f>LOOKUP(K15,'Юноши 3ф'!A:A,'Юноши 3ф'!B:B)</f>
        <v>0</v>
      </c>
      <c r="N15" s="718" t="e">
        <f>IF(M15="","",VLOOKUP(M15,'Списки участников'!A:L,3,FALSE))</f>
        <v>#N/A</v>
      </c>
      <c r="O15" s="498">
        <f>LOOKUP(L15,'Юноши 3ф'!A:A,'Юноши 3ф'!B:B)</f>
        <v>0</v>
      </c>
      <c r="P15" s="718" t="e">
        <f>IF(O15="","",VLOOKUP(O15,'Списки участников'!A:L,3,FALSE))</f>
        <v>#N/A</v>
      </c>
      <c r="Q15" s="766">
        <v>11</v>
      </c>
      <c r="R15" s="766">
        <v>81</v>
      </c>
    </row>
    <row r="16" spans="1:20" ht="17.25" x14ac:dyDescent="0.25">
      <c r="A16" s="499">
        <v>12</v>
      </c>
      <c r="B16" s="500">
        <v>2</v>
      </c>
      <c r="C16" s="755">
        <v>3</v>
      </c>
      <c r="D16" s="756">
        <v>12</v>
      </c>
      <c r="E16" s="497">
        <f>LOOKUP(C16,'Юноши 3ф'!A:A,'Юноши 3ф'!B:B)</f>
        <v>0</v>
      </c>
      <c r="F16" s="718" t="e">
        <f>IF(E16="","",VLOOKUP(E16,'Списки участников'!A:L,3,FALSE))</f>
        <v>#N/A</v>
      </c>
      <c r="G16" s="498">
        <f>LOOKUP(D16,'Юноши 3ф'!A:A,'Юноши 3ф'!B:B)</f>
        <v>0</v>
      </c>
      <c r="H16" s="718" t="e">
        <f>IF(G16="","",VLOOKUP(G16,'Списки участников'!A:L,3,FALSE))</f>
        <v>#N/A</v>
      </c>
      <c r="I16" s="499">
        <v>76</v>
      </c>
      <c r="J16" s="509">
        <v>10</v>
      </c>
      <c r="K16" s="756">
        <v>10</v>
      </c>
      <c r="L16" s="760">
        <v>4</v>
      </c>
      <c r="M16" s="498">
        <f>LOOKUP(K16,'Юноши 3ф'!A:A,'Юноши 3ф'!B:B)</f>
        <v>0</v>
      </c>
      <c r="N16" s="718" t="e">
        <f>IF(M16="","",VLOOKUP(M16,'Списки участников'!A:L,3,FALSE))</f>
        <v>#N/A</v>
      </c>
      <c r="O16" s="498">
        <f>LOOKUP(L16,'Юноши 3ф'!A:A,'Юноши 3ф'!B:B)</f>
        <v>0</v>
      </c>
      <c r="P16" s="718" t="e">
        <f>IF(O16="","",VLOOKUP(O16,'Списки участников'!A:L,3,FALSE))</f>
        <v>#N/A</v>
      </c>
      <c r="Q16" s="766">
        <v>12</v>
      </c>
      <c r="R16" s="766">
        <v>89</v>
      </c>
    </row>
    <row r="17" spans="1:18" ht="17.25" x14ac:dyDescent="0.25">
      <c r="A17" s="499">
        <v>13</v>
      </c>
      <c r="B17" s="502">
        <v>2</v>
      </c>
      <c r="C17" s="755">
        <v>4</v>
      </c>
      <c r="D17" s="756">
        <v>11</v>
      </c>
      <c r="E17" s="497">
        <f>LOOKUP(C17,'Юноши 3ф'!A:A,'Юноши 3ф'!B:B)</f>
        <v>0</v>
      </c>
      <c r="F17" s="718" t="e">
        <f>IF(E17="","",VLOOKUP(E17,'Списки участников'!A:L,3,FALSE))</f>
        <v>#N/A</v>
      </c>
      <c r="G17" s="498">
        <f>LOOKUP(D17,'Юноши 3ф'!A:A,'Юноши 3ф'!B:B)</f>
        <v>0</v>
      </c>
      <c r="H17" s="718" t="e">
        <f>IF(G17="","",VLOOKUP(G17,'Списки участников'!A:L,3,FALSE))</f>
        <v>#N/A</v>
      </c>
      <c r="I17" s="499">
        <v>77</v>
      </c>
      <c r="J17" s="514">
        <v>10</v>
      </c>
      <c r="K17" s="756">
        <v>11</v>
      </c>
      <c r="L17" s="760">
        <v>3</v>
      </c>
      <c r="M17" s="498">
        <f>LOOKUP(K17,'Юноши 3ф'!A:A,'Юноши 3ф'!B:B)</f>
        <v>0</v>
      </c>
      <c r="N17" s="718" t="e">
        <f>IF(M17="","",VLOOKUP(M17,'Списки участников'!A:L,3,FALSE))</f>
        <v>#N/A</v>
      </c>
      <c r="O17" s="498">
        <f>LOOKUP(L17,'Юноши 3ф'!A:A,'Юноши 3ф'!B:B)</f>
        <v>0</v>
      </c>
      <c r="P17" s="718" t="e">
        <f>IF(O17="","",VLOOKUP(O17,'Списки участников'!A:L,3,FALSE))</f>
        <v>#N/A</v>
      </c>
      <c r="Q17" s="766">
        <v>13</v>
      </c>
      <c r="R17" s="766">
        <v>97</v>
      </c>
    </row>
    <row r="18" spans="1:18" ht="17.25" x14ac:dyDescent="0.25">
      <c r="A18" s="499">
        <v>14</v>
      </c>
      <c r="B18" s="500">
        <v>2</v>
      </c>
      <c r="C18" s="755">
        <v>5</v>
      </c>
      <c r="D18" s="756">
        <v>10</v>
      </c>
      <c r="E18" s="497">
        <f>LOOKUP(C18,'Юноши 3ф'!A:A,'Юноши 3ф'!B:B)</f>
        <v>0</v>
      </c>
      <c r="F18" s="718" t="e">
        <f>IF(E18="","",VLOOKUP(E18,'Списки участников'!A:L,3,FALSE))</f>
        <v>#N/A</v>
      </c>
      <c r="G18" s="498">
        <f>LOOKUP(D18,'Юноши 3ф'!A:A,'Юноши 3ф'!B:B)</f>
        <v>0</v>
      </c>
      <c r="H18" s="718" t="e">
        <f>IF(G18="","",VLOOKUP(G18,'Списки участников'!A:L,3,FALSE))</f>
        <v>#N/A</v>
      </c>
      <c r="I18" s="499">
        <v>78</v>
      </c>
      <c r="J18" s="509">
        <v>10</v>
      </c>
      <c r="K18" s="762">
        <v>12</v>
      </c>
      <c r="L18" s="756">
        <v>2</v>
      </c>
      <c r="M18" s="498">
        <f>LOOKUP(K18,'Юноши 3ф'!A:A,'Юноши 3ф'!B:B)</f>
        <v>0</v>
      </c>
      <c r="N18" s="718" t="e">
        <f>IF(M18="","",VLOOKUP(M18,'Списки участников'!A:L,3,FALSE))</f>
        <v>#N/A</v>
      </c>
      <c r="O18" s="498">
        <f>LOOKUP(L18,'Юноши 3ф'!A:A,'Юноши 3ф'!B:B)</f>
        <v>0</v>
      </c>
      <c r="P18" s="718" t="e">
        <f>IF(O18="","",VLOOKUP(O18,'Списки участников'!A:L,3,FALSE))</f>
        <v>#N/A</v>
      </c>
      <c r="Q18" s="766">
        <v>14</v>
      </c>
      <c r="R18" s="766">
        <v>105</v>
      </c>
    </row>
    <row r="19" spans="1:18" ht="17.25" x14ac:dyDescent="0.25">
      <c r="A19" s="499">
        <v>15</v>
      </c>
      <c r="B19" s="500">
        <v>2</v>
      </c>
      <c r="C19" s="755">
        <v>6</v>
      </c>
      <c r="D19" s="756">
        <v>9</v>
      </c>
      <c r="E19" s="497">
        <f>LOOKUP(C19,'Юноши 3ф'!A:A,'Юноши 3ф'!B:B)</f>
        <v>0</v>
      </c>
      <c r="F19" s="718" t="e">
        <f>IF(E19="","",VLOOKUP(E19,'Списки участников'!A:L,3,FALSE))</f>
        <v>#N/A</v>
      </c>
      <c r="G19" s="498">
        <f>LOOKUP(D19,'Юноши 3ф'!A:A,'Юноши 3ф'!B:B)</f>
        <v>0</v>
      </c>
      <c r="H19" s="718" t="e">
        <f>IF(G19="","",VLOOKUP(G19,'Списки участников'!A:L,3,FALSE))</f>
        <v>#N/A</v>
      </c>
      <c r="I19" s="499">
        <v>79</v>
      </c>
      <c r="J19" s="509">
        <v>10</v>
      </c>
      <c r="K19" s="762">
        <v>13</v>
      </c>
      <c r="L19" s="756">
        <v>16</v>
      </c>
      <c r="M19" s="498">
        <f>LOOKUP(K19,'Юноши 3ф'!A:A,'Юноши 3ф'!B:B)</f>
        <v>0</v>
      </c>
      <c r="N19" s="718" t="e">
        <f>IF(M19="","",VLOOKUP(M19,'Списки участников'!A:L,3,FALSE))</f>
        <v>#N/A</v>
      </c>
      <c r="O19" s="498">
        <f>LOOKUP(L19,'Юноши 3ф'!A:A,'Юноши 3ф'!B:B)</f>
        <v>0</v>
      </c>
      <c r="P19" s="718" t="e">
        <f>IF(O19="","",VLOOKUP(O19,'Списки участников'!A:L,3,FALSE))</f>
        <v>#N/A</v>
      </c>
      <c r="Q19" s="766">
        <v>15</v>
      </c>
      <c r="R19" s="766">
        <v>113</v>
      </c>
    </row>
    <row r="20" spans="1:18" ht="18" thickBot="1" x14ac:dyDescent="0.3">
      <c r="A20" s="499">
        <v>16</v>
      </c>
      <c r="B20" s="505">
        <v>2</v>
      </c>
      <c r="C20" s="757">
        <v>7</v>
      </c>
      <c r="D20" s="758">
        <v>8</v>
      </c>
      <c r="E20" s="507">
        <f>LOOKUP(C20,'Юноши 3ф'!A:A,'Юноши 3ф'!B:B)</f>
        <v>0</v>
      </c>
      <c r="F20" s="747" t="e">
        <f>IF(E20="","",VLOOKUP(E20,'Списки участников'!A:L,3,FALSE))</f>
        <v>#N/A</v>
      </c>
      <c r="G20" s="748">
        <f>LOOKUP(D20,'Юноши 3ф'!A:A,'Юноши 3ф'!B:B)</f>
        <v>0</v>
      </c>
      <c r="H20" s="747" t="e">
        <f>IF(G20="","",VLOOKUP(G20,'Списки участников'!A:L,3,FALSE))</f>
        <v>#N/A</v>
      </c>
      <c r="I20" s="716">
        <v>80</v>
      </c>
      <c r="J20" s="513">
        <v>10</v>
      </c>
      <c r="K20" s="758">
        <v>14</v>
      </c>
      <c r="L20" s="763">
        <v>15</v>
      </c>
      <c r="M20" s="748">
        <f>LOOKUP(K20,'Юноши 3ф'!A:A,'Юноши 3ф'!B:B)</f>
        <v>0</v>
      </c>
      <c r="N20" s="747" t="e">
        <f>IF(M20="","",VLOOKUP(M20,'Списки участников'!A:L,3,FALSE))</f>
        <v>#N/A</v>
      </c>
      <c r="O20" s="748">
        <f>LOOKUP(L20,'Юноши 3ф'!A:A,'Юноши 3ф'!B:B)</f>
        <v>0</v>
      </c>
      <c r="P20" s="747" t="e">
        <f>IF(O20="","",VLOOKUP(O20,'Списки участников'!A:L,3,FALSE))</f>
        <v>#N/A</v>
      </c>
      <c r="Q20" s="766"/>
      <c r="R20" s="766"/>
    </row>
    <row r="21" spans="1:18" ht="17.25" x14ac:dyDescent="0.25">
      <c r="A21" s="499">
        <v>17</v>
      </c>
      <c r="B21" s="509">
        <v>3</v>
      </c>
      <c r="C21" s="759">
        <v>1</v>
      </c>
      <c r="D21" s="760">
        <v>14</v>
      </c>
      <c r="E21" s="498">
        <f>LOOKUP(C21,'Юноши 3ф'!A:A,'Юноши 3ф'!B:B)</f>
        <v>0</v>
      </c>
      <c r="F21" s="718" t="e">
        <f>IF(E21="","",VLOOKUP(E21,'Списки участников'!A:L,3,FALSE))</f>
        <v>#N/A</v>
      </c>
      <c r="G21" s="498">
        <f>LOOKUP(D21,'Юноши 3ф'!A:A,'Юноши 3ф'!B:B)</f>
        <v>0</v>
      </c>
      <c r="H21" s="718" t="e">
        <f>IF(G21="","",VLOOKUP(G21,'Списки участников'!A:L,3,FALSE))</f>
        <v>#N/A</v>
      </c>
      <c r="I21" s="717">
        <v>81</v>
      </c>
      <c r="J21" s="509">
        <v>11</v>
      </c>
      <c r="K21" s="760">
        <v>1</v>
      </c>
      <c r="L21" s="760">
        <v>6</v>
      </c>
      <c r="M21" s="498">
        <f>LOOKUP(K21,'Юноши 3ф'!A:A,'Юноши 3ф'!B:B)</f>
        <v>0</v>
      </c>
      <c r="N21" s="718" t="e">
        <f>IF(M21="","",VLOOKUP(M21,'Списки участников'!A:L,3,FALSE))</f>
        <v>#N/A</v>
      </c>
      <c r="O21" s="498">
        <f>LOOKUP(L21,'Юноши 3ф'!A:A,'Юноши 3ф'!B:B)</f>
        <v>0</v>
      </c>
      <c r="P21" s="718" t="e">
        <f>IF(O21="","",VLOOKUP(O21,'Списки участников'!A:L,3,FALSE))</f>
        <v>#N/A</v>
      </c>
    </row>
    <row r="22" spans="1:18" ht="17.25" x14ac:dyDescent="0.25">
      <c r="A22" s="499">
        <v>18</v>
      </c>
      <c r="B22" s="509">
        <v>3</v>
      </c>
      <c r="C22" s="755">
        <v>15</v>
      </c>
      <c r="D22" s="756">
        <v>13</v>
      </c>
      <c r="E22" s="497">
        <f>LOOKUP(C22,'Юноши 3ф'!A:A,'Юноши 3ф'!B:B)</f>
        <v>0</v>
      </c>
      <c r="F22" s="718" t="e">
        <f>IF(E22="","",VLOOKUP(E22,'Списки участников'!A:L,3,FALSE))</f>
        <v>#N/A</v>
      </c>
      <c r="G22" s="498">
        <f>LOOKUP(D22,'Юноши 3ф'!A:A,'Юноши 3ф'!B:B)</f>
        <v>0</v>
      </c>
      <c r="H22" s="718" t="e">
        <f>IF(G22="","",VLOOKUP(G22,'Списки участников'!A:L,3,FALSE))</f>
        <v>#N/A</v>
      </c>
      <c r="I22" s="499">
        <v>82</v>
      </c>
      <c r="J22" s="509">
        <v>11</v>
      </c>
      <c r="K22" s="756">
        <v>7</v>
      </c>
      <c r="L22" s="756">
        <v>5</v>
      </c>
      <c r="M22" s="498">
        <f>LOOKUP(K22,'Юноши 3ф'!A:A,'Юноши 3ф'!B:B)</f>
        <v>0</v>
      </c>
      <c r="N22" s="718" t="e">
        <f>IF(M22="","",VLOOKUP(M22,'Списки участников'!A:L,3,FALSE))</f>
        <v>#N/A</v>
      </c>
      <c r="O22" s="498">
        <f>LOOKUP(L22,'Юноши 3ф'!A:A,'Юноши 3ф'!B:B)</f>
        <v>0</v>
      </c>
      <c r="P22" s="718" t="e">
        <f>IF(O22="","",VLOOKUP(O22,'Списки участников'!A:L,3,FALSE))</f>
        <v>#N/A</v>
      </c>
    </row>
    <row r="23" spans="1:18" ht="17.25" x14ac:dyDescent="0.25">
      <c r="A23" s="499">
        <v>19</v>
      </c>
      <c r="B23" s="509">
        <v>3</v>
      </c>
      <c r="C23" s="755">
        <v>16</v>
      </c>
      <c r="D23" s="756">
        <v>12</v>
      </c>
      <c r="E23" s="497">
        <f>LOOKUP(C23,'Юноши 3ф'!A:A,'Юноши 3ф'!B:B)</f>
        <v>0</v>
      </c>
      <c r="F23" s="718" t="e">
        <f>IF(E23="","",VLOOKUP(E23,'Списки участников'!A:L,3,FALSE))</f>
        <v>#N/A</v>
      </c>
      <c r="G23" s="498">
        <f>LOOKUP(D23,'Юноши 3ф'!A:A,'Юноши 3ф'!B:B)</f>
        <v>0</v>
      </c>
      <c r="H23" s="718" t="e">
        <f>IF(G23="","",VLOOKUP(G23,'Списки участников'!A:L,3,FALSE))</f>
        <v>#N/A</v>
      </c>
      <c r="I23" s="499">
        <v>83</v>
      </c>
      <c r="J23" s="509">
        <v>11</v>
      </c>
      <c r="K23" s="756">
        <v>8</v>
      </c>
      <c r="L23" s="756">
        <v>4</v>
      </c>
      <c r="M23" s="498">
        <f>LOOKUP(K23,'Юноши 3ф'!A:A,'Юноши 3ф'!B:B)</f>
        <v>0</v>
      </c>
      <c r="N23" s="718" t="e">
        <f>IF(M23="","",VLOOKUP(M23,'Списки участников'!A:L,3,FALSE))</f>
        <v>#N/A</v>
      </c>
      <c r="O23" s="498">
        <f>LOOKUP(L23,'Юноши 3ф'!A:A,'Юноши 3ф'!B:B)</f>
        <v>0</v>
      </c>
      <c r="P23" s="718" t="e">
        <f>IF(O23="","",VLOOKUP(O23,'Списки участников'!A:L,3,FALSE))</f>
        <v>#N/A</v>
      </c>
    </row>
    <row r="24" spans="1:18" ht="17.25" x14ac:dyDescent="0.25">
      <c r="A24" s="499">
        <v>20</v>
      </c>
      <c r="B24" s="509">
        <v>3</v>
      </c>
      <c r="C24" s="755">
        <v>2</v>
      </c>
      <c r="D24" s="756">
        <v>11</v>
      </c>
      <c r="E24" s="497">
        <f>LOOKUP(C24,'Юноши 3ф'!A:A,'Юноши 3ф'!B:B)</f>
        <v>0</v>
      </c>
      <c r="F24" s="718" t="e">
        <f>IF(E24="","",VLOOKUP(E24,'Списки участников'!A:L,3,FALSE))</f>
        <v>#N/A</v>
      </c>
      <c r="G24" s="498">
        <f>LOOKUP(D24,'Юноши 3ф'!A:A,'Юноши 3ф'!B:B)</f>
        <v>0</v>
      </c>
      <c r="H24" s="718" t="e">
        <f>IF(G24="","",VLOOKUP(G24,'Списки участников'!A:L,3,FALSE))</f>
        <v>#N/A</v>
      </c>
      <c r="I24" s="499">
        <v>84</v>
      </c>
      <c r="J24" s="509">
        <v>11</v>
      </c>
      <c r="K24" s="756">
        <v>9</v>
      </c>
      <c r="L24" s="756">
        <v>3</v>
      </c>
      <c r="M24" s="498">
        <f>LOOKUP(K24,'Юноши 3ф'!A:A,'Юноши 3ф'!B:B)</f>
        <v>0</v>
      </c>
      <c r="N24" s="718" t="e">
        <f>IF(M24="","",VLOOKUP(M24,'Списки участников'!A:L,3,FALSE))</f>
        <v>#N/A</v>
      </c>
      <c r="O24" s="498">
        <f>LOOKUP(L24,'Юноши 3ф'!A:A,'Юноши 3ф'!B:B)</f>
        <v>0</v>
      </c>
      <c r="P24" s="718" t="e">
        <f>IF(O24="","",VLOOKUP(O24,'Списки участников'!A:L,3,FALSE))</f>
        <v>#N/A</v>
      </c>
    </row>
    <row r="25" spans="1:18" ht="17.25" x14ac:dyDescent="0.25">
      <c r="A25" s="499">
        <v>21</v>
      </c>
      <c r="B25" s="502">
        <v>3</v>
      </c>
      <c r="C25" s="755">
        <v>3</v>
      </c>
      <c r="D25" s="756">
        <v>10</v>
      </c>
      <c r="E25" s="497">
        <f>LOOKUP(C25,'Юноши 3ф'!A:A,'Юноши 3ф'!B:B)</f>
        <v>0</v>
      </c>
      <c r="F25" s="718" t="e">
        <f>IF(E25="","",VLOOKUP(E25,'Списки участников'!A:L,3,FALSE))</f>
        <v>#N/A</v>
      </c>
      <c r="G25" s="498">
        <f>LOOKUP(D25,'Юноши 3ф'!A:A,'Юноши 3ф'!B:B)</f>
        <v>0</v>
      </c>
      <c r="H25" s="718" t="e">
        <f>IF(G25="","",VLOOKUP(G25,'Списки участников'!A:L,3,FALSE))</f>
        <v>#N/A</v>
      </c>
      <c r="I25" s="499">
        <v>85</v>
      </c>
      <c r="J25" s="509">
        <v>11</v>
      </c>
      <c r="K25" s="756">
        <v>10</v>
      </c>
      <c r="L25" s="756">
        <v>2</v>
      </c>
      <c r="M25" s="498">
        <f>LOOKUP(K25,'Юноши 3ф'!A:A,'Юноши 3ф'!B:B)</f>
        <v>0</v>
      </c>
      <c r="N25" s="718" t="e">
        <f>IF(M25="","",VLOOKUP(M25,'Списки участников'!A:L,3,FALSE))</f>
        <v>#N/A</v>
      </c>
      <c r="O25" s="498">
        <f>LOOKUP(L25,'Юноши 3ф'!A:A,'Юноши 3ф'!B:B)</f>
        <v>0</v>
      </c>
      <c r="P25" s="718" t="e">
        <f>IF(O25="","",VLOOKUP(O25,'Списки участников'!A:L,3,FALSE))</f>
        <v>#N/A</v>
      </c>
    </row>
    <row r="26" spans="1:18" ht="17.25" x14ac:dyDescent="0.25">
      <c r="A26" s="499">
        <v>22</v>
      </c>
      <c r="B26" s="509">
        <v>3</v>
      </c>
      <c r="C26" s="755">
        <v>4</v>
      </c>
      <c r="D26" s="756">
        <v>9</v>
      </c>
      <c r="E26" s="497">
        <f>LOOKUP(C26,'Юноши 3ф'!A:A,'Юноши 3ф'!B:B)</f>
        <v>0</v>
      </c>
      <c r="F26" s="718" t="e">
        <f>IF(E26="","",VLOOKUP(E26,'Списки участников'!A:L,3,FALSE))</f>
        <v>#N/A</v>
      </c>
      <c r="G26" s="498">
        <f>LOOKUP(D26,'Юноши 3ф'!A:A,'Юноши 3ф'!B:B)</f>
        <v>0</v>
      </c>
      <c r="H26" s="718" t="e">
        <f>IF(G26="","",VLOOKUP(G26,'Списки участников'!A:L,3,FALSE))</f>
        <v>#N/A</v>
      </c>
      <c r="I26" s="499">
        <v>86</v>
      </c>
      <c r="J26" s="509">
        <v>11</v>
      </c>
      <c r="K26" s="762">
        <v>11</v>
      </c>
      <c r="L26" s="762">
        <v>16</v>
      </c>
      <c r="M26" s="498">
        <f>LOOKUP(K26,'Юноши 3ф'!A:A,'Юноши 3ф'!B:B)</f>
        <v>0</v>
      </c>
      <c r="N26" s="718" t="e">
        <f>IF(M26="","",VLOOKUP(M26,'Списки участников'!A:L,3,FALSE))</f>
        <v>#N/A</v>
      </c>
      <c r="O26" s="498">
        <f>LOOKUP(L26,'Юноши 3ф'!A:A,'Юноши 3ф'!B:B)</f>
        <v>0</v>
      </c>
      <c r="P26" s="718" t="e">
        <f>IF(O26="","",VLOOKUP(O26,'Списки участников'!A:L,3,FALSE))</f>
        <v>#N/A</v>
      </c>
    </row>
    <row r="27" spans="1:18" ht="17.25" x14ac:dyDescent="0.25">
      <c r="A27" s="499">
        <v>23</v>
      </c>
      <c r="B27" s="509">
        <v>3</v>
      </c>
      <c r="C27" s="755">
        <v>5</v>
      </c>
      <c r="D27" s="756">
        <v>8</v>
      </c>
      <c r="E27" s="497">
        <f>LOOKUP(C27,'Юноши 3ф'!A:A,'Юноши 3ф'!B:B)</f>
        <v>0</v>
      </c>
      <c r="F27" s="718" t="e">
        <f>IF(E27="","",VLOOKUP(E27,'Списки участников'!A:L,3,FALSE))</f>
        <v>#N/A</v>
      </c>
      <c r="G27" s="498">
        <f>LOOKUP(D27,'Юноши 3ф'!A:A,'Юноши 3ф'!B:B)</f>
        <v>0</v>
      </c>
      <c r="H27" s="718" t="e">
        <f>IF(G27="","",VLOOKUP(G27,'Списки участников'!A:L,3,FALSE))</f>
        <v>#N/A</v>
      </c>
      <c r="I27" s="499">
        <v>87</v>
      </c>
      <c r="J27" s="509">
        <v>11</v>
      </c>
      <c r="K27" s="762">
        <v>12</v>
      </c>
      <c r="L27" s="762">
        <v>15</v>
      </c>
      <c r="M27" s="498">
        <f>LOOKUP(K27,'Юноши 3ф'!A:A,'Юноши 3ф'!B:B)</f>
        <v>0</v>
      </c>
      <c r="N27" s="718" t="e">
        <f>IF(M27="","",VLOOKUP(M27,'Списки участников'!A:L,3,FALSE))</f>
        <v>#N/A</v>
      </c>
      <c r="O27" s="498">
        <f>LOOKUP(L27,'Юноши 3ф'!A:A,'Юноши 3ф'!B:B)</f>
        <v>0</v>
      </c>
      <c r="P27" s="718" t="e">
        <f>IF(O27="","",VLOOKUP(O27,'Списки участников'!A:L,3,FALSE))</f>
        <v>#N/A</v>
      </c>
    </row>
    <row r="28" spans="1:18" ht="18" thickBot="1" x14ac:dyDescent="0.3">
      <c r="A28" s="499">
        <v>24</v>
      </c>
      <c r="B28" s="513">
        <v>3</v>
      </c>
      <c r="C28" s="757">
        <v>6</v>
      </c>
      <c r="D28" s="758">
        <v>7</v>
      </c>
      <c r="E28" s="507">
        <f>LOOKUP(C28,'Юноши 3ф'!A:A,'Юноши 3ф'!B:B)</f>
        <v>0</v>
      </c>
      <c r="F28" s="747" t="e">
        <f>IF(E28="","",VLOOKUP(E28,'Списки участников'!A:L,3,FALSE))</f>
        <v>#N/A</v>
      </c>
      <c r="G28" s="748">
        <f>LOOKUP(D28,'Юноши 3ф'!A:A,'Юноши 3ф'!B:B)</f>
        <v>0</v>
      </c>
      <c r="H28" s="747" t="e">
        <f>IF(G28="","",VLOOKUP(G28,'Списки участников'!A:L,3,FALSE))</f>
        <v>#N/A</v>
      </c>
      <c r="I28" s="716">
        <v>88</v>
      </c>
      <c r="J28" s="513">
        <v>11</v>
      </c>
      <c r="K28" s="758">
        <v>13</v>
      </c>
      <c r="L28" s="758">
        <v>14</v>
      </c>
      <c r="M28" s="748">
        <f>LOOKUP(K28,'Юноши 3ф'!A:A,'Юноши 3ф'!B:B)</f>
        <v>0</v>
      </c>
      <c r="N28" s="747" t="e">
        <f>IF(M28="","",VLOOKUP(M28,'Списки участников'!A:L,3,FALSE))</f>
        <v>#N/A</v>
      </c>
      <c r="O28" s="748">
        <f>LOOKUP(L28,'Юноши 3ф'!A:A,'Юноши 3ф'!B:B)</f>
        <v>0</v>
      </c>
      <c r="P28" s="747" t="e">
        <f>IF(O28="","",VLOOKUP(O28,'Списки участников'!A:L,3,FALSE))</f>
        <v>#N/A</v>
      </c>
    </row>
    <row r="29" spans="1:18" ht="17.25" x14ac:dyDescent="0.25">
      <c r="A29" s="499">
        <v>25</v>
      </c>
      <c r="B29" s="750">
        <v>4</v>
      </c>
      <c r="C29" s="759">
        <v>13</v>
      </c>
      <c r="D29" s="760">
        <v>1</v>
      </c>
      <c r="E29" s="498">
        <f>LOOKUP(C29,'Юноши 3ф'!A:A,'Юноши 3ф'!B:B)</f>
        <v>0</v>
      </c>
      <c r="F29" s="718" t="e">
        <f>IF(E29="","",VLOOKUP(E29,'Списки участников'!A:L,3,FALSE))</f>
        <v>#N/A</v>
      </c>
      <c r="G29" s="498">
        <f>LOOKUP(D29,'Юноши 3ф'!A:A,'Юноши 3ф'!B:B)</f>
        <v>0</v>
      </c>
      <c r="H29" s="718" t="e">
        <f>IF(G29="","",VLOOKUP(G29,'Списки участников'!A:L,3,FALSE))</f>
        <v>#N/A</v>
      </c>
      <c r="I29" s="717">
        <v>89</v>
      </c>
      <c r="J29" s="509">
        <v>12</v>
      </c>
      <c r="K29" s="760">
        <v>5</v>
      </c>
      <c r="L29" s="760">
        <v>1</v>
      </c>
      <c r="M29" s="498">
        <f>LOOKUP(K29,'Юноши 3ф'!A:A,'Юноши 3ф'!B:B)</f>
        <v>0</v>
      </c>
      <c r="N29" s="718" t="e">
        <f>IF(M29="","",VLOOKUP(M29,'Списки участников'!A:L,3,FALSE))</f>
        <v>#N/A</v>
      </c>
      <c r="O29" s="498">
        <f>LOOKUP(L29,'Юноши 3ф'!A:A,'Юноши 3ф'!B:B)</f>
        <v>0</v>
      </c>
      <c r="P29" s="718" t="e">
        <f>IF(O29="","",VLOOKUP(O29,'Списки участников'!A:L,3,FALSE))</f>
        <v>#N/A</v>
      </c>
    </row>
    <row r="30" spans="1:18" ht="17.25" x14ac:dyDescent="0.25">
      <c r="A30" s="499">
        <v>26</v>
      </c>
      <c r="B30" s="750">
        <v>4</v>
      </c>
      <c r="C30" s="755">
        <v>14</v>
      </c>
      <c r="D30" s="756">
        <v>12</v>
      </c>
      <c r="E30" s="497">
        <f>LOOKUP(C30,'Юноши 3ф'!A:A,'Юноши 3ф'!B:B)</f>
        <v>0</v>
      </c>
      <c r="F30" s="718" t="e">
        <f>IF(E30="","",VLOOKUP(E30,'Списки участников'!A:L,3,FALSE))</f>
        <v>#N/A</v>
      </c>
      <c r="G30" s="498">
        <f>LOOKUP(D30,'Юноши 3ф'!A:A,'Юноши 3ф'!B:B)</f>
        <v>0</v>
      </c>
      <c r="H30" s="718" t="e">
        <f>IF(G30="","",VLOOKUP(G30,'Списки участников'!A:L,3,FALSE))</f>
        <v>#N/A</v>
      </c>
      <c r="I30" s="499">
        <v>90</v>
      </c>
      <c r="J30" s="509">
        <v>12</v>
      </c>
      <c r="K30" s="756">
        <v>6</v>
      </c>
      <c r="L30" s="760">
        <v>4</v>
      </c>
      <c r="M30" s="498">
        <f>LOOKUP(K30,'Юноши 3ф'!A:A,'Юноши 3ф'!B:B)</f>
        <v>0</v>
      </c>
      <c r="N30" s="718" t="e">
        <f>IF(M30="","",VLOOKUP(M30,'Списки участников'!A:L,3,FALSE))</f>
        <v>#N/A</v>
      </c>
      <c r="O30" s="498">
        <f>LOOKUP(L30,'Юноши 3ф'!A:A,'Юноши 3ф'!B:B)</f>
        <v>0</v>
      </c>
      <c r="P30" s="718" t="e">
        <f>IF(O30="","",VLOOKUP(O30,'Списки участников'!A:L,3,FALSE))</f>
        <v>#N/A</v>
      </c>
    </row>
    <row r="31" spans="1:18" ht="17.25" x14ac:dyDescent="0.25">
      <c r="A31" s="499">
        <v>27</v>
      </c>
      <c r="B31" s="750">
        <v>4</v>
      </c>
      <c r="C31" s="755">
        <v>15</v>
      </c>
      <c r="D31" s="756">
        <v>11</v>
      </c>
      <c r="E31" s="497">
        <f>LOOKUP(C31,'Юноши 3ф'!A:A,'Юноши 3ф'!B:B)</f>
        <v>0</v>
      </c>
      <c r="F31" s="718" t="e">
        <f>IF(E31="","",VLOOKUP(E31,'Списки участников'!A:L,3,FALSE))</f>
        <v>#N/A</v>
      </c>
      <c r="G31" s="498">
        <f>LOOKUP(D31,'Юноши 3ф'!A:A,'Юноши 3ф'!B:B)</f>
        <v>0</v>
      </c>
      <c r="H31" s="718" t="e">
        <f>IF(G31="","",VLOOKUP(G31,'Списки участников'!A:L,3,FALSE))</f>
        <v>#N/A</v>
      </c>
      <c r="I31" s="499">
        <v>91</v>
      </c>
      <c r="J31" s="509">
        <v>12</v>
      </c>
      <c r="K31" s="756">
        <v>7</v>
      </c>
      <c r="L31" s="760">
        <v>3</v>
      </c>
      <c r="M31" s="498">
        <f>LOOKUP(K31,'Юноши 3ф'!A:A,'Юноши 3ф'!B:B)</f>
        <v>0</v>
      </c>
      <c r="N31" s="718" t="e">
        <f>IF(M31="","",VLOOKUP(M31,'Списки участников'!A:L,3,FALSE))</f>
        <v>#N/A</v>
      </c>
      <c r="O31" s="498">
        <f>LOOKUP(L31,'Юноши 3ф'!A:A,'Юноши 3ф'!B:B)</f>
        <v>0</v>
      </c>
      <c r="P31" s="718" t="e">
        <f>IF(O31="","",VLOOKUP(O31,'Списки участников'!A:L,3,FALSE))</f>
        <v>#N/A</v>
      </c>
    </row>
    <row r="32" spans="1:18" ht="17.25" x14ac:dyDescent="0.25">
      <c r="A32" s="499">
        <v>28</v>
      </c>
      <c r="B32" s="750">
        <v>4</v>
      </c>
      <c r="C32" s="755">
        <v>16</v>
      </c>
      <c r="D32" s="756">
        <v>10</v>
      </c>
      <c r="E32" s="497">
        <f>LOOKUP(C32,'Юноши 3ф'!A:A,'Юноши 3ф'!B:B)</f>
        <v>0</v>
      </c>
      <c r="F32" s="718" t="e">
        <f>IF(E32="","",VLOOKUP(E32,'Списки участников'!A:L,3,FALSE))</f>
        <v>#N/A</v>
      </c>
      <c r="G32" s="498">
        <f>LOOKUP(D32,'Юноши 3ф'!A:A,'Юноши 3ф'!B:B)</f>
        <v>0</v>
      </c>
      <c r="H32" s="718" t="e">
        <f>IF(G32="","",VLOOKUP(G32,'Списки участников'!A:L,3,FALSE))</f>
        <v>#N/A</v>
      </c>
      <c r="I32" s="499">
        <v>92</v>
      </c>
      <c r="J32" s="509">
        <v>12</v>
      </c>
      <c r="K32" s="756">
        <v>8</v>
      </c>
      <c r="L32" s="760">
        <v>2</v>
      </c>
      <c r="M32" s="498">
        <f>LOOKUP(K32,'Юноши 3ф'!A:A,'Юноши 3ф'!B:B)</f>
        <v>0</v>
      </c>
      <c r="N32" s="718" t="e">
        <f>IF(M32="","",VLOOKUP(M32,'Списки участников'!A:L,3,FALSE))</f>
        <v>#N/A</v>
      </c>
      <c r="O32" s="498">
        <f>LOOKUP(L32,'Юноши 3ф'!A:A,'Юноши 3ф'!B:B)</f>
        <v>0</v>
      </c>
      <c r="P32" s="718" t="e">
        <f>IF(O32="","",VLOOKUP(O32,'Списки участников'!A:L,3,FALSE))</f>
        <v>#N/A</v>
      </c>
    </row>
    <row r="33" spans="1:16" ht="17.25" x14ac:dyDescent="0.25">
      <c r="A33" s="499">
        <v>29</v>
      </c>
      <c r="B33" s="751">
        <v>4</v>
      </c>
      <c r="C33" s="755">
        <v>2</v>
      </c>
      <c r="D33" s="756">
        <v>9</v>
      </c>
      <c r="E33" s="497">
        <f>LOOKUP(C33,'Юноши 3ф'!A:A,'Юноши 3ф'!B:B)</f>
        <v>0</v>
      </c>
      <c r="F33" s="718" t="e">
        <f>IF(E33="","",VLOOKUP(E33,'Списки участников'!A:L,3,FALSE))</f>
        <v>#N/A</v>
      </c>
      <c r="G33" s="498">
        <f>LOOKUP(D33,'Юноши 3ф'!A:A,'Юноши 3ф'!B:B)</f>
        <v>0</v>
      </c>
      <c r="H33" s="718" t="e">
        <f>IF(G33="","",VLOOKUP(G33,'Списки участников'!A:L,3,FALSE))</f>
        <v>#N/A</v>
      </c>
      <c r="I33" s="499">
        <v>93</v>
      </c>
      <c r="J33" s="514">
        <v>12</v>
      </c>
      <c r="K33" s="756">
        <v>9</v>
      </c>
      <c r="L33" s="760">
        <v>16</v>
      </c>
      <c r="M33" s="498">
        <f>LOOKUP(K33,'Юноши 3ф'!A:A,'Юноши 3ф'!B:B)</f>
        <v>0</v>
      </c>
      <c r="N33" s="718" t="e">
        <f>IF(M33="","",VLOOKUP(M33,'Списки участников'!A:L,3,FALSE))</f>
        <v>#N/A</v>
      </c>
      <c r="O33" s="498">
        <f>LOOKUP(L33,'Юноши 3ф'!A:A,'Юноши 3ф'!B:B)</f>
        <v>0</v>
      </c>
      <c r="P33" s="718" t="e">
        <f>IF(O33="","",VLOOKUP(O33,'Списки участников'!A:L,3,FALSE))</f>
        <v>#N/A</v>
      </c>
    </row>
    <row r="34" spans="1:16" ht="17.25" x14ac:dyDescent="0.25">
      <c r="A34" s="499">
        <v>30</v>
      </c>
      <c r="B34" s="750">
        <v>4</v>
      </c>
      <c r="C34" s="755">
        <v>3</v>
      </c>
      <c r="D34" s="756">
        <v>8</v>
      </c>
      <c r="E34" s="497">
        <f>LOOKUP(C34,'Юноши 3ф'!A:A,'Юноши 3ф'!B:B)</f>
        <v>0</v>
      </c>
      <c r="F34" s="718" t="e">
        <f>IF(E34="","",VLOOKUP(E34,'Списки участников'!A:L,3,FALSE))</f>
        <v>#N/A</v>
      </c>
      <c r="G34" s="498">
        <f>LOOKUP(D34,'Юноши 3ф'!A:A,'Юноши 3ф'!B:B)</f>
        <v>0</v>
      </c>
      <c r="H34" s="718" t="e">
        <f>IF(G34="","",VLOOKUP(G34,'Списки участников'!A:L,3,FALSE))</f>
        <v>#N/A</v>
      </c>
      <c r="I34" s="499">
        <v>94</v>
      </c>
      <c r="J34" s="509">
        <v>12</v>
      </c>
      <c r="K34" s="762">
        <v>10</v>
      </c>
      <c r="L34" s="756">
        <v>15</v>
      </c>
      <c r="M34" s="498">
        <f>LOOKUP(K34,'Юноши 3ф'!A:A,'Юноши 3ф'!B:B)</f>
        <v>0</v>
      </c>
      <c r="N34" s="718" t="e">
        <f>IF(M34="","",VLOOKUP(M34,'Списки участников'!A:L,3,FALSE))</f>
        <v>#N/A</v>
      </c>
      <c r="O34" s="498">
        <f>LOOKUP(L34,'Юноши 3ф'!A:A,'Юноши 3ф'!B:B)</f>
        <v>0</v>
      </c>
      <c r="P34" s="718" t="e">
        <f>IF(O34="","",VLOOKUP(O34,'Списки участников'!A:L,3,FALSE))</f>
        <v>#N/A</v>
      </c>
    </row>
    <row r="35" spans="1:16" ht="17.25" x14ac:dyDescent="0.25">
      <c r="A35" s="499">
        <v>31</v>
      </c>
      <c r="B35" s="750">
        <v>4</v>
      </c>
      <c r="C35" s="755">
        <v>4</v>
      </c>
      <c r="D35" s="756">
        <v>7</v>
      </c>
      <c r="E35" s="497">
        <f>LOOKUP(C35,'Юноши 3ф'!A:A,'Юноши 3ф'!B:B)</f>
        <v>0</v>
      </c>
      <c r="F35" s="718" t="e">
        <f>IF(E35="","",VLOOKUP(E35,'Списки участников'!A:L,3,FALSE))</f>
        <v>#N/A</v>
      </c>
      <c r="G35" s="498">
        <f>LOOKUP(D35,'Юноши 3ф'!A:A,'Юноши 3ф'!B:B)</f>
        <v>0</v>
      </c>
      <c r="H35" s="718" t="e">
        <f>IF(G35="","",VLOOKUP(G35,'Списки участников'!A:L,3,FALSE))</f>
        <v>#N/A</v>
      </c>
      <c r="I35" s="499">
        <v>95</v>
      </c>
      <c r="J35" s="509">
        <v>12</v>
      </c>
      <c r="K35" s="762">
        <v>11</v>
      </c>
      <c r="L35" s="756">
        <v>14</v>
      </c>
      <c r="M35" s="498">
        <f>LOOKUP(K35,'Юноши 3ф'!A:A,'Юноши 3ф'!B:B)</f>
        <v>0</v>
      </c>
      <c r="N35" s="718" t="e">
        <f>IF(M35="","",VLOOKUP(M35,'Списки участников'!A:L,3,FALSE))</f>
        <v>#N/A</v>
      </c>
      <c r="O35" s="498">
        <f>LOOKUP(L35,'Юноши 3ф'!A:A,'Юноши 3ф'!B:B)</f>
        <v>0</v>
      </c>
      <c r="P35" s="718" t="e">
        <f>IF(O35="","",VLOOKUP(O35,'Списки участников'!A:L,3,FALSE))</f>
        <v>#N/A</v>
      </c>
    </row>
    <row r="36" spans="1:16" ht="18" thickBot="1" x14ac:dyDescent="0.3">
      <c r="A36" s="499">
        <v>32</v>
      </c>
      <c r="B36" s="753">
        <v>4</v>
      </c>
      <c r="C36" s="757">
        <v>5</v>
      </c>
      <c r="D36" s="758">
        <v>6</v>
      </c>
      <c r="E36" s="507">
        <f>LOOKUP(C36,'Юноши 3ф'!A:A,'Юноши 3ф'!B:B)</f>
        <v>0</v>
      </c>
      <c r="F36" s="747" t="e">
        <f>IF(E36="","",VLOOKUP(E36,'Списки участников'!A:L,3,FALSE))</f>
        <v>#N/A</v>
      </c>
      <c r="G36" s="748">
        <f>LOOKUP(D36,'Юноши 3ф'!A:A,'Юноши 3ф'!B:B)</f>
        <v>0</v>
      </c>
      <c r="H36" s="747" t="e">
        <f>IF(G36="","",VLOOKUP(G36,'Списки участников'!A:L,3,FALSE))</f>
        <v>#N/A</v>
      </c>
      <c r="I36" s="716">
        <v>96</v>
      </c>
      <c r="J36" s="513">
        <v>12</v>
      </c>
      <c r="K36" s="758">
        <v>12</v>
      </c>
      <c r="L36" s="763">
        <v>13</v>
      </c>
      <c r="M36" s="748">
        <f>LOOKUP(K36,'Юноши 3ф'!A:A,'Юноши 3ф'!B:B)</f>
        <v>0</v>
      </c>
      <c r="N36" s="747" t="e">
        <f>IF(M36="","",VLOOKUP(M36,'Списки участников'!A:L,3,FALSE))</f>
        <v>#N/A</v>
      </c>
      <c r="O36" s="748">
        <f>LOOKUP(L36,'Юноши 3ф'!A:A,'Юноши 3ф'!B:B)</f>
        <v>0</v>
      </c>
      <c r="P36" s="747" t="e">
        <f>IF(O36="","",VLOOKUP(O36,'Списки участников'!A:L,3,FALSE))</f>
        <v>#N/A</v>
      </c>
    </row>
    <row r="37" spans="1:16" ht="17.25" x14ac:dyDescent="0.25">
      <c r="A37" s="499">
        <v>33</v>
      </c>
      <c r="B37" s="754">
        <v>5</v>
      </c>
      <c r="C37" s="759">
        <v>1</v>
      </c>
      <c r="D37" s="760">
        <v>12</v>
      </c>
      <c r="E37" s="498">
        <f>LOOKUP(C37,'Юноши 3ф'!A:A,'Юноши 3ф'!B:B)</f>
        <v>0</v>
      </c>
      <c r="F37" s="718" t="e">
        <f>IF(E37="","",VLOOKUP(E37,'Списки участников'!A:L,3,FALSE))</f>
        <v>#N/A</v>
      </c>
      <c r="G37" s="498">
        <f>LOOKUP(D37,'Юноши 3ф'!A:A,'Юноши 3ф'!B:B)</f>
        <v>0</v>
      </c>
      <c r="H37" s="718" t="e">
        <f>IF(G37="","",VLOOKUP(G37,'Списки участников'!A:L,3,FALSE))</f>
        <v>#N/A</v>
      </c>
      <c r="I37" s="717">
        <v>97</v>
      </c>
      <c r="J37" s="510">
        <v>13</v>
      </c>
      <c r="K37" s="760">
        <v>1</v>
      </c>
      <c r="L37" s="760">
        <v>4</v>
      </c>
      <c r="M37" s="498">
        <f>LOOKUP(K37,'Юноши 3ф'!A:A,'Юноши 3ф'!B:B)</f>
        <v>0</v>
      </c>
      <c r="N37" s="718" t="e">
        <f>IF(M37="","",VLOOKUP(M37,'Списки участников'!A:L,3,FALSE))</f>
        <v>#N/A</v>
      </c>
      <c r="O37" s="498">
        <f>LOOKUP(L37,'Юноши 3ф'!A:A,'Юноши 3ф'!B:B)</f>
        <v>0</v>
      </c>
      <c r="P37" s="718" t="e">
        <f>IF(O37="","",VLOOKUP(O37,'Списки участников'!A:L,3,FALSE))</f>
        <v>#N/A</v>
      </c>
    </row>
    <row r="38" spans="1:16" ht="17.25" x14ac:dyDescent="0.25">
      <c r="A38" s="499">
        <v>34</v>
      </c>
      <c r="B38" s="750">
        <v>5</v>
      </c>
      <c r="C38" s="755">
        <v>13</v>
      </c>
      <c r="D38" s="760">
        <v>11</v>
      </c>
      <c r="E38" s="497">
        <f>LOOKUP(C38,'Юноши 3ф'!A:A,'Юноши 3ф'!B:B)</f>
        <v>0</v>
      </c>
      <c r="F38" s="718" t="e">
        <f>IF(E38="","",VLOOKUP(E38,'Списки участников'!A:L,3,FALSE))</f>
        <v>#N/A</v>
      </c>
      <c r="G38" s="498">
        <f>LOOKUP(D38,'Юноши 3ф'!A:A,'Юноши 3ф'!B:B)</f>
        <v>0</v>
      </c>
      <c r="H38" s="718" t="e">
        <f>IF(G38="","",VLOOKUP(G38,'Списки участников'!A:L,3,FALSE))</f>
        <v>#N/A</v>
      </c>
      <c r="I38" s="717">
        <v>98</v>
      </c>
      <c r="J38" s="510">
        <v>13</v>
      </c>
      <c r="K38" s="760">
        <v>5</v>
      </c>
      <c r="L38" s="760">
        <v>3</v>
      </c>
      <c r="M38" s="498">
        <f>LOOKUP(K38,'Юноши 3ф'!A:A,'Юноши 3ф'!B:B)</f>
        <v>0</v>
      </c>
      <c r="N38" s="718" t="e">
        <f>IF(M38="","",VLOOKUP(M38,'Списки участников'!A:L,3,FALSE))</f>
        <v>#N/A</v>
      </c>
      <c r="O38" s="498">
        <f>LOOKUP(L38,'Юноши 3ф'!A:A,'Юноши 3ф'!B:B)</f>
        <v>0</v>
      </c>
      <c r="P38" s="718" t="e">
        <f>IF(O38="","",VLOOKUP(O38,'Списки участников'!A:L,3,FALSE))</f>
        <v>#N/A</v>
      </c>
    </row>
    <row r="39" spans="1:16" ht="17.25" x14ac:dyDescent="0.25">
      <c r="A39" s="499">
        <v>35</v>
      </c>
      <c r="B39" s="752">
        <v>5</v>
      </c>
      <c r="C39" s="759">
        <v>14</v>
      </c>
      <c r="D39" s="760">
        <v>10</v>
      </c>
      <c r="E39" s="497">
        <f>LOOKUP(C39,'Юноши 3ф'!A:A,'Юноши 3ф'!B:B)</f>
        <v>0</v>
      </c>
      <c r="F39" s="718" t="e">
        <f>IF(E39="","",VLOOKUP(E39,'Списки участников'!A:L,3,FALSE))</f>
        <v>#N/A</v>
      </c>
      <c r="G39" s="498">
        <f>LOOKUP(D39,'Юноши 3ф'!A:A,'Юноши 3ф'!B:B)</f>
        <v>0</v>
      </c>
      <c r="H39" s="718" t="e">
        <f>IF(G39="","",VLOOKUP(G39,'Списки участников'!A:L,3,FALSE))</f>
        <v>#N/A</v>
      </c>
      <c r="I39" s="717">
        <v>99</v>
      </c>
      <c r="J39" s="509">
        <v>13</v>
      </c>
      <c r="K39" s="760">
        <v>6</v>
      </c>
      <c r="L39" s="760">
        <v>2</v>
      </c>
      <c r="M39" s="498">
        <f>LOOKUP(K39,'Юноши 3ф'!A:A,'Юноши 3ф'!B:B)</f>
        <v>0</v>
      </c>
      <c r="N39" s="718" t="e">
        <f>IF(M39="","",VLOOKUP(M39,'Списки участников'!A:L,3,FALSE))</f>
        <v>#N/A</v>
      </c>
      <c r="O39" s="498">
        <f>LOOKUP(L39,'Юноши 3ф'!A:A,'Юноши 3ф'!B:B)</f>
        <v>0</v>
      </c>
      <c r="P39" s="718" t="e">
        <f>IF(O39="","",VLOOKUP(O39,'Списки участников'!A:L,3,FALSE))</f>
        <v>#N/A</v>
      </c>
    </row>
    <row r="40" spans="1:16" ht="17.25" x14ac:dyDescent="0.25">
      <c r="A40" s="499">
        <v>36</v>
      </c>
      <c r="B40" s="509">
        <v>5</v>
      </c>
      <c r="C40" s="755">
        <v>15</v>
      </c>
      <c r="D40" s="756">
        <v>9</v>
      </c>
      <c r="E40" s="497">
        <f>LOOKUP(C40,'Юноши 3ф'!A:A,'Юноши 3ф'!B:B)</f>
        <v>0</v>
      </c>
      <c r="F40" s="718" t="e">
        <f>IF(E40="","",VLOOKUP(E40,'Списки участников'!A:L,3,FALSE))</f>
        <v>#N/A</v>
      </c>
      <c r="G40" s="498">
        <f>LOOKUP(D40,'Юноши 3ф'!A:A,'Юноши 3ф'!B:B)</f>
        <v>0</v>
      </c>
      <c r="H40" s="718" t="e">
        <f>IF(G40="","",VLOOKUP(G40,'Списки участников'!A:L,3,FALSE))</f>
        <v>#N/A</v>
      </c>
      <c r="I40" s="499">
        <v>100</v>
      </c>
      <c r="J40" s="509">
        <v>13</v>
      </c>
      <c r="K40" s="756">
        <v>7</v>
      </c>
      <c r="L40" s="756">
        <v>16</v>
      </c>
      <c r="M40" s="498">
        <f>LOOKUP(K40,'Юноши 3ф'!A:A,'Юноши 3ф'!B:B)</f>
        <v>0</v>
      </c>
      <c r="N40" s="718" t="e">
        <f>IF(M40="","",VLOOKUP(M40,'Списки участников'!A:L,3,FALSE))</f>
        <v>#N/A</v>
      </c>
      <c r="O40" s="498">
        <f>LOOKUP(L40,'Юноши 3ф'!A:A,'Юноши 3ф'!B:B)</f>
        <v>0</v>
      </c>
      <c r="P40" s="718" t="e">
        <f>IF(O40="","",VLOOKUP(O40,'Списки участников'!A:L,3,FALSE))</f>
        <v>#N/A</v>
      </c>
    </row>
    <row r="41" spans="1:16" ht="17.25" x14ac:dyDescent="0.25">
      <c r="A41" s="499">
        <v>37</v>
      </c>
      <c r="B41" s="502">
        <v>5</v>
      </c>
      <c r="C41" s="755">
        <v>16</v>
      </c>
      <c r="D41" s="756">
        <v>8</v>
      </c>
      <c r="E41" s="497">
        <f>LOOKUP(C41,'Юноши 3ф'!A:A,'Юноши 3ф'!B:B)</f>
        <v>0</v>
      </c>
      <c r="F41" s="718" t="e">
        <f>IF(E41="","",VLOOKUP(E41,'Списки участников'!A:L,3,FALSE))</f>
        <v>#N/A</v>
      </c>
      <c r="G41" s="498">
        <f>LOOKUP(D41,'Юноши 3ф'!A:A,'Юноши 3ф'!B:B)</f>
        <v>0</v>
      </c>
      <c r="H41" s="718" t="e">
        <f>IF(G41="","",VLOOKUP(G41,'Списки участников'!A:L,3,FALSE))</f>
        <v>#N/A</v>
      </c>
      <c r="I41" s="499">
        <v>101</v>
      </c>
      <c r="J41" s="514">
        <v>13</v>
      </c>
      <c r="K41" s="756">
        <v>8</v>
      </c>
      <c r="L41" s="756">
        <v>15</v>
      </c>
      <c r="M41" s="498">
        <f>LOOKUP(K41,'Юноши 3ф'!A:A,'Юноши 3ф'!B:B)</f>
        <v>0</v>
      </c>
      <c r="N41" s="718" t="e">
        <f>IF(M41="","",VLOOKUP(M41,'Списки участников'!A:L,3,FALSE))</f>
        <v>#N/A</v>
      </c>
      <c r="O41" s="498">
        <f>LOOKUP(L41,'Юноши 3ф'!A:A,'Юноши 3ф'!B:B)</f>
        <v>0</v>
      </c>
      <c r="P41" s="718" t="e">
        <f>IF(O41="","",VLOOKUP(O41,'Списки участников'!A:L,3,FALSE))</f>
        <v>#N/A</v>
      </c>
    </row>
    <row r="42" spans="1:16" ht="17.25" x14ac:dyDescent="0.25">
      <c r="A42" s="499">
        <v>38</v>
      </c>
      <c r="B42" s="509">
        <v>5</v>
      </c>
      <c r="C42" s="755">
        <v>2</v>
      </c>
      <c r="D42" s="756">
        <v>7</v>
      </c>
      <c r="E42" s="497">
        <f>LOOKUP(C42,'Юноши 3ф'!A:A,'Юноши 3ф'!B:B)</f>
        <v>0</v>
      </c>
      <c r="F42" s="718" t="e">
        <f>IF(E42="","",VLOOKUP(E42,'Списки участников'!A:L,3,FALSE))</f>
        <v>#N/A</v>
      </c>
      <c r="G42" s="498">
        <f>LOOKUP(D42,'Юноши 3ф'!A:A,'Юноши 3ф'!B:B)</f>
        <v>0</v>
      </c>
      <c r="H42" s="718" t="e">
        <f>IF(G42="","",VLOOKUP(G42,'Списки участников'!A:L,3,FALSE))</f>
        <v>#N/A</v>
      </c>
      <c r="I42" s="499">
        <v>102</v>
      </c>
      <c r="J42" s="509">
        <v>13</v>
      </c>
      <c r="K42" s="762">
        <v>9</v>
      </c>
      <c r="L42" s="762">
        <v>14</v>
      </c>
      <c r="M42" s="498">
        <f>LOOKUP(K42,'Юноши 3ф'!A:A,'Юноши 3ф'!B:B)</f>
        <v>0</v>
      </c>
      <c r="N42" s="718" t="e">
        <f>IF(M42="","",VLOOKUP(M42,'Списки участников'!A:L,3,FALSE))</f>
        <v>#N/A</v>
      </c>
      <c r="O42" s="498">
        <f>LOOKUP(L42,'Юноши 3ф'!A:A,'Юноши 3ф'!B:B)</f>
        <v>0</v>
      </c>
      <c r="P42" s="718" t="e">
        <f>IF(O42="","",VLOOKUP(O42,'Списки участников'!A:L,3,FALSE))</f>
        <v>#N/A</v>
      </c>
    </row>
    <row r="43" spans="1:16" ht="17.25" x14ac:dyDescent="0.25">
      <c r="A43" s="499">
        <v>39</v>
      </c>
      <c r="B43" s="509">
        <v>5</v>
      </c>
      <c r="C43" s="755">
        <v>3</v>
      </c>
      <c r="D43" s="756">
        <v>6</v>
      </c>
      <c r="E43" s="497">
        <f>LOOKUP(C43,'Юноши 3ф'!A:A,'Юноши 3ф'!B:B)</f>
        <v>0</v>
      </c>
      <c r="F43" s="718" t="e">
        <f>IF(E43="","",VLOOKUP(E43,'Списки участников'!A:L,3,FALSE))</f>
        <v>#N/A</v>
      </c>
      <c r="G43" s="498">
        <f>LOOKUP(D43,'Юноши 3ф'!A:A,'Юноши 3ф'!B:B)</f>
        <v>0</v>
      </c>
      <c r="H43" s="718" t="e">
        <f>IF(G43="","",VLOOKUP(G43,'Списки участников'!A:L,3,FALSE))</f>
        <v>#N/A</v>
      </c>
      <c r="I43" s="499">
        <v>103</v>
      </c>
      <c r="J43" s="509">
        <v>13</v>
      </c>
      <c r="K43" s="762">
        <v>10</v>
      </c>
      <c r="L43" s="762">
        <v>13</v>
      </c>
      <c r="M43" s="498">
        <f>LOOKUP(K43,'Юноши 3ф'!A:A,'Юноши 3ф'!B:B)</f>
        <v>0</v>
      </c>
      <c r="N43" s="718" t="e">
        <f>IF(M43="","",VLOOKUP(M43,'Списки участников'!A:L,3,FALSE))</f>
        <v>#N/A</v>
      </c>
      <c r="O43" s="498">
        <f>LOOKUP(L43,'Юноши 3ф'!A:A,'Юноши 3ф'!B:B)</f>
        <v>0</v>
      </c>
      <c r="P43" s="718" t="e">
        <f>IF(O43="","",VLOOKUP(O43,'Списки участников'!A:L,3,FALSE))</f>
        <v>#N/A</v>
      </c>
    </row>
    <row r="44" spans="1:16" ht="18" thickBot="1" x14ac:dyDescent="0.3">
      <c r="A44" s="499">
        <v>40</v>
      </c>
      <c r="B44" s="513">
        <v>5</v>
      </c>
      <c r="C44" s="757">
        <v>4</v>
      </c>
      <c r="D44" s="758">
        <v>5</v>
      </c>
      <c r="E44" s="507">
        <f>LOOKUP(C44,'Юноши 3ф'!A:A,'Юноши 3ф'!B:B)</f>
        <v>0</v>
      </c>
      <c r="F44" s="747" t="e">
        <f>IF(E44="","",VLOOKUP(E44,'Списки участников'!A:L,3,FALSE))</f>
        <v>#N/A</v>
      </c>
      <c r="G44" s="748">
        <f>LOOKUP(D44,'Юноши 3ф'!A:A,'Юноши 3ф'!B:B)</f>
        <v>0</v>
      </c>
      <c r="H44" s="747" t="e">
        <f>IF(G44="","",VLOOKUP(G44,'Списки участников'!A:L,3,FALSE))</f>
        <v>#N/A</v>
      </c>
      <c r="I44" s="716">
        <v>104</v>
      </c>
      <c r="J44" s="513">
        <v>13</v>
      </c>
      <c r="K44" s="758">
        <v>11</v>
      </c>
      <c r="L44" s="758">
        <v>12</v>
      </c>
      <c r="M44" s="748">
        <f>LOOKUP(K44,'Юноши 3ф'!A:A,'Юноши 3ф'!B:B)</f>
        <v>0</v>
      </c>
      <c r="N44" s="747" t="e">
        <f>IF(M44="","",VLOOKUP(M44,'Списки участников'!A:L,3,FALSE))</f>
        <v>#N/A</v>
      </c>
      <c r="O44" s="748">
        <f>LOOKUP(L44,'Юноши 3ф'!A:A,'Юноши 3ф'!B:B)</f>
        <v>0</v>
      </c>
      <c r="P44" s="747" t="e">
        <f>IF(O44="","",VLOOKUP(O44,'Списки участников'!A:L,3,FALSE))</f>
        <v>#N/A</v>
      </c>
    </row>
    <row r="45" spans="1:16" ht="17.25" x14ac:dyDescent="0.25">
      <c r="A45" s="499">
        <v>41</v>
      </c>
      <c r="B45" s="509">
        <v>6</v>
      </c>
      <c r="C45" s="759">
        <v>11</v>
      </c>
      <c r="D45" s="760">
        <v>1</v>
      </c>
      <c r="E45" s="498">
        <f>LOOKUP(C45,'Юноши 3ф'!A:A,'Юноши 3ф'!B:B)</f>
        <v>0</v>
      </c>
      <c r="F45" s="718" t="e">
        <f>IF(E45="","",VLOOKUP(E45,'Списки участников'!A:L,3,FALSE))</f>
        <v>#N/A</v>
      </c>
      <c r="G45" s="498">
        <f>LOOKUP(D45,'Юноши 3ф'!A:A,'Юноши 3ф'!B:B)</f>
        <v>0</v>
      </c>
      <c r="H45" s="718" t="e">
        <f>IF(G45="","",VLOOKUP(G45,'Списки участников'!A:L,3,FALSE))</f>
        <v>#N/A</v>
      </c>
      <c r="I45" s="717">
        <v>105</v>
      </c>
      <c r="J45" s="509">
        <v>14</v>
      </c>
      <c r="K45" s="760">
        <v>3</v>
      </c>
      <c r="L45" s="760">
        <v>1</v>
      </c>
      <c r="M45" s="498">
        <f>LOOKUP(K45,'Юноши 3ф'!A:A,'Юноши 3ф'!B:B)</f>
        <v>0</v>
      </c>
      <c r="N45" s="718" t="e">
        <f>IF(M45="","",VLOOKUP(M45,'Списки участников'!A:L,3,FALSE))</f>
        <v>#N/A</v>
      </c>
      <c r="O45" s="498">
        <f>LOOKUP(L45,'Юноши 3ф'!A:A,'Юноши 3ф'!B:B)</f>
        <v>0</v>
      </c>
      <c r="P45" s="718" t="e">
        <f>IF(O45="","",VLOOKUP(O45,'Списки участников'!A:L,3,FALSE))</f>
        <v>#N/A</v>
      </c>
    </row>
    <row r="46" spans="1:16" ht="17.25" x14ac:dyDescent="0.25">
      <c r="A46" s="499">
        <v>42</v>
      </c>
      <c r="B46" s="509">
        <v>6</v>
      </c>
      <c r="C46" s="755">
        <v>12</v>
      </c>
      <c r="D46" s="756">
        <v>10</v>
      </c>
      <c r="E46" s="497">
        <f>LOOKUP(C46,'Юноши 3ф'!A:A,'Юноши 3ф'!B:B)</f>
        <v>0</v>
      </c>
      <c r="F46" s="718" t="e">
        <f>IF(E46="","",VLOOKUP(E46,'Списки участников'!A:L,3,FALSE))</f>
        <v>#N/A</v>
      </c>
      <c r="G46" s="498">
        <f>LOOKUP(D46,'Юноши 3ф'!A:A,'Юноши 3ф'!B:B)</f>
        <v>0</v>
      </c>
      <c r="H46" s="718" t="e">
        <f>IF(G46="","",VLOOKUP(G46,'Списки участников'!A:L,3,FALSE))</f>
        <v>#N/A</v>
      </c>
      <c r="I46" s="499">
        <v>106</v>
      </c>
      <c r="J46" s="509">
        <v>14</v>
      </c>
      <c r="K46" s="756">
        <v>4</v>
      </c>
      <c r="L46" s="760">
        <v>2</v>
      </c>
      <c r="M46" s="498">
        <f>LOOKUP(K46,'Юноши 3ф'!A:A,'Юноши 3ф'!B:B)</f>
        <v>0</v>
      </c>
      <c r="N46" s="718" t="e">
        <f>IF(M46="","",VLOOKUP(M46,'Списки участников'!A:L,3,FALSE))</f>
        <v>#N/A</v>
      </c>
      <c r="O46" s="498">
        <f>LOOKUP(L46,'Юноши 3ф'!A:A,'Юноши 3ф'!B:B)</f>
        <v>0</v>
      </c>
      <c r="P46" s="718" t="e">
        <f>IF(O46="","",VLOOKUP(O46,'Списки участников'!A:L,3,FALSE))</f>
        <v>#N/A</v>
      </c>
    </row>
    <row r="47" spans="1:16" ht="17.25" x14ac:dyDescent="0.25">
      <c r="A47" s="499">
        <v>43</v>
      </c>
      <c r="B47" s="509">
        <v>6</v>
      </c>
      <c r="C47" s="755">
        <v>13</v>
      </c>
      <c r="D47" s="756">
        <v>9</v>
      </c>
      <c r="E47" s="497">
        <f>LOOKUP(C47,'Юноши 3ф'!A:A,'Юноши 3ф'!B:B)</f>
        <v>0</v>
      </c>
      <c r="F47" s="718" t="e">
        <f>IF(E47="","",VLOOKUP(E47,'Списки участников'!A:L,3,FALSE))</f>
        <v>#N/A</v>
      </c>
      <c r="G47" s="498">
        <f>LOOKUP(D47,'Юноши 3ф'!A:A,'Юноши 3ф'!B:B)</f>
        <v>0</v>
      </c>
      <c r="H47" s="718" t="e">
        <f>IF(G47="","",VLOOKUP(G47,'Списки участников'!A:L,3,FALSE))</f>
        <v>#N/A</v>
      </c>
      <c r="I47" s="499">
        <v>107</v>
      </c>
      <c r="J47" s="509">
        <v>14</v>
      </c>
      <c r="K47" s="756">
        <v>5</v>
      </c>
      <c r="L47" s="760">
        <v>16</v>
      </c>
      <c r="M47" s="498">
        <f>LOOKUP(K47,'Юноши 3ф'!A:A,'Юноши 3ф'!B:B)</f>
        <v>0</v>
      </c>
      <c r="N47" s="718" t="e">
        <f>IF(M47="","",VLOOKUP(M47,'Списки участников'!A:L,3,FALSE))</f>
        <v>#N/A</v>
      </c>
      <c r="O47" s="498">
        <f>LOOKUP(L47,'Юноши 3ф'!A:A,'Юноши 3ф'!B:B)</f>
        <v>0</v>
      </c>
      <c r="P47" s="718" t="e">
        <f>IF(O47="","",VLOOKUP(O47,'Списки участников'!A:L,3,FALSE))</f>
        <v>#N/A</v>
      </c>
    </row>
    <row r="48" spans="1:16" ht="17.25" x14ac:dyDescent="0.25">
      <c r="A48" s="499">
        <v>44</v>
      </c>
      <c r="B48" s="509">
        <v>6</v>
      </c>
      <c r="C48" s="755">
        <v>14</v>
      </c>
      <c r="D48" s="756">
        <v>8</v>
      </c>
      <c r="E48" s="497">
        <f>LOOKUP(C48,'Юноши 3ф'!A:A,'Юноши 3ф'!B:B)</f>
        <v>0</v>
      </c>
      <c r="F48" s="718" t="e">
        <f>IF(E48="","",VLOOKUP(E48,'Списки участников'!A:L,3,FALSE))</f>
        <v>#N/A</v>
      </c>
      <c r="G48" s="498">
        <f>LOOKUP(D48,'Юноши 3ф'!A:A,'Юноши 3ф'!B:B)</f>
        <v>0</v>
      </c>
      <c r="H48" s="718" t="e">
        <f>IF(G48="","",VLOOKUP(G48,'Списки участников'!A:L,3,FALSE))</f>
        <v>#N/A</v>
      </c>
      <c r="I48" s="499">
        <v>108</v>
      </c>
      <c r="J48" s="509">
        <v>14</v>
      </c>
      <c r="K48" s="756">
        <v>6</v>
      </c>
      <c r="L48" s="760">
        <v>15</v>
      </c>
      <c r="M48" s="498">
        <f>LOOKUP(K48,'Юноши 3ф'!A:A,'Юноши 3ф'!B:B)</f>
        <v>0</v>
      </c>
      <c r="N48" s="718" t="e">
        <f>IF(M48="","",VLOOKUP(M48,'Списки участников'!A:L,3,FALSE))</f>
        <v>#N/A</v>
      </c>
      <c r="O48" s="498">
        <f>LOOKUP(L48,'Юноши 3ф'!A:A,'Юноши 3ф'!B:B)</f>
        <v>0</v>
      </c>
      <c r="P48" s="718" t="e">
        <f>IF(O48="","",VLOOKUP(O48,'Списки участников'!A:L,3,FALSE))</f>
        <v>#N/A</v>
      </c>
    </row>
    <row r="49" spans="1:16" ht="17.25" x14ac:dyDescent="0.25">
      <c r="A49" s="499">
        <v>45</v>
      </c>
      <c r="B49" s="514">
        <v>6</v>
      </c>
      <c r="C49" s="755">
        <v>15</v>
      </c>
      <c r="D49" s="756">
        <v>7</v>
      </c>
      <c r="E49" s="497">
        <f>LOOKUP(C49,'Юноши 3ф'!A:A,'Юноши 3ф'!B:B)</f>
        <v>0</v>
      </c>
      <c r="F49" s="718" t="e">
        <f>IF(E49="","",VLOOKUP(E49,'Списки участников'!A:L,3,FALSE))</f>
        <v>#N/A</v>
      </c>
      <c r="G49" s="498">
        <f>LOOKUP(D49,'Юноши 3ф'!A:A,'Юноши 3ф'!B:B)</f>
        <v>0</v>
      </c>
      <c r="H49" s="718" t="e">
        <f>IF(G49="","",VLOOKUP(G49,'Списки участников'!A:L,3,FALSE))</f>
        <v>#N/A</v>
      </c>
      <c r="I49" s="499">
        <v>109</v>
      </c>
      <c r="J49" s="514">
        <v>14</v>
      </c>
      <c r="K49" s="756">
        <v>7</v>
      </c>
      <c r="L49" s="760">
        <v>14</v>
      </c>
      <c r="M49" s="498">
        <f>LOOKUP(K49,'Юноши 3ф'!A:A,'Юноши 3ф'!B:B)</f>
        <v>0</v>
      </c>
      <c r="N49" s="718" t="e">
        <f>IF(M49="","",VLOOKUP(M49,'Списки участников'!A:L,3,FALSE))</f>
        <v>#N/A</v>
      </c>
      <c r="O49" s="498">
        <f>LOOKUP(L49,'Юноши 3ф'!A:A,'Юноши 3ф'!B:B)</f>
        <v>0</v>
      </c>
      <c r="P49" s="718" t="e">
        <f>IF(O49="","",VLOOKUP(O49,'Списки участников'!A:L,3,FALSE))</f>
        <v>#N/A</v>
      </c>
    </row>
    <row r="50" spans="1:16" ht="17.25" x14ac:dyDescent="0.25">
      <c r="A50" s="499">
        <v>46</v>
      </c>
      <c r="B50" s="509">
        <v>6</v>
      </c>
      <c r="C50" s="755">
        <v>16</v>
      </c>
      <c r="D50" s="756">
        <v>6</v>
      </c>
      <c r="E50" s="497">
        <f>LOOKUP(C50,'Юноши 3ф'!A:A,'Юноши 3ф'!B:B)</f>
        <v>0</v>
      </c>
      <c r="F50" s="718" t="e">
        <f>IF(E50="","",VLOOKUP(E50,'Списки участников'!A:L,3,FALSE))</f>
        <v>#N/A</v>
      </c>
      <c r="G50" s="498">
        <f>LOOKUP(D50,'Юноши 3ф'!A:A,'Юноши 3ф'!B:B)</f>
        <v>0</v>
      </c>
      <c r="H50" s="718" t="e">
        <f>IF(G50="","",VLOOKUP(G50,'Списки участников'!A:L,3,FALSE))</f>
        <v>#N/A</v>
      </c>
      <c r="I50" s="499">
        <v>110</v>
      </c>
      <c r="J50" s="509">
        <v>14</v>
      </c>
      <c r="K50" s="762">
        <v>8</v>
      </c>
      <c r="L50" s="756">
        <v>13</v>
      </c>
      <c r="M50" s="498">
        <f>LOOKUP(K50,'Юноши 3ф'!A:A,'Юноши 3ф'!B:B)</f>
        <v>0</v>
      </c>
      <c r="N50" s="718" t="e">
        <f>IF(M50="","",VLOOKUP(M50,'Списки участников'!A:L,3,FALSE))</f>
        <v>#N/A</v>
      </c>
      <c r="O50" s="498">
        <f>LOOKUP(L50,'Юноши 3ф'!A:A,'Юноши 3ф'!B:B)</f>
        <v>0</v>
      </c>
      <c r="P50" s="718" t="e">
        <f>IF(O50="","",VLOOKUP(O50,'Списки участников'!A:L,3,FALSE))</f>
        <v>#N/A</v>
      </c>
    </row>
    <row r="51" spans="1:16" ht="17.25" x14ac:dyDescent="0.25">
      <c r="A51" s="499">
        <v>47</v>
      </c>
      <c r="B51" s="509">
        <v>6</v>
      </c>
      <c r="C51" s="755">
        <v>2</v>
      </c>
      <c r="D51" s="756">
        <v>5</v>
      </c>
      <c r="E51" s="497">
        <f>LOOKUP(C51,'Юноши 3ф'!A:A,'Юноши 3ф'!B:B)</f>
        <v>0</v>
      </c>
      <c r="F51" s="718" t="e">
        <f>IF(E51="","",VLOOKUP(E51,'Списки участников'!A:L,3,FALSE))</f>
        <v>#N/A</v>
      </c>
      <c r="G51" s="498">
        <f>LOOKUP(D51,'Юноши 3ф'!A:A,'Юноши 3ф'!B:B)</f>
        <v>0</v>
      </c>
      <c r="H51" s="718" t="e">
        <f>IF(G51="","",VLOOKUP(G51,'Списки участников'!A:L,3,FALSE))</f>
        <v>#N/A</v>
      </c>
      <c r="I51" s="499">
        <v>111</v>
      </c>
      <c r="J51" s="509">
        <v>14</v>
      </c>
      <c r="K51" s="762">
        <v>9</v>
      </c>
      <c r="L51" s="756">
        <v>12</v>
      </c>
      <c r="M51" s="498">
        <f>LOOKUP(K51,'Юноши 3ф'!A:A,'Юноши 3ф'!B:B)</f>
        <v>0</v>
      </c>
      <c r="N51" s="718" t="e">
        <f>IF(M51="","",VLOOKUP(M51,'Списки участников'!A:L,3,FALSE))</f>
        <v>#N/A</v>
      </c>
      <c r="O51" s="498">
        <f>LOOKUP(L51,'Юноши 3ф'!A:A,'Юноши 3ф'!B:B)</f>
        <v>0</v>
      </c>
      <c r="P51" s="718" t="e">
        <f>IF(O51="","",VLOOKUP(O51,'Списки участников'!A:L,3,FALSE))</f>
        <v>#N/A</v>
      </c>
    </row>
    <row r="52" spans="1:16" ht="18" thickBot="1" x14ac:dyDescent="0.3">
      <c r="A52" s="499">
        <v>48</v>
      </c>
      <c r="B52" s="513">
        <v>6</v>
      </c>
      <c r="C52" s="757">
        <v>3</v>
      </c>
      <c r="D52" s="758">
        <v>4</v>
      </c>
      <c r="E52" s="507">
        <f>LOOKUP(C52,'Юноши 3ф'!A:A,'Юноши 3ф'!B:B)</f>
        <v>0</v>
      </c>
      <c r="F52" s="747" t="e">
        <f>IF(E52="","",VLOOKUP(E52,'Списки участников'!A:L,3,FALSE))</f>
        <v>#N/A</v>
      </c>
      <c r="G52" s="748">
        <f>LOOKUP(D52,'Юноши 3ф'!A:A,'Юноши 3ф'!B:B)</f>
        <v>0</v>
      </c>
      <c r="H52" s="747" t="e">
        <f>IF(G52="","",VLOOKUP(G52,'Списки участников'!A:L,3,FALSE))</f>
        <v>#N/A</v>
      </c>
      <c r="I52" s="716">
        <v>112</v>
      </c>
      <c r="J52" s="513">
        <v>14</v>
      </c>
      <c r="K52" s="758">
        <v>10</v>
      </c>
      <c r="L52" s="763">
        <v>11</v>
      </c>
      <c r="M52" s="748">
        <f>LOOKUP(K52,'Юноши 3ф'!A:A,'Юноши 3ф'!B:B)</f>
        <v>0</v>
      </c>
      <c r="N52" s="747" t="e">
        <f>IF(M52="","",VLOOKUP(M52,'Списки участников'!A:L,3,FALSE))</f>
        <v>#N/A</v>
      </c>
      <c r="O52" s="748">
        <f>LOOKUP(L52,'Юноши 3ф'!A:A,'Юноши 3ф'!B:B)</f>
        <v>0</v>
      </c>
      <c r="P52" s="747" t="e">
        <f>IF(O52="","",VLOOKUP(O52,'Списки участников'!A:L,3,FALSE))</f>
        <v>#N/A</v>
      </c>
    </row>
    <row r="53" spans="1:16" ht="17.25" x14ac:dyDescent="0.25">
      <c r="A53" s="499">
        <v>49</v>
      </c>
      <c r="B53" s="509">
        <v>7</v>
      </c>
      <c r="C53" s="759">
        <v>1</v>
      </c>
      <c r="D53" s="760">
        <v>10</v>
      </c>
      <c r="E53" s="498">
        <f>LOOKUP(C53,'Юноши 3ф'!A:A,'Юноши 3ф'!B:B)</f>
        <v>0</v>
      </c>
      <c r="F53" s="718" t="e">
        <f>IF(E53="","",VLOOKUP(E53,'Списки участников'!A:L,3,FALSE))</f>
        <v>#N/A</v>
      </c>
      <c r="G53" s="498">
        <f>LOOKUP(D53,'Юноши 3ф'!A:A,'Юноши 3ф'!B:B)</f>
        <v>0</v>
      </c>
      <c r="H53" s="718" t="e">
        <f>IF(G53="","",VLOOKUP(G53,'Списки участников'!A:L,3,FALSE))</f>
        <v>#N/A</v>
      </c>
      <c r="I53" s="717">
        <v>113</v>
      </c>
      <c r="J53" s="509">
        <v>15</v>
      </c>
      <c r="K53" s="760">
        <v>1</v>
      </c>
      <c r="L53" s="760">
        <v>2</v>
      </c>
      <c r="M53" s="498">
        <f>LOOKUP(K53,'Юноши 3ф'!A:A,'Юноши 3ф'!B:B)</f>
        <v>0</v>
      </c>
      <c r="N53" s="718" t="e">
        <f>IF(M53="","",VLOOKUP(M53,'Списки участников'!A:L,3,FALSE))</f>
        <v>#N/A</v>
      </c>
      <c r="O53" s="498">
        <f>LOOKUP(L53,'Юноши 3ф'!A:A,'Юноши 3ф'!B:B)</f>
        <v>0</v>
      </c>
      <c r="P53" s="718" t="e">
        <f>IF(O53="","",VLOOKUP(O53,'Списки участников'!A:L,3,FALSE))</f>
        <v>#N/A</v>
      </c>
    </row>
    <row r="54" spans="1:16" ht="17.25" x14ac:dyDescent="0.25">
      <c r="A54" s="499">
        <v>50</v>
      </c>
      <c r="B54" s="509">
        <v>7</v>
      </c>
      <c r="C54" s="755">
        <v>11</v>
      </c>
      <c r="D54" s="756">
        <v>9</v>
      </c>
      <c r="E54" s="497">
        <f>LOOKUP(C54,'Юноши 3ф'!A:A,'Юноши 3ф'!B:B)</f>
        <v>0</v>
      </c>
      <c r="F54" s="718" t="e">
        <f>IF(E54="","",VLOOKUP(E54,'Списки участников'!A:L,3,FALSE))</f>
        <v>#N/A</v>
      </c>
      <c r="G54" s="498">
        <f>LOOKUP(D54,'Юноши 3ф'!A:A,'Юноши 3ф'!B:B)</f>
        <v>0</v>
      </c>
      <c r="H54" s="718" t="e">
        <f>IF(G54="","",VLOOKUP(G54,'Списки участников'!A:L,3,FALSE))</f>
        <v>#N/A</v>
      </c>
      <c r="I54" s="499">
        <v>114</v>
      </c>
      <c r="J54" s="509">
        <v>15</v>
      </c>
      <c r="K54" s="756">
        <v>3</v>
      </c>
      <c r="L54" s="756">
        <v>16</v>
      </c>
      <c r="M54" s="498">
        <f>LOOKUP(K54,'Юноши 3ф'!A:A,'Юноши 3ф'!B:B)</f>
        <v>0</v>
      </c>
      <c r="N54" s="718" t="e">
        <f>IF(M54="","",VLOOKUP(M54,'Списки участников'!A:L,3,FALSE))</f>
        <v>#N/A</v>
      </c>
      <c r="O54" s="498">
        <f>LOOKUP(L54,'Юноши 3ф'!A:A,'Юноши 3ф'!B:B)</f>
        <v>0</v>
      </c>
      <c r="P54" s="718" t="e">
        <f>IF(O54="","",VLOOKUP(O54,'Списки участников'!A:L,3,FALSE))</f>
        <v>#N/A</v>
      </c>
    </row>
    <row r="55" spans="1:16" ht="17.25" x14ac:dyDescent="0.25">
      <c r="A55" s="499">
        <v>51</v>
      </c>
      <c r="B55" s="509">
        <v>7</v>
      </c>
      <c r="C55" s="755">
        <v>12</v>
      </c>
      <c r="D55" s="756">
        <v>8</v>
      </c>
      <c r="E55" s="497">
        <f>LOOKUP(C55,'Юноши 3ф'!A:A,'Юноши 3ф'!B:B)</f>
        <v>0</v>
      </c>
      <c r="F55" s="718" t="e">
        <f>IF(E55="","",VLOOKUP(E55,'Списки участников'!A:L,3,FALSE))</f>
        <v>#N/A</v>
      </c>
      <c r="G55" s="498">
        <f>LOOKUP(D55,'Юноши 3ф'!A:A,'Юноши 3ф'!B:B)</f>
        <v>0</v>
      </c>
      <c r="H55" s="718" t="e">
        <f>IF(G55="","",VLOOKUP(G55,'Списки участников'!A:L,3,FALSE))</f>
        <v>#N/A</v>
      </c>
      <c r="I55" s="499">
        <v>115</v>
      </c>
      <c r="J55" s="509">
        <v>15</v>
      </c>
      <c r="K55" s="756">
        <v>4</v>
      </c>
      <c r="L55" s="756">
        <v>15</v>
      </c>
      <c r="M55" s="498">
        <f>LOOKUP(K55,'Юноши 3ф'!A:A,'Юноши 3ф'!B:B)</f>
        <v>0</v>
      </c>
      <c r="N55" s="718" t="e">
        <f>IF(M55="","",VLOOKUP(M55,'Списки участников'!A:L,3,FALSE))</f>
        <v>#N/A</v>
      </c>
      <c r="O55" s="498">
        <f>LOOKUP(L55,'Юноши 3ф'!A:A,'Юноши 3ф'!B:B)</f>
        <v>0</v>
      </c>
      <c r="P55" s="718" t="e">
        <f>IF(O55="","",VLOOKUP(O55,'Списки участников'!A:L,3,FALSE))</f>
        <v>#N/A</v>
      </c>
    </row>
    <row r="56" spans="1:16" ht="17.25" x14ac:dyDescent="0.25">
      <c r="A56" s="499">
        <v>52</v>
      </c>
      <c r="B56" s="509">
        <v>7</v>
      </c>
      <c r="C56" s="755">
        <v>13</v>
      </c>
      <c r="D56" s="756">
        <v>7</v>
      </c>
      <c r="E56" s="497">
        <f>LOOKUP(C56,'Юноши 3ф'!A:A,'Юноши 3ф'!B:B)</f>
        <v>0</v>
      </c>
      <c r="F56" s="718" t="e">
        <f>IF(E56="","",VLOOKUP(E56,'Списки участников'!A:L,3,FALSE))</f>
        <v>#N/A</v>
      </c>
      <c r="G56" s="498">
        <f>LOOKUP(D56,'Юноши 3ф'!A:A,'Юноши 3ф'!B:B)</f>
        <v>0</v>
      </c>
      <c r="H56" s="718" t="e">
        <f>IF(G56="","",VLOOKUP(G56,'Списки участников'!A:L,3,FALSE))</f>
        <v>#N/A</v>
      </c>
      <c r="I56" s="499">
        <v>116</v>
      </c>
      <c r="J56" s="509">
        <v>15</v>
      </c>
      <c r="K56" s="756">
        <v>5</v>
      </c>
      <c r="L56" s="756">
        <v>14</v>
      </c>
      <c r="M56" s="498">
        <f>LOOKUP(K56,'Юноши 3ф'!A:A,'Юноши 3ф'!B:B)</f>
        <v>0</v>
      </c>
      <c r="N56" s="718" t="e">
        <f>IF(M56="","",VLOOKUP(M56,'Списки участников'!A:L,3,FALSE))</f>
        <v>#N/A</v>
      </c>
      <c r="O56" s="498">
        <f>LOOKUP(L56,'Юноши 3ф'!A:A,'Юноши 3ф'!B:B)</f>
        <v>0</v>
      </c>
      <c r="P56" s="718" t="e">
        <f>IF(O56="","",VLOOKUP(O56,'Списки участников'!A:L,3,FALSE))</f>
        <v>#N/A</v>
      </c>
    </row>
    <row r="57" spans="1:16" ht="17.25" x14ac:dyDescent="0.25">
      <c r="A57" s="499">
        <v>53</v>
      </c>
      <c r="B57" s="514">
        <v>7</v>
      </c>
      <c r="C57" s="755">
        <v>14</v>
      </c>
      <c r="D57" s="756">
        <v>6</v>
      </c>
      <c r="E57" s="497">
        <f>LOOKUP(C57,'Юноши 3ф'!A:A,'Юноши 3ф'!B:B)</f>
        <v>0</v>
      </c>
      <c r="F57" s="718" t="e">
        <f>IF(E57="","",VLOOKUP(E57,'Списки участников'!A:L,3,FALSE))</f>
        <v>#N/A</v>
      </c>
      <c r="G57" s="498">
        <f>LOOKUP(D57,'Юноши 3ф'!A:A,'Юноши 3ф'!B:B)</f>
        <v>0</v>
      </c>
      <c r="H57" s="718" t="e">
        <f>IF(G57="","",VLOOKUP(G57,'Списки участников'!A:L,3,FALSE))</f>
        <v>#N/A</v>
      </c>
      <c r="I57" s="499">
        <v>117</v>
      </c>
      <c r="J57" s="514">
        <v>15</v>
      </c>
      <c r="K57" s="756">
        <v>6</v>
      </c>
      <c r="L57" s="756">
        <v>13</v>
      </c>
      <c r="M57" s="498">
        <f>LOOKUP(K57,'Юноши 3ф'!A:A,'Юноши 3ф'!B:B)</f>
        <v>0</v>
      </c>
      <c r="N57" s="718" t="e">
        <f>IF(M57="","",VLOOKUP(M57,'Списки участников'!A:L,3,FALSE))</f>
        <v>#N/A</v>
      </c>
      <c r="O57" s="498">
        <f>LOOKUP(L57,'Юноши 3ф'!A:A,'Юноши 3ф'!B:B)</f>
        <v>0</v>
      </c>
      <c r="P57" s="718" t="e">
        <f>IF(O57="","",VLOOKUP(O57,'Списки участников'!A:L,3,FALSE))</f>
        <v>#N/A</v>
      </c>
    </row>
    <row r="58" spans="1:16" ht="17.25" x14ac:dyDescent="0.25">
      <c r="A58" s="499">
        <v>54</v>
      </c>
      <c r="B58" s="509">
        <v>7</v>
      </c>
      <c r="C58" s="755">
        <v>15</v>
      </c>
      <c r="D58" s="756">
        <v>5</v>
      </c>
      <c r="E58" s="497">
        <f>LOOKUP(C58,'Юноши 3ф'!A:A,'Юноши 3ф'!B:B)</f>
        <v>0</v>
      </c>
      <c r="F58" s="718" t="e">
        <f>IF(E58="","",VLOOKUP(E58,'Списки участников'!A:L,3,FALSE))</f>
        <v>#N/A</v>
      </c>
      <c r="G58" s="498">
        <f>LOOKUP(D58,'Юноши 3ф'!A:A,'Юноши 3ф'!B:B)</f>
        <v>0</v>
      </c>
      <c r="H58" s="718" t="e">
        <f>IF(G58="","",VLOOKUP(G58,'Списки участников'!A:L,3,FALSE))</f>
        <v>#N/A</v>
      </c>
      <c r="I58" s="499">
        <v>118</v>
      </c>
      <c r="J58" s="509">
        <v>15</v>
      </c>
      <c r="K58" s="762">
        <v>7</v>
      </c>
      <c r="L58" s="762">
        <v>12</v>
      </c>
      <c r="M58" s="498">
        <f>LOOKUP(K58,'Юноши 3ф'!A:A,'Юноши 3ф'!B:B)</f>
        <v>0</v>
      </c>
      <c r="N58" s="718" t="e">
        <f>IF(M58="","",VLOOKUP(M58,'Списки участников'!A:L,3,FALSE))</f>
        <v>#N/A</v>
      </c>
      <c r="O58" s="498">
        <f>LOOKUP(L58,'Юноши 3ф'!A:A,'Юноши 3ф'!B:B)</f>
        <v>0</v>
      </c>
      <c r="P58" s="718" t="e">
        <f>IF(O58="","",VLOOKUP(O58,'Списки участников'!A:L,3,FALSE))</f>
        <v>#N/A</v>
      </c>
    </row>
    <row r="59" spans="1:16" ht="17.25" x14ac:dyDescent="0.25">
      <c r="A59" s="499">
        <v>55</v>
      </c>
      <c r="B59" s="509">
        <v>7</v>
      </c>
      <c r="C59" s="755">
        <v>16</v>
      </c>
      <c r="D59" s="756">
        <v>4</v>
      </c>
      <c r="E59" s="497">
        <f>LOOKUP(C59,'Юноши 3ф'!A:A,'Юноши 3ф'!B:B)</f>
        <v>0</v>
      </c>
      <c r="F59" s="718" t="e">
        <f>IF(E59="","",VLOOKUP(E59,'Списки участников'!A:L,3,FALSE))</f>
        <v>#N/A</v>
      </c>
      <c r="G59" s="498">
        <f>LOOKUP(D59,'Юноши 3ф'!A:A,'Юноши 3ф'!B:B)</f>
        <v>0</v>
      </c>
      <c r="H59" s="718" t="e">
        <f>IF(G59="","",VLOOKUP(G59,'Списки участников'!A:L,3,FALSE))</f>
        <v>#N/A</v>
      </c>
      <c r="I59" s="499">
        <v>119</v>
      </c>
      <c r="J59" s="509">
        <v>15</v>
      </c>
      <c r="K59" s="762">
        <v>8</v>
      </c>
      <c r="L59" s="762">
        <v>11</v>
      </c>
      <c r="M59" s="498">
        <f>LOOKUP(K59,'Юноши 3ф'!A:A,'Юноши 3ф'!B:B)</f>
        <v>0</v>
      </c>
      <c r="N59" s="718" t="e">
        <f>IF(M59="","",VLOOKUP(M59,'Списки участников'!A:L,3,FALSE))</f>
        <v>#N/A</v>
      </c>
      <c r="O59" s="498">
        <f>LOOKUP(L59,'Юноши 3ф'!A:A,'Юноши 3ф'!B:B)</f>
        <v>0</v>
      </c>
      <c r="P59" s="718" t="e">
        <f>IF(O59="","",VLOOKUP(O59,'Списки участников'!A:L,3,FALSE))</f>
        <v>#N/A</v>
      </c>
    </row>
    <row r="60" spans="1:16" ht="18" thickBot="1" x14ac:dyDescent="0.3">
      <c r="A60" s="499">
        <v>56</v>
      </c>
      <c r="B60" s="513">
        <v>7</v>
      </c>
      <c r="C60" s="757">
        <v>2</v>
      </c>
      <c r="D60" s="761">
        <v>3</v>
      </c>
      <c r="E60" s="507">
        <f>LOOKUP(C60,'Юноши 3ф'!A:A,'Юноши 3ф'!B:B)</f>
        <v>0</v>
      </c>
      <c r="F60" s="747" t="e">
        <f>IF(E60="","",VLOOKUP(E60,'Списки участников'!A:L,3,FALSE))</f>
        <v>#N/A</v>
      </c>
      <c r="G60" s="748">
        <f>LOOKUP(D60,'Юноши 3ф'!A:A,'Юноши 3ф'!B:B)</f>
        <v>0</v>
      </c>
      <c r="H60" s="747" t="e">
        <f>IF(G60="","",VLOOKUP(G60,'Списки участников'!A:L,3,FALSE))</f>
        <v>#N/A</v>
      </c>
      <c r="I60" s="749">
        <v>120</v>
      </c>
      <c r="J60" s="513">
        <v>15</v>
      </c>
      <c r="K60" s="761">
        <v>9</v>
      </c>
      <c r="L60" s="761">
        <v>10</v>
      </c>
      <c r="M60" s="748">
        <f>LOOKUP(K60,'Юноши 3ф'!A:A,'Юноши 3ф'!B:B)</f>
        <v>0</v>
      </c>
      <c r="N60" s="747" t="e">
        <f>IF(M60="","",VLOOKUP(M60,'Списки участников'!A:L,3,FALSE))</f>
        <v>#N/A</v>
      </c>
      <c r="O60" s="748">
        <f>LOOKUP(L60,'Юноши 3ф'!A:A,'Юноши 3ф'!B:B)</f>
        <v>0</v>
      </c>
      <c r="P60" s="747" t="e">
        <f>IF(O60="","",VLOOKUP(O60,'Списки участников'!A:L,3,FALSE))</f>
        <v>#N/A</v>
      </c>
    </row>
    <row r="61" spans="1:16" ht="15.75" x14ac:dyDescent="0.25">
      <c r="A61" s="499">
        <v>57</v>
      </c>
      <c r="B61" s="509">
        <v>8</v>
      </c>
      <c r="C61" s="759">
        <v>9</v>
      </c>
      <c r="D61" s="760">
        <v>1</v>
      </c>
      <c r="E61" s="498">
        <f>LOOKUP(C61,'Юноши 3ф'!A:A,'Юноши 3ф'!B:B)</f>
        <v>0</v>
      </c>
      <c r="F61" s="718" t="e">
        <f>IF(E61="","",VLOOKUP(E61,'Списки участников'!A:L,3,FALSE))</f>
        <v>#N/A</v>
      </c>
      <c r="G61" s="498">
        <f>LOOKUP(D61,'Юноши 3ф'!A:A,'Юноши 3ф'!B:B)</f>
        <v>0</v>
      </c>
      <c r="H61" s="718" t="e">
        <f>IF(G61="","",VLOOKUP(G61,'Списки участников'!A:L,3,FALSE))</f>
        <v>#N/A</v>
      </c>
    </row>
    <row r="62" spans="1:16" ht="15.75" x14ac:dyDescent="0.25">
      <c r="A62" s="499">
        <v>58</v>
      </c>
      <c r="B62" s="509">
        <v>8</v>
      </c>
      <c r="C62" s="755">
        <v>10</v>
      </c>
      <c r="D62" s="756">
        <v>8</v>
      </c>
      <c r="E62" s="497">
        <f>LOOKUP(C62,'Юноши 3ф'!A:A,'Юноши 3ф'!B:B)</f>
        <v>0</v>
      </c>
      <c r="F62" s="718" t="e">
        <f>IF(E62="","",VLOOKUP(E62,'Списки участников'!A:L,3,FALSE))</f>
        <v>#N/A</v>
      </c>
      <c r="G62" s="498">
        <f>LOOKUP(D62,'Юноши 3ф'!A:A,'Юноши 3ф'!B:B)</f>
        <v>0</v>
      </c>
      <c r="H62" s="718" t="e">
        <f>IF(G62="","",VLOOKUP(G62,'Списки участников'!A:L,3,FALSE))</f>
        <v>#N/A</v>
      </c>
    </row>
    <row r="63" spans="1:16" ht="15.75" x14ac:dyDescent="0.25">
      <c r="A63" s="499">
        <v>59</v>
      </c>
      <c r="B63" s="509">
        <v>8</v>
      </c>
      <c r="C63" s="755">
        <v>11</v>
      </c>
      <c r="D63" s="756">
        <v>7</v>
      </c>
      <c r="E63" s="497">
        <f>LOOKUP(C63,'Юноши 3ф'!A:A,'Юноши 3ф'!B:B)</f>
        <v>0</v>
      </c>
      <c r="F63" s="718" t="e">
        <f>IF(E63="","",VLOOKUP(E63,'Списки участников'!A:L,3,FALSE))</f>
        <v>#N/A</v>
      </c>
      <c r="G63" s="498">
        <f>LOOKUP(D63,'Юноши 3ф'!A:A,'Юноши 3ф'!B:B)</f>
        <v>0</v>
      </c>
      <c r="H63" s="718" t="e">
        <f>IF(G63="","",VLOOKUP(G63,'Списки участников'!A:L,3,FALSE))</f>
        <v>#N/A</v>
      </c>
    </row>
    <row r="64" spans="1:16" ht="15.75" x14ac:dyDescent="0.25">
      <c r="A64" s="499">
        <v>60</v>
      </c>
      <c r="B64" s="509">
        <v>8</v>
      </c>
      <c r="C64" s="755">
        <v>12</v>
      </c>
      <c r="D64" s="756">
        <v>6</v>
      </c>
      <c r="E64" s="497">
        <f>LOOKUP(C64,'Юноши 3ф'!A:A,'Юноши 3ф'!B:B)</f>
        <v>0</v>
      </c>
      <c r="F64" s="718" t="e">
        <f>IF(E64="","",VLOOKUP(E64,'Списки участников'!A:L,3,FALSE))</f>
        <v>#N/A</v>
      </c>
      <c r="G64" s="498">
        <f>LOOKUP(D64,'Юноши 3ф'!A:A,'Юноши 3ф'!B:B)</f>
        <v>0</v>
      </c>
      <c r="H64" s="718" t="e">
        <f>IF(G64="","",VLOOKUP(G64,'Списки участников'!A:L,3,FALSE))</f>
        <v>#N/A</v>
      </c>
    </row>
    <row r="65" spans="1:8" ht="15.75" x14ac:dyDescent="0.25">
      <c r="A65" s="499">
        <v>61</v>
      </c>
      <c r="B65" s="514">
        <v>8</v>
      </c>
      <c r="C65" s="755">
        <v>13</v>
      </c>
      <c r="D65" s="756">
        <v>5</v>
      </c>
      <c r="E65" s="497">
        <f>LOOKUP(C65,'Юноши 3ф'!A:A,'Юноши 3ф'!B:B)</f>
        <v>0</v>
      </c>
      <c r="F65" s="718" t="e">
        <f>IF(E65="","",VLOOKUP(E65,'Списки участников'!A:L,3,FALSE))</f>
        <v>#N/A</v>
      </c>
      <c r="G65" s="498">
        <f>LOOKUP(D65,'Юноши 3ф'!A:A,'Юноши 3ф'!B:B)</f>
        <v>0</v>
      </c>
      <c r="H65" s="718" t="e">
        <f>IF(G65="","",VLOOKUP(G65,'Списки участников'!A:L,3,FALSE))</f>
        <v>#N/A</v>
      </c>
    </row>
    <row r="66" spans="1:8" ht="15.75" x14ac:dyDescent="0.25">
      <c r="A66" s="499">
        <v>62</v>
      </c>
      <c r="B66" s="509">
        <v>8</v>
      </c>
      <c r="C66" s="755">
        <v>14</v>
      </c>
      <c r="D66" s="756">
        <v>4</v>
      </c>
      <c r="E66" s="497">
        <f>LOOKUP(C66,'Юноши 3ф'!A:A,'Юноши 3ф'!B:B)</f>
        <v>0</v>
      </c>
      <c r="F66" s="718" t="e">
        <f>IF(E66="","",VLOOKUP(E66,'Списки участников'!A:L,3,FALSE))</f>
        <v>#N/A</v>
      </c>
      <c r="G66" s="498">
        <f>LOOKUP(D66,'Юноши 3ф'!A:A,'Юноши 3ф'!B:B)</f>
        <v>0</v>
      </c>
      <c r="H66" s="718" t="e">
        <f>IF(G66="","",VLOOKUP(G66,'Списки участников'!A:L,3,FALSE))</f>
        <v>#N/A</v>
      </c>
    </row>
    <row r="67" spans="1:8" ht="15.75" x14ac:dyDescent="0.25">
      <c r="A67" s="499">
        <v>63</v>
      </c>
      <c r="B67" s="509">
        <v>8</v>
      </c>
      <c r="C67" s="755">
        <v>15</v>
      </c>
      <c r="D67" s="756">
        <v>3</v>
      </c>
      <c r="E67" s="497">
        <f>LOOKUP(C67,'Юноши 3ф'!A:A,'Юноши 3ф'!B:B)</f>
        <v>0</v>
      </c>
      <c r="F67" s="718" t="e">
        <f>IF(E67="","",VLOOKUP(E67,'Списки участников'!A:L,3,FALSE))</f>
        <v>#N/A</v>
      </c>
      <c r="G67" s="498">
        <f>LOOKUP(D67,'Юноши 3ф'!A:A,'Юноши 3ф'!B:B)</f>
        <v>0</v>
      </c>
      <c r="H67" s="718" t="e">
        <f>IF(G67="","",VLOOKUP(G67,'Списки участников'!A:L,3,FALSE))</f>
        <v>#N/A</v>
      </c>
    </row>
    <row r="68" spans="1:8" ht="16.5" thickBot="1" x14ac:dyDescent="0.3">
      <c r="A68" s="499">
        <v>64</v>
      </c>
      <c r="B68" s="513">
        <v>8</v>
      </c>
      <c r="C68" s="757">
        <v>16</v>
      </c>
      <c r="D68" s="758">
        <v>2</v>
      </c>
      <c r="E68" s="497">
        <f>LOOKUP(C68,'Юноши 3ф'!A:A,'Юноши 3ф'!B:B)</f>
        <v>0</v>
      </c>
      <c r="F68" s="715" t="e">
        <f>IF(E68="","",VLOOKUP(E68,'Списки участников'!A:L,3,FALSE))</f>
        <v>#N/A</v>
      </c>
      <c r="G68" s="507">
        <f>LOOKUP(D68,'Юноши 3ф'!A:A,'Юноши 3ф'!B:B)</f>
        <v>0</v>
      </c>
      <c r="H68" s="715" t="e">
        <f>IF(G68="","",VLOOKUP(G68,'Списки участников'!A:L,3,FALSE))</f>
        <v>#N/A</v>
      </c>
    </row>
  </sheetData>
  <mergeCells count="13">
    <mergeCell ref="A1:P1"/>
    <mergeCell ref="A3:A4"/>
    <mergeCell ref="B3:B4"/>
    <mergeCell ref="C3:D4"/>
    <mergeCell ref="E3:E4"/>
    <mergeCell ref="F3:F4"/>
    <mergeCell ref="I2:M2"/>
    <mergeCell ref="H3:H4"/>
    <mergeCell ref="I3:I4"/>
    <mergeCell ref="J3:J4"/>
    <mergeCell ref="K3:L4"/>
    <mergeCell ref="N3:N4"/>
    <mergeCell ref="P3:P4"/>
  </mergeCells>
  <pageMargins left="0.31496062992125984" right="0.31496062992125984" top="0.35433070866141736" bottom="0.35433070866141736" header="0.31496062992125984" footer="0.31496062992125984"/>
  <pageSetup paperSize="9" scale="6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7030A0"/>
  </sheetPr>
  <dimension ref="A1:T68"/>
  <sheetViews>
    <sheetView zoomScaleNormal="100" workbookViewId="0">
      <selection activeCell="P76" sqref="P76"/>
    </sheetView>
  </sheetViews>
  <sheetFormatPr defaultRowHeight="12.75" outlineLevelCol="1" x14ac:dyDescent="0.2"/>
  <cols>
    <col min="1" max="1" width="6.6640625" customWidth="1"/>
    <col min="2" max="2" width="4.5" customWidth="1"/>
    <col min="3" max="4" width="5" customWidth="1"/>
    <col min="5" max="5" width="8" hidden="1" customWidth="1" outlineLevel="1"/>
    <col min="6" max="6" width="29.1640625" customWidth="1" collapsed="1"/>
    <col min="7" max="7" width="9.33203125" hidden="1" customWidth="1" outlineLevel="1"/>
    <col min="8" max="8" width="29.1640625" customWidth="1" collapsed="1"/>
    <col min="9" max="9" width="6.6640625" customWidth="1"/>
    <col min="10" max="10" width="4.83203125" customWidth="1"/>
    <col min="11" max="12" width="5" customWidth="1"/>
    <col min="13" max="13" width="9.33203125" hidden="1" customWidth="1" outlineLevel="1"/>
    <col min="14" max="14" width="29.1640625" customWidth="1" collapsed="1"/>
    <col min="15" max="15" width="9.33203125" hidden="1" customWidth="1" outlineLevel="1"/>
    <col min="16" max="16" width="29.1640625" customWidth="1" collapsed="1"/>
  </cols>
  <sheetData>
    <row r="1" spans="1:20" ht="21.75" customHeight="1" x14ac:dyDescent="0.3">
      <c r="A1" s="1301" t="str">
        <f>'Списки участников'!A1</f>
        <v>IV Мемориал Заслуженного тренера России В.А.Воробьева</v>
      </c>
      <c r="B1" s="1301"/>
      <c r="C1" s="1301"/>
      <c r="D1" s="1301"/>
      <c r="E1" s="1301"/>
      <c r="F1" s="1301"/>
      <c r="G1" s="1301"/>
      <c r="H1" s="1301"/>
      <c r="I1" s="1301"/>
      <c r="J1" s="1301"/>
      <c r="K1" s="1301"/>
      <c r="L1" s="1301"/>
      <c r="M1" s="1301"/>
      <c r="N1" s="1301"/>
      <c r="O1" s="1301"/>
      <c r="P1" s="1301"/>
    </row>
    <row r="2" spans="1:20" ht="16.5" thickBot="1" x14ac:dyDescent="0.3">
      <c r="A2" s="699" t="str">
        <f>'Списки участников'!C3</f>
        <v>26-29 мая 2016 г.</v>
      </c>
      <c r="B2" s="699"/>
      <c r="C2" s="699"/>
      <c r="D2" s="699"/>
      <c r="E2" s="698" t="s">
        <v>1131</v>
      </c>
      <c r="F2" s="698"/>
      <c r="G2" s="698"/>
      <c r="H2" s="811" t="s">
        <v>1149</v>
      </c>
      <c r="I2" s="1328" t="str">
        <f>'Списки участников'!D6</f>
        <v>ЮНОШИ</v>
      </c>
      <c r="J2" s="1329"/>
      <c r="K2" s="1329"/>
      <c r="L2" s="1329"/>
      <c r="M2" s="698"/>
      <c r="N2" s="698"/>
      <c r="P2" s="697" t="str">
        <f>'Списки участников'!I3</f>
        <v>г. Москва</v>
      </c>
    </row>
    <row r="3" spans="1:20" ht="16.5" customHeight="1" x14ac:dyDescent="0.25">
      <c r="A3" s="1302" t="s">
        <v>1132</v>
      </c>
      <c r="B3" s="1304" t="s">
        <v>1000</v>
      </c>
      <c r="C3" s="1318" t="s">
        <v>3</v>
      </c>
      <c r="D3" s="1319"/>
      <c r="E3" s="1306"/>
      <c r="F3" s="1308" t="s">
        <v>4</v>
      </c>
      <c r="G3" s="693"/>
      <c r="H3" s="1310" t="s">
        <v>4</v>
      </c>
      <c r="I3" s="1312" t="s">
        <v>1132</v>
      </c>
      <c r="J3" s="1314" t="s">
        <v>1000</v>
      </c>
      <c r="K3" s="1324" t="s">
        <v>3</v>
      </c>
      <c r="L3" s="1325"/>
      <c r="M3" s="745"/>
      <c r="N3" s="1316" t="s">
        <v>4</v>
      </c>
      <c r="O3" s="694"/>
      <c r="P3" s="1299" t="s">
        <v>4</v>
      </c>
      <c r="R3" s="113"/>
      <c r="S3" s="113"/>
      <c r="T3" s="113"/>
    </row>
    <row r="4" spans="1:20" ht="16.5" thickBot="1" x14ac:dyDescent="0.3">
      <c r="A4" s="1303"/>
      <c r="B4" s="1305"/>
      <c r="C4" s="1320"/>
      <c r="D4" s="1321"/>
      <c r="E4" s="1307"/>
      <c r="F4" s="1309"/>
      <c r="G4" s="695"/>
      <c r="H4" s="1311"/>
      <c r="I4" s="1313"/>
      <c r="J4" s="1315"/>
      <c r="K4" s="1326"/>
      <c r="L4" s="1327"/>
      <c r="M4" s="746"/>
      <c r="N4" s="1317"/>
      <c r="O4" s="696"/>
      <c r="P4" s="1300"/>
      <c r="R4" s="113"/>
      <c r="S4" s="113"/>
      <c r="T4" s="113"/>
    </row>
    <row r="5" spans="1:20" ht="15.75" x14ac:dyDescent="0.25">
      <c r="A5" s="717">
        <v>1</v>
      </c>
      <c r="B5" s="495">
        <v>1</v>
      </c>
      <c r="C5" s="755">
        <v>1</v>
      </c>
      <c r="D5" s="756">
        <v>16</v>
      </c>
      <c r="E5" s="497">
        <f>LOOKUP(C5,'Юноши 4ф'!A:A,'Юноши 4ф'!B:B)</f>
        <v>0</v>
      </c>
      <c r="F5" s="718" t="e">
        <f>IF(E5="","",VLOOKUP(E5,'Списки участников'!A:L,3,FALSE))</f>
        <v>#N/A</v>
      </c>
      <c r="G5" s="498">
        <f>LOOKUP(D5,'Юноши 4ф'!A:A,'Юноши 4ф'!B:B)</f>
        <v>0</v>
      </c>
      <c r="H5" s="718" t="e">
        <f>IF(G5="","",VLOOKUP(G5,'Списки участников'!A:L,3,FALSE))</f>
        <v>#N/A</v>
      </c>
      <c r="I5" s="717">
        <v>65</v>
      </c>
      <c r="J5" s="509">
        <v>9</v>
      </c>
      <c r="K5" s="760">
        <v>1</v>
      </c>
      <c r="L5" s="760">
        <v>8</v>
      </c>
      <c r="M5" s="498">
        <f>LOOKUP(K5,'Юноши 4ф'!A:A,'Юноши 4ф'!B:B)</f>
        <v>0</v>
      </c>
      <c r="N5" s="718" t="e">
        <f>IF(M5="","",VLOOKUP(M5,'Списки участников'!A:L,3,FALSE))</f>
        <v>#N/A</v>
      </c>
      <c r="O5" s="498">
        <f>LOOKUP(L5,'Юноши 4ф'!A:A,'Юноши 4ф'!B:B)</f>
        <v>0</v>
      </c>
      <c r="P5" s="718" t="e">
        <f>IF(O5="","",VLOOKUP(O5,'Списки участников'!A:L,3,FALSE))</f>
        <v>#N/A</v>
      </c>
      <c r="Q5" s="766">
        <v>1</v>
      </c>
      <c r="R5" s="766">
        <v>1</v>
      </c>
      <c r="S5" s="113"/>
      <c r="T5" s="113"/>
    </row>
    <row r="6" spans="1:20" ht="15.75" x14ac:dyDescent="0.25">
      <c r="A6" s="499">
        <v>2</v>
      </c>
      <c r="B6" s="500">
        <v>1</v>
      </c>
      <c r="C6" s="755">
        <v>2</v>
      </c>
      <c r="D6" s="756">
        <v>15</v>
      </c>
      <c r="E6" s="497">
        <f>LOOKUP(C6,'Юноши 4ф'!A:A,'Юноши 4ф'!B:B)</f>
        <v>0</v>
      </c>
      <c r="F6" s="718" t="e">
        <f>IF(E6="","",VLOOKUP(E6,'Списки участников'!A:L,3,FALSE))</f>
        <v>#N/A</v>
      </c>
      <c r="G6" s="498">
        <f>LOOKUP(D6,'Юноши 4ф'!A:A,'Юноши 4ф'!B:B)</f>
        <v>0</v>
      </c>
      <c r="H6" s="718" t="e">
        <f>IF(G6="","",VLOOKUP(G6,'Списки участников'!A:L,3,FALSE))</f>
        <v>#N/A</v>
      </c>
      <c r="I6" s="499">
        <v>66</v>
      </c>
      <c r="J6" s="509">
        <v>9</v>
      </c>
      <c r="K6" s="756">
        <v>9</v>
      </c>
      <c r="L6" s="756">
        <v>7</v>
      </c>
      <c r="M6" s="498">
        <f>LOOKUP(K6,'Юноши 4ф'!A:A,'Юноши 4ф'!B:B)</f>
        <v>0</v>
      </c>
      <c r="N6" s="718" t="e">
        <f>IF(M6="","",VLOOKUP(M6,'Списки участников'!A:L,3,FALSE))</f>
        <v>#N/A</v>
      </c>
      <c r="O6" s="498">
        <f>LOOKUP(L6,'Юноши 4ф'!A:A,'Юноши 4ф'!B:B)</f>
        <v>0</v>
      </c>
      <c r="P6" s="718" t="e">
        <f>IF(O6="","",VLOOKUP(O6,'Списки участников'!A:L,3,FALSE))</f>
        <v>#N/A</v>
      </c>
      <c r="Q6" s="766">
        <v>2</v>
      </c>
      <c r="R6" s="766">
        <v>9</v>
      </c>
      <c r="S6" s="113"/>
      <c r="T6" s="113"/>
    </row>
    <row r="7" spans="1:20" ht="15.75" x14ac:dyDescent="0.25">
      <c r="A7" s="499">
        <v>3</v>
      </c>
      <c r="B7" s="500">
        <v>1</v>
      </c>
      <c r="C7" s="755">
        <v>3</v>
      </c>
      <c r="D7" s="756">
        <v>14</v>
      </c>
      <c r="E7" s="497">
        <f>LOOKUP(C7,'Юноши 4ф'!A:A,'Юноши 4ф'!B:B)</f>
        <v>0</v>
      </c>
      <c r="F7" s="718" t="e">
        <f>IF(E7="","",VLOOKUP(E7,'Списки участников'!A:L,3,FALSE))</f>
        <v>#N/A</v>
      </c>
      <c r="G7" s="498">
        <f>LOOKUP(D7,'Юноши 4ф'!A:A,'Юноши 4ф'!B:B)</f>
        <v>0</v>
      </c>
      <c r="H7" s="718" t="e">
        <f>IF(G7="","",VLOOKUP(G7,'Списки участников'!A:L,3,FALSE))</f>
        <v>#N/A</v>
      </c>
      <c r="I7" s="499">
        <v>67</v>
      </c>
      <c r="J7" s="509">
        <v>9</v>
      </c>
      <c r="K7" s="756">
        <v>10</v>
      </c>
      <c r="L7" s="756">
        <v>6</v>
      </c>
      <c r="M7" s="498">
        <f>LOOKUP(K7,'Юноши 4ф'!A:A,'Юноши 4ф'!B:B)</f>
        <v>0</v>
      </c>
      <c r="N7" s="718" t="e">
        <f>IF(M7="","",VLOOKUP(M7,'Списки участников'!A:L,3,FALSE))</f>
        <v>#N/A</v>
      </c>
      <c r="O7" s="498">
        <f>LOOKUP(L7,'Юноши 4ф'!A:A,'Юноши 4ф'!B:B)</f>
        <v>0</v>
      </c>
      <c r="P7" s="718" t="e">
        <f>IF(O7="","",VLOOKUP(O7,'Списки участников'!A:L,3,FALSE))</f>
        <v>#N/A</v>
      </c>
      <c r="Q7" s="766">
        <v>3</v>
      </c>
      <c r="R7" s="766">
        <v>17</v>
      </c>
      <c r="S7" s="113"/>
      <c r="T7" s="113"/>
    </row>
    <row r="8" spans="1:20" ht="15.75" x14ac:dyDescent="0.25">
      <c r="A8" s="499">
        <v>4</v>
      </c>
      <c r="B8" s="500">
        <v>1</v>
      </c>
      <c r="C8" s="755">
        <v>4</v>
      </c>
      <c r="D8" s="756">
        <v>13</v>
      </c>
      <c r="E8" s="497">
        <f>LOOKUP(C8,'Юноши 4ф'!A:A,'Юноши 4ф'!B:B)</f>
        <v>0</v>
      </c>
      <c r="F8" s="718" t="e">
        <f>IF(E8="","",VLOOKUP(E8,'Списки участников'!A:L,3,FALSE))</f>
        <v>#N/A</v>
      </c>
      <c r="G8" s="498">
        <f>LOOKUP(D8,'Юноши 4ф'!A:A,'Юноши 4ф'!B:B)</f>
        <v>0</v>
      </c>
      <c r="H8" s="718" t="e">
        <f>IF(G8="","",VLOOKUP(G8,'Списки участников'!A:L,3,FALSE))</f>
        <v>#N/A</v>
      </c>
      <c r="I8" s="499">
        <v>68</v>
      </c>
      <c r="J8" s="509">
        <v>9</v>
      </c>
      <c r="K8" s="756">
        <v>11</v>
      </c>
      <c r="L8" s="756">
        <v>5</v>
      </c>
      <c r="M8" s="498">
        <f>LOOKUP(K8,'Юноши 4ф'!A:A,'Юноши 4ф'!B:B)</f>
        <v>0</v>
      </c>
      <c r="N8" s="718" t="e">
        <f>IF(M8="","",VLOOKUP(M8,'Списки участников'!A:L,3,FALSE))</f>
        <v>#N/A</v>
      </c>
      <c r="O8" s="498">
        <f>LOOKUP(L8,'Юноши 4ф'!A:A,'Юноши 4ф'!B:B)</f>
        <v>0</v>
      </c>
      <c r="P8" s="718" t="e">
        <f>IF(O8="","",VLOOKUP(O8,'Списки участников'!A:L,3,FALSE))</f>
        <v>#N/A</v>
      </c>
      <c r="Q8" s="766">
        <v>4</v>
      </c>
      <c r="R8" s="766">
        <v>25</v>
      </c>
      <c r="S8" s="113"/>
      <c r="T8" s="113"/>
    </row>
    <row r="9" spans="1:20" ht="15.75" x14ac:dyDescent="0.25">
      <c r="A9" s="499">
        <v>5</v>
      </c>
      <c r="B9" s="502">
        <v>1</v>
      </c>
      <c r="C9" s="755">
        <v>5</v>
      </c>
      <c r="D9" s="756">
        <v>12</v>
      </c>
      <c r="E9" s="497">
        <f>LOOKUP(C9,'Юноши 4ф'!A:A,'Юноши 4ф'!B:B)</f>
        <v>0</v>
      </c>
      <c r="F9" s="718" t="e">
        <f>IF(E9="","",VLOOKUP(E9,'Списки участников'!A:L,3,FALSE))</f>
        <v>#N/A</v>
      </c>
      <c r="G9" s="498">
        <f>LOOKUP(D9,'Юноши 4ф'!A:A,'Юноши 4ф'!B:B)</f>
        <v>0</v>
      </c>
      <c r="H9" s="718" t="e">
        <f>IF(G9="","",VLOOKUP(G9,'Списки участников'!A:L,3,FALSE))</f>
        <v>#N/A</v>
      </c>
      <c r="I9" s="499">
        <v>69</v>
      </c>
      <c r="J9" s="514">
        <v>9</v>
      </c>
      <c r="K9" s="756">
        <v>12</v>
      </c>
      <c r="L9" s="756">
        <v>4</v>
      </c>
      <c r="M9" s="498">
        <f>LOOKUP(K9,'Юноши 4ф'!A:A,'Юноши 4ф'!B:B)</f>
        <v>0</v>
      </c>
      <c r="N9" s="718" t="e">
        <f>IF(M9="","",VLOOKUP(M9,'Списки участников'!A:L,3,FALSE))</f>
        <v>#N/A</v>
      </c>
      <c r="O9" s="498">
        <f>LOOKUP(L9,'Юноши 4ф'!A:A,'Юноши 4ф'!B:B)</f>
        <v>0</v>
      </c>
      <c r="P9" s="718" t="e">
        <f>IF(O9="","",VLOOKUP(O9,'Списки участников'!A:L,3,FALSE))</f>
        <v>#N/A</v>
      </c>
      <c r="Q9" s="766">
        <v>5</v>
      </c>
      <c r="R9" s="766">
        <v>33</v>
      </c>
      <c r="S9" s="113"/>
      <c r="T9" s="113"/>
    </row>
    <row r="10" spans="1:20" ht="15.75" x14ac:dyDescent="0.25">
      <c r="A10" s="499">
        <v>6</v>
      </c>
      <c r="B10" s="500">
        <v>1</v>
      </c>
      <c r="C10" s="755">
        <v>6</v>
      </c>
      <c r="D10" s="756">
        <v>11</v>
      </c>
      <c r="E10" s="497">
        <f>LOOKUP(C10,'Юноши 4ф'!A:A,'Юноши 4ф'!B:B)</f>
        <v>0</v>
      </c>
      <c r="F10" s="718" t="e">
        <f>IF(E10="","",VLOOKUP(E10,'Списки участников'!A:L,3,FALSE))</f>
        <v>#N/A</v>
      </c>
      <c r="G10" s="498">
        <f>LOOKUP(D10,'Юноши 4ф'!A:A,'Юноши 4ф'!B:B)</f>
        <v>0</v>
      </c>
      <c r="H10" s="718" t="e">
        <f>IF(G10="","",VLOOKUP(G10,'Списки участников'!A:L,3,FALSE))</f>
        <v>#N/A</v>
      </c>
      <c r="I10" s="499">
        <v>70</v>
      </c>
      <c r="J10" s="509">
        <v>9</v>
      </c>
      <c r="K10" s="762">
        <v>13</v>
      </c>
      <c r="L10" s="762">
        <v>3</v>
      </c>
      <c r="M10" s="498">
        <f>LOOKUP(K10,'Юноши 4ф'!A:A,'Юноши 4ф'!B:B)</f>
        <v>0</v>
      </c>
      <c r="N10" s="718" t="e">
        <f>IF(M10="","",VLOOKUP(M10,'Списки участников'!A:L,3,FALSE))</f>
        <v>#N/A</v>
      </c>
      <c r="O10" s="498">
        <f>LOOKUP(L10,'Юноши 4ф'!A:A,'Юноши 4ф'!B:B)</f>
        <v>0</v>
      </c>
      <c r="P10" s="718" t="e">
        <f>IF(O10="","",VLOOKUP(O10,'Списки участников'!A:L,3,FALSE))</f>
        <v>#N/A</v>
      </c>
      <c r="Q10" s="766">
        <v>6</v>
      </c>
      <c r="R10" s="766">
        <v>41</v>
      </c>
      <c r="S10" s="113"/>
      <c r="T10" s="113"/>
    </row>
    <row r="11" spans="1:20" ht="15.75" x14ac:dyDescent="0.25">
      <c r="A11" s="499">
        <v>7</v>
      </c>
      <c r="B11" s="500">
        <v>1</v>
      </c>
      <c r="C11" s="755">
        <v>7</v>
      </c>
      <c r="D11" s="756">
        <v>10</v>
      </c>
      <c r="E11" s="497">
        <f>LOOKUP(C11,'Юноши 4ф'!A:A,'Юноши 4ф'!B:B)</f>
        <v>0</v>
      </c>
      <c r="F11" s="718" t="e">
        <f>IF(E11="","",VLOOKUP(E11,'Списки участников'!A:L,3,FALSE))</f>
        <v>#N/A</v>
      </c>
      <c r="G11" s="498">
        <f>LOOKUP(D11,'Юноши 4ф'!A:A,'Юноши 4ф'!B:B)</f>
        <v>0</v>
      </c>
      <c r="H11" s="718" t="e">
        <f>IF(G11="","",VLOOKUP(G11,'Списки участников'!A:L,3,FALSE))</f>
        <v>#N/A</v>
      </c>
      <c r="I11" s="499">
        <v>71</v>
      </c>
      <c r="J11" s="509">
        <v>9</v>
      </c>
      <c r="K11" s="762">
        <v>14</v>
      </c>
      <c r="L11" s="762">
        <v>2</v>
      </c>
      <c r="M11" s="498">
        <f>LOOKUP(K11,'Юноши 4ф'!A:A,'Юноши 4ф'!B:B)</f>
        <v>0</v>
      </c>
      <c r="N11" s="718" t="e">
        <f>IF(M11="","",VLOOKUP(M11,'Списки участников'!A:L,3,FALSE))</f>
        <v>#N/A</v>
      </c>
      <c r="O11" s="498">
        <f>LOOKUP(L11,'Юноши 4ф'!A:A,'Юноши 4ф'!B:B)</f>
        <v>0</v>
      </c>
      <c r="P11" s="718" t="e">
        <f>IF(O11="","",VLOOKUP(O11,'Списки участников'!A:L,3,FALSE))</f>
        <v>#N/A</v>
      </c>
      <c r="Q11" s="766">
        <v>7</v>
      </c>
      <c r="R11" s="766">
        <v>49</v>
      </c>
      <c r="S11" s="113"/>
      <c r="T11" s="113"/>
    </row>
    <row r="12" spans="1:20" ht="16.5" thickBot="1" x14ac:dyDescent="0.3">
      <c r="A12" s="499">
        <v>8</v>
      </c>
      <c r="B12" s="505">
        <v>1</v>
      </c>
      <c r="C12" s="757">
        <v>8</v>
      </c>
      <c r="D12" s="758">
        <v>9</v>
      </c>
      <c r="E12" s="497">
        <f>LOOKUP(C12,'Юноши 4ф'!A:A,'Юноши 4ф'!B:B)</f>
        <v>0</v>
      </c>
      <c r="F12" s="747" t="e">
        <f>IF(E12="","",VLOOKUP(E12,'Списки участников'!A:L,3,FALSE))</f>
        <v>#N/A</v>
      </c>
      <c r="G12" s="748">
        <f>LOOKUP(D12,'Юноши 4ф'!A:A,'Юноши 4ф'!B:B)</f>
        <v>0</v>
      </c>
      <c r="H12" s="747" t="e">
        <f>IF(G12="","",VLOOKUP(G12,'Списки участников'!A:L,3,FALSE))</f>
        <v>#N/A</v>
      </c>
      <c r="I12" s="716">
        <v>72</v>
      </c>
      <c r="J12" s="513">
        <v>9</v>
      </c>
      <c r="K12" s="758">
        <v>15</v>
      </c>
      <c r="L12" s="758">
        <v>16</v>
      </c>
      <c r="M12" s="748">
        <f>LOOKUP(K12,'Юноши 4ф'!A:A,'Юноши 4ф'!B:B)</f>
        <v>0</v>
      </c>
      <c r="N12" s="747" t="e">
        <f>IF(M12="","",VLOOKUP(M12,'Списки участников'!A:L,3,FALSE))</f>
        <v>#N/A</v>
      </c>
      <c r="O12" s="748">
        <f>LOOKUP(L12,'Юноши 4ф'!A:A,'Юноши 4ф'!B:B)</f>
        <v>0</v>
      </c>
      <c r="P12" s="747" t="e">
        <f>IF(O12="","",VLOOKUP(O12,'Списки участников'!A:L,3,FALSE))</f>
        <v>#N/A</v>
      </c>
      <c r="Q12" s="766">
        <v>8</v>
      </c>
      <c r="R12" s="766">
        <v>57</v>
      </c>
    </row>
    <row r="13" spans="1:20" ht="17.25" x14ac:dyDescent="0.25">
      <c r="A13" s="499">
        <v>9</v>
      </c>
      <c r="B13" s="500">
        <v>2</v>
      </c>
      <c r="C13" s="759">
        <v>15</v>
      </c>
      <c r="D13" s="760">
        <v>1</v>
      </c>
      <c r="E13" s="497">
        <f>LOOKUP(C13,'Юноши 4ф'!A:A,'Юноши 4ф'!B:B)</f>
        <v>0</v>
      </c>
      <c r="F13" s="718" t="e">
        <f>IF(E13="","",VLOOKUP(E13,'Списки участников'!A:L,3,FALSE))</f>
        <v>#N/A</v>
      </c>
      <c r="G13" s="498">
        <f>LOOKUP(D13,'Юноши 4ф'!A:A,'Юноши 4ф'!B:B)</f>
        <v>0</v>
      </c>
      <c r="H13" s="718" t="e">
        <f>IF(G13="","",VLOOKUP(G13,'Списки участников'!A:L,3,FALSE))</f>
        <v>#N/A</v>
      </c>
      <c r="I13" s="717">
        <v>73</v>
      </c>
      <c r="J13" s="509">
        <v>10</v>
      </c>
      <c r="K13" s="760">
        <v>7</v>
      </c>
      <c r="L13" s="760">
        <v>1</v>
      </c>
      <c r="M13" s="498">
        <f>LOOKUP(K13,'Юноши 4ф'!A:A,'Юноши 4ф'!B:B)</f>
        <v>0</v>
      </c>
      <c r="N13" s="718" t="e">
        <f>IF(M13="","",VLOOKUP(M13,'Списки участников'!A:L,3,FALSE))</f>
        <v>#N/A</v>
      </c>
      <c r="O13" s="498">
        <f>LOOKUP(L13,'Юноши 4ф'!A:A,'Юноши 4ф'!B:B)</f>
        <v>0</v>
      </c>
      <c r="P13" s="718" t="e">
        <f>IF(O13="","",VLOOKUP(O13,'Списки участников'!A:L,3,FALSE))</f>
        <v>#N/A</v>
      </c>
      <c r="Q13" s="766">
        <v>9</v>
      </c>
      <c r="R13" s="766">
        <v>65</v>
      </c>
    </row>
    <row r="14" spans="1:20" ht="17.25" x14ac:dyDescent="0.25">
      <c r="A14" s="499">
        <v>10</v>
      </c>
      <c r="B14" s="500">
        <v>2</v>
      </c>
      <c r="C14" s="755">
        <v>16</v>
      </c>
      <c r="D14" s="756">
        <v>14</v>
      </c>
      <c r="E14" s="497">
        <f>LOOKUP(C14,'Юноши 4ф'!A:A,'Юноши 4ф'!B:B)</f>
        <v>0</v>
      </c>
      <c r="F14" s="718" t="e">
        <f>IF(E14="","",VLOOKUP(E14,'Списки участников'!A:L,3,FALSE))</f>
        <v>#N/A</v>
      </c>
      <c r="G14" s="498">
        <f>LOOKUP(D14,'Юноши 4ф'!A:A,'Юноши 4ф'!B:B)</f>
        <v>0</v>
      </c>
      <c r="H14" s="718" t="e">
        <f>IF(G14="","",VLOOKUP(G14,'Списки участников'!A:L,3,FALSE))</f>
        <v>#N/A</v>
      </c>
      <c r="I14" s="499">
        <v>74</v>
      </c>
      <c r="J14" s="509">
        <v>10</v>
      </c>
      <c r="K14" s="756">
        <v>8</v>
      </c>
      <c r="L14" s="760">
        <v>6</v>
      </c>
      <c r="M14" s="498">
        <f>LOOKUP(K14,'Юноши 4ф'!A:A,'Юноши 4ф'!B:B)</f>
        <v>0</v>
      </c>
      <c r="N14" s="718" t="e">
        <f>IF(M14="","",VLOOKUP(M14,'Списки участников'!A:L,3,FALSE))</f>
        <v>#N/A</v>
      </c>
      <c r="O14" s="498">
        <f>LOOKUP(L14,'Юноши 4ф'!A:A,'Юноши 4ф'!B:B)</f>
        <v>0</v>
      </c>
      <c r="P14" s="718" t="e">
        <f>IF(O14="","",VLOOKUP(O14,'Списки участников'!A:L,3,FALSE))</f>
        <v>#N/A</v>
      </c>
      <c r="Q14" s="766">
        <v>10</v>
      </c>
      <c r="R14" s="766">
        <v>73</v>
      </c>
    </row>
    <row r="15" spans="1:20" ht="17.25" x14ac:dyDescent="0.25">
      <c r="A15" s="499">
        <v>11</v>
      </c>
      <c r="B15" s="500">
        <v>2</v>
      </c>
      <c r="C15" s="755">
        <v>2</v>
      </c>
      <c r="D15" s="756">
        <v>13</v>
      </c>
      <c r="E15" s="497">
        <f>LOOKUP(C15,'Юноши 4ф'!A:A,'Юноши 4ф'!B:B)</f>
        <v>0</v>
      </c>
      <c r="F15" s="718" t="e">
        <f>IF(E15="","",VLOOKUP(E15,'Списки участников'!A:L,3,FALSE))</f>
        <v>#N/A</v>
      </c>
      <c r="G15" s="498">
        <f>LOOKUP(D15,'Юноши 4ф'!A:A,'Юноши 4ф'!B:B)</f>
        <v>0</v>
      </c>
      <c r="H15" s="718" t="e">
        <f>IF(G15="","",VLOOKUP(G15,'Списки участников'!A:L,3,FALSE))</f>
        <v>#N/A</v>
      </c>
      <c r="I15" s="499">
        <v>75</v>
      </c>
      <c r="J15" s="509">
        <v>10</v>
      </c>
      <c r="K15" s="756">
        <v>9</v>
      </c>
      <c r="L15" s="760">
        <v>5</v>
      </c>
      <c r="M15" s="498">
        <f>LOOKUP(K15,'Юноши 4ф'!A:A,'Юноши 4ф'!B:B)</f>
        <v>0</v>
      </c>
      <c r="N15" s="718" t="e">
        <f>IF(M15="","",VLOOKUP(M15,'Списки участников'!A:L,3,FALSE))</f>
        <v>#N/A</v>
      </c>
      <c r="O15" s="498">
        <f>LOOKUP(L15,'Юноши 4ф'!A:A,'Юноши 4ф'!B:B)</f>
        <v>0</v>
      </c>
      <c r="P15" s="718" t="e">
        <f>IF(O15="","",VLOOKUP(O15,'Списки участников'!A:L,3,FALSE))</f>
        <v>#N/A</v>
      </c>
      <c r="Q15" s="766">
        <v>11</v>
      </c>
      <c r="R15" s="766">
        <v>81</v>
      </c>
    </row>
    <row r="16" spans="1:20" ht="17.25" x14ac:dyDescent="0.25">
      <c r="A16" s="499">
        <v>12</v>
      </c>
      <c r="B16" s="500">
        <v>2</v>
      </c>
      <c r="C16" s="755">
        <v>3</v>
      </c>
      <c r="D16" s="756">
        <v>12</v>
      </c>
      <c r="E16" s="497">
        <f>LOOKUP(C16,'Юноши 4ф'!A:A,'Юноши 4ф'!B:B)</f>
        <v>0</v>
      </c>
      <c r="F16" s="718" t="e">
        <f>IF(E16="","",VLOOKUP(E16,'Списки участников'!A:L,3,FALSE))</f>
        <v>#N/A</v>
      </c>
      <c r="G16" s="498">
        <f>LOOKUP(D16,'Юноши 4ф'!A:A,'Юноши 4ф'!B:B)</f>
        <v>0</v>
      </c>
      <c r="H16" s="718" t="e">
        <f>IF(G16="","",VLOOKUP(G16,'Списки участников'!A:L,3,FALSE))</f>
        <v>#N/A</v>
      </c>
      <c r="I16" s="499">
        <v>76</v>
      </c>
      <c r="J16" s="509">
        <v>10</v>
      </c>
      <c r="K16" s="756">
        <v>10</v>
      </c>
      <c r="L16" s="760">
        <v>4</v>
      </c>
      <c r="M16" s="498">
        <f>LOOKUP(K16,'Юноши 4ф'!A:A,'Юноши 4ф'!B:B)</f>
        <v>0</v>
      </c>
      <c r="N16" s="718" t="e">
        <f>IF(M16="","",VLOOKUP(M16,'Списки участников'!A:L,3,FALSE))</f>
        <v>#N/A</v>
      </c>
      <c r="O16" s="498">
        <f>LOOKUP(L16,'Юноши 4ф'!A:A,'Юноши 4ф'!B:B)</f>
        <v>0</v>
      </c>
      <c r="P16" s="718" t="e">
        <f>IF(O16="","",VLOOKUP(O16,'Списки участников'!A:L,3,FALSE))</f>
        <v>#N/A</v>
      </c>
      <c r="Q16" s="766">
        <v>12</v>
      </c>
      <c r="R16" s="766">
        <v>89</v>
      </c>
    </row>
    <row r="17" spans="1:18" ht="17.25" x14ac:dyDescent="0.25">
      <c r="A17" s="499">
        <v>13</v>
      </c>
      <c r="B17" s="502">
        <v>2</v>
      </c>
      <c r="C17" s="755">
        <v>4</v>
      </c>
      <c r="D17" s="756">
        <v>11</v>
      </c>
      <c r="E17" s="497">
        <f>LOOKUP(C17,'Юноши 4ф'!A:A,'Юноши 4ф'!B:B)</f>
        <v>0</v>
      </c>
      <c r="F17" s="718" t="e">
        <f>IF(E17="","",VLOOKUP(E17,'Списки участников'!A:L,3,FALSE))</f>
        <v>#N/A</v>
      </c>
      <c r="G17" s="498">
        <f>LOOKUP(D17,'Юноши 4ф'!A:A,'Юноши 4ф'!B:B)</f>
        <v>0</v>
      </c>
      <c r="H17" s="718" t="e">
        <f>IF(G17="","",VLOOKUP(G17,'Списки участников'!A:L,3,FALSE))</f>
        <v>#N/A</v>
      </c>
      <c r="I17" s="499">
        <v>77</v>
      </c>
      <c r="J17" s="514">
        <v>10</v>
      </c>
      <c r="K17" s="756">
        <v>11</v>
      </c>
      <c r="L17" s="760">
        <v>3</v>
      </c>
      <c r="M17" s="498">
        <f>LOOKUP(K17,'Юноши 4ф'!A:A,'Юноши 4ф'!B:B)</f>
        <v>0</v>
      </c>
      <c r="N17" s="718" t="e">
        <f>IF(M17="","",VLOOKUP(M17,'Списки участников'!A:L,3,FALSE))</f>
        <v>#N/A</v>
      </c>
      <c r="O17" s="498">
        <f>LOOKUP(L17,'Юноши 4ф'!A:A,'Юноши 4ф'!B:B)</f>
        <v>0</v>
      </c>
      <c r="P17" s="718" t="e">
        <f>IF(O17="","",VLOOKUP(O17,'Списки участников'!A:L,3,FALSE))</f>
        <v>#N/A</v>
      </c>
      <c r="Q17" s="766">
        <v>13</v>
      </c>
      <c r="R17" s="766">
        <v>97</v>
      </c>
    </row>
    <row r="18" spans="1:18" ht="17.25" x14ac:dyDescent="0.25">
      <c r="A18" s="499">
        <v>14</v>
      </c>
      <c r="B18" s="500">
        <v>2</v>
      </c>
      <c r="C18" s="755">
        <v>5</v>
      </c>
      <c r="D18" s="756">
        <v>10</v>
      </c>
      <c r="E18" s="497">
        <f>LOOKUP(C18,'Юноши 4ф'!A:A,'Юноши 4ф'!B:B)</f>
        <v>0</v>
      </c>
      <c r="F18" s="718" t="e">
        <f>IF(E18="","",VLOOKUP(E18,'Списки участников'!A:L,3,FALSE))</f>
        <v>#N/A</v>
      </c>
      <c r="G18" s="498">
        <f>LOOKUP(D18,'Юноши 4ф'!A:A,'Юноши 4ф'!B:B)</f>
        <v>0</v>
      </c>
      <c r="H18" s="718" t="e">
        <f>IF(G18="","",VLOOKUP(G18,'Списки участников'!A:L,3,FALSE))</f>
        <v>#N/A</v>
      </c>
      <c r="I18" s="499">
        <v>78</v>
      </c>
      <c r="J18" s="509">
        <v>10</v>
      </c>
      <c r="K18" s="762">
        <v>12</v>
      </c>
      <c r="L18" s="756">
        <v>2</v>
      </c>
      <c r="M18" s="498">
        <f>LOOKUP(K18,'Юноши 4ф'!A:A,'Юноши 4ф'!B:B)</f>
        <v>0</v>
      </c>
      <c r="N18" s="718" t="e">
        <f>IF(M18="","",VLOOKUP(M18,'Списки участников'!A:L,3,FALSE))</f>
        <v>#N/A</v>
      </c>
      <c r="O18" s="498">
        <f>LOOKUP(L18,'Юноши 4ф'!A:A,'Юноши 4ф'!B:B)</f>
        <v>0</v>
      </c>
      <c r="P18" s="718" t="e">
        <f>IF(O18="","",VLOOKUP(O18,'Списки участников'!A:L,3,FALSE))</f>
        <v>#N/A</v>
      </c>
      <c r="Q18" s="766">
        <v>14</v>
      </c>
      <c r="R18" s="766">
        <v>105</v>
      </c>
    </row>
    <row r="19" spans="1:18" ht="17.25" x14ac:dyDescent="0.25">
      <c r="A19" s="499">
        <v>15</v>
      </c>
      <c r="B19" s="500">
        <v>2</v>
      </c>
      <c r="C19" s="755">
        <v>6</v>
      </c>
      <c r="D19" s="756">
        <v>9</v>
      </c>
      <c r="E19" s="497">
        <f>LOOKUP(C19,'Юноши 4ф'!A:A,'Юноши 4ф'!B:B)</f>
        <v>0</v>
      </c>
      <c r="F19" s="718" t="e">
        <f>IF(E19="","",VLOOKUP(E19,'Списки участников'!A:L,3,FALSE))</f>
        <v>#N/A</v>
      </c>
      <c r="G19" s="498">
        <f>LOOKUP(D19,'Юноши 4ф'!A:A,'Юноши 4ф'!B:B)</f>
        <v>0</v>
      </c>
      <c r="H19" s="718" t="e">
        <f>IF(G19="","",VLOOKUP(G19,'Списки участников'!A:L,3,FALSE))</f>
        <v>#N/A</v>
      </c>
      <c r="I19" s="499">
        <v>79</v>
      </c>
      <c r="J19" s="509">
        <v>10</v>
      </c>
      <c r="K19" s="762">
        <v>13</v>
      </c>
      <c r="L19" s="756">
        <v>16</v>
      </c>
      <c r="M19" s="498">
        <f>LOOKUP(K19,'Юноши 4ф'!A:A,'Юноши 4ф'!B:B)</f>
        <v>0</v>
      </c>
      <c r="N19" s="718" t="e">
        <f>IF(M19="","",VLOOKUP(M19,'Списки участников'!A:L,3,FALSE))</f>
        <v>#N/A</v>
      </c>
      <c r="O19" s="498">
        <f>LOOKUP(L19,'Юноши 4ф'!A:A,'Юноши 4ф'!B:B)</f>
        <v>0</v>
      </c>
      <c r="P19" s="718" t="e">
        <f>IF(O19="","",VLOOKUP(O19,'Списки участников'!A:L,3,FALSE))</f>
        <v>#N/A</v>
      </c>
      <c r="Q19" s="766">
        <v>15</v>
      </c>
      <c r="R19" s="766">
        <v>113</v>
      </c>
    </row>
    <row r="20" spans="1:18" ht="18" thickBot="1" x14ac:dyDescent="0.3">
      <c r="A20" s="499">
        <v>16</v>
      </c>
      <c r="B20" s="505">
        <v>2</v>
      </c>
      <c r="C20" s="757">
        <v>7</v>
      </c>
      <c r="D20" s="758">
        <v>8</v>
      </c>
      <c r="E20" s="507">
        <f>LOOKUP(C20,'Юноши 4ф'!A:A,'Юноши 4ф'!B:B)</f>
        <v>0</v>
      </c>
      <c r="F20" s="747" t="e">
        <f>IF(E20="","",VLOOKUP(E20,'Списки участников'!A:L,3,FALSE))</f>
        <v>#N/A</v>
      </c>
      <c r="G20" s="748">
        <f>LOOKUP(D20,'Юноши 4ф'!A:A,'Юноши 4ф'!B:B)</f>
        <v>0</v>
      </c>
      <c r="H20" s="747" t="e">
        <f>IF(G20="","",VLOOKUP(G20,'Списки участников'!A:L,3,FALSE))</f>
        <v>#N/A</v>
      </c>
      <c r="I20" s="716">
        <v>80</v>
      </c>
      <c r="J20" s="513">
        <v>10</v>
      </c>
      <c r="K20" s="758">
        <v>14</v>
      </c>
      <c r="L20" s="763">
        <v>15</v>
      </c>
      <c r="M20" s="748">
        <f>LOOKUP(K20,'Юноши 4ф'!A:A,'Юноши 4ф'!B:B)</f>
        <v>0</v>
      </c>
      <c r="N20" s="747" t="e">
        <f>IF(M20="","",VLOOKUP(M20,'Списки участников'!A:L,3,FALSE))</f>
        <v>#N/A</v>
      </c>
      <c r="O20" s="748">
        <f>LOOKUP(L20,'Юноши 4ф'!A:A,'Юноши 4ф'!B:B)</f>
        <v>0</v>
      </c>
      <c r="P20" s="747" t="e">
        <f>IF(O20="","",VLOOKUP(O20,'Списки участников'!A:L,3,FALSE))</f>
        <v>#N/A</v>
      </c>
      <c r="Q20" s="766"/>
      <c r="R20" s="766"/>
    </row>
    <row r="21" spans="1:18" ht="17.25" x14ac:dyDescent="0.25">
      <c r="A21" s="499">
        <v>17</v>
      </c>
      <c r="B21" s="509">
        <v>3</v>
      </c>
      <c r="C21" s="759">
        <v>1</v>
      </c>
      <c r="D21" s="760">
        <v>14</v>
      </c>
      <c r="E21" s="498">
        <f>LOOKUP(C21,'Юноши 4ф'!A:A,'Юноши 4ф'!B:B)</f>
        <v>0</v>
      </c>
      <c r="F21" s="718" t="e">
        <f>IF(E21="","",VLOOKUP(E21,'Списки участников'!A:L,3,FALSE))</f>
        <v>#N/A</v>
      </c>
      <c r="G21" s="498">
        <f>LOOKUP(D21,'Юноши 4ф'!A:A,'Юноши 4ф'!B:B)</f>
        <v>0</v>
      </c>
      <c r="H21" s="718" t="e">
        <f>IF(G21="","",VLOOKUP(G21,'Списки участников'!A:L,3,FALSE))</f>
        <v>#N/A</v>
      </c>
      <c r="I21" s="717">
        <v>81</v>
      </c>
      <c r="J21" s="509">
        <v>11</v>
      </c>
      <c r="K21" s="760">
        <v>1</v>
      </c>
      <c r="L21" s="760">
        <v>6</v>
      </c>
      <c r="M21" s="498">
        <f>LOOKUP(K21,'Юноши 4ф'!A:A,'Юноши 4ф'!B:B)</f>
        <v>0</v>
      </c>
      <c r="N21" s="718" t="e">
        <f>IF(M21="","",VLOOKUP(M21,'Списки участников'!A:L,3,FALSE))</f>
        <v>#N/A</v>
      </c>
      <c r="O21" s="498">
        <f>LOOKUP(L21,'Юноши 4ф'!A:A,'Юноши 4ф'!B:B)</f>
        <v>0</v>
      </c>
      <c r="P21" s="718" t="e">
        <f>IF(O21="","",VLOOKUP(O21,'Списки участников'!A:L,3,FALSE))</f>
        <v>#N/A</v>
      </c>
    </row>
    <row r="22" spans="1:18" ht="17.25" x14ac:dyDescent="0.25">
      <c r="A22" s="499">
        <v>18</v>
      </c>
      <c r="B22" s="509">
        <v>3</v>
      </c>
      <c r="C22" s="755">
        <v>15</v>
      </c>
      <c r="D22" s="756">
        <v>13</v>
      </c>
      <c r="E22" s="497">
        <f>LOOKUP(C22,'Юноши 4ф'!A:A,'Юноши 4ф'!B:B)</f>
        <v>0</v>
      </c>
      <c r="F22" s="718" t="e">
        <f>IF(E22="","",VLOOKUP(E22,'Списки участников'!A:L,3,FALSE))</f>
        <v>#N/A</v>
      </c>
      <c r="G22" s="498">
        <f>LOOKUP(D22,'Юноши 4ф'!A:A,'Юноши 4ф'!B:B)</f>
        <v>0</v>
      </c>
      <c r="H22" s="718" t="e">
        <f>IF(G22="","",VLOOKUP(G22,'Списки участников'!A:L,3,FALSE))</f>
        <v>#N/A</v>
      </c>
      <c r="I22" s="499">
        <v>82</v>
      </c>
      <c r="J22" s="509">
        <v>11</v>
      </c>
      <c r="K22" s="756">
        <v>7</v>
      </c>
      <c r="L22" s="756">
        <v>5</v>
      </c>
      <c r="M22" s="498">
        <f>LOOKUP(K22,'Юноши 4ф'!A:A,'Юноши 4ф'!B:B)</f>
        <v>0</v>
      </c>
      <c r="N22" s="718" t="e">
        <f>IF(M22="","",VLOOKUP(M22,'Списки участников'!A:L,3,FALSE))</f>
        <v>#N/A</v>
      </c>
      <c r="O22" s="498">
        <f>LOOKUP(L22,'Юноши 4ф'!A:A,'Юноши 4ф'!B:B)</f>
        <v>0</v>
      </c>
      <c r="P22" s="718" t="e">
        <f>IF(O22="","",VLOOKUP(O22,'Списки участников'!A:L,3,FALSE))</f>
        <v>#N/A</v>
      </c>
    </row>
    <row r="23" spans="1:18" ht="17.25" x14ac:dyDescent="0.25">
      <c r="A23" s="499">
        <v>19</v>
      </c>
      <c r="B23" s="509">
        <v>3</v>
      </c>
      <c r="C23" s="755">
        <v>16</v>
      </c>
      <c r="D23" s="756">
        <v>12</v>
      </c>
      <c r="E23" s="497">
        <f>LOOKUP(C23,'Юноши 4ф'!A:A,'Юноши 4ф'!B:B)</f>
        <v>0</v>
      </c>
      <c r="F23" s="718" t="e">
        <f>IF(E23="","",VLOOKUP(E23,'Списки участников'!A:L,3,FALSE))</f>
        <v>#N/A</v>
      </c>
      <c r="G23" s="498">
        <f>LOOKUP(D23,'Юноши 4ф'!A:A,'Юноши 4ф'!B:B)</f>
        <v>0</v>
      </c>
      <c r="H23" s="718" t="e">
        <f>IF(G23="","",VLOOKUP(G23,'Списки участников'!A:L,3,FALSE))</f>
        <v>#N/A</v>
      </c>
      <c r="I23" s="499">
        <v>83</v>
      </c>
      <c r="J23" s="509">
        <v>11</v>
      </c>
      <c r="K23" s="756">
        <v>8</v>
      </c>
      <c r="L23" s="756">
        <v>4</v>
      </c>
      <c r="M23" s="498">
        <f>LOOKUP(K23,'Юноши 4ф'!A:A,'Юноши 4ф'!B:B)</f>
        <v>0</v>
      </c>
      <c r="N23" s="718" t="e">
        <f>IF(M23="","",VLOOKUP(M23,'Списки участников'!A:L,3,FALSE))</f>
        <v>#N/A</v>
      </c>
      <c r="O23" s="498">
        <f>LOOKUP(L23,'Юноши 4ф'!A:A,'Юноши 4ф'!B:B)</f>
        <v>0</v>
      </c>
      <c r="P23" s="718" t="e">
        <f>IF(O23="","",VLOOKUP(O23,'Списки участников'!A:L,3,FALSE))</f>
        <v>#N/A</v>
      </c>
    </row>
    <row r="24" spans="1:18" ht="17.25" x14ac:dyDescent="0.25">
      <c r="A24" s="499">
        <v>20</v>
      </c>
      <c r="B24" s="509">
        <v>3</v>
      </c>
      <c r="C24" s="755">
        <v>2</v>
      </c>
      <c r="D24" s="756">
        <v>11</v>
      </c>
      <c r="E24" s="497">
        <f>LOOKUP(C24,'Юноши 4ф'!A:A,'Юноши 4ф'!B:B)</f>
        <v>0</v>
      </c>
      <c r="F24" s="718" t="e">
        <f>IF(E24="","",VLOOKUP(E24,'Списки участников'!A:L,3,FALSE))</f>
        <v>#N/A</v>
      </c>
      <c r="G24" s="498">
        <f>LOOKUP(D24,'Юноши 4ф'!A:A,'Юноши 4ф'!B:B)</f>
        <v>0</v>
      </c>
      <c r="H24" s="718" t="e">
        <f>IF(G24="","",VLOOKUP(G24,'Списки участников'!A:L,3,FALSE))</f>
        <v>#N/A</v>
      </c>
      <c r="I24" s="499">
        <v>84</v>
      </c>
      <c r="J24" s="509">
        <v>11</v>
      </c>
      <c r="K24" s="756">
        <v>9</v>
      </c>
      <c r="L24" s="756">
        <v>3</v>
      </c>
      <c r="M24" s="498">
        <f>LOOKUP(K24,'Юноши 4ф'!A:A,'Юноши 4ф'!B:B)</f>
        <v>0</v>
      </c>
      <c r="N24" s="718" t="e">
        <f>IF(M24="","",VLOOKUP(M24,'Списки участников'!A:L,3,FALSE))</f>
        <v>#N/A</v>
      </c>
      <c r="O24" s="498">
        <f>LOOKUP(L24,'Юноши 4ф'!A:A,'Юноши 4ф'!B:B)</f>
        <v>0</v>
      </c>
      <c r="P24" s="718" t="e">
        <f>IF(O24="","",VLOOKUP(O24,'Списки участников'!A:L,3,FALSE))</f>
        <v>#N/A</v>
      </c>
    </row>
    <row r="25" spans="1:18" ht="17.25" x14ac:dyDescent="0.25">
      <c r="A25" s="499">
        <v>21</v>
      </c>
      <c r="B25" s="502">
        <v>3</v>
      </c>
      <c r="C25" s="755">
        <v>3</v>
      </c>
      <c r="D25" s="756">
        <v>10</v>
      </c>
      <c r="E25" s="497">
        <f>LOOKUP(C25,'Юноши 4ф'!A:A,'Юноши 4ф'!B:B)</f>
        <v>0</v>
      </c>
      <c r="F25" s="718" t="e">
        <f>IF(E25="","",VLOOKUP(E25,'Списки участников'!A:L,3,FALSE))</f>
        <v>#N/A</v>
      </c>
      <c r="G25" s="498">
        <f>LOOKUP(D25,'Юноши 4ф'!A:A,'Юноши 4ф'!B:B)</f>
        <v>0</v>
      </c>
      <c r="H25" s="718" t="e">
        <f>IF(G25="","",VLOOKUP(G25,'Списки участников'!A:L,3,FALSE))</f>
        <v>#N/A</v>
      </c>
      <c r="I25" s="499">
        <v>85</v>
      </c>
      <c r="J25" s="509">
        <v>11</v>
      </c>
      <c r="K25" s="756">
        <v>10</v>
      </c>
      <c r="L25" s="756">
        <v>2</v>
      </c>
      <c r="M25" s="498">
        <f>LOOKUP(K25,'Юноши 4ф'!A:A,'Юноши 4ф'!B:B)</f>
        <v>0</v>
      </c>
      <c r="N25" s="718" t="e">
        <f>IF(M25="","",VLOOKUP(M25,'Списки участников'!A:L,3,FALSE))</f>
        <v>#N/A</v>
      </c>
      <c r="O25" s="498">
        <f>LOOKUP(L25,'Юноши 4ф'!A:A,'Юноши 4ф'!B:B)</f>
        <v>0</v>
      </c>
      <c r="P25" s="718" t="e">
        <f>IF(O25="","",VLOOKUP(O25,'Списки участников'!A:L,3,FALSE))</f>
        <v>#N/A</v>
      </c>
    </row>
    <row r="26" spans="1:18" ht="17.25" x14ac:dyDescent="0.25">
      <c r="A26" s="499">
        <v>22</v>
      </c>
      <c r="B26" s="509">
        <v>3</v>
      </c>
      <c r="C26" s="755">
        <v>4</v>
      </c>
      <c r="D26" s="756">
        <v>9</v>
      </c>
      <c r="E26" s="497">
        <f>LOOKUP(C26,'Юноши 4ф'!A:A,'Юноши 4ф'!B:B)</f>
        <v>0</v>
      </c>
      <c r="F26" s="718" t="e">
        <f>IF(E26="","",VLOOKUP(E26,'Списки участников'!A:L,3,FALSE))</f>
        <v>#N/A</v>
      </c>
      <c r="G26" s="498">
        <f>LOOKUP(D26,'Юноши 4ф'!A:A,'Юноши 4ф'!B:B)</f>
        <v>0</v>
      </c>
      <c r="H26" s="718" t="e">
        <f>IF(G26="","",VLOOKUP(G26,'Списки участников'!A:L,3,FALSE))</f>
        <v>#N/A</v>
      </c>
      <c r="I26" s="499">
        <v>86</v>
      </c>
      <c r="J26" s="509">
        <v>11</v>
      </c>
      <c r="K26" s="762">
        <v>11</v>
      </c>
      <c r="L26" s="762">
        <v>16</v>
      </c>
      <c r="M26" s="498">
        <f>LOOKUP(K26,'Юноши 4ф'!A:A,'Юноши 4ф'!B:B)</f>
        <v>0</v>
      </c>
      <c r="N26" s="718" t="e">
        <f>IF(M26="","",VLOOKUP(M26,'Списки участников'!A:L,3,FALSE))</f>
        <v>#N/A</v>
      </c>
      <c r="O26" s="498">
        <f>LOOKUP(L26,'Юноши 4ф'!A:A,'Юноши 4ф'!B:B)</f>
        <v>0</v>
      </c>
      <c r="P26" s="718" t="e">
        <f>IF(O26="","",VLOOKUP(O26,'Списки участников'!A:L,3,FALSE))</f>
        <v>#N/A</v>
      </c>
    </row>
    <row r="27" spans="1:18" ht="17.25" x14ac:dyDescent="0.25">
      <c r="A27" s="499">
        <v>23</v>
      </c>
      <c r="B27" s="509">
        <v>3</v>
      </c>
      <c r="C27" s="755">
        <v>5</v>
      </c>
      <c r="D27" s="756">
        <v>8</v>
      </c>
      <c r="E27" s="497">
        <f>LOOKUP(C27,'Юноши 4ф'!A:A,'Юноши 4ф'!B:B)</f>
        <v>0</v>
      </c>
      <c r="F27" s="718" t="e">
        <f>IF(E27="","",VLOOKUP(E27,'Списки участников'!A:L,3,FALSE))</f>
        <v>#N/A</v>
      </c>
      <c r="G27" s="498">
        <f>LOOKUP(D27,'Юноши 4ф'!A:A,'Юноши 4ф'!B:B)</f>
        <v>0</v>
      </c>
      <c r="H27" s="718" t="e">
        <f>IF(G27="","",VLOOKUP(G27,'Списки участников'!A:L,3,FALSE))</f>
        <v>#N/A</v>
      </c>
      <c r="I27" s="499">
        <v>87</v>
      </c>
      <c r="J27" s="509">
        <v>11</v>
      </c>
      <c r="K27" s="762">
        <v>12</v>
      </c>
      <c r="L27" s="762">
        <v>15</v>
      </c>
      <c r="M27" s="498">
        <f>LOOKUP(K27,'Юноши 4ф'!A:A,'Юноши 4ф'!B:B)</f>
        <v>0</v>
      </c>
      <c r="N27" s="718" t="e">
        <f>IF(M27="","",VLOOKUP(M27,'Списки участников'!A:L,3,FALSE))</f>
        <v>#N/A</v>
      </c>
      <c r="O27" s="498">
        <f>LOOKUP(L27,'Юноши 4ф'!A:A,'Юноши 4ф'!B:B)</f>
        <v>0</v>
      </c>
      <c r="P27" s="718" t="e">
        <f>IF(O27="","",VLOOKUP(O27,'Списки участников'!A:L,3,FALSE))</f>
        <v>#N/A</v>
      </c>
    </row>
    <row r="28" spans="1:18" ht="18" thickBot="1" x14ac:dyDescent="0.3">
      <c r="A28" s="499">
        <v>24</v>
      </c>
      <c r="B28" s="513">
        <v>3</v>
      </c>
      <c r="C28" s="757">
        <v>6</v>
      </c>
      <c r="D28" s="758">
        <v>7</v>
      </c>
      <c r="E28" s="507">
        <f>LOOKUP(C28,'Юноши 4ф'!A:A,'Юноши 4ф'!B:B)</f>
        <v>0</v>
      </c>
      <c r="F28" s="747" t="e">
        <f>IF(E28="","",VLOOKUP(E28,'Списки участников'!A:L,3,FALSE))</f>
        <v>#N/A</v>
      </c>
      <c r="G28" s="748">
        <f>LOOKUP(D28,'Юноши 4ф'!A:A,'Юноши 4ф'!B:B)</f>
        <v>0</v>
      </c>
      <c r="H28" s="747" t="e">
        <f>IF(G28="","",VLOOKUP(G28,'Списки участников'!A:L,3,FALSE))</f>
        <v>#N/A</v>
      </c>
      <c r="I28" s="716">
        <v>88</v>
      </c>
      <c r="J28" s="513">
        <v>11</v>
      </c>
      <c r="K28" s="758">
        <v>13</v>
      </c>
      <c r="L28" s="758">
        <v>14</v>
      </c>
      <c r="M28" s="748">
        <f>LOOKUP(K28,'Юноши 4ф'!A:A,'Юноши 4ф'!B:B)</f>
        <v>0</v>
      </c>
      <c r="N28" s="747" t="e">
        <f>IF(M28="","",VLOOKUP(M28,'Списки участников'!A:L,3,FALSE))</f>
        <v>#N/A</v>
      </c>
      <c r="O28" s="748">
        <f>LOOKUP(L28,'Юноши 4ф'!A:A,'Юноши 4ф'!B:B)</f>
        <v>0</v>
      </c>
      <c r="P28" s="747" t="e">
        <f>IF(O28="","",VLOOKUP(O28,'Списки участников'!A:L,3,FALSE))</f>
        <v>#N/A</v>
      </c>
    </row>
    <row r="29" spans="1:18" ht="17.25" x14ac:dyDescent="0.25">
      <c r="A29" s="499">
        <v>25</v>
      </c>
      <c r="B29" s="750">
        <v>4</v>
      </c>
      <c r="C29" s="759">
        <v>13</v>
      </c>
      <c r="D29" s="760">
        <v>1</v>
      </c>
      <c r="E29" s="498">
        <f>LOOKUP(C29,'Юноши 4ф'!A:A,'Юноши 4ф'!B:B)</f>
        <v>0</v>
      </c>
      <c r="F29" s="718" t="e">
        <f>IF(E29="","",VLOOKUP(E29,'Списки участников'!A:L,3,FALSE))</f>
        <v>#N/A</v>
      </c>
      <c r="G29" s="498">
        <f>LOOKUP(D29,'Юноши 4ф'!A:A,'Юноши 4ф'!B:B)</f>
        <v>0</v>
      </c>
      <c r="H29" s="718" t="e">
        <f>IF(G29="","",VLOOKUP(G29,'Списки участников'!A:L,3,FALSE))</f>
        <v>#N/A</v>
      </c>
      <c r="I29" s="717">
        <v>89</v>
      </c>
      <c r="J29" s="509">
        <v>12</v>
      </c>
      <c r="K29" s="760">
        <v>5</v>
      </c>
      <c r="L29" s="760">
        <v>1</v>
      </c>
      <c r="M29" s="498">
        <f>LOOKUP(K29,'Юноши 4ф'!A:A,'Юноши 4ф'!B:B)</f>
        <v>0</v>
      </c>
      <c r="N29" s="718" t="e">
        <f>IF(M29="","",VLOOKUP(M29,'Списки участников'!A:L,3,FALSE))</f>
        <v>#N/A</v>
      </c>
      <c r="O29" s="498">
        <f>LOOKUP(L29,'Юноши 4ф'!A:A,'Юноши 4ф'!B:B)</f>
        <v>0</v>
      </c>
      <c r="P29" s="718" t="e">
        <f>IF(O29="","",VLOOKUP(O29,'Списки участников'!A:L,3,FALSE))</f>
        <v>#N/A</v>
      </c>
    </row>
    <row r="30" spans="1:18" ht="17.25" x14ac:dyDescent="0.25">
      <c r="A30" s="499">
        <v>26</v>
      </c>
      <c r="B30" s="750">
        <v>4</v>
      </c>
      <c r="C30" s="755">
        <v>14</v>
      </c>
      <c r="D30" s="756">
        <v>12</v>
      </c>
      <c r="E30" s="497">
        <f>LOOKUP(C30,'Юноши 4ф'!A:A,'Юноши 4ф'!B:B)</f>
        <v>0</v>
      </c>
      <c r="F30" s="718" t="e">
        <f>IF(E30="","",VLOOKUP(E30,'Списки участников'!A:L,3,FALSE))</f>
        <v>#N/A</v>
      </c>
      <c r="G30" s="498">
        <f>LOOKUP(D30,'Юноши 4ф'!A:A,'Юноши 4ф'!B:B)</f>
        <v>0</v>
      </c>
      <c r="H30" s="718" t="e">
        <f>IF(G30="","",VLOOKUP(G30,'Списки участников'!A:L,3,FALSE))</f>
        <v>#N/A</v>
      </c>
      <c r="I30" s="499">
        <v>90</v>
      </c>
      <c r="J30" s="509">
        <v>12</v>
      </c>
      <c r="K30" s="756">
        <v>6</v>
      </c>
      <c r="L30" s="760">
        <v>4</v>
      </c>
      <c r="M30" s="498">
        <f>LOOKUP(K30,'Юноши 4ф'!A:A,'Юноши 4ф'!B:B)</f>
        <v>0</v>
      </c>
      <c r="N30" s="718" t="e">
        <f>IF(M30="","",VLOOKUP(M30,'Списки участников'!A:L,3,FALSE))</f>
        <v>#N/A</v>
      </c>
      <c r="O30" s="498">
        <f>LOOKUP(L30,'Юноши 4ф'!A:A,'Юноши 4ф'!B:B)</f>
        <v>0</v>
      </c>
      <c r="P30" s="718" t="e">
        <f>IF(O30="","",VLOOKUP(O30,'Списки участников'!A:L,3,FALSE))</f>
        <v>#N/A</v>
      </c>
    </row>
    <row r="31" spans="1:18" ht="17.25" x14ac:dyDescent="0.25">
      <c r="A31" s="499">
        <v>27</v>
      </c>
      <c r="B31" s="750">
        <v>4</v>
      </c>
      <c r="C31" s="755">
        <v>15</v>
      </c>
      <c r="D31" s="756">
        <v>11</v>
      </c>
      <c r="E31" s="497">
        <f>LOOKUP(C31,'Юноши 4ф'!A:A,'Юноши 4ф'!B:B)</f>
        <v>0</v>
      </c>
      <c r="F31" s="718" t="e">
        <f>IF(E31="","",VLOOKUP(E31,'Списки участников'!A:L,3,FALSE))</f>
        <v>#N/A</v>
      </c>
      <c r="G31" s="498">
        <f>LOOKUP(D31,'Юноши 4ф'!A:A,'Юноши 4ф'!B:B)</f>
        <v>0</v>
      </c>
      <c r="H31" s="718" t="e">
        <f>IF(G31="","",VLOOKUP(G31,'Списки участников'!A:L,3,FALSE))</f>
        <v>#N/A</v>
      </c>
      <c r="I31" s="499">
        <v>91</v>
      </c>
      <c r="J31" s="509">
        <v>12</v>
      </c>
      <c r="K31" s="756">
        <v>7</v>
      </c>
      <c r="L31" s="760">
        <v>3</v>
      </c>
      <c r="M31" s="498">
        <f>LOOKUP(K31,'Юноши 4ф'!A:A,'Юноши 4ф'!B:B)</f>
        <v>0</v>
      </c>
      <c r="N31" s="718" t="e">
        <f>IF(M31="","",VLOOKUP(M31,'Списки участников'!A:L,3,FALSE))</f>
        <v>#N/A</v>
      </c>
      <c r="O31" s="498">
        <f>LOOKUP(L31,'Юноши 4ф'!A:A,'Юноши 4ф'!B:B)</f>
        <v>0</v>
      </c>
      <c r="P31" s="718" t="e">
        <f>IF(O31="","",VLOOKUP(O31,'Списки участников'!A:L,3,FALSE))</f>
        <v>#N/A</v>
      </c>
    </row>
    <row r="32" spans="1:18" ht="17.25" x14ac:dyDescent="0.25">
      <c r="A32" s="499">
        <v>28</v>
      </c>
      <c r="B32" s="750">
        <v>4</v>
      </c>
      <c r="C32" s="755">
        <v>16</v>
      </c>
      <c r="D32" s="756">
        <v>10</v>
      </c>
      <c r="E32" s="497">
        <f>LOOKUP(C32,'Юноши 4ф'!A:A,'Юноши 4ф'!B:B)</f>
        <v>0</v>
      </c>
      <c r="F32" s="718" t="e">
        <f>IF(E32="","",VLOOKUP(E32,'Списки участников'!A:L,3,FALSE))</f>
        <v>#N/A</v>
      </c>
      <c r="G32" s="498">
        <f>LOOKUP(D32,'Юноши 4ф'!A:A,'Юноши 4ф'!B:B)</f>
        <v>0</v>
      </c>
      <c r="H32" s="718" t="e">
        <f>IF(G32="","",VLOOKUP(G32,'Списки участников'!A:L,3,FALSE))</f>
        <v>#N/A</v>
      </c>
      <c r="I32" s="499">
        <v>92</v>
      </c>
      <c r="J32" s="509">
        <v>12</v>
      </c>
      <c r="K32" s="756">
        <v>8</v>
      </c>
      <c r="L32" s="760">
        <v>2</v>
      </c>
      <c r="M32" s="498">
        <f>LOOKUP(K32,'Юноши 4ф'!A:A,'Юноши 4ф'!B:B)</f>
        <v>0</v>
      </c>
      <c r="N32" s="718" t="e">
        <f>IF(M32="","",VLOOKUP(M32,'Списки участников'!A:L,3,FALSE))</f>
        <v>#N/A</v>
      </c>
      <c r="O32" s="498">
        <f>LOOKUP(L32,'Юноши 4ф'!A:A,'Юноши 4ф'!B:B)</f>
        <v>0</v>
      </c>
      <c r="P32" s="718" t="e">
        <f>IF(O32="","",VLOOKUP(O32,'Списки участников'!A:L,3,FALSE))</f>
        <v>#N/A</v>
      </c>
    </row>
    <row r="33" spans="1:16" ht="17.25" x14ac:dyDescent="0.25">
      <c r="A33" s="499">
        <v>29</v>
      </c>
      <c r="B33" s="751">
        <v>4</v>
      </c>
      <c r="C33" s="755">
        <v>2</v>
      </c>
      <c r="D33" s="756">
        <v>9</v>
      </c>
      <c r="E33" s="497">
        <f>LOOKUP(C33,'Юноши 4ф'!A:A,'Юноши 4ф'!B:B)</f>
        <v>0</v>
      </c>
      <c r="F33" s="718" t="e">
        <f>IF(E33="","",VLOOKUP(E33,'Списки участников'!A:L,3,FALSE))</f>
        <v>#N/A</v>
      </c>
      <c r="G33" s="498">
        <f>LOOKUP(D33,'Юноши 4ф'!A:A,'Юноши 4ф'!B:B)</f>
        <v>0</v>
      </c>
      <c r="H33" s="718" t="e">
        <f>IF(G33="","",VLOOKUP(G33,'Списки участников'!A:L,3,FALSE))</f>
        <v>#N/A</v>
      </c>
      <c r="I33" s="499">
        <v>93</v>
      </c>
      <c r="J33" s="514">
        <v>12</v>
      </c>
      <c r="K33" s="756">
        <v>9</v>
      </c>
      <c r="L33" s="760">
        <v>16</v>
      </c>
      <c r="M33" s="498">
        <f>LOOKUP(K33,'Юноши 4ф'!A:A,'Юноши 4ф'!B:B)</f>
        <v>0</v>
      </c>
      <c r="N33" s="718" t="e">
        <f>IF(M33="","",VLOOKUP(M33,'Списки участников'!A:L,3,FALSE))</f>
        <v>#N/A</v>
      </c>
      <c r="O33" s="498">
        <f>LOOKUP(L33,'Юноши 4ф'!A:A,'Юноши 4ф'!B:B)</f>
        <v>0</v>
      </c>
      <c r="P33" s="718" t="e">
        <f>IF(O33="","",VLOOKUP(O33,'Списки участников'!A:L,3,FALSE))</f>
        <v>#N/A</v>
      </c>
    </row>
    <row r="34" spans="1:16" ht="17.25" x14ac:dyDescent="0.25">
      <c r="A34" s="499">
        <v>30</v>
      </c>
      <c r="B34" s="750">
        <v>4</v>
      </c>
      <c r="C34" s="755">
        <v>3</v>
      </c>
      <c r="D34" s="756">
        <v>8</v>
      </c>
      <c r="E34" s="497">
        <f>LOOKUP(C34,'Юноши 4ф'!A:A,'Юноши 4ф'!B:B)</f>
        <v>0</v>
      </c>
      <c r="F34" s="718" t="e">
        <f>IF(E34="","",VLOOKUP(E34,'Списки участников'!A:L,3,FALSE))</f>
        <v>#N/A</v>
      </c>
      <c r="G34" s="498">
        <f>LOOKUP(D34,'Юноши 4ф'!A:A,'Юноши 4ф'!B:B)</f>
        <v>0</v>
      </c>
      <c r="H34" s="718" t="e">
        <f>IF(G34="","",VLOOKUP(G34,'Списки участников'!A:L,3,FALSE))</f>
        <v>#N/A</v>
      </c>
      <c r="I34" s="499">
        <v>94</v>
      </c>
      <c r="J34" s="509">
        <v>12</v>
      </c>
      <c r="K34" s="762">
        <v>10</v>
      </c>
      <c r="L34" s="756">
        <v>15</v>
      </c>
      <c r="M34" s="498">
        <f>LOOKUP(K34,'Юноши 4ф'!A:A,'Юноши 4ф'!B:B)</f>
        <v>0</v>
      </c>
      <c r="N34" s="718" t="e">
        <f>IF(M34="","",VLOOKUP(M34,'Списки участников'!A:L,3,FALSE))</f>
        <v>#N/A</v>
      </c>
      <c r="O34" s="498">
        <f>LOOKUP(L34,'Юноши 4ф'!A:A,'Юноши 4ф'!B:B)</f>
        <v>0</v>
      </c>
      <c r="P34" s="718" t="e">
        <f>IF(O34="","",VLOOKUP(O34,'Списки участников'!A:L,3,FALSE))</f>
        <v>#N/A</v>
      </c>
    </row>
    <row r="35" spans="1:16" ht="17.25" x14ac:dyDescent="0.25">
      <c r="A35" s="499">
        <v>31</v>
      </c>
      <c r="B35" s="750">
        <v>4</v>
      </c>
      <c r="C35" s="755">
        <v>4</v>
      </c>
      <c r="D35" s="756">
        <v>7</v>
      </c>
      <c r="E35" s="497">
        <f>LOOKUP(C35,'Юноши 4ф'!A:A,'Юноши 4ф'!B:B)</f>
        <v>0</v>
      </c>
      <c r="F35" s="718" t="e">
        <f>IF(E35="","",VLOOKUP(E35,'Списки участников'!A:L,3,FALSE))</f>
        <v>#N/A</v>
      </c>
      <c r="G35" s="498">
        <f>LOOKUP(D35,'Юноши 4ф'!A:A,'Юноши 4ф'!B:B)</f>
        <v>0</v>
      </c>
      <c r="H35" s="718" t="e">
        <f>IF(G35="","",VLOOKUP(G35,'Списки участников'!A:L,3,FALSE))</f>
        <v>#N/A</v>
      </c>
      <c r="I35" s="499">
        <v>95</v>
      </c>
      <c r="J35" s="509">
        <v>12</v>
      </c>
      <c r="K35" s="762">
        <v>11</v>
      </c>
      <c r="L35" s="756">
        <v>14</v>
      </c>
      <c r="M35" s="498">
        <f>LOOKUP(K35,'Юноши 4ф'!A:A,'Юноши 4ф'!B:B)</f>
        <v>0</v>
      </c>
      <c r="N35" s="718" t="e">
        <f>IF(M35="","",VLOOKUP(M35,'Списки участников'!A:L,3,FALSE))</f>
        <v>#N/A</v>
      </c>
      <c r="O35" s="498">
        <f>LOOKUP(L35,'Юноши 4ф'!A:A,'Юноши 4ф'!B:B)</f>
        <v>0</v>
      </c>
      <c r="P35" s="718" t="e">
        <f>IF(O35="","",VLOOKUP(O35,'Списки участников'!A:L,3,FALSE))</f>
        <v>#N/A</v>
      </c>
    </row>
    <row r="36" spans="1:16" ht="18" thickBot="1" x14ac:dyDescent="0.3">
      <c r="A36" s="499">
        <v>32</v>
      </c>
      <c r="B36" s="753">
        <v>4</v>
      </c>
      <c r="C36" s="757">
        <v>5</v>
      </c>
      <c r="D36" s="758">
        <v>6</v>
      </c>
      <c r="E36" s="507">
        <f>LOOKUP(C36,'Юноши 4ф'!A:A,'Юноши 4ф'!B:B)</f>
        <v>0</v>
      </c>
      <c r="F36" s="747" t="e">
        <f>IF(E36="","",VLOOKUP(E36,'Списки участников'!A:L,3,FALSE))</f>
        <v>#N/A</v>
      </c>
      <c r="G36" s="748">
        <f>LOOKUP(D36,'Юноши 4ф'!A:A,'Юноши 4ф'!B:B)</f>
        <v>0</v>
      </c>
      <c r="H36" s="747" t="e">
        <f>IF(G36="","",VLOOKUP(G36,'Списки участников'!A:L,3,FALSE))</f>
        <v>#N/A</v>
      </c>
      <c r="I36" s="716">
        <v>96</v>
      </c>
      <c r="J36" s="513">
        <v>12</v>
      </c>
      <c r="K36" s="758">
        <v>12</v>
      </c>
      <c r="L36" s="763">
        <v>13</v>
      </c>
      <c r="M36" s="748">
        <f>LOOKUP(K36,'Юноши 4ф'!A:A,'Юноши 4ф'!B:B)</f>
        <v>0</v>
      </c>
      <c r="N36" s="747" t="e">
        <f>IF(M36="","",VLOOKUP(M36,'Списки участников'!A:L,3,FALSE))</f>
        <v>#N/A</v>
      </c>
      <c r="O36" s="748">
        <f>LOOKUP(L36,'Юноши 4ф'!A:A,'Юноши 4ф'!B:B)</f>
        <v>0</v>
      </c>
      <c r="P36" s="747" t="e">
        <f>IF(O36="","",VLOOKUP(O36,'Списки участников'!A:L,3,FALSE))</f>
        <v>#N/A</v>
      </c>
    </row>
    <row r="37" spans="1:16" ht="17.25" x14ac:dyDescent="0.25">
      <c r="A37" s="499">
        <v>33</v>
      </c>
      <c r="B37" s="754">
        <v>5</v>
      </c>
      <c r="C37" s="759">
        <v>1</v>
      </c>
      <c r="D37" s="760">
        <v>12</v>
      </c>
      <c r="E37" s="498">
        <f>LOOKUP(C37,'Юноши 4ф'!A:A,'Юноши 4ф'!B:B)</f>
        <v>0</v>
      </c>
      <c r="F37" s="718" t="e">
        <f>IF(E37="","",VLOOKUP(E37,'Списки участников'!A:L,3,FALSE))</f>
        <v>#N/A</v>
      </c>
      <c r="G37" s="498">
        <f>LOOKUP(D37,'Юноши 4ф'!A:A,'Юноши 4ф'!B:B)</f>
        <v>0</v>
      </c>
      <c r="H37" s="718" t="e">
        <f>IF(G37="","",VLOOKUP(G37,'Списки участников'!A:L,3,FALSE))</f>
        <v>#N/A</v>
      </c>
      <c r="I37" s="717">
        <v>97</v>
      </c>
      <c r="J37" s="510">
        <v>13</v>
      </c>
      <c r="K37" s="760">
        <v>1</v>
      </c>
      <c r="L37" s="760">
        <v>4</v>
      </c>
      <c r="M37" s="498">
        <f>LOOKUP(K37,'Юноши 4ф'!A:A,'Юноши 4ф'!B:B)</f>
        <v>0</v>
      </c>
      <c r="N37" s="718" t="e">
        <f>IF(M37="","",VLOOKUP(M37,'Списки участников'!A:L,3,FALSE))</f>
        <v>#N/A</v>
      </c>
      <c r="O37" s="498">
        <f>LOOKUP(L37,'Юноши 4ф'!A:A,'Юноши 4ф'!B:B)</f>
        <v>0</v>
      </c>
      <c r="P37" s="718" t="e">
        <f>IF(O37="","",VLOOKUP(O37,'Списки участников'!A:L,3,FALSE))</f>
        <v>#N/A</v>
      </c>
    </row>
    <row r="38" spans="1:16" ht="17.25" x14ac:dyDescent="0.25">
      <c r="A38" s="499">
        <v>34</v>
      </c>
      <c r="B38" s="750">
        <v>5</v>
      </c>
      <c r="C38" s="755">
        <v>13</v>
      </c>
      <c r="D38" s="760">
        <v>11</v>
      </c>
      <c r="E38" s="497">
        <f>LOOKUP(C38,'Юноши 4ф'!A:A,'Юноши 4ф'!B:B)</f>
        <v>0</v>
      </c>
      <c r="F38" s="718" t="e">
        <f>IF(E38="","",VLOOKUP(E38,'Списки участников'!A:L,3,FALSE))</f>
        <v>#N/A</v>
      </c>
      <c r="G38" s="498">
        <f>LOOKUP(D38,'Юноши 4ф'!A:A,'Юноши 4ф'!B:B)</f>
        <v>0</v>
      </c>
      <c r="H38" s="718" t="e">
        <f>IF(G38="","",VLOOKUP(G38,'Списки участников'!A:L,3,FALSE))</f>
        <v>#N/A</v>
      </c>
      <c r="I38" s="717">
        <v>98</v>
      </c>
      <c r="J38" s="510">
        <v>13</v>
      </c>
      <c r="K38" s="760">
        <v>5</v>
      </c>
      <c r="L38" s="760">
        <v>3</v>
      </c>
      <c r="M38" s="498">
        <f>LOOKUP(K38,'Юноши 4ф'!A:A,'Юноши 4ф'!B:B)</f>
        <v>0</v>
      </c>
      <c r="N38" s="718" t="e">
        <f>IF(M38="","",VLOOKUP(M38,'Списки участников'!A:L,3,FALSE))</f>
        <v>#N/A</v>
      </c>
      <c r="O38" s="498">
        <f>LOOKUP(L38,'Юноши 4ф'!A:A,'Юноши 4ф'!B:B)</f>
        <v>0</v>
      </c>
      <c r="P38" s="718" t="e">
        <f>IF(O38="","",VLOOKUP(O38,'Списки участников'!A:L,3,FALSE))</f>
        <v>#N/A</v>
      </c>
    </row>
    <row r="39" spans="1:16" ht="17.25" x14ac:dyDescent="0.25">
      <c r="A39" s="499">
        <v>35</v>
      </c>
      <c r="B39" s="752">
        <v>5</v>
      </c>
      <c r="C39" s="759">
        <v>14</v>
      </c>
      <c r="D39" s="760">
        <v>10</v>
      </c>
      <c r="E39" s="497">
        <f>LOOKUP(C39,'Юноши 4ф'!A:A,'Юноши 4ф'!B:B)</f>
        <v>0</v>
      </c>
      <c r="F39" s="718" t="e">
        <f>IF(E39="","",VLOOKUP(E39,'Списки участников'!A:L,3,FALSE))</f>
        <v>#N/A</v>
      </c>
      <c r="G39" s="498">
        <f>LOOKUP(D39,'Юноши 4ф'!A:A,'Юноши 4ф'!B:B)</f>
        <v>0</v>
      </c>
      <c r="H39" s="718" t="e">
        <f>IF(G39="","",VLOOKUP(G39,'Списки участников'!A:L,3,FALSE))</f>
        <v>#N/A</v>
      </c>
      <c r="I39" s="717">
        <v>99</v>
      </c>
      <c r="J39" s="509">
        <v>13</v>
      </c>
      <c r="K39" s="760">
        <v>6</v>
      </c>
      <c r="L39" s="760">
        <v>2</v>
      </c>
      <c r="M39" s="498">
        <f>LOOKUP(K39,'Юноши 4ф'!A:A,'Юноши 4ф'!B:B)</f>
        <v>0</v>
      </c>
      <c r="N39" s="718" t="e">
        <f>IF(M39="","",VLOOKUP(M39,'Списки участников'!A:L,3,FALSE))</f>
        <v>#N/A</v>
      </c>
      <c r="O39" s="498">
        <f>LOOKUP(L39,'Юноши 4ф'!A:A,'Юноши 4ф'!B:B)</f>
        <v>0</v>
      </c>
      <c r="P39" s="718" t="e">
        <f>IF(O39="","",VLOOKUP(O39,'Списки участников'!A:L,3,FALSE))</f>
        <v>#N/A</v>
      </c>
    </row>
    <row r="40" spans="1:16" ht="17.25" x14ac:dyDescent="0.25">
      <c r="A40" s="499">
        <v>36</v>
      </c>
      <c r="B40" s="509">
        <v>5</v>
      </c>
      <c r="C40" s="755">
        <v>15</v>
      </c>
      <c r="D40" s="756">
        <v>9</v>
      </c>
      <c r="E40" s="497">
        <f>LOOKUP(C40,'Юноши 4ф'!A:A,'Юноши 4ф'!B:B)</f>
        <v>0</v>
      </c>
      <c r="F40" s="718" t="e">
        <f>IF(E40="","",VLOOKUP(E40,'Списки участников'!A:L,3,FALSE))</f>
        <v>#N/A</v>
      </c>
      <c r="G40" s="498">
        <f>LOOKUP(D40,'Юноши 4ф'!A:A,'Юноши 4ф'!B:B)</f>
        <v>0</v>
      </c>
      <c r="H40" s="718" t="e">
        <f>IF(G40="","",VLOOKUP(G40,'Списки участников'!A:L,3,FALSE))</f>
        <v>#N/A</v>
      </c>
      <c r="I40" s="499">
        <v>100</v>
      </c>
      <c r="J40" s="509">
        <v>13</v>
      </c>
      <c r="K40" s="756">
        <v>7</v>
      </c>
      <c r="L40" s="756">
        <v>16</v>
      </c>
      <c r="M40" s="498">
        <f>LOOKUP(K40,'Юноши 4ф'!A:A,'Юноши 4ф'!B:B)</f>
        <v>0</v>
      </c>
      <c r="N40" s="718" t="e">
        <f>IF(M40="","",VLOOKUP(M40,'Списки участников'!A:L,3,FALSE))</f>
        <v>#N/A</v>
      </c>
      <c r="O40" s="498">
        <f>LOOKUP(L40,'Юноши 4ф'!A:A,'Юноши 4ф'!B:B)</f>
        <v>0</v>
      </c>
      <c r="P40" s="718" t="e">
        <f>IF(O40="","",VLOOKUP(O40,'Списки участников'!A:L,3,FALSE))</f>
        <v>#N/A</v>
      </c>
    </row>
    <row r="41" spans="1:16" ht="17.25" x14ac:dyDescent="0.25">
      <c r="A41" s="499">
        <v>37</v>
      </c>
      <c r="B41" s="502">
        <v>5</v>
      </c>
      <c r="C41" s="755">
        <v>16</v>
      </c>
      <c r="D41" s="756">
        <v>8</v>
      </c>
      <c r="E41" s="497">
        <f>LOOKUP(C41,'Юноши 4ф'!A:A,'Юноши 4ф'!B:B)</f>
        <v>0</v>
      </c>
      <c r="F41" s="718" t="e">
        <f>IF(E41="","",VLOOKUP(E41,'Списки участников'!A:L,3,FALSE))</f>
        <v>#N/A</v>
      </c>
      <c r="G41" s="498">
        <f>LOOKUP(D41,'Юноши 4ф'!A:A,'Юноши 4ф'!B:B)</f>
        <v>0</v>
      </c>
      <c r="H41" s="718" t="e">
        <f>IF(G41="","",VLOOKUP(G41,'Списки участников'!A:L,3,FALSE))</f>
        <v>#N/A</v>
      </c>
      <c r="I41" s="499">
        <v>101</v>
      </c>
      <c r="J41" s="514">
        <v>13</v>
      </c>
      <c r="K41" s="756">
        <v>8</v>
      </c>
      <c r="L41" s="756">
        <v>15</v>
      </c>
      <c r="M41" s="498">
        <f>LOOKUP(K41,'Юноши 4ф'!A:A,'Юноши 4ф'!B:B)</f>
        <v>0</v>
      </c>
      <c r="N41" s="718" t="e">
        <f>IF(M41="","",VLOOKUP(M41,'Списки участников'!A:L,3,FALSE))</f>
        <v>#N/A</v>
      </c>
      <c r="O41" s="498">
        <f>LOOKUP(L41,'Юноши 4ф'!A:A,'Юноши 4ф'!B:B)</f>
        <v>0</v>
      </c>
      <c r="P41" s="718" t="e">
        <f>IF(O41="","",VLOOKUP(O41,'Списки участников'!A:L,3,FALSE))</f>
        <v>#N/A</v>
      </c>
    </row>
    <row r="42" spans="1:16" ht="17.25" x14ac:dyDescent="0.25">
      <c r="A42" s="499">
        <v>38</v>
      </c>
      <c r="B42" s="509">
        <v>5</v>
      </c>
      <c r="C42" s="755">
        <v>2</v>
      </c>
      <c r="D42" s="756">
        <v>7</v>
      </c>
      <c r="E42" s="497">
        <f>LOOKUP(C42,'Юноши 4ф'!A:A,'Юноши 4ф'!B:B)</f>
        <v>0</v>
      </c>
      <c r="F42" s="718" t="e">
        <f>IF(E42="","",VLOOKUP(E42,'Списки участников'!A:L,3,FALSE))</f>
        <v>#N/A</v>
      </c>
      <c r="G42" s="498">
        <f>LOOKUP(D42,'Юноши 4ф'!A:A,'Юноши 4ф'!B:B)</f>
        <v>0</v>
      </c>
      <c r="H42" s="718" t="e">
        <f>IF(G42="","",VLOOKUP(G42,'Списки участников'!A:L,3,FALSE))</f>
        <v>#N/A</v>
      </c>
      <c r="I42" s="499">
        <v>102</v>
      </c>
      <c r="J42" s="509">
        <v>13</v>
      </c>
      <c r="K42" s="762">
        <v>9</v>
      </c>
      <c r="L42" s="762">
        <v>14</v>
      </c>
      <c r="M42" s="498">
        <f>LOOKUP(K42,'Юноши 4ф'!A:A,'Юноши 4ф'!B:B)</f>
        <v>0</v>
      </c>
      <c r="N42" s="718" t="e">
        <f>IF(M42="","",VLOOKUP(M42,'Списки участников'!A:L,3,FALSE))</f>
        <v>#N/A</v>
      </c>
      <c r="O42" s="498">
        <f>LOOKUP(L42,'Юноши 4ф'!A:A,'Юноши 4ф'!B:B)</f>
        <v>0</v>
      </c>
      <c r="P42" s="718" t="e">
        <f>IF(O42="","",VLOOKUP(O42,'Списки участников'!A:L,3,FALSE))</f>
        <v>#N/A</v>
      </c>
    </row>
    <row r="43" spans="1:16" ht="17.25" x14ac:dyDescent="0.25">
      <c r="A43" s="499">
        <v>39</v>
      </c>
      <c r="B43" s="509">
        <v>5</v>
      </c>
      <c r="C43" s="755">
        <v>3</v>
      </c>
      <c r="D43" s="756">
        <v>6</v>
      </c>
      <c r="E43" s="497">
        <f>LOOKUP(C43,'Юноши 4ф'!A:A,'Юноши 4ф'!B:B)</f>
        <v>0</v>
      </c>
      <c r="F43" s="718" t="e">
        <f>IF(E43="","",VLOOKUP(E43,'Списки участников'!A:L,3,FALSE))</f>
        <v>#N/A</v>
      </c>
      <c r="G43" s="498">
        <f>LOOKUP(D43,'Юноши 4ф'!A:A,'Юноши 4ф'!B:B)</f>
        <v>0</v>
      </c>
      <c r="H43" s="718" t="e">
        <f>IF(G43="","",VLOOKUP(G43,'Списки участников'!A:L,3,FALSE))</f>
        <v>#N/A</v>
      </c>
      <c r="I43" s="499">
        <v>103</v>
      </c>
      <c r="J43" s="509">
        <v>13</v>
      </c>
      <c r="K43" s="762">
        <v>10</v>
      </c>
      <c r="L43" s="762">
        <v>13</v>
      </c>
      <c r="M43" s="498">
        <f>LOOKUP(K43,'Юноши 4ф'!A:A,'Юноши 4ф'!B:B)</f>
        <v>0</v>
      </c>
      <c r="N43" s="718" t="e">
        <f>IF(M43="","",VLOOKUP(M43,'Списки участников'!A:L,3,FALSE))</f>
        <v>#N/A</v>
      </c>
      <c r="O43" s="498">
        <f>LOOKUP(L43,'Юноши 4ф'!A:A,'Юноши 4ф'!B:B)</f>
        <v>0</v>
      </c>
      <c r="P43" s="718" t="e">
        <f>IF(O43="","",VLOOKUP(O43,'Списки участников'!A:L,3,FALSE))</f>
        <v>#N/A</v>
      </c>
    </row>
    <row r="44" spans="1:16" ht="18" thickBot="1" x14ac:dyDescent="0.3">
      <c r="A44" s="499">
        <v>40</v>
      </c>
      <c r="B44" s="513">
        <v>5</v>
      </c>
      <c r="C44" s="757">
        <v>4</v>
      </c>
      <c r="D44" s="758">
        <v>5</v>
      </c>
      <c r="E44" s="507">
        <f>LOOKUP(C44,'Юноши 4ф'!A:A,'Юноши 4ф'!B:B)</f>
        <v>0</v>
      </c>
      <c r="F44" s="747" t="e">
        <f>IF(E44="","",VLOOKUP(E44,'Списки участников'!A:L,3,FALSE))</f>
        <v>#N/A</v>
      </c>
      <c r="G44" s="748">
        <f>LOOKUP(D44,'Юноши 4ф'!A:A,'Юноши 4ф'!B:B)</f>
        <v>0</v>
      </c>
      <c r="H44" s="747" t="e">
        <f>IF(G44="","",VLOOKUP(G44,'Списки участников'!A:L,3,FALSE))</f>
        <v>#N/A</v>
      </c>
      <c r="I44" s="716">
        <v>104</v>
      </c>
      <c r="J44" s="513">
        <v>13</v>
      </c>
      <c r="K44" s="758">
        <v>11</v>
      </c>
      <c r="L44" s="758">
        <v>12</v>
      </c>
      <c r="M44" s="748">
        <f>LOOKUP(K44,'Юноши 4ф'!A:A,'Юноши 4ф'!B:B)</f>
        <v>0</v>
      </c>
      <c r="N44" s="747" t="e">
        <f>IF(M44="","",VLOOKUP(M44,'Списки участников'!A:L,3,FALSE))</f>
        <v>#N/A</v>
      </c>
      <c r="O44" s="748">
        <f>LOOKUP(L44,'Юноши 4ф'!A:A,'Юноши 4ф'!B:B)</f>
        <v>0</v>
      </c>
      <c r="P44" s="747" t="e">
        <f>IF(O44="","",VLOOKUP(O44,'Списки участников'!A:L,3,FALSE))</f>
        <v>#N/A</v>
      </c>
    </row>
    <row r="45" spans="1:16" ht="17.25" x14ac:dyDescent="0.25">
      <c r="A45" s="499">
        <v>41</v>
      </c>
      <c r="B45" s="509">
        <v>6</v>
      </c>
      <c r="C45" s="759">
        <v>11</v>
      </c>
      <c r="D45" s="760">
        <v>1</v>
      </c>
      <c r="E45" s="498">
        <f>LOOKUP(C45,'Юноши 4ф'!A:A,'Юноши 4ф'!B:B)</f>
        <v>0</v>
      </c>
      <c r="F45" s="718" t="e">
        <f>IF(E45="","",VLOOKUP(E45,'Списки участников'!A:L,3,FALSE))</f>
        <v>#N/A</v>
      </c>
      <c r="G45" s="498">
        <f>LOOKUP(D45,'Юноши 4ф'!A:A,'Юноши 4ф'!B:B)</f>
        <v>0</v>
      </c>
      <c r="H45" s="718" t="e">
        <f>IF(G45="","",VLOOKUP(G45,'Списки участников'!A:L,3,FALSE))</f>
        <v>#N/A</v>
      </c>
      <c r="I45" s="717">
        <v>105</v>
      </c>
      <c r="J45" s="509">
        <v>14</v>
      </c>
      <c r="K45" s="760">
        <v>3</v>
      </c>
      <c r="L45" s="760">
        <v>1</v>
      </c>
      <c r="M45" s="498">
        <f>LOOKUP(K45,'Юноши 4ф'!A:A,'Юноши 4ф'!B:B)</f>
        <v>0</v>
      </c>
      <c r="N45" s="718" t="e">
        <f>IF(M45="","",VLOOKUP(M45,'Списки участников'!A:L,3,FALSE))</f>
        <v>#N/A</v>
      </c>
      <c r="O45" s="498">
        <f>LOOKUP(L45,'Юноши 4ф'!A:A,'Юноши 4ф'!B:B)</f>
        <v>0</v>
      </c>
      <c r="P45" s="718" t="e">
        <f>IF(O45="","",VLOOKUP(O45,'Списки участников'!A:L,3,FALSE))</f>
        <v>#N/A</v>
      </c>
    </row>
    <row r="46" spans="1:16" ht="17.25" x14ac:dyDescent="0.25">
      <c r="A46" s="499">
        <v>42</v>
      </c>
      <c r="B46" s="509">
        <v>6</v>
      </c>
      <c r="C46" s="755">
        <v>12</v>
      </c>
      <c r="D46" s="756">
        <v>10</v>
      </c>
      <c r="E46" s="497">
        <f>LOOKUP(C46,'Юноши 4ф'!A:A,'Юноши 4ф'!B:B)</f>
        <v>0</v>
      </c>
      <c r="F46" s="718" t="e">
        <f>IF(E46="","",VLOOKUP(E46,'Списки участников'!A:L,3,FALSE))</f>
        <v>#N/A</v>
      </c>
      <c r="G46" s="498">
        <f>LOOKUP(D46,'Юноши 4ф'!A:A,'Юноши 4ф'!B:B)</f>
        <v>0</v>
      </c>
      <c r="H46" s="718" t="e">
        <f>IF(G46="","",VLOOKUP(G46,'Списки участников'!A:L,3,FALSE))</f>
        <v>#N/A</v>
      </c>
      <c r="I46" s="499">
        <v>106</v>
      </c>
      <c r="J46" s="509">
        <v>14</v>
      </c>
      <c r="K46" s="756">
        <v>4</v>
      </c>
      <c r="L46" s="760">
        <v>2</v>
      </c>
      <c r="M46" s="498">
        <f>LOOKUP(K46,'Юноши 4ф'!A:A,'Юноши 4ф'!B:B)</f>
        <v>0</v>
      </c>
      <c r="N46" s="718" t="e">
        <f>IF(M46="","",VLOOKUP(M46,'Списки участников'!A:L,3,FALSE))</f>
        <v>#N/A</v>
      </c>
      <c r="O46" s="498">
        <f>LOOKUP(L46,'Юноши 4ф'!A:A,'Юноши 4ф'!B:B)</f>
        <v>0</v>
      </c>
      <c r="P46" s="718" t="e">
        <f>IF(O46="","",VLOOKUP(O46,'Списки участников'!A:L,3,FALSE))</f>
        <v>#N/A</v>
      </c>
    </row>
    <row r="47" spans="1:16" ht="17.25" x14ac:dyDescent="0.25">
      <c r="A47" s="499">
        <v>43</v>
      </c>
      <c r="B47" s="509">
        <v>6</v>
      </c>
      <c r="C47" s="755">
        <v>13</v>
      </c>
      <c r="D47" s="756">
        <v>9</v>
      </c>
      <c r="E47" s="497">
        <f>LOOKUP(C47,'Юноши 4ф'!A:A,'Юноши 4ф'!B:B)</f>
        <v>0</v>
      </c>
      <c r="F47" s="718" t="e">
        <f>IF(E47="","",VLOOKUP(E47,'Списки участников'!A:L,3,FALSE))</f>
        <v>#N/A</v>
      </c>
      <c r="G47" s="498">
        <f>LOOKUP(D47,'Юноши 4ф'!A:A,'Юноши 4ф'!B:B)</f>
        <v>0</v>
      </c>
      <c r="H47" s="718" t="e">
        <f>IF(G47="","",VLOOKUP(G47,'Списки участников'!A:L,3,FALSE))</f>
        <v>#N/A</v>
      </c>
      <c r="I47" s="499">
        <v>107</v>
      </c>
      <c r="J47" s="509">
        <v>14</v>
      </c>
      <c r="K47" s="756">
        <v>5</v>
      </c>
      <c r="L47" s="760">
        <v>16</v>
      </c>
      <c r="M47" s="498">
        <f>LOOKUP(K47,'Юноши 4ф'!A:A,'Юноши 4ф'!B:B)</f>
        <v>0</v>
      </c>
      <c r="N47" s="718" t="e">
        <f>IF(M47="","",VLOOKUP(M47,'Списки участников'!A:L,3,FALSE))</f>
        <v>#N/A</v>
      </c>
      <c r="O47" s="498">
        <f>LOOKUP(L47,'Юноши 4ф'!A:A,'Юноши 4ф'!B:B)</f>
        <v>0</v>
      </c>
      <c r="P47" s="718" t="e">
        <f>IF(O47="","",VLOOKUP(O47,'Списки участников'!A:L,3,FALSE))</f>
        <v>#N/A</v>
      </c>
    </row>
    <row r="48" spans="1:16" ht="17.25" x14ac:dyDescent="0.25">
      <c r="A48" s="499">
        <v>44</v>
      </c>
      <c r="B48" s="509">
        <v>6</v>
      </c>
      <c r="C48" s="755">
        <v>14</v>
      </c>
      <c r="D48" s="756">
        <v>8</v>
      </c>
      <c r="E48" s="497">
        <f>LOOKUP(C48,'Юноши 4ф'!A:A,'Юноши 4ф'!B:B)</f>
        <v>0</v>
      </c>
      <c r="F48" s="718" t="e">
        <f>IF(E48="","",VLOOKUP(E48,'Списки участников'!A:L,3,FALSE))</f>
        <v>#N/A</v>
      </c>
      <c r="G48" s="498">
        <f>LOOKUP(D48,'Юноши 4ф'!A:A,'Юноши 4ф'!B:B)</f>
        <v>0</v>
      </c>
      <c r="H48" s="718" t="e">
        <f>IF(G48="","",VLOOKUP(G48,'Списки участников'!A:L,3,FALSE))</f>
        <v>#N/A</v>
      </c>
      <c r="I48" s="499">
        <v>108</v>
      </c>
      <c r="J48" s="509">
        <v>14</v>
      </c>
      <c r="K48" s="756">
        <v>6</v>
      </c>
      <c r="L48" s="760">
        <v>15</v>
      </c>
      <c r="M48" s="498">
        <f>LOOKUP(K48,'Юноши 4ф'!A:A,'Юноши 4ф'!B:B)</f>
        <v>0</v>
      </c>
      <c r="N48" s="718" t="e">
        <f>IF(M48="","",VLOOKUP(M48,'Списки участников'!A:L,3,FALSE))</f>
        <v>#N/A</v>
      </c>
      <c r="O48" s="498">
        <f>LOOKUP(L48,'Юноши 4ф'!A:A,'Юноши 4ф'!B:B)</f>
        <v>0</v>
      </c>
      <c r="P48" s="718" t="e">
        <f>IF(O48="","",VLOOKUP(O48,'Списки участников'!A:L,3,FALSE))</f>
        <v>#N/A</v>
      </c>
    </row>
    <row r="49" spans="1:16" ht="17.25" x14ac:dyDescent="0.25">
      <c r="A49" s="499">
        <v>45</v>
      </c>
      <c r="B49" s="514">
        <v>6</v>
      </c>
      <c r="C49" s="755">
        <v>15</v>
      </c>
      <c r="D49" s="756">
        <v>7</v>
      </c>
      <c r="E49" s="497">
        <f>LOOKUP(C49,'Юноши 4ф'!A:A,'Юноши 4ф'!B:B)</f>
        <v>0</v>
      </c>
      <c r="F49" s="718" t="e">
        <f>IF(E49="","",VLOOKUP(E49,'Списки участников'!A:L,3,FALSE))</f>
        <v>#N/A</v>
      </c>
      <c r="G49" s="498">
        <f>LOOKUP(D49,'Юноши 4ф'!A:A,'Юноши 4ф'!B:B)</f>
        <v>0</v>
      </c>
      <c r="H49" s="718" t="e">
        <f>IF(G49="","",VLOOKUP(G49,'Списки участников'!A:L,3,FALSE))</f>
        <v>#N/A</v>
      </c>
      <c r="I49" s="499">
        <v>109</v>
      </c>
      <c r="J49" s="514">
        <v>14</v>
      </c>
      <c r="K49" s="756">
        <v>7</v>
      </c>
      <c r="L49" s="760">
        <v>14</v>
      </c>
      <c r="M49" s="498">
        <f>LOOKUP(K49,'Юноши 4ф'!A:A,'Юноши 4ф'!B:B)</f>
        <v>0</v>
      </c>
      <c r="N49" s="718" t="e">
        <f>IF(M49="","",VLOOKUP(M49,'Списки участников'!A:L,3,FALSE))</f>
        <v>#N/A</v>
      </c>
      <c r="O49" s="498">
        <f>LOOKUP(L49,'Юноши 4ф'!A:A,'Юноши 4ф'!B:B)</f>
        <v>0</v>
      </c>
      <c r="P49" s="718" t="e">
        <f>IF(O49="","",VLOOKUP(O49,'Списки участников'!A:L,3,FALSE))</f>
        <v>#N/A</v>
      </c>
    </row>
    <row r="50" spans="1:16" ht="17.25" x14ac:dyDescent="0.25">
      <c r="A50" s="499">
        <v>46</v>
      </c>
      <c r="B50" s="509">
        <v>6</v>
      </c>
      <c r="C50" s="755">
        <v>16</v>
      </c>
      <c r="D50" s="756">
        <v>6</v>
      </c>
      <c r="E50" s="497">
        <f>LOOKUP(C50,'Юноши 4ф'!A:A,'Юноши 4ф'!B:B)</f>
        <v>0</v>
      </c>
      <c r="F50" s="718" t="e">
        <f>IF(E50="","",VLOOKUP(E50,'Списки участников'!A:L,3,FALSE))</f>
        <v>#N/A</v>
      </c>
      <c r="G50" s="498">
        <f>LOOKUP(D50,'Юноши 4ф'!A:A,'Юноши 4ф'!B:B)</f>
        <v>0</v>
      </c>
      <c r="H50" s="718" t="e">
        <f>IF(G50="","",VLOOKUP(G50,'Списки участников'!A:L,3,FALSE))</f>
        <v>#N/A</v>
      </c>
      <c r="I50" s="499">
        <v>110</v>
      </c>
      <c r="J50" s="509">
        <v>14</v>
      </c>
      <c r="K50" s="762">
        <v>8</v>
      </c>
      <c r="L50" s="756">
        <v>13</v>
      </c>
      <c r="M50" s="498">
        <f>LOOKUP(K50,'Юноши 4ф'!A:A,'Юноши 4ф'!B:B)</f>
        <v>0</v>
      </c>
      <c r="N50" s="718" t="e">
        <f>IF(M50="","",VLOOKUP(M50,'Списки участников'!A:L,3,FALSE))</f>
        <v>#N/A</v>
      </c>
      <c r="O50" s="498">
        <f>LOOKUP(L50,'Юноши 4ф'!A:A,'Юноши 4ф'!B:B)</f>
        <v>0</v>
      </c>
      <c r="P50" s="718" t="e">
        <f>IF(O50="","",VLOOKUP(O50,'Списки участников'!A:L,3,FALSE))</f>
        <v>#N/A</v>
      </c>
    </row>
    <row r="51" spans="1:16" ht="17.25" x14ac:dyDescent="0.25">
      <c r="A51" s="499">
        <v>47</v>
      </c>
      <c r="B51" s="509">
        <v>6</v>
      </c>
      <c r="C51" s="755">
        <v>2</v>
      </c>
      <c r="D51" s="756">
        <v>5</v>
      </c>
      <c r="E51" s="497">
        <f>LOOKUP(C51,'Юноши 4ф'!A:A,'Юноши 4ф'!B:B)</f>
        <v>0</v>
      </c>
      <c r="F51" s="718" t="e">
        <f>IF(E51="","",VLOOKUP(E51,'Списки участников'!A:L,3,FALSE))</f>
        <v>#N/A</v>
      </c>
      <c r="G51" s="498">
        <f>LOOKUP(D51,'Юноши 4ф'!A:A,'Юноши 4ф'!B:B)</f>
        <v>0</v>
      </c>
      <c r="H51" s="718" t="e">
        <f>IF(G51="","",VLOOKUP(G51,'Списки участников'!A:L,3,FALSE))</f>
        <v>#N/A</v>
      </c>
      <c r="I51" s="499">
        <v>111</v>
      </c>
      <c r="J51" s="509">
        <v>14</v>
      </c>
      <c r="K51" s="762">
        <v>9</v>
      </c>
      <c r="L51" s="756">
        <v>12</v>
      </c>
      <c r="M51" s="498">
        <f>LOOKUP(K51,'Юноши 4ф'!A:A,'Юноши 4ф'!B:B)</f>
        <v>0</v>
      </c>
      <c r="N51" s="718" t="e">
        <f>IF(M51="","",VLOOKUP(M51,'Списки участников'!A:L,3,FALSE))</f>
        <v>#N/A</v>
      </c>
      <c r="O51" s="498">
        <f>LOOKUP(L51,'Юноши 4ф'!A:A,'Юноши 4ф'!B:B)</f>
        <v>0</v>
      </c>
      <c r="P51" s="718" t="e">
        <f>IF(O51="","",VLOOKUP(O51,'Списки участников'!A:L,3,FALSE))</f>
        <v>#N/A</v>
      </c>
    </row>
    <row r="52" spans="1:16" ht="18" thickBot="1" x14ac:dyDescent="0.3">
      <c r="A52" s="499">
        <v>48</v>
      </c>
      <c r="B52" s="513">
        <v>6</v>
      </c>
      <c r="C52" s="757">
        <v>3</v>
      </c>
      <c r="D52" s="758">
        <v>4</v>
      </c>
      <c r="E52" s="507">
        <f>LOOKUP(C52,'Юноши 4ф'!A:A,'Юноши 4ф'!B:B)</f>
        <v>0</v>
      </c>
      <c r="F52" s="747" t="e">
        <f>IF(E52="","",VLOOKUP(E52,'Списки участников'!A:L,3,FALSE))</f>
        <v>#N/A</v>
      </c>
      <c r="G52" s="748">
        <f>LOOKUP(D52,'Юноши 4ф'!A:A,'Юноши 4ф'!B:B)</f>
        <v>0</v>
      </c>
      <c r="H52" s="747" t="e">
        <f>IF(G52="","",VLOOKUP(G52,'Списки участников'!A:L,3,FALSE))</f>
        <v>#N/A</v>
      </c>
      <c r="I52" s="716">
        <v>112</v>
      </c>
      <c r="J52" s="513">
        <v>14</v>
      </c>
      <c r="K52" s="758">
        <v>10</v>
      </c>
      <c r="L52" s="763">
        <v>11</v>
      </c>
      <c r="M52" s="748">
        <f>LOOKUP(K52,'Юноши 4ф'!A:A,'Юноши 4ф'!B:B)</f>
        <v>0</v>
      </c>
      <c r="N52" s="747" t="e">
        <f>IF(M52="","",VLOOKUP(M52,'Списки участников'!A:L,3,FALSE))</f>
        <v>#N/A</v>
      </c>
      <c r="O52" s="748">
        <f>LOOKUP(L52,'Юноши 4ф'!A:A,'Юноши 4ф'!B:B)</f>
        <v>0</v>
      </c>
      <c r="P52" s="747" t="e">
        <f>IF(O52="","",VLOOKUP(O52,'Списки участников'!A:L,3,FALSE))</f>
        <v>#N/A</v>
      </c>
    </row>
    <row r="53" spans="1:16" ht="17.25" x14ac:dyDescent="0.25">
      <c r="A53" s="499">
        <v>49</v>
      </c>
      <c r="B53" s="509">
        <v>7</v>
      </c>
      <c r="C53" s="759">
        <v>1</v>
      </c>
      <c r="D53" s="760">
        <v>10</v>
      </c>
      <c r="E53" s="498">
        <f>LOOKUP(C53,'Юноши 4ф'!A:A,'Юноши 4ф'!B:B)</f>
        <v>0</v>
      </c>
      <c r="F53" s="718" t="e">
        <f>IF(E53="","",VLOOKUP(E53,'Списки участников'!A:L,3,FALSE))</f>
        <v>#N/A</v>
      </c>
      <c r="G53" s="498">
        <f>LOOKUP(D53,'Юноши 4ф'!A:A,'Юноши 4ф'!B:B)</f>
        <v>0</v>
      </c>
      <c r="H53" s="718" t="e">
        <f>IF(G53="","",VLOOKUP(G53,'Списки участников'!A:L,3,FALSE))</f>
        <v>#N/A</v>
      </c>
      <c r="I53" s="717">
        <v>113</v>
      </c>
      <c r="J53" s="509">
        <v>15</v>
      </c>
      <c r="K53" s="760">
        <v>1</v>
      </c>
      <c r="L53" s="760">
        <v>2</v>
      </c>
      <c r="M53" s="498">
        <f>LOOKUP(K53,'Юноши 4ф'!A:A,'Юноши 4ф'!B:B)</f>
        <v>0</v>
      </c>
      <c r="N53" s="718" t="e">
        <f>IF(M53="","",VLOOKUP(M53,'Списки участников'!A:L,3,FALSE))</f>
        <v>#N/A</v>
      </c>
      <c r="O53" s="498">
        <f>LOOKUP(L53,'Юноши 4ф'!A:A,'Юноши 4ф'!B:B)</f>
        <v>0</v>
      </c>
      <c r="P53" s="718" t="e">
        <f>IF(O53="","",VLOOKUP(O53,'Списки участников'!A:L,3,FALSE))</f>
        <v>#N/A</v>
      </c>
    </row>
    <row r="54" spans="1:16" ht="17.25" x14ac:dyDescent="0.25">
      <c r="A54" s="499">
        <v>50</v>
      </c>
      <c r="B54" s="509">
        <v>7</v>
      </c>
      <c r="C54" s="755">
        <v>11</v>
      </c>
      <c r="D54" s="756">
        <v>9</v>
      </c>
      <c r="E54" s="497">
        <f>LOOKUP(C54,'Юноши 4ф'!A:A,'Юноши 4ф'!B:B)</f>
        <v>0</v>
      </c>
      <c r="F54" s="718" t="e">
        <f>IF(E54="","",VLOOKUP(E54,'Списки участников'!A:L,3,FALSE))</f>
        <v>#N/A</v>
      </c>
      <c r="G54" s="498">
        <f>LOOKUP(D54,'Юноши 4ф'!A:A,'Юноши 4ф'!B:B)</f>
        <v>0</v>
      </c>
      <c r="H54" s="718" t="e">
        <f>IF(G54="","",VLOOKUP(G54,'Списки участников'!A:L,3,FALSE))</f>
        <v>#N/A</v>
      </c>
      <c r="I54" s="499">
        <v>114</v>
      </c>
      <c r="J54" s="509">
        <v>15</v>
      </c>
      <c r="K54" s="756">
        <v>3</v>
      </c>
      <c r="L54" s="756">
        <v>16</v>
      </c>
      <c r="M54" s="498">
        <f>LOOKUP(K54,'Юноши 4ф'!A:A,'Юноши 4ф'!B:B)</f>
        <v>0</v>
      </c>
      <c r="N54" s="718" t="e">
        <f>IF(M54="","",VLOOKUP(M54,'Списки участников'!A:L,3,FALSE))</f>
        <v>#N/A</v>
      </c>
      <c r="O54" s="498">
        <f>LOOKUP(L54,'Юноши 4ф'!A:A,'Юноши 4ф'!B:B)</f>
        <v>0</v>
      </c>
      <c r="P54" s="718" t="e">
        <f>IF(O54="","",VLOOKUP(O54,'Списки участников'!A:L,3,FALSE))</f>
        <v>#N/A</v>
      </c>
    </row>
    <row r="55" spans="1:16" ht="17.25" x14ac:dyDescent="0.25">
      <c r="A55" s="499">
        <v>51</v>
      </c>
      <c r="B55" s="509">
        <v>7</v>
      </c>
      <c r="C55" s="755">
        <v>12</v>
      </c>
      <c r="D55" s="756">
        <v>8</v>
      </c>
      <c r="E55" s="497">
        <f>LOOKUP(C55,'Юноши 4ф'!A:A,'Юноши 4ф'!B:B)</f>
        <v>0</v>
      </c>
      <c r="F55" s="718" t="e">
        <f>IF(E55="","",VLOOKUP(E55,'Списки участников'!A:L,3,FALSE))</f>
        <v>#N/A</v>
      </c>
      <c r="G55" s="498">
        <f>LOOKUP(D55,'Юноши 4ф'!A:A,'Юноши 4ф'!B:B)</f>
        <v>0</v>
      </c>
      <c r="H55" s="718" t="e">
        <f>IF(G55="","",VLOOKUP(G55,'Списки участников'!A:L,3,FALSE))</f>
        <v>#N/A</v>
      </c>
      <c r="I55" s="499">
        <v>115</v>
      </c>
      <c r="J55" s="509">
        <v>15</v>
      </c>
      <c r="K55" s="756">
        <v>4</v>
      </c>
      <c r="L55" s="756">
        <v>15</v>
      </c>
      <c r="M55" s="498">
        <f>LOOKUP(K55,'Юноши 4ф'!A:A,'Юноши 4ф'!B:B)</f>
        <v>0</v>
      </c>
      <c r="N55" s="718" t="e">
        <f>IF(M55="","",VLOOKUP(M55,'Списки участников'!A:L,3,FALSE))</f>
        <v>#N/A</v>
      </c>
      <c r="O55" s="498">
        <f>LOOKUP(L55,'Юноши 4ф'!A:A,'Юноши 4ф'!B:B)</f>
        <v>0</v>
      </c>
      <c r="P55" s="718" t="e">
        <f>IF(O55="","",VLOOKUP(O55,'Списки участников'!A:L,3,FALSE))</f>
        <v>#N/A</v>
      </c>
    </row>
    <row r="56" spans="1:16" ht="17.25" x14ac:dyDescent="0.25">
      <c r="A56" s="499">
        <v>52</v>
      </c>
      <c r="B56" s="509">
        <v>7</v>
      </c>
      <c r="C56" s="755">
        <v>13</v>
      </c>
      <c r="D56" s="756">
        <v>7</v>
      </c>
      <c r="E56" s="497">
        <f>LOOKUP(C56,'Юноши 4ф'!A:A,'Юноши 4ф'!B:B)</f>
        <v>0</v>
      </c>
      <c r="F56" s="718" t="e">
        <f>IF(E56="","",VLOOKUP(E56,'Списки участников'!A:L,3,FALSE))</f>
        <v>#N/A</v>
      </c>
      <c r="G56" s="498">
        <f>LOOKUP(D56,'Юноши 4ф'!A:A,'Юноши 4ф'!B:B)</f>
        <v>0</v>
      </c>
      <c r="H56" s="718" t="e">
        <f>IF(G56="","",VLOOKUP(G56,'Списки участников'!A:L,3,FALSE))</f>
        <v>#N/A</v>
      </c>
      <c r="I56" s="499">
        <v>116</v>
      </c>
      <c r="J56" s="509">
        <v>15</v>
      </c>
      <c r="K56" s="756">
        <v>5</v>
      </c>
      <c r="L56" s="756">
        <v>14</v>
      </c>
      <c r="M56" s="498">
        <f>LOOKUP(K56,'Юноши 4ф'!A:A,'Юноши 4ф'!B:B)</f>
        <v>0</v>
      </c>
      <c r="N56" s="718" t="e">
        <f>IF(M56="","",VLOOKUP(M56,'Списки участников'!A:L,3,FALSE))</f>
        <v>#N/A</v>
      </c>
      <c r="O56" s="498">
        <f>LOOKUP(L56,'Юноши 4ф'!A:A,'Юноши 4ф'!B:B)</f>
        <v>0</v>
      </c>
      <c r="P56" s="718" t="e">
        <f>IF(O56="","",VLOOKUP(O56,'Списки участников'!A:L,3,FALSE))</f>
        <v>#N/A</v>
      </c>
    </row>
    <row r="57" spans="1:16" ht="17.25" x14ac:dyDescent="0.25">
      <c r="A57" s="499">
        <v>53</v>
      </c>
      <c r="B57" s="514">
        <v>7</v>
      </c>
      <c r="C57" s="755">
        <v>14</v>
      </c>
      <c r="D57" s="756">
        <v>6</v>
      </c>
      <c r="E57" s="497">
        <f>LOOKUP(C57,'Юноши 4ф'!A:A,'Юноши 4ф'!B:B)</f>
        <v>0</v>
      </c>
      <c r="F57" s="718" t="e">
        <f>IF(E57="","",VLOOKUP(E57,'Списки участников'!A:L,3,FALSE))</f>
        <v>#N/A</v>
      </c>
      <c r="G57" s="498">
        <f>LOOKUP(D57,'Юноши 4ф'!A:A,'Юноши 4ф'!B:B)</f>
        <v>0</v>
      </c>
      <c r="H57" s="718" t="e">
        <f>IF(G57="","",VLOOKUP(G57,'Списки участников'!A:L,3,FALSE))</f>
        <v>#N/A</v>
      </c>
      <c r="I57" s="499">
        <v>117</v>
      </c>
      <c r="J57" s="514">
        <v>15</v>
      </c>
      <c r="K57" s="756">
        <v>6</v>
      </c>
      <c r="L57" s="756">
        <v>13</v>
      </c>
      <c r="M57" s="498">
        <f>LOOKUP(K57,'Юноши 4ф'!A:A,'Юноши 4ф'!B:B)</f>
        <v>0</v>
      </c>
      <c r="N57" s="718" t="e">
        <f>IF(M57="","",VLOOKUP(M57,'Списки участников'!A:L,3,FALSE))</f>
        <v>#N/A</v>
      </c>
      <c r="O57" s="498">
        <f>LOOKUP(L57,'Юноши 4ф'!A:A,'Юноши 4ф'!B:B)</f>
        <v>0</v>
      </c>
      <c r="P57" s="718" t="e">
        <f>IF(O57="","",VLOOKUP(O57,'Списки участников'!A:L,3,FALSE))</f>
        <v>#N/A</v>
      </c>
    </row>
    <row r="58" spans="1:16" ht="17.25" x14ac:dyDescent="0.25">
      <c r="A58" s="499">
        <v>54</v>
      </c>
      <c r="B58" s="509">
        <v>7</v>
      </c>
      <c r="C58" s="755">
        <v>15</v>
      </c>
      <c r="D58" s="756">
        <v>5</v>
      </c>
      <c r="E58" s="497">
        <f>LOOKUP(C58,'Юноши 4ф'!A:A,'Юноши 4ф'!B:B)</f>
        <v>0</v>
      </c>
      <c r="F58" s="718" t="e">
        <f>IF(E58="","",VLOOKUP(E58,'Списки участников'!A:L,3,FALSE))</f>
        <v>#N/A</v>
      </c>
      <c r="G58" s="498">
        <f>LOOKUP(D58,'Юноши 4ф'!A:A,'Юноши 4ф'!B:B)</f>
        <v>0</v>
      </c>
      <c r="H58" s="718" t="e">
        <f>IF(G58="","",VLOOKUP(G58,'Списки участников'!A:L,3,FALSE))</f>
        <v>#N/A</v>
      </c>
      <c r="I58" s="499">
        <v>118</v>
      </c>
      <c r="J58" s="509">
        <v>15</v>
      </c>
      <c r="K58" s="762">
        <v>7</v>
      </c>
      <c r="L58" s="762">
        <v>12</v>
      </c>
      <c r="M58" s="498">
        <f>LOOKUP(K58,'Юноши 4ф'!A:A,'Юноши 4ф'!B:B)</f>
        <v>0</v>
      </c>
      <c r="N58" s="718" t="e">
        <f>IF(M58="","",VLOOKUP(M58,'Списки участников'!A:L,3,FALSE))</f>
        <v>#N/A</v>
      </c>
      <c r="O58" s="498">
        <f>LOOKUP(L58,'Юноши 4ф'!A:A,'Юноши 4ф'!B:B)</f>
        <v>0</v>
      </c>
      <c r="P58" s="718" t="e">
        <f>IF(O58="","",VLOOKUP(O58,'Списки участников'!A:L,3,FALSE))</f>
        <v>#N/A</v>
      </c>
    </row>
    <row r="59" spans="1:16" ht="17.25" x14ac:dyDescent="0.25">
      <c r="A59" s="499">
        <v>55</v>
      </c>
      <c r="B59" s="509">
        <v>7</v>
      </c>
      <c r="C59" s="755">
        <v>16</v>
      </c>
      <c r="D59" s="756">
        <v>4</v>
      </c>
      <c r="E59" s="497">
        <f>LOOKUP(C59,'Юноши 4ф'!A:A,'Юноши 4ф'!B:B)</f>
        <v>0</v>
      </c>
      <c r="F59" s="718" t="e">
        <f>IF(E59="","",VLOOKUP(E59,'Списки участников'!A:L,3,FALSE))</f>
        <v>#N/A</v>
      </c>
      <c r="G59" s="498">
        <f>LOOKUP(D59,'Юноши 4ф'!A:A,'Юноши 4ф'!B:B)</f>
        <v>0</v>
      </c>
      <c r="H59" s="718" t="e">
        <f>IF(G59="","",VLOOKUP(G59,'Списки участников'!A:L,3,FALSE))</f>
        <v>#N/A</v>
      </c>
      <c r="I59" s="499">
        <v>119</v>
      </c>
      <c r="J59" s="509">
        <v>15</v>
      </c>
      <c r="K59" s="762">
        <v>8</v>
      </c>
      <c r="L59" s="762">
        <v>11</v>
      </c>
      <c r="M59" s="498">
        <f>LOOKUP(K59,'Юноши 4ф'!A:A,'Юноши 4ф'!B:B)</f>
        <v>0</v>
      </c>
      <c r="N59" s="718" t="e">
        <f>IF(M59="","",VLOOKUP(M59,'Списки участников'!A:L,3,FALSE))</f>
        <v>#N/A</v>
      </c>
      <c r="O59" s="498">
        <f>LOOKUP(L59,'Юноши 4ф'!A:A,'Юноши 4ф'!B:B)</f>
        <v>0</v>
      </c>
      <c r="P59" s="718" t="e">
        <f>IF(O59="","",VLOOKUP(O59,'Списки участников'!A:L,3,FALSE))</f>
        <v>#N/A</v>
      </c>
    </row>
    <row r="60" spans="1:16" ht="18" thickBot="1" x14ac:dyDescent="0.3">
      <c r="A60" s="499">
        <v>56</v>
      </c>
      <c r="B60" s="513">
        <v>7</v>
      </c>
      <c r="C60" s="757">
        <v>2</v>
      </c>
      <c r="D60" s="761">
        <v>3</v>
      </c>
      <c r="E60" s="507">
        <f>LOOKUP(C60,'Юноши 4ф'!A:A,'Юноши 4ф'!B:B)</f>
        <v>0</v>
      </c>
      <c r="F60" s="747" t="e">
        <f>IF(E60="","",VLOOKUP(E60,'Списки участников'!A:L,3,FALSE))</f>
        <v>#N/A</v>
      </c>
      <c r="G60" s="748">
        <f>LOOKUP(D60,'Юноши 4ф'!A:A,'Юноши 4ф'!B:B)</f>
        <v>0</v>
      </c>
      <c r="H60" s="747" t="e">
        <f>IF(G60="","",VLOOKUP(G60,'Списки участников'!A:L,3,FALSE))</f>
        <v>#N/A</v>
      </c>
      <c r="I60" s="749">
        <v>120</v>
      </c>
      <c r="J60" s="513">
        <v>15</v>
      </c>
      <c r="K60" s="761">
        <v>9</v>
      </c>
      <c r="L60" s="761">
        <v>10</v>
      </c>
      <c r="M60" s="748">
        <f>LOOKUP(K60,'Юноши 4ф'!A:A,'Юноши 4ф'!B:B)</f>
        <v>0</v>
      </c>
      <c r="N60" s="747" t="e">
        <f>IF(M60="","",VLOOKUP(M60,'Списки участников'!A:L,3,FALSE))</f>
        <v>#N/A</v>
      </c>
      <c r="O60" s="748">
        <f>LOOKUP(L60,'Юноши 4ф'!A:A,'Юноши 4ф'!B:B)</f>
        <v>0</v>
      </c>
      <c r="P60" s="747" t="e">
        <f>IF(O60="","",VLOOKUP(O60,'Списки участников'!A:L,3,FALSE))</f>
        <v>#N/A</v>
      </c>
    </row>
    <row r="61" spans="1:16" ht="15.75" x14ac:dyDescent="0.25">
      <c r="A61" s="499">
        <v>57</v>
      </c>
      <c r="B61" s="509">
        <v>8</v>
      </c>
      <c r="C61" s="759">
        <v>9</v>
      </c>
      <c r="D61" s="760">
        <v>1</v>
      </c>
      <c r="E61" s="498">
        <f>LOOKUP(C61,'Юноши 4ф'!A:A,'Юноши 4ф'!B:B)</f>
        <v>0</v>
      </c>
      <c r="F61" s="718" t="e">
        <f>IF(E61="","",VLOOKUP(E61,'Списки участников'!A:L,3,FALSE))</f>
        <v>#N/A</v>
      </c>
      <c r="G61" s="498">
        <f>LOOKUP(D61,'Юноши 4ф'!A:A,'Юноши 4ф'!B:B)</f>
        <v>0</v>
      </c>
      <c r="H61" s="718" t="e">
        <f>IF(G61="","",VLOOKUP(G61,'Списки участников'!A:L,3,FALSE))</f>
        <v>#N/A</v>
      </c>
    </row>
    <row r="62" spans="1:16" ht="15.75" x14ac:dyDescent="0.25">
      <c r="A62" s="499">
        <v>58</v>
      </c>
      <c r="B62" s="509">
        <v>8</v>
      </c>
      <c r="C62" s="755">
        <v>10</v>
      </c>
      <c r="D62" s="756">
        <v>8</v>
      </c>
      <c r="E62" s="497">
        <f>LOOKUP(C62,'Юноши 4ф'!A:A,'Юноши 4ф'!B:B)</f>
        <v>0</v>
      </c>
      <c r="F62" s="718" t="e">
        <f>IF(E62="","",VLOOKUP(E62,'Списки участников'!A:L,3,FALSE))</f>
        <v>#N/A</v>
      </c>
      <c r="G62" s="498">
        <f>LOOKUP(D62,'Юноши 4ф'!A:A,'Юноши 4ф'!B:B)</f>
        <v>0</v>
      </c>
      <c r="H62" s="718" t="e">
        <f>IF(G62="","",VLOOKUP(G62,'Списки участников'!A:L,3,FALSE))</f>
        <v>#N/A</v>
      </c>
    </row>
    <row r="63" spans="1:16" ht="15.75" x14ac:dyDescent="0.25">
      <c r="A63" s="499">
        <v>59</v>
      </c>
      <c r="B63" s="509">
        <v>8</v>
      </c>
      <c r="C63" s="755">
        <v>11</v>
      </c>
      <c r="D63" s="756">
        <v>7</v>
      </c>
      <c r="E63" s="497">
        <f>LOOKUP(C63,'Юноши 4ф'!A:A,'Юноши 4ф'!B:B)</f>
        <v>0</v>
      </c>
      <c r="F63" s="718" t="e">
        <f>IF(E63="","",VLOOKUP(E63,'Списки участников'!A:L,3,FALSE))</f>
        <v>#N/A</v>
      </c>
      <c r="G63" s="498">
        <f>LOOKUP(D63,'Юноши 4ф'!A:A,'Юноши 4ф'!B:B)</f>
        <v>0</v>
      </c>
      <c r="H63" s="718" t="e">
        <f>IF(G63="","",VLOOKUP(G63,'Списки участников'!A:L,3,FALSE))</f>
        <v>#N/A</v>
      </c>
      <c r="J63" s="1332" t="s">
        <v>1129</v>
      </c>
      <c r="K63" s="1332"/>
      <c r="L63" s="1332"/>
      <c r="M63" s="1332"/>
      <c r="N63" s="1332"/>
      <c r="P63" s="812" t="str">
        <f>'Списки участников'!I121</f>
        <v>В.А. Коваль</v>
      </c>
    </row>
    <row r="64" spans="1:16" ht="15.75" x14ac:dyDescent="0.25">
      <c r="A64" s="499">
        <v>60</v>
      </c>
      <c r="B64" s="509">
        <v>8</v>
      </c>
      <c r="C64" s="755">
        <v>12</v>
      </c>
      <c r="D64" s="756">
        <v>6</v>
      </c>
      <c r="E64" s="497">
        <f>LOOKUP(C64,'Юноши 4ф'!A:A,'Юноши 4ф'!B:B)</f>
        <v>0</v>
      </c>
      <c r="F64" s="718" t="e">
        <f>IF(E64="","",VLOOKUP(E64,'Списки участников'!A:L,3,FALSE))</f>
        <v>#N/A</v>
      </c>
      <c r="G64" s="498">
        <f>LOOKUP(D64,'Юноши 4ф'!A:A,'Юноши 4ф'!B:B)</f>
        <v>0</v>
      </c>
      <c r="H64" s="718" t="e">
        <f>IF(G64="","",VLOOKUP(G64,'Списки участников'!A:L,3,FALSE))</f>
        <v>#N/A</v>
      </c>
    </row>
    <row r="65" spans="1:16" ht="15.75" x14ac:dyDescent="0.25">
      <c r="A65" s="499">
        <v>61</v>
      </c>
      <c r="B65" s="514">
        <v>8</v>
      </c>
      <c r="C65" s="755">
        <v>13</v>
      </c>
      <c r="D65" s="756">
        <v>5</v>
      </c>
      <c r="E65" s="497">
        <f>LOOKUP(C65,'Юноши 4ф'!A:A,'Юноши 4ф'!B:B)</f>
        <v>0</v>
      </c>
      <c r="F65" s="718" t="e">
        <f>IF(E65="","",VLOOKUP(E65,'Списки участников'!A:L,3,FALSE))</f>
        <v>#N/A</v>
      </c>
      <c r="G65" s="498">
        <f>LOOKUP(D65,'Юноши 4ф'!A:A,'Юноши 4ф'!B:B)</f>
        <v>0</v>
      </c>
      <c r="H65" s="718" t="e">
        <f>IF(G65="","",VLOOKUP(G65,'Списки участников'!A:L,3,FALSE))</f>
        <v>#N/A</v>
      </c>
      <c r="J65" s="1332" t="s">
        <v>1130</v>
      </c>
      <c r="K65" s="1332"/>
      <c r="L65" s="1332"/>
      <c r="M65" s="1332"/>
      <c r="N65" s="1332"/>
      <c r="P65" s="812" t="str">
        <f>'Списки участников'!I122</f>
        <v>А.С. Рожкова</v>
      </c>
    </row>
    <row r="66" spans="1:16" ht="15.75" x14ac:dyDescent="0.25">
      <c r="A66" s="499">
        <v>62</v>
      </c>
      <c r="B66" s="509">
        <v>8</v>
      </c>
      <c r="C66" s="755">
        <v>14</v>
      </c>
      <c r="D66" s="756">
        <v>4</v>
      </c>
      <c r="E66" s="497">
        <f>LOOKUP(C66,'Юноши 4ф'!A:A,'Юноши 4ф'!B:B)</f>
        <v>0</v>
      </c>
      <c r="F66" s="718" t="e">
        <f>IF(E66="","",VLOOKUP(E66,'Списки участников'!A:L,3,FALSE))</f>
        <v>#N/A</v>
      </c>
      <c r="G66" s="498">
        <f>LOOKUP(D66,'Юноши 4ф'!A:A,'Юноши 4ф'!B:B)</f>
        <v>0</v>
      </c>
      <c r="H66" s="718" t="e">
        <f>IF(G66="","",VLOOKUP(G66,'Списки участников'!A:L,3,FALSE))</f>
        <v>#N/A</v>
      </c>
    </row>
    <row r="67" spans="1:16" ht="15.75" x14ac:dyDescent="0.25">
      <c r="A67" s="499">
        <v>63</v>
      </c>
      <c r="B67" s="509">
        <v>8</v>
      </c>
      <c r="C67" s="755">
        <v>15</v>
      </c>
      <c r="D67" s="756">
        <v>3</v>
      </c>
      <c r="E67" s="497">
        <f>LOOKUP(C67,'Юноши 4ф'!A:A,'Юноши 4ф'!B:B)</f>
        <v>0</v>
      </c>
      <c r="F67" s="718" t="e">
        <f>IF(E67="","",VLOOKUP(E67,'Списки участников'!A:L,3,FALSE))</f>
        <v>#N/A</v>
      </c>
      <c r="G67" s="498">
        <f>LOOKUP(D67,'Юноши 4ф'!A:A,'Юноши 4ф'!B:B)</f>
        <v>0</v>
      </c>
      <c r="H67" s="718" t="e">
        <f>IF(G67="","",VLOOKUP(G67,'Списки участников'!A:L,3,FALSE))</f>
        <v>#N/A</v>
      </c>
    </row>
    <row r="68" spans="1:16" ht="16.5" thickBot="1" x14ac:dyDescent="0.3">
      <c r="A68" s="499">
        <v>64</v>
      </c>
      <c r="B68" s="513">
        <v>8</v>
      </c>
      <c r="C68" s="757">
        <v>16</v>
      </c>
      <c r="D68" s="758">
        <v>2</v>
      </c>
      <c r="E68" s="497">
        <f>LOOKUP(C68,'Юноши 4ф'!A:A,'Юноши 4ф'!B:B)</f>
        <v>0</v>
      </c>
      <c r="F68" s="715" t="e">
        <f>IF(E68="","",VLOOKUP(E68,'Списки участников'!A:L,3,FALSE))</f>
        <v>#N/A</v>
      </c>
      <c r="G68" s="507">
        <f>LOOKUP(D68,'Юноши 4ф'!A:A,'Юноши 4ф'!B:B)</f>
        <v>0</v>
      </c>
      <c r="H68" s="715" t="e">
        <f>IF(G68="","",VLOOKUP(G68,'Списки участников'!A:L,3,FALSE))</f>
        <v>#N/A</v>
      </c>
    </row>
  </sheetData>
  <mergeCells count="15">
    <mergeCell ref="J63:N63"/>
    <mergeCell ref="J65:N65"/>
    <mergeCell ref="A1:P1"/>
    <mergeCell ref="A3:A4"/>
    <mergeCell ref="B3:B4"/>
    <mergeCell ref="C3:D4"/>
    <mergeCell ref="E3:E4"/>
    <mergeCell ref="F3:F4"/>
    <mergeCell ref="I2:L2"/>
    <mergeCell ref="H3:H4"/>
    <mergeCell ref="I3:I4"/>
    <mergeCell ref="J3:J4"/>
    <mergeCell ref="K3:L4"/>
    <mergeCell ref="N3:N4"/>
    <mergeCell ref="P3:P4"/>
  </mergeCells>
  <pageMargins left="0.31496062992125984" right="0.31496062992125984" top="0.35433070866141736" bottom="0.35433070866141736" header="0.31496062992125984" footer="0.31496062992125984"/>
  <pageSetup paperSize="9" scale="68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7030A0"/>
  </sheetPr>
  <dimension ref="A1:O124"/>
  <sheetViews>
    <sheetView view="pageBreakPreview" zoomScaleNormal="100" zoomScaleSheetLayoutView="100" workbookViewId="0">
      <selection activeCell="S11" sqref="S11"/>
    </sheetView>
  </sheetViews>
  <sheetFormatPr defaultColWidth="9.33203125" defaultRowHeight="15" outlineLevelCol="1" x14ac:dyDescent="0.25"/>
  <cols>
    <col min="1" max="1" width="9.33203125" style="135"/>
    <col min="2" max="2" width="5.33203125" style="135" customWidth="1"/>
    <col min="3" max="3" width="11.5" style="135" customWidth="1"/>
    <col min="4" max="4" width="6" style="135" hidden="1" customWidth="1" outlineLevel="1"/>
    <col min="5" max="5" width="25" style="135" customWidth="1" collapsed="1"/>
    <col min="6" max="6" width="5.5" style="135" hidden="1" customWidth="1" outlineLevel="1"/>
    <col min="7" max="7" width="25" style="135" customWidth="1" collapsed="1"/>
    <col min="8" max="8" width="5.83203125" style="135" hidden="1" customWidth="1" outlineLevel="1"/>
    <col min="9" max="9" width="25" style="135" customWidth="1" collapsed="1"/>
    <col min="10" max="14" width="6.6640625" style="135" customWidth="1"/>
    <col min="15" max="15" width="14.33203125" style="135" customWidth="1"/>
    <col min="16" max="16384" width="9.33203125" style="135"/>
  </cols>
  <sheetData>
    <row r="1" spans="1:15" ht="18.75" x14ac:dyDescent="0.3">
      <c r="C1" s="1340" t="str">
        <f>'[2]Списки участников ОМ, ОЖ'!A1</f>
        <v xml:space="preserve">Всероссийские соревнования по настольному теннису "Надежды России" </v>
      </c>
      <c r="D1" s="1340"/>
      <c r="E1" s="1340"/>
      <c r="F1" s="1340"/>
      <c r="G1" s="1340"/>
      <c r="H1" s="1340"/>
      <c r="I1" s="1340"/>
      <c r="J1" s="1340"/>
      <c r="K1" s="1340"/>
      <c r="L1" s="1340"/>
      <c r="M1" s="1340"/>
      <c r="N1" s="1340"/>
    </row>
    <row r="2" spans="1:15" ht="19.5" thickBot="1" x14ac:dyDescent="0.35">
      <c r="E2" s="709" t="str">
        <f>'Списки участников'!C3</f>
        <v>26-29 мая 2016 г.</v>
      </c>
      <c r="F2" s="709"/>
      <c r="G2" s="1211" t="s">
        <v>2603</v>
      </c>
      <c r="H2" s="1211"/>
      <c r="I2" s="1211"/>
      <c r="J2" s="1211"/>
      <c r="K2" s="1211"/>
      <c r="L2" s="1211"/>
      <c r="M2" s="1211"/>
      <c r="N2" s="1341" t="str">
        <f>'Списки участников'!I3</f>
        <v>г. Москва</v>
      </c>
      <c r="O2" s="1341"/>
    </row>
    <row r="3" spans="1:15" ht="19.5" thickBot="1" x14ac:dyDescent="0.35">
      <c r="A3" s="1342" t="s">
        <v>1133</v>
      </c>
      <c r="B3" s="1344" t="s">
        <v>1000</v>
      </c>
      <c r="C3" s="1346" t="s">
        <v>3</v>
      </c>
      <c r="D3" s="1348"/>
      <c r="E3" s="1333" t="s">
        <v>4</v>
      </c>
      <c r="F3" s="710"/>
      <c r="G3" s="1333" t="s">
        <v>4</v>
      </c>
      <c r="H3" s="710"/>
      <c r="I3" s="1333" t="s">
        <v>795</v>
      </c>
      <c r="J3" s="1335" t="s">
        <v>1001</v>
      </c>
      <c r="K3" s="1336"/>
      <c r="L3" s="1336"/>
      <c r="M3" s="1336"/>
      <c r="N3" s="1337"/>
      <c r="O3" s="1338" t="s">
        <v>1134</v>
      </c>
    </row>
    <row r="4" spans="1:15" ht="19.5" thickBot="1" x14ac:dyDescent="0.3">
      <c r="A4" s="1343"/>
      <c r="B4" s="1345"/>
      <c r="C4" s="1347"/>
      <c r="D4" s="1349"/>
      <c r="E4" s="1334"/>
      <c r="F4" s="711"/>
      <c r="G4" s="1334"/>
      <c r="H4" s="712"/>
      <c r="I4" s="1334"/>
      <c r="J4" s="713">
        <v>1</v>
      </c>
      <c r="K4" s="713">
        <v>2</v>
      </c>
      <c r="L4" s="713">
        <v>3</v>
      </c>
      <c r="M4" s="713">
        <v>4</v>
      </c>
      <c r="N4" s="714">
        <v>5</v>
      </c>
      <c r="O4" s="1339"/>
    </row>
    <row r="5" spans="1:15" x14ac:dyDescent="0.25">
      <c r="A5" s="701">
        <v>1</v>
      </c>
      <c r="B5" s="495">
        <v>1</v>
      </c>
      <c r="C5" s="496" t="s">
        <v>1002</v>
      </c>
      <c r="D5" s="497">
        <f>'Юноши 1ф'!B5</f>
        <v>0</v>
      </c>
      <c r="E5" s="702" t="e">
        <f>IF(D5="","",VLOOKUP(D5,'Списки участников'!A:L,12,FALSE))</f>
        <v>#N/A</v>
      </c>
      <c r="F5" s="498">
        <f>'Юноши 1ф'!B35</f>
        <v>0</v>
      </c>
      <c r="G5" s="702" t="e">
        <f>IF(F5="","",VLOOKUP(F5,'Списки участников'!A:L,12,FALSE))</f>
        <v>#N/A</v>
      </c>
      <c r="H5" s="498"/>
      <c r="I5" s="702" t="str">
        <f>IF(H5="","",VLOOKUP(H5,'[3] Списки участников ОМ, ОЖ'!A$1:L$65536,12,FALSE))</f>
        <v/>
      </c>
      <c r="J5" s="701"/>
      <c r="K5" s="701"/>
      <c r="L5" s="701"/>
      <c r="M5" s="701"/>
      <c r="N5" s="701"/>
      <c r="O5" s="496"/>
    </row>
    <row r="6" spans="1:15" x14ac:dyDescent="0.25">
      <c r="A6" s="499">
        <v>2</v>
      </c>
      <c r="B6" s="500">
        <v>1</v>
      </c>
      <c r="C6" s="501" t="s">
        <v>1003</v>
      </c>
      <c r="D6" s="497">
        <f>'Юноши 1ф'!B7</f>
        <v>0</v>
      </c>
      <c r="E6" s="702" t="e">
        <f>IF(D6="","",VLOOKUP(D6,'Списки участников'!A:L,12,FALSE))</f>
        <v>#N/A</v>
      </c>
      <c r="F6" s="497">
        <f>'Юноши 1ф'!B33</f>
        <v>0</v>
      </c>
      <c r="G6" s="702" t="e">
        <f>IF(F6="","",VLOOKUP(F6,'Списки участников'!A:L,12,FALSE))</f>
        <v>#N/A</v>
      </c>
      <c r="H6" s="497"/>
      <c r="I6" s="702" t="str">
        <f>IF(H6="","",VLOOKUP(H6,'[4]Списки участников ОМ, ОЖ'!A$1:L$65536,12,FALSE))</f>
        <v/>
      </c>
      <c r="J6" s="499"/>
      <c r="K6" s="499"/>
      <c r="L6" s="499"/>
      <c r="M6" s="499"/>
      <c r="N6" s="499"/>
      <c r="O6" s="501"/>
    </row>
    <row r="7" spans="1:15" x14ac:dyDescent="0.25">
      <c r="A7" s="499">
        <v>3</v>
      </c>
      <c r="B7" s="500">
        <v>1</v>
      </c>
      <c r="C7" s="501" t="s">
        <v>1004</v>
      </c>
      <c r="D7" s="497">
        <f>'Юноши 1ф'!B9</f>
        <v>0</v>
      </c>
      <c r="E7" s="702" t="e">
        <f>IF(D7="","",VLOOKUP(D7,'Списки участников'!A:L,12,FALSE))</f>
        <v>#N/A</v>
      </c>
      <c r="F7" s="497">
        <f>'Юноши 1ф'!B31</f>
        <v>0</v>
      </c>
      <c r="G7" s="702" t="e">
        <f>IF(F7="","",VLOOKUP(F7,'Списки участников'!A:L,12,FALSE))</f>
        <v>#N/A</v>
      </c>
      <c r="H7" s="497"/>
      <c r="I7" s="702" t="str">
        <f>IF(H7="","",VLOOKUP(H7,'[4]Списки участников ОМ, ОЖ'!A$1:L$65536,12,FALSE))</f>
        <v/>
      </c>
      <c r="J7" s="499"/>
      <c r="K7" s="499"/>
      <c r="L7" s="499"/>
      <c r="M7" s="499"/>
      <c r="N7" s="499"/>
      <c r="O7" s="501"/>
    </row>
    <row r="8" spans="1:15" x14ac:dyDescent="0.25">
      <c r="A8" s="499">
        <v>4</v>
      </c>
      <c r="B8" s="500">
        <v>1</v>
      </c>
      <c r="C8" s="501" t="s">
        <v>1005</v>
      </c>
      <c r="D8" s="497">
        <f>'Юноши 1ф'!B11</f>
        <v>0</v>
      </c>
      <c r="E8" s="702" t="e">
        <f>IF(D8="","",VLOOKUP(D8,'Списки участников'!A:L,12,FALSE))</f>
        <v>#N/A</v>
      </c>
      <c r="F8" s="497">
        <f>'Юноши 1ф'!B29</f>
        <v>0</v>
      </c>
      <c r="G8" s="702" t="e">
        <f>IF(F8="","",VLOOKUP(F8,'Списки участников'!A:L,12,FALSE))</f>
        <v>#N/A</v>
      </c>
      <c r="H8" s="497"/>
      <c r="I8" s="702" t="str">
        <f>IF(H8="","",VLOOKUP(H8,'[4]Списки участников ОМ, ОЖ'!A$1:L$65536,12,FALSE))</f>
        <v/>
      </c>
      <c r="J8" s="499"/>
      <c r="K8" s="499"/>
      <c r="L8" s="499"/>
      <c r="M8" s="499"/>
      <c r="N8" s="499"/>
      <c r="O8" s="501"/>
    </row>
    <row r="9" spans="1:15" x14ac:dyDescent="0.25">
      <c r="A9" s="499">
        <v>5</v>
      </c>
      <c r="B9" s="502">
        <v>1</v>
      </c>
      <c r="C9" s="501" t="s">
        <v>1006</v>
      </c>
      <c r="D9" s="497">
        <f>'Юноши 1ф'!B13</f>
        <v>0</v>
      </c>
      <c r="E9" s="702" t="e">
        <f>IF(D9="","",VLOOKUP(D9,'Списки участников'!A:L,12,FALSE))</f>
        <v>#N/A</v>
      </c>
      <c r="F9" s="497">
        <f>'Юноши 1ф'!B27</f>
        <v>0</v>
      </c>
      <c r="G9" s="702" t="e">
        <f>IF(F9="","",VLOOKUP(F9,'Списки участников'!A:L,12,FALSE))</f>
        <v>#N/A</v>
      </c>
      <c r="H9" s="497"/>
      <c r="I9" s="702" t="str">
        <f>IF(H9="","",VLOOKUP(H9,'[4]Списки участников ОМ, ОЖ'!A$1:L$65536,12,FALSE))</f>
        <v/>
      </c>
      <c r="J9" s="499"/>
      <c r="K9" s="499"/>
      <c r="L9" s="499"/>
      <c r="M9" s="499"/>
      <c r="N9" s="499"/>
      <c r="O9" s="501"/>
    </row>
    <row r="10" spans="1:15" x14ac:dyDescent="0.25">
      <c r="A10" s="499">
        <v>6</v>
      </c>
      <c r="B10" s="500">
        <v>1</v>
      </c>
      <c r="C10" s="503" t="s">
        <v>1007</v>
      </c>
      <c r="D10" s="504">
        <f>'Юноши 1ф'!B15</f>
        <v>0</v>
      </c>
      <c r="E10" s="702" t="e">
        <f>IF(D10="","",VLOOKUP(D10,'Списки участников'!A:L,12,FALSE))</f>
        <v>#N/A</v>
      </c>
      <c r="F10" s="504">
        <f>'Юноши 1ф'!B25</f>
        <v>0</v>
      </c>
      <c r="G10" s="702" t="e">
        <f>IF(F10="","",VLOOKUP(F10,'Списки участников'!A:L,12,FALSE))</f>
        <v>#N/A</v>
      </c>
      <c r="H10" s="504"/>
      <c r="I10" s="702" t="str">
        <f>IF(H10="","",VLOOKUP(H10,'[4]Списки участников ОМ, ОЖ'!A$1:L$65536,12,FALSE))</f>
        <v/>
      </c>
      <c r="J10" s="700"/>
      <c r="K10" s="700"/>
      <c r="L10" s="700"/>
      <c r="M10" s="700"/>
      <c r="N10" s="700"/>
      <c r="O10" s="503"/>
    </row>
    <row r="11" spans="1:15" x14ac:dyDescent="0.25">
      <c r="A11" s="499">
        <v>7</v>
      </c>
      <c r="B11" s="500">
        <v>1</v>
      </c>
      <c r="C11" s="503" t="s">
        <v>1008</v>
      </c>
      <c r="D11" s="504">
        <f>'Юноши 1ф'!B17</f>
        <v>0</v>
      </c>
      <c r="E11" s="702" t="e">
        <f>IF(D11="","",VLOOKUP(D11,'Списки участников'!A:L,12,FALSE))</f>
        <v>#N/A</v>
      </c>
      <c r="F11" s="504">
        <f>'Юноши 1ф'!B23</f>
        <v>0</v>
      </c>
      <c r="G11" s="702" t="e">
        <f>IF(F11="","",VLOOKUP(F11,'Списки участников'!A:L,12,FALSE))</f>
        <v>#N/A</v>
      </c>
      <c r="H11" s="504"/>
      <c r="I11" s="702" t="str">
        <f>IF(H11="","",VLOOKUP(H11,'[4]Списки участников ОМ, ОЖ'!A$1:L$65536,12,FALSE))</f>
        <v/>
      </c>
      <c r="J11" s="700"/>
      <c r="K11" s="700"/>
      <c r="L11" s="700"/>
      <c r="M11" s="700"/>
      <c r="N11" s="700"/>
      <c r="O11" s="503"/>
    </row>
    <row r="12" spans="1:15" ht="15.75" thickBot="1" x14ac:dyDescent="0.3">
      <c r="A12" s="499">
        <v>8</v>
      </c>
      <c r="B12" s="505">
        <v>1</v>
      </c>
      <c r="C12" s="506" t="s">
        <v>1009</v>
      </c>
      <c r="D12" s="507">
        <f>'Юноши 1ф'!B19</f>
        <v>0</v>
      </c>
      <c r="E12" s="702" t="e">
        <f>IF(D12="","",VLOOKUP(D12,'Списки участников'!A:L,12,FALSE))</f>
        <v>#N/A</v>
      </c>
      <c r="F12" s="507">
        <f>'Юноши 1ф'!B21</f>
        <v>0</v>
      </c>
      <c r="G12" s="702" t="e">
        <f>IF(F12="","",VLOOKUP(F12,'Списки участников'!A:L,12,FALSE))</f>
        <v>#N/A</v>
      </c>
      <c r="H12" s="507"/>
      <c r="I12" s="715" t="str">
        <f>IF(H12="","",VLOOKUP(H12,'[4]Списки участников ОМ, ОЖ'!A$1:L$65536,12,FALSE))</f>
        <v/>
      </c>
      <c r="J12" s="716"/>
      <c r="K12" s="716"/>
      <c r="L12" s="716"/>
      <c r="M12" s="716"/>
      <c r="N12" s="716"/>
      <c r="O12" s="506"/>
    </row>
    <row r="13" spans="1:15" x14ac:dyDescent="0.25">
      <c r="A13" s="499">
        <v>9</v>
      </c>
      <c r="B13" s="508">
        <v>2</v>
      </c>
      <c r="C13" s="496" t="s">
        <v>1010</v>
      </c>
      <c r="D13" s="498">
        <f>'Юноши 1ф'!B33</f>
        <v>0</v>
      </c>
      <c r="E13" s="702" t="e">
        <f>IF(D13="","",VLOOKUP(D13,'Списки участников'!A:L,12,FALSE))</f>
        <v>#N/A</v>
      </c>
      <c r="F13" s="498">
        <f>'Юноши 1ф'!B5</f>
        <v>0</v>
      </c>
      <c r="G13" s="702" t="e">
        <f>IF(F13="","",VLOOKUP(F13,'Списки участников'!A:L,12,FALSE))</f>
        <v>#N/A</v>
      </c>
      <c r="H13" s="498"/>
      <c r="I13" s="702" t="str">
        <f>IF(H13="","",VLOOKUP(H13,'[4]Списки участников ОМ, ОЖ'!A$1:L$65536,12,FALSE))</f>
        <v/>
      </c>
      <c r="J13" s="701"/>
      <c r="K13" s="701"/>
      <c r="L13" s="701"/>
      <c r="M13" s="701"/>
      <c r="N13" s="701"/>
      <c r="O13" s="496"/>
    </row>
    <row r="14" spans="1:15" x14ac:dyDescent="0.25">
      <c r="A14" s="499">
        <v>10</v>
      </c>
      <c r="B14" s="500">
        <v>2</v>
      </c>
      <c r="C14" s="501" t="s">
        <v>1011</v>
      </c>
      <c r="D14" s="497">
        <f>'Юноши 1ф'!B35</f>
        <v>0</v>
      </c>
      <c r="E14" s="702" t="e">
        <f>IF(D14="","",VLOOKUP(D14,'Списки участников'!A:L,12,FALSE))</f>
        <v>#N/A</v>
      </c>
      <c r="F14" s="497">
        <f>'Юноши 1ф'!B31</f>
        <v>0</v>
      </c>
      <c r="G14" s="702" t="e">
        <f>IF(F14="","",VLOOKUP(F14,'Списки участников'!A:L,12,FALSE))</f>
        <v>#N/A</v>
      </c>
      <c r="H14" s="497"/>
      <c r="I14" s="702" t="str">
        <f>IF(H14="","",VLOOKUP(H14,'[4]Списки участников ОМ, ОЖ'!A$1:L$65536,12,FALSE))</f>
        <v/>
      </c>
      <c r="J14" s="499"/>
      <c r="K14" s="499"/>
      <c r="L14" s="499"/>
      <c r="M14" s="499"/>
      <c r="N14" s="499"/>
      <c r="O14" s="501"/>
    </row>
    <row r="15" spans="1:15" x14ac:dyDescent="0.25">
      <c r="A15" s="499">
        <v>11</v>
      </c>
      <c r="B15" s="500">
        <v>2</v>
      </c>
      <c r="C15" s="501" t="s">
        <v>1012</v>
      </c>
      <c r="D15" s="497">
        <f>'Юноши 1ф'!B7</f>
        <v>0</v>
      </c>
      <c r="E15" s="702" t="e">
        <f>IF(D15="","",VLOOKUP(D15,'Списки участников'!A:L,12,FALSE))</f>
        <v>#N/A</v>
      </c>
      <c r="F15" s="497">
        <f>'Юноши 1ф'!B29</f>
        <v>0</v>
      </c>
      <c r="G15" s="702" t="e">
        <f>IF(F15="","",VLOOKUP(F15,'Списки участников'!A:L,12,FALSE))</f>
        <v>#N/A</v>
      </c>
      <c r="H15" s="497"/>
      <c r="I15" s="702" t="str">
        <f>IF(H15="","",VLOOKUP(H15,'[4]Списки участников ОМ, ОЖ'!A$1:L$65536,12,FALSE))</f>
        <v/>
      </c>
      <c r="J15" s="499"/>
      <c r="K15" s="499"/>
      <c r="L15" s="499"/>
      <c r="M15" s="499"/>
      <c r="N15" s="499"/>
      <c r="O15" s="501"/>
    </row>
    <row r="16" spans="1:15" x14ac:dyDescent="0.25">
      <c r="A16" s="499">
        <v>12</v>
      </c>
      <c r="B16" s="500">
        <v>2</v>
      </c>
      <c r="C16" s="501" t="s">
        <v>1013</v>
      </c>
      <c r="D16" s="497">
        <f>'Юноши 1ф'!B9</f>
        <v>0</v>
      </c>
      <c r="E16" s="702" t="e">
        <f>IF(D16="","",VLOOKUP(D16,'Списки участников'!A:L,12,FALSE))</f>
        <v>#N/A</v>
      </c>
      <c r="F16" s="497">
        <f>'Юноши 1ф'!B27</f>
        <v>0</v>
      </c>
      <c r="G16" s="702" t="e">
        <f>IF(F16="","",VLOOKUP(F16,'Списки участников'!A:L,12,FALSE))</f>
        <v>#N/A</v>
      </c>
      <c r="H16" s="497"/>
      <c r="I16" s="702" t="str">
        <f>IF(H16="","",VLOOKUP(H16,'[4]Списки участников ОМ, ОЖ'!A$1:L$65536,12,FALSE))</f>
        <v/>
      </c>
      <c r="J16" s="499"/>
      <c r="K16" s="499"/>
      <c r="L16" s="499"/>
      <c r="M16" s="499"/>
      <c r="N16" s="499"/>
      <c r="O16" s="501"/>
    </row>
    <row r="17" spans="1:15" x14ac:dyDescent="0.25">
      <c r="A17" s="499">
        <v>13</v>
      </c>
      <c r="B17" s="502">
        <v>2</v>
      </c>
      <c r="C17" s="501" t="s">
        <v>1014</v>
      </c>
      <c r="D17" s="497">
        <f>'Юноши 1ф'!B11</f>
        <v>0</v>
      </c>
      <c r="E17" s="702" t="e">
        <f>IF(D17="","",VLOOKUP(D17,'Списки участников'!A:L,12,FALSE))</f>
        <v>#N/A</v>
      </c>
      <c r="F17" s="497">
        <f>'Юноши 1ф'!B25</f>
        <v>0</v>
      </c>
      <c r="G17" s="702" t="e">
        <f>IF(F17="","",VLOOKUP(F17,'Списки участников'!A:L,12,FALSE))</f>
        <v>#N/A</v>
      </c>
      <c r="H17" s="497"/>
      <c r="I17" s="702" t="str">
        <f>IF(H17="","",VLOOKUP(H17,'[4]Списки участников ОМ, ОЖ'!A$1:L$65536,12,FALSE))</f>
        <v/>
      </c>
      <c r="J17" s="499"/>
      <c r="K17" s="499"/>
      <c r="L17" s="499"/>
      <c r="M17" s="499"/>
      <c r="N17" s="499"/>
      <c r="O17" s="501"/>
    </row>
    <row r="18" spans="1:15" x14ac:dyDescent="0.25">
      <c r="A18" s="499">
        <v>14</v>
      </c>
      <c r="B18" s="500">
        <v>2</v>
      </c>
      <c r="C18" s="503" t="s">
        <v>1015</v>
      </c>
      <c r="D18" s="504">
        <f>'Юноши 1ф'!B13</f>
        <v>0</v>
      </c>
      <c r="E18" s="702" t="e">
        <f>IF(D18="","",VLOOKUP(D18,'Списки участников'!A:L,12,FALSE))</f>
        <v>#N/A</v>
      </c>
      <c r="F18" s="497">
        <f>'Юноши 1ф'!B23</f>
        <v>0</v>
      </c>
      <c r="G18" s="702" t="e">
        <f>IF(F18="","",VLOOKUP(F18,'Списки участников'!A:L,12,FALSE))</f>
        <v>#N/A</v>
      </c>
      <c r="H18" s="504"/>
      <c r="I18" s="702" t="str">
        <f>IF(H18="","",VLOOKUP(H18,'[4]Списки участников ОМ, ОЖ'!A$1:L$65536,12,FALSE))</f>
        <v/>
      </c>
      <c r="J18" s="700"/>
      <c r="K18" s="700"/>
      <c r="L18" s="700"/>
      <c r="M18" s="700"/>
      <c r="N18" s="700"/>
      <c r="O18" s="503"/>
    </row>
    <row r="19" spans="1:15" x14ac:dyDescent="0.25">
      <c r="A19" s="499">
        <v>15</v>
      </c>
      <c r="B19" s="500">
        <v>2</v>
      </c>
      <c r="C19" s="503" t="s">
        <v>1016</v>
      </c>
      <c r="D19" s="504">
        <f>'Юноши 1ф'!B15</f>
        <v>0</v>
      </c>
      <c r="E19" s="702" t="e">
        <f>IF(D19="","",VLOOKUP(D19,'Списки участников'!A:L,12,FALSE))</f>
        <v>#N/A</v>
      </c>
      <c r="F19" s="497">
        <f>'Юноши 1ф'!B21</f>
        <v>0</v>
      </c>
      <c r="G19" s="702" t="e">
        <f>IF(F19="","",VLOOKUP(F19,'Списки участников'!A:L,12,FALSE))</f>
        <v>#N/A</v>
      </c>
      <c r="H19" s="504"/>
      <c r="I19" s="702" t="str">
        <f>IF(H19="","",VLOOKUP(H19,'[4]Списки участников ОМ, ОЖ'!A$1:L$65536,12,FALSE))</f>
        <v/>
      </c>
      <c r="J19" s="700"/>
      <c r="K19" s="700"/>
      <c r="L19" s="700"/>
      <c r="M19" s="700"/>
      <c r="N19" s="700"/>
      <c r="O19" s="503"/>
    </row>
    <row r="20" spans="1:15" ht="15.75" thickBot="1" x14ac:dyDescent="0.3">
      <c r="A20" s="499">
        <v>16</v>
      </c>
      <c r="B20" s="505">
        <v>2</v>
      </c>
      <c r="C20" s="506" t="s">
        <v>1017</v>
      </c>
      <c r="D20" s="507">
        <f>'Юноши 1ф'!B17</f>
        <v>0</v>
      </c>
      <c r="E20" s="702" t="e">
        <f>IF(D20="","",VLOOKUP(D20,'Списки участников'!A:L,12,FALSE))</f>
        <v>#N/A</v>
      </c>
      <c r="F20" s="497">
        <f>'Юноши 1ф'!B19</f>
        <v>0</v>
      </c>
      <c r="G20" s="702" t="e">
        <f>IF(F20="","",VLOOKUP(F20,'Списки участников'!A:L,12,FALSE))</f>
        <v>#N/A</v>
      </c>
      <c r="H20" s="507"/>
      <c r="I20" s="715" t="str">
        <f>IF(H20="","",VLOOKUP(H20,'[4]Списки участников ОМ, ОЖ'!A$1:L$65536,12,FALSE))</f>
        <v/>
      </c>
      <c r="J20" s="716"/>
      <c r="K20" s="716"/>
      <c r="L20" s="716"/>
      <c r="M20" s="716"/>
      <c r="N20" s="716"/>
      <c r="O20" s="506"/>
    </row>
    <row r="21" spans="1:15" ht="15" customHeight="1" x14ac:dyDescent="0.25">
      <c r="A21" s="499">
        <v>17</v>
      </c>
      <c r="B21" s="495">
        <v>3</v>
      </c>
      <c r="C21" s="496" t="s">
        <v>1018</v>
      </c>
      <c r="D21" s="498">
        <f>'Юноши 1ф'!B5</f>
        <v>0</v>
      </c>
      <c r="E21" s="702" t="e">
        <f>IF(D21="","",VLOOKUP(D21,'Списки участников'!A:L,12,FALSE))</f>
        <v>#N/A</v>
      </c>
      <c r="F21" s="498">
        <f>'Юноши 1ф'!B31</f>
        <v>0</v>
      </c>
      <c r="G21" s="702" t="e">
        <f>IF(F21="","",VLOOKUP(F21,'Списки участников'!A:L,12,FALSE))</f>
        <v>#N/A</v>
      </c>
      <c r="H21" s="498"/>
      <c r="I21" s="702" t="str">
        <f>IF(H21="","",VLOOKUP(H21,'[4]Списки участников ОМ, ОЖ'!A$1:L$65536,12,FALSE))</f>
        <v/>
      </c>
      <c r="J21" s="701"/>
      <c r="K21" s="701"/>
      <c r="L21" s="701"/>
      <c r="M21" s="701"/>
      <c r="N21" s="701"/>
      <c r="O21" s="496"/>
    </row>
    <row r="22" spans="1:15" x14ac:dyDescent="0.25">
      <c r="A22" s="499">
        <v>18</v>
      </c>
      <c r="B22" s="509">
        <v>3</v>
      </c>
      <c r="C22" s="501" t="s">
        <v>1019</v>
      </c>
      <c r="D22" s="497">
        <f>'Юноши 1ф'!B33</f>
        <v>0</v>
      </c>
      <c r="E22" s="702" t="e">
        <f>IF(D22="","",VLOOKUP(D22,'Списки участников'!A:L,12,FALSE))</f>
        <v>#N/A</v>
      </c>
      <c r="F22" s="498">
        <f>'Юноши 1ф'!B29</f>
        <v>0</v>
      </c>
      <c r="G22" s="702" t="e">
        <f>IF(F22="","",VLOOKUP(F22,'Списки участников'!A:L,12,FALSE))</f>
        <v>#N/A</v>
      </c>
      <c r="H22" s="497"/>
      <c r="I22" s="702" t="str">
        <f>IF(H22="","",VLOOKUP(H22,'[4]Списки участников ОМ, ОЖ'!A$1:L$65536,12,FALSE))</f>
        <v/>
      </c>
      <c r="J22" s="499"/>
      <c r="K22" s="499"/>
      <c r="L22" s="499"/>
      <c r="M22" s="499"/>
      <c r="N22" s="499"/>
      <c r="O22" s="501"/>
    </row>
    <row r="23" spans="1:15" ht="15" customHeight="1" x14ac:dyDescent="0.25">
      <c r="A23" s="499">
        <v>19</v>
      </c>
      <c r="B23" s="509">
        <v>3</v>
      </c>
      <c r="C23" s="501" t="s">
        <v>1020</v>
      </c>
      <c r="D23" s="497">
        <f>'Юноши 1ф'!B35</f>
        <v>0</v>
      </c>
      <c r="E23" s="702" t="e">
        <f>IF(D23="","",VLOOKUP(D23,'Списки участников'!A:L,12,FALSE))</f>
        <v>#N/A</v>
      </c>
      <c r="F23" s="498">
        <f>'Юноши 1ф'!B27</f>
        <v>0</v>
      </c>
      <c r="G23" s="702" t="e">
        <f>IF(F23="","",VLOOKUP(F23,'Списки участников'!A:L,12,FALSE))</f>
        <v>#N/A</v>
      </c>
      <c r="H23" s="497"/>
      <c r="I23" s="702" t="str">
        <f>IF(H23="","",VLOOKUP(H23,'[4]Списки участников ОМ, ОЖ'!A$1:L$65536,12,FALSE))</f>
        <v/>
      </c>
      <c r="J23" s="499"/>
      <c r="K23" s="499"/>
      <c r="L23" s="499"/>
      <c r="M23" s="499"/>
      <c r="N23" s="499"/>
      <c r="O23" s="501"/>
    </row>
    <row r="24" spans="1:15" x14ac:dyDescent="0.25">
      <c r="A24" s="499">
        <v>20</v>
      </c>
      <c r="B24" s="509">
        <v>3</v>
      </c>
      <c r="C24" s="501" t="s">
        <v>1021</v>
      </c>
      <c r="D24" s="497">
        <f>'Юноши 1ф'!B7</f>
        <v>0</v>
      </c>
      <c r="E24" s="702" t="e">
        <f>IF(D24="","",VLOOKUP(D24,'Списки участников'!A:L,12,FALSE))</f>
        <v>#N/A</v>
      </c>
      <c r="F24" s="498">
        <f>'Юноши 1ф'!B25</f>
        <v>0</v>
      </c>
      <c r="G24" s="702" t="e">
        <f>IF(F24="","",VLOOKUP(F24,'Списки участников'!A:L,12,FALSE))</f>
        <v>#N/A</v>
      </c>
      <c r="H24" s="497"/>
      <c r="I24" s="702" t="str">
        <f>IF(H24="","",VLOOKUP(H24,'[4]Списки участников ОМ, ОЖ'!A$1:L$65536,12,FALSE))</f>
        <v/>
      </c>
      <c r="J24" s="499"/>
      <c r="K24" s="499"/>
      <c r="L24" s="499"/>
      <c r="M24" s="499"/>
      <c r="N24" s="499"/>
      <c r="O24" s="501"/>
    </row>
    <row r="25" spans="1:15" x14ac:dyDescent="0.25">
      <c r="A25" s="499">
        <v>21</v>
      </c>
      <c r="B25" s="502">
        <v>3</v>
      </c>
      <c r="C25" s="501" t="s">
        <v>1022</v>
      </c>
      <c r="D25" s="497">
        <f>'Юноши 1ф'!B9</f>
        <v>0</v>
      </c>
      <c r="E25" s="702" t="e">
        <f>IF(D25="","",VLOOKUP(D25,'Списки участников'!A:L,12,FALSE))</f>
        <v>#N/A</v>
      </c>
      <c r="F25" s="498">
        <f>'Юноши 1ф'!B23</f>
        <v>0</v>
      </c>
      <c r="G25" s="702" t="e">
        <f>IF(F25="","",VLOOKUP(F25,'Списки участников'!A:L,12,FALSE))</f>
        <v>#N/A</v>
      </c>
      <c r="H25" s="497"/>
      <c r="I25" s="702" t="str">
        <f>IF(H25="","",VLOOKUP(H25,'[4]Списки участников ОМ, ОЖ'!A$1:L$65536,12,FALSE))</f>
        <v/>
      </c>
      <c r="J25" s="499"/>
      <c r="K25" s="499"/>
      <c r="L25" s="499"/>
      <c r="M25" s="499"/>
      <c r="N25" s="499"/>
      <c r="O25" s="501"/>
    </row>
    <row r="26" spans="1:15" x14ac:dyDescent="0.25">
      <c r="A26" s="499">
        <v>22</v>
      </c>
      <c r="B26" s="509">
        <v>3</v>
      </c>
      <c r="C26" s="503" t="s">
        <v>1023</v>
      </c>
      <c r="D26" s="504">
        <f>'Юноши 1ф'!B11</f>
        <v>0</v>
      </c>
      <c r="E26" s="702" t="e">
        <f>IF(D26="","",VLOOKUP(D26,'Списки участников'!A:L,12,FALSE))</f>
        <v>#N/A</v>
      </c>
      <c r="F26" s="498">
        <f>'Юноши 1ф'!B21</f>
        <v>0</v>
      </c>
      <c r="G26" s="702" t="e">
        <f>IF(F26="","",VLOOKUP(F26,'Списки участников'!A:L,12,FALSE))</f>
        <v>#N/A</v>
      </c>
      <c r="H26" s="504"/>
      <c r="I26" s="702" t="str">
        <f>IF(H26="","",VLOOKUP(H26,'[4]Списки участников ОМ, ОЖ'!A$1:L$65536,12,FALSE))</f>
        <v/>
      </c>
      <c r="J26" s="700"/>
      <c r="K26" s="700"/>
      <c r="L26" s="700"/>
      <c r="M26" s="700"/>
      <c r="N26" s="700"/>
      <c r="O26" s="503"/>
    </row>
    <row r="27" spans="1:15" x14ac:dyDescent="0.25">
      <c r="A27" s="499">
        <v>23</v>
      </c>
      <c r="B27" s="509">
        <v>3</v>
      </c>
      <c r="C27" s="503" t="s">
        <v>1024</v>
      </c>
      <c r="D27" s="504">
        <f>'Юноши 1ф'!B13</f>
        <v>0</v>
      </c>
      <c r="E27" s="702" t="e">
        <f>IF(D27="","",VLOOKUP(D27,'Списки участников'!A:L,12,FALSE))</f>
        <v>#N/A</v>
      </c>
      <c r="F27" s="498">
        <f>'Юноши 1ф'!B19</f>
        <v>0</v>
      </c>
      <c r="G27" s="702" t="e">
        <f>IF(F27="","",VLOOKUP(F27,'Списки участников'!A:L,12,FALSE))</f>
        <v>#N/A</v>
      </c>
      <c r="H27" s="504"/>
      <c r="I27" s="702" t="str">
        <f>IF(H27="","",VLOOKUP(H27,'[4]Списки участников ОМ, ОЖ'!A$1:L$65536,12,FALSE))</f>
        <v/>
      </c>
      <c r="J27" s="700"/>
      <c r="K27" s="700"/>
      <c r="L27" s="700"/>
      <c r="M27" s="700"/>
      <c r="N27" s="700"/>
      <c r="O27" s="503"/>
    </row>
    <row r="28" spans="1:15" ht="15.75" thickBot="1" x14ac:dyDescent="0.3">
      <c r="A28" s="499">
        <v>24</v>
      </c>
      <c r="B28" s="510">
        <v>3</v>
      </c>
      <c r="C28" s="506" t="s">
        <v>1025</v>
      </c>
      <c r="D28" s="507">
        <f>'Юноши 1ф'!B15</f>
        <v>0</v>
      </c>
      <c r="E28" s="702" t="e">
        <f>IF(D28="","",VLOOKUP(D28,'Списки участников'!A:L,12,FALSE))</f>
        <v>#N/A</v>
      </c>
      <c r="F28" s="498">
        <f>'Юноши 1ф'!B17</f>
        <v>0</v>
      </c>
      <c r="G28" s="702" t="e">
        <f>IF(F28="","",VLOOKUP(F28,'Списки участников'!A:L,12,FALSE))</f>
        <v>#N/A</v>
      </c>
      <c r="H28" s="507"/>
      <c r="I28" s="715" t="str">
        <f>IF(H28="","",VLOOKUP(H28,'[4]Списки участников ОМ, ОЖ'!A$1:L$65536,12,FALSE))</f>
        <v/>
      </c>
      <c r="J28" s="716"/>
      <c r="K28" s="716"/>
      <c r="L28" s="716"/>
      <c r="M28" s="716"/>
      <c r="N28" s="716"/>
      <c r="O28" s="506"/>
    </row>
    <row r="29" spans="1:15" x14ac:dyDescent="0.25">
      <c r="A29" s="499">
        <v>25</v>
      </c>
      <c r="B29" s="511">
        <v>4</v>
      </c>
      <c r="C29" s="496" t="s">
        <v>1026</v>
      </c>
      <c r="D29" s="498">
        <f>'Юноши 1ф'!B29</f>
        <v>0</v>
      </c>
      <c r="E29" s="702" t="e">
        <f>IF(D29="","",VLOOKUP(D29,'Списки участников'!A:L,12,FALSE))</f>
        <v>#N/A</v>
      </c>
      <c r="F29" s="498">
        <f>'Юноши 1ф'!B5</f>
        <v>0</v>
      </c>
      <c r="G29" s="702" t="e">
        <f>IF(F29="","",VLOOKUP(F29,'Списки участников'!A:L,12,FALSE))</f>
        <v>#N/A</v>
      </c>
      <c r="H29" s="498"/>
      <c r="I29" s="702" t="str">
        <f>IF(H29="","",VLOOKUP(H29,'[4]Списки участников ОМ, ОЖ'!A$1:L$65536,12,FALSE))</f>
        <v/>
      </c>
      <c r="J29" s="701"/>
      <c r="K29" s="701"/>
      <c r="L29" s="701"/>
      <c r="M29" s="701"/>
      <c r="N29" s="701"/>
      <c r="O29" s="496"/>
    </row>
    <row r="30" spans="1:15" x14ac:dyDescent="0.25">
      <c r="A30" s="499">
        <v>26</v>
      </c>
      <c r="B30" s="509">
        <v>4</v>
      </c>
      <c r="C30" s="501" t="s">
        <v>1027</v>
      </c>
      <c r="D30" s="497">
        <f>'Юноши 1ф'!B31</f>
        <v>0</v>
      </c>
      <c r="E30" s="702" t="e">
        <f>IF(D30="","",VLOOKUP(D30,'Списки участников'!A:L,12,FALSE))</f>
        <v>#N/A</v>
      </c>
      <c r="F30" s="497">
        <f>'Юноши 1ф'!B27</f>
        <v>0</v>
      </c>
      <c r="G30" s="702" t="e">
        <f>IF(F30="","",VLOOKUP(F30,'Списки участников'!A:L,12,FALSE))</f>
        <v>#N/A</v>
      </c>
      <c r="H30" s="497"/>
      <c r="I30" s="702" t="str">
        <f>IF(H30="","",VLOOKUP(H30,'[4]Списки участников ОМ, ОЖ'!A$1:L$65536,12,FALSE))</f>
        <v/>
      </c>
      <c r="J30" s="499"/>
      <c r="K30" s="499"/>
      <c r="L30" s="499"/>
      <c r="M30" s="499"/>
      <c r="N30" s="499"/>
      <c r="O30" s="501"/>
    </row>
    <row r="31" spans="1:15" x14ac:dyDescent="0.25">
      <c r="A31" s="499">
        <v>27</v>
      </c>
      <c r="B31" s="511">
        <v>4</v>
      </c>
      <c r="C31" s="501" t="s">
        <v>1028</v>
      </c>
      <c r="D31" s="497">
        <f>'Юноши 1ф'!B33</f>
        <v>0</v>
      </c>
      <c r="E31" s="702" t="e">
        <f>IF(D31="","",VLOOKUP(D31,'Списки участников'!A:L,12,FALSE))</f>
        <v>#N/A</v>
      </c>
      <c r="F31" s="497">
        <f>'Юноши 1ф'!B25</f>
        <v>0</v>
      </c>
      <c r="G31" s="702" t="e">
        <f>IF(F31="","",VLOOKUP(F31,'Списки участников'!A:L,12,FALSE))</f>
        <v>#N/A</v>
      </c>
      <c r="H31" s="497"/>
      <c r="I31" s="702" t="str">
        <f>IF(H31="","",VLOOKUP(H31,'[4]Списки участников ОМ, ОЖ'!A$1:L$65536,12,FALSE))</f>
        <v/>
      </c>
      <c r="J31" s="499"/>
      <c r="K31" s="499"/>
      <c r="L31" s="499"/>
      <c r="M31" s="499"/>
      <c r="N31" s="499"/>
      <c r="O31" s="501"/>
    </row>
    <row r="32" spans="1:15" x14ac:dyDescent="0.25">
      <c r="A32" s="499">
        <v>28</v>
      </c>
      <c r="B32" s="509">
        <v>4</v>
      </c>
      <c r="C32" s="501" t="s">
        <v>1029</v>
      </c>
      <c r="D32" s="497">
        <f>'Юноши 1ф'!B35</f>
        <v>0</v>
      </c>
      <c r="E32" s="702" t="e">
        <f>IF(D32="","",VLOOKUP(D32,'Списки участников'!A:L,12,FALSE))</f>
        <v>#N/A</v>
      </c>
      <c r="F32" s="497">
        <f>'Юноши 1ф'!B23</f>
        <v>0</v>
      </c>
      <c r="G32" s="702" t="e">
        <f>IF(F32="","",VLOOKUP(F32,'Списки участников'!A:L,12,FALSE))</f>
        <v>#N/A</v>
      </c>
      <c r="H32" s="497"/>
      <c r="I32" s="702" t="str">
        <f>IF(H32="","",VLOOKUP(H32,'[4]Списки участников ОМ, ОЖ'!A$1:L$65536,12,FALSE))</f>
        <v/>
      </c>
      <c r="J32" s="499"/>
      <c r="K32" s="499"/>
      <c r="L32" s="499"/>
      <c r="M32" s="499"/>
      <c r="N32" s="499"/>
      <c r="O32" s="501"/>
    </row>
    <row r="33" spans="1:15" x14ac:dyDescent="0.25">
      <c r="A33" s="499">
        <v>29</v>
      </c>
      <c r="B33" s="512">
        <v>4</v>
      </c>
      <c r="C33" s="501" t="s">
        <v>1030</v>
      </c>
      <c r="D33" s="497">
        <f>'Юноши 1ф'!B7</f>
        <v>0</v>
      </c>
      <c r="E33" s="702" t="e">
        <f>IF(D33="","",VLOOKUP(D33,'Списки участников'!A:L,12,FALSE))</f>
        <v>#N/A</v>
      </c>
      <c r="F33" s="497">
        <f>'Юноши 1ф'!B21</f>
        <v>0</v>
      </c>
      <c r="G33" s="702" t="e">
        <f>IF(F33="","",VLOOKUP(F33,'Списки участников'!A:L,12,FALSE))</f>
        <v>#N/A</v>
      </c>
      <c r="H33" s="497"/>
      <c r="I33" s="702" t="str">
        <f>IF(H33="","",VLOOKUP(H33,'[4]Списки участников ОМ, ОЖ'!A$1:L$65536,12,FALSE))</f>
        <v/>
      </c>
      <c r="J33" s="499"/>
      <c r="K33" s="499"/>
      <c r="L33" s="499"/>
      <c r="M33" s="499"/>
      <c r="N33" s="499"/>
      <c r="O33" s="501"/>
    </row>
    <row r="34" spans="1:15" x14ac:dyDescent="0.25">
      <c r="A34" s="499">
        <v>30</v>
      </c>
      <c r="B34" s="509">
        <v>4</v>
      </c>
      <c r="C34" s="503" t="s">
        <v>1031</v>
      </c>
      <c r="D34" s="504">
        <f>'Юноши 1ф'!B9</f>
        <v>0</v>
      </c>
      <c r="E34" s="702" t="e">
        <f>IF(D34="","",VLOOKUP(D34,'Списки участников'!A:L,12,FALSE))</f>
        <v>#N/A</v>
      </c>
      <c r="F34" s="497">
        <f>'Юноши 1ф'!B19</f>
        <v>0</v>
      </c>
      <c r="G34" s="702" t="e">
        <f>IF(F34="","",VLOOKUP(F34,'Списки участников'!A:L,12,FALSE))</f>
        <v>#N/A</v>
      </c>
      <c r="H34" s="504"/>
      <c r="I34" s="702" t="str">
        <f>IF(H34="","",VLOOKUP(H34,'[4]Списки участников ОМ, ОЖ'!A$1:L$65536,12,FALSE))</f>
        <v/>
      </c>
      <c r="J34" s="700"/>
      <c r="K34" s="700"/>
      <c r="L34" s="700"/>
      <c r="M34" s="700"/>
      <c r="N34" s="700"/>
      <c r="O34" s="503"/>
    </row>
    <row r="35" spans="1:15" x14ac:dyDescent="0.25">
      <c r="A35" s="499">
        <v>31</v>
      </c>
      <c r="B35" s="511">
        <v>4</v>
      </c>
      <c r="C35" s="503" t="s">
        <v>1032</v>
      </c>
      <c r="D35" s="504">
        <f>'Юноши 1ф'!B11</f>
        <v>0</v>
      </c>
      <c r="E35" s="702" t="e">
        <f>IF(D35="","",VLOOKUP(D35,'Списки участников'!A:L,12,FALSE))</f>
        <v>#N/A</v>
      </c>
      <c r="F35" s="497">
        <f>'Юноши 1ф'!B17</f>
        <v>0</v>
      </c>
      <c r="G35" s="702" t="e">
        <f>IF(F35="","",VLOOKUP(F35,'Списки участников'!A:L,12,FALSE))</f>
        <v>#N/A</v>
      </c>
      <c r="H35" s="504"/>
      <c r="I35" s="702" t="str">
        <f>IF(H35="","",VLOOKUP(H35,'[4]Списки участников ОМ, ОЖ'!A$1:L$65536,12,FALSE))</f>
        <v/>
      </c>
      <c r="J35" s="700"/>
      <c r="K35" s="700"/>
      <c r="L35" s="700"/>
      <c r="M35" s="700"/>
      <c r="N35" s="700"/>
      <c r="O35" s="503"/>
    </row>
    <row r="36" spans="1:15" ht="15.75" thickBot="1" x14ac:dyDescent="0.3">
      <c r="A36" s="499">
        <v>32</v>
      </c>
      <c r="B36" s="509">
        <v>4</v>
      </c>
      <c r="C36" s="506" t="s">
        <v>1033</v>
      </c>
      <c r="D36" s="507">
        <f>'Юноши 1ф'!B13</f>
        <v>0</v>
      </c>
      <c r="E36" s="702" t="e">
        <f>IF(D36="","",VLOOKUP(D36,'Списки участников'!A:L,12,FALSE))</f>
        <v>#N/A</v>
      </c>
      <c r="F36" s="497">
        <f>'Юноши 1ф'!B15</f>
        <v>0</v>
      </c>
      <c r="G36" s="702" t="e">
        <f>IF(F36="","",VLOOKUP(F36,'Списки участников'!A:L,12,FALSE))</f>
        <v>#N/A</v>
      </c>
      <c r="H36" s="507"/>
      <c r="I36" s="715" t="str">
        <f>IF(H36="","",VLOOKUP(H36,'[4]Списки участников ОМ, ОЖ'!A$1:L$65536,12,FALSE))</f>
        <v/>
      </c>
      <c r="J36" s="716"/>
      <c r="K36" s="716"/>
      <c r="L36" s="716"/>
      <c r="M36" s="716"/>
      <c r="N36" s="716"/>
      <c r="O36" s="506"/>
    </row>
    <row r="37" spans="1:15" ht="15" customHeight="1" x14ac:dyDescent="0.25">
      <c r="A37" s="499">
        <v>33</v>
      </c>
      <c r="B37" s="511">
        <v>5</v>
      </c>
      <c r="C37" s="496" t="s">
        <v>1034</v>
      </c>
      <c r="D37" s="498">
        <f>'Юноши 1ф'!B5</f>
        <v>0</v>
      </c>
      <c r="E37" s="702" t="e">
        <f>IF(D37="","",VLOOKUP(D37,'Списки участников'!A:L,12,FALSE))</f>
        <v>#N/A</v>
      </c>
      <c r="F37" s="498">
        <f>'Юноши 1ф'!B27</f>
        <v>0</v>
      </c>
      <c r="G37" s="702" t="e">
        <f>IF(F37="","",VLOOKUP(F37,'Списки участников'!A:L,12,FALSE))</f>
        <v>#N/A</v>
      </c>
      <c r="H37" s="498"/>
      <c r="I37" s="702" t="str">
        <f>IF(H37="","",VLOOKUP(H37,'[4]Списки участников ОМ, ОЖ'!A$1:L$65536,12,FALSE))</f>
        <v/>
      </c>
      <c r="J37" s="701"/>
      <c r="K37" s="701"/>
      <c r="L37" s="701"/>
      <c r="M37" s="701"/>
      <c r="N37" s="701"/>
      <c r="O37" s="496"/>
    </row>
    <row r="38" spans="1:15" x14ac:dyDescent="0.25">
      <c r="A38" s="499">
        <v>34</v>
      </c>
      <c r="B38" s="509">
        <v>5</v>
      </c>
      <c r="C38" s="501" t="s">
        <v>1035</v>
      </c>
      <c r="D38" s="497">
        <f>'Юноши 1ф'!B29</f>
        <v>0</v>
      </c>
      <c r="E38" s="702" t="e">
        <f>IF(D38="","",VLOOKUP(D38,'Списки участников'!A:L,12,FALSE))</f>
        <v>#N/A</v>
      </c>
      <c r="F38" s="498">
        <f>'Юноши 1ф'!B25</f>
        <v>0</v>
      </c>
      <c r="G38" s="702" t="e">
        <f>IF(F38="","",VLOOKUP(F38,'Списки участников'!A:L,12,FALSE))</f>
        <v>#N/A</v>
      </c>
      <c r="H38" s="497"/>
      <c r="I38" s="702" t="str">
        <f>IF(H38="","",VLOOKUP(H38,'[4]Списки участников ОМ, ОЖ'!A$1:L$65536,12,FALSE))</f>
        <v/>
      </c>
      <c r="J38" s="499"/>
      <c r="K38" s="499"/>
      <c r="L38" s="499"/>
      <c r="M38" s="499"/>
      <c r="N38" s="499"/>
      <c r="O38" s="501"/>
    </row>
    <row r="39" spans="1:15" x14ac:dyDescent="0.25">
      <c r="A39" s="499">
        <v>35</v>
      </c>
      <c r="B39" s="509">
        <v>5</v>
      </c>
      <c r="C39" s="501" t="s">
        <v>1036</v>
      </c>
      <c r="D39" s="497">
        <f>'Юноши 1ф'!B31</f>
        <v>0</v>
      </c>
      <c r="E39" s="702" t="e">
        <f>IF(D39="","",VLOOKUP(D39,'Списки участников'!A:L,12,FALSE))</f>
        <v>#N/A</v>
      </c>
      <c r="F39" s="498">
        <f>'Юноши 1ф'!B23</f>
        <v>0</v>
      </c>
      <c r="G39" s="702" t="e">
        <f>IF(F39="","",VLOOKUP(F39,'Списки участников'!A:L,12,FALSE))</f>
        <v>#N/A</v>
      </c>
      <c r="H39" s="497"/>
      <c r="I39" s="702" t="str">
        <f>IF(H39="","",VLOOKUP(H39,'[4]Списки участников ОМ, ОЖ'!A$1:L$65536,12,FALSE))</f>
        <v/>
      </c>
      <c r="J39" s="499"/>
      <c r="K39" s="499"/>
      <c r="L39" s="499"/>
      <c r="M39" s="499"/>
      <c r="N39" s="499"/>
      <c r="O39" s="501"/>
    </row>
    <row r="40" spans="1:15" x14ac:dyDescent="0.25">
      <c r="A40" s="499">
        <v>36</v>
      </c>
      <c r="B40" s="509">
        <v>5</v>
      </c>
      <c r="C40" s="501" t="s">
        <v>1037</v>
      </c>
      <c r="D40" s="497">
        <f>'Юноши 1ф'!B33</f>
        <v>0</v>
      </c>
      <c r="E40" s="702" t="e">
        <f>IF(D40="","",VLOOKUP(D40,'Списки участников'!A:L,12,FALSE))</f>
        <v>#N/A</v>
      </c>
      <c r="F40" s="498">
        <f>'Юноши 1ф'!B21</f>
        <v>0</v>
      </c>
      <c r="G40" s="702" t="e">
        <f>IF(F40="","",VLOOKUP(F40,'Списки участников'!A:L,12,FALSE))</f>
        <v>#N/A</v>
      </c>
      <c r="H40" s="497"/>
      <c r="I40" s="702" t="str">
        <f>IF(H40="","",VLOOKUP(H40,'[4]Списки участников ОМ, ОЖ'!A$1:L$65536,12,FALSE))</f>
        <v/>
      </c>
      <c r="J40" s="499"/>
      <c r="K40" s="499"/>
      <c r="L40" s="499"/>
      <c r="M40" s="499"/>
      <c r="N40" s="499"/>
      <c r="O40" s="501"/>
    </row>
    <row r="41" spans="1:15" x14ac:dyDescent="0.25">
      <c r="A41" s="499">
        <v>37</v>
      </c>
      <c r="B41" s="502">
        <v>5</v>
      </c>
      <c r="C41" s="501" t="s">
        <v>1038</v>
      </c>
      <c r="D41" s="497">
        <f>'Юноши 1ф'!B35</f>
        <v>0</v>
      </c>
      <c r="E41" s="702" t="e">
        <f>IF(D41="","",VLOOKUP(D41,'Списки участников'!A:L,12,FALSE))</f>
        <v>#N/A</v>
      </c>
      <c r="F41" s="498">
        <f>'Юноши 1ф'!B19</f>
        <v>0</v>
      </c>
      <c r="G41" s="702" t="e">
        <f>IF(F41="","",VLOOKUP(F41,'Списки участников'!A:L,12,FALSE))</f>
        <v>#N/A</v>
      </c>
      <c r="H41" s="497"/>
      <c r="I41" s="702" t="str">
        <f>IF(H41="","",VLOOKUP(H41,'[4]Списки участников ОМ, ОЖ'!A$1:L$65536,12,FALSE))</f>
        <v/>
      </c>
      <c r="J41" s="499"/>
      <c r="K41" s="499"/>
      <c r="L41" s="499"/>
      <c r="M41" s="499"/>
      <c r="N41" s="499"/>
      <c r="O41" s="501"/>
    </row>
    <row r="42" spans="1:15" x14ac:dyDescent="0.25">
      <c r="A42" s="499">
        <v>38</v>
      </c>
      <c r="B42" s="509">
        <v>5</v>
      </c>
      <c r="C42" s="503" t="s">
        <v>1039</v>
      </c>
      <c r="D42" s="504">
        <f>'Юноши 1ф'!B7</f>
        <v>0</v>
      </c>
      <c r="E42" s="702" t="e">
        <f>IF(D42="","",VLOOKUP(D42,'Списки участников'!A:L,12,FALSE))</f>
        <v>#N/A</v>
      </c>
      <c r="F42" s="498">
        <f>'Юноши 1ф'!B17</f>
        <v>0</v>
      </c>
      <c r="G42" s="702" t="e">
        <f>IF(F42="","",VLOOKUP(F42,'Списки участников'!A:L,12,FALSE))</f>
        <v>#N/A</v>
      </c>
      <c r="H42" s="504"/>
      <c r="I42" s="702" t="str">
        <f>IF(H42="","",VLOOKUP(H42,'[4]Списки участников ОМ, ОЖ'!A$1:L$65536,12,FALSE))</f>
        <v/>
      </c>
      <c r="J42" s="700"/>
      <c r="K42" s="700"/>
      <c r="L42" s="700"/>
      <c r="M42" s="700"/>
      <c r="N42" s="700"/>
      <c r="O42" s="503"/>
    </row>
    <row r="43" spans="1:15" x14ac:dyDescent="0.25">
      <c r="A43" s="499">
        <v>39</v>
      </c>
      <c r="B43" s="509">
        <v>5</v>
      </c>
      <c r="C43" s="503" t="s">
        <v>1040</v>
      </c>
      <c r="D43" s="504">
        <f>'Юноши 1ф'!B9</f>
        <v>0</v>
      </c>
      <c r="E43" s="702" t="e">
        <f>IF(D43="","",VLOOKUP(D43,'Списки участников'!A:L,12,FALSE))</f>
        <v>#N/A</v>
      </c>
      <c r="F43" s="498">
        <f>'Юноши 1ф'!B15</f>
        <v>0</v>
      </c>
      <c r="G43" s="702" t="e">
        <f>IF(F43="","",VLOOKUP(F43,'Списки участников'!A:L,12,FALSE))</f>
        <v>#N/A</v>
      </c>
      <c r="H43" s="504"/>
      <c r="I43" s="702" t="str">
        <f>IF(H43="","",VLOOKUP(H43,'[4]Списки участников ОМ, ОЖ'!A$1:L$65536,12,FALSE))</f>
        <v/>
      </c>
      <c r="J43" s="700"/>
      <c r="K43" s="700"/>
      <c r="L43" s="700"/>
      <c r="M43" s="700"/>
      <c r="N43" s="700"/>
      <c r="O43" s="503"/>
    </row>
    <row r="44" spans="1:15" ht="15.75" thickBot="1" x14ac:dyDescent="0.3">
      <c r="A44" s="499">
        <v>40</v>
      </c>
      <c r="B44" s="513">
        <v>5</v>
      </c>
      <c r="C44" s="506" t="s">
        <v>1041</v>
      </c>
      <c r="D44" s="507">
        <f>'Юноши 1ф'!B11</f>
        <v>0</v>
      </c>
      <c r="E44" s="702" t="e">
        <f>IF(D44="","",VLOOKUP(D44,'Списки участников'!A:L,12,FALSE))</f>
        <v>#N/A</v>
      </c>
      <c r="F44" s="498">
        <f>'Юноши 1ф'!B13</f>
        <v>0</v>
      </c>
      <c r="G44" s="702" t="e">
        <f>IF(F44="","",VLOOKUP(F44,'Списки участников'!A:L,12,FALSE))</f>
        <v>#N/A</v>
      </c>
      <c r="H44" s="507"/>
      <c r="I44" s="715" t="str">
        <f>IF(H44="","",VLOOKUP(H44,'[4]Списки участников ОМ, ОЖ'!A$1:L$65536,12,FALSE))</f>
        <v/>
      </c>
      <c r="J44" s="716"/>
      <c r="K44" s="716"/>
      <c r="L44" s="716"/>
      <c r="M44" s="716"/>
      <c r="N44" s="716"/>
      <c r="O44" s="506"/>
    </row>
    <row r="45" spans="1:15" ht="15" customHeight="1" x14ac:dyDescent="0.25">
      <c r="A45" s="499">
        <v>41</v>
      </c>
      <c r="B45" s="495">
        <v>6</v>
      </c>
      <c r="C45" s="496" t="s">
        <v>1042</v>
      </c>
      <c r="D45" s="498">
        <f>'Юноши 1ф'!B25</f>
        <v>0</v>
      </c>
      <c r="E45" s="702" t="e">
        <f>IF(D45="","",VLOOKUP(D45,'Списки участников'!A:L,12,FALSE))</f>
        <v>#N/A</v>
      </c>
      <c r="F45" s="498">
        <f>'Юноши 1ф'!B5</f>
        <v>0</v>
      </c>
      <c r="G45" s="702" t="e">
        <f>IF(F45="","",VLOOKUP(F45,'Списки участников'!A:L,12,FALSE))</f>
        <v>#N/A</v>
      </c>
      <c r="H45" s="498"/>
      <c r="I45" s="702" t="str">
        <f>IF(H45="","",VLOOKUP(H45,'[4]Списки участников ОМ, ОЖ'!A$1:L$65536,12,FALSE))</f>
        <v/>
      </c>
      <c r="J45" s="701"/>
      <c r="K45" s="701"/>
      <c r="L45" s="701"/>
      <c r="M45" s="701"/>
      <c r="N45" s="701"/>
      <c r="O45" s="496"/>
    </row>
    <row r="46" spans="1:15" x14ac:dyDescent="0.25">
      <c r="A46" s="499">
        <v>42</v>
      </c>
      <c r="B46" s="509">
        <v>6</v>
      </c>
      <c r="C46" s="501" t="s">
        <v>1043</v>
      </c>
      <c r="D46" s="497">
        <f>'Юноши 1ф'!B27</f>
        <v>0</v>
      </c>
      <c r="E46" s="702" t="e">
        <f>IF(D46="","",VLOOKUP(D46,'Списки участников'!A:L,12,FALSE))</f>
        <v>#N/A</v>
      </c>
      <c r="F46" s="497">
        <f>'Юноши 1ф'!B23</f>
        <v>0</v>
      </c>
      <c r="G46" s="702" t="e">
        <f>IF(F46="","",VLOOKUP(F46,'Списки участников'!A:L,12,FALSE))</f>
        <v>#N/A</v>
      </c>
      <c r="H46" s="497"/>
      <c r="I46" s="702" t="str">
        <f>IF(H46="","",VLOOKUP(H46,'[4]Списки участников ОМ, ОЖ'!A$1:L$65536,12,FALSE))</f>
        <v/>
      </c>
      <c r="J46" s="499"/>
      <c r="K46" s="499"/>
      <c r="L46" s="499"/>
      <c r="M46" s="499"/>
      <c r="N46" s="499"/>
      <c r="O46" s="501"/>
    </row>
    <row r="47" spans="1:15" x14ac:dyDescent="0.25">
      <c r="A47" s="499">
        <v>43</v>
      </c>
      <c r="B47" s="509">
        <v>6</v>
      </c>
      <c r="C47" s="501" t="s">
        <v>1044</v>
      </c>
      <c r="D47" s="497">
        <f>'Юноши 1ф'!B29</f>
        <v>0</v>
      </c>
      <c r="E47" s="702" t="e">
        <f>IF(D47="","",VLOOKUP(D47,'Списки участников'!A:L,12,FALSE))</f>
        <v>#N/A</v>
      </c>
      <c r="F47" s="497">
        <f>'Юноши 1ф'!B21</f>
        <v>0</v>
      </c>
      <c r="G47" s="702" t="e">
        <f>IF(F47="","",VLOOKUP(F47,'Списки участников'!A:L,12,FALSE))</f>
        <v>#N/A</v>
      </c>
      <c r="H47" s="497"/>
      <c r="I47" s="702" t="str">
        <f>IF(H47="","",VLOOKUP(H47,'[4]Списки участников ОМ, ОЖ'!A$1:L$65536,12,FALSE))</f>
        <v/>
      </c>
      <c r="J47" s="499"/>
      <c r="K47" s="499"/>
      <c r="L47" s="499"/>
      <c r="M47" s="499"/>
      <c r="N47" s="499"/>
      <c r="O47" s="501"/>
    </row>
    <row r="48" spans="1:15" x14ac:dyDescent="0.25">
      <c r="A48" s="499">
        <v>44</v>
      </c>
      <c r="B48" s="509">
        <v>6</v>
      </c>
      <c r="C48" s="501" t="s">
        <v>1045</v>
      </c>
      <c r="D48" s="497">
        <f>'Юноши 1ф'!B31</f>
        <v>0</v>
      </c>
      <c r="E48" s="702" t="e">
        <f>IF(D48="","",VLOOKUP(D48,'Списки участников'!A:L,12,FALSE))</f>
        <v>#N/A</v>
      </c>
      <c r="F48" s="497">
        <f>'Юноши 1ф'!B19</f>
        <v>0</v>
      </c>
      <c r="G48" s="702" t="e">
        <f>IF(F48="","",VLOOKUP(F48,'Списки участников'!A:L,12,FALSE))</f>
        <v>#N/A</v>
      </c>
      <c r="H48" s="497"/>
      <c r="I48" s="702" t="str">
        <f>IF(H48="","",VLOOKUP(H48,'[4]Списки участников ОМ, ОЖ'!A$1:L$65536,12,FALSE))</f>
        <v/>
      </c>
      <c r="J48" s="499"/>
      <c r="K48" s="499"/>
      <c r="L48" s="499"/>
      <c r="M48" s="499"/>
      <c r="N48" s="499"/>
      <c r="O48" s="501"/>
    </row>
    <row r="49" spans="1:15" x14ac:dyDescent="0.25">
      <c r="A49" s="499">
        <v>45</v>
      </c>
      <c r="B49" s="514">
        <v>6</v>
      </c>
      <c r="C49" s="501" t="s">
        <v>1046</v>
      </c>
      <c r="D49" s="497">
        <f>'Юноши 1ф'!B33</f>
        <v>0</v>
      </c>
      <c r="E49" s="702" t="e">
        <f>IF(D49="","",VLOOKUP(D49,'Списки участников'!A:L,12,FALSE))</f>
        <v>#N/A</v>
      </c>
      <c r="F49" s="497">
        <f>'Юноши 1ф'!B17</f>
        <v>0</v>
      </c>
      <c r="G49" s="702" t="e">
        <f>IF(F49="","",VLOOKUP(F49,'Списки участников'!A:L,12,FALSE))</f>
        <v>#N/A</v>
      </c>
      <c r="H49" s="497"/>
      <c r="I49" s="702" t="str">
        <f>IF(H49="","",VLOOKUP(H49,'[4]Списки участников ОМ, ОЖ'!A$1:L$65536,12,FALSE))</f>
        <v/>
      </c>
      <c r="J49" s="499"/>
      <c r="K49" s="499"/>
      <c r="L49" s="499"/>
      <c r="M49" s="499"/>
      <c r="N49" s="499"/>
      <c r="O49" s="501"/>
    </row>
    <row r="50" spans="1:15" x14ac:dyDescent="0.25">
      <c r="A50" s="499">
        <v>46</v>
      </c>
      <c r="B50" s="509">
        <v>6</v>
      </c>
      <c r="C50" s="503" t="s">
        <v>1047</v>
      </c>
      <c r="D50" s="504">
        <f>'Юноши 1ф'!B35</f>
        <v>0</v>
      </c>
      <c r="E50" s="702" t="e">
        <f>IF(D50="","",VLOOKUP(D50,'Списки участников'!A:L,12,FALSE))</f>
        <v>#N/A</v>
      </c>
      <c r="F50" s="497">
        <f>'Юноши 1ф'!B15</f>
        <v>0</v>
      </c>
      <c r="G50" s="702" t="e">
        <f>IF(F50="","",VLOOKUP(F50,'Списки участников'!A:L,12,FALSE))</f>
        <v>#N/A</v>
      </c>
      <c r="H50" s="504"/>
      <c r="I50" s="702" t="str">
        <f>IF(H50="","",VLOOKUP(H50,'[4]Списки участников ОМ, ОЖ'!A$1:L$65536,12,FALSE))</f>
        <v/>
      </c>
      <c r="J50" s="700"/>
      <c r="K50" s="700"/>
      <c r="L50" s="700"/>
      <c r="M50" s="700"/>
      <c r="N50" s="700"/>
      <c r="O50" s="503"/>
    </row>
    <row r="51" spans="1:15" x14ac:dyDescent="0.25">
      <c r="A51" s="499">
        <v>47</v>
      </c>
      <c r="B51" s="509">
        <v>6</v>
      </c>
      <c r="C51" s="503" t="s">
        <v>1048</v>
      </c>
      <c r="D51" s="504">
        <f>'Юноши 1ф'!B7</f>
        <v>0</v>
      </c>
      <c r="E51" s="702" t="e">
        <f>IF(D51="","",VLOOKUP(D51,'Списки участников'!A:L,12,FALSE))</f>
        <v>#N/A</v>
      </c>
      <c r="F51" s="497">
        <f>'Юноши 1ф'!B13</f>
        <v>0</v>
      </c>
      <c r="G51" s="702" t="e">
        <f>IF(F51="","",VLOOKUP(F51,'Списки участников'!A:L,12,FALSE))</f>
        <v>#N/A</v>
      </c>
      <c r="H51" s="504"/>
      <c r="I51" s="702" t="str">
        <f>IF(H51="","",VLOOKUP(H51,'[4]Списки участников ОМ, ОЖ'!A$1:L$65536,12,FALSE))</f>
        <v/>
      </c>
      <c r="J51" s="700"/>
      <c r="K51" s="700"/>
      <c r="L51" s="700"/>
      <c r="M51" s="700"/>
      <c r="N51" s="700"/>
      <c r="O51" s="503"/>
    </row>
    <row r="52" spans="1:15" ht="15.75" thickBot="1" x14ac:dyDescent="0.3">
      <c r="A52" s="499">
        <v>48</v>
      </c>
      <c r="B52" s="510">
        <v>6</v>
      </c>
      <c r="C52" s="506" t="s">
        <v>1049</v>
      </c>
      <c r="D52" s="507">
        <f>'Юноши 1ф'!B9</f>
        <v>0</v>
      </c>
      <c r="E52" s="702" t="e">
        <f>IF(D52="","",VLOOKUP(D52,'Списки участников'!A:L,12,FALSE))</f>
        <v>#N/A</v>
      </c>
      <c r="F52" s="497">
        <f>'Юноши 1ф'!B11</f>
        <v>0</v>
      </c>
      <c r="G52" s="702" t="e">
        <f>IF(F52="","",VLOOKUP(F52,'Списки участников'!A:L,12,FALSE))</f>
        <v>#N/A</v>
      </c>
      <c r="H52" s="507"/>
      <c r="I52" s="715" t="str">
        <f>IF(H52="","",VLOOKUP(H52,'[4]Списки участников ОМ, ОЖ'!A$1:L$65536,12,FALSE))</f>
        <v/>
      </c>
      <c r="J52" s="716"/>
      <c r="K52" s="716"/>
      <c r="L52" s="716"/>
      <c r="M52" s="716"/>
      <c r="N52" s="716"/>
      <c r="O52" s="506"/>
    </row>
    <row r="53" spans="1:15" ht="15" customHeight="1" x14ac:dyDescent="0.25">
      <c r="A53" s="499">
        <v>49</v>
      </c>
      <c r="B53" s="511">
        <v>7</v>
      </c>
      <c r="C53" s="496" t="s">
        <v>1050</v>
      </c>
      <c r="D53" s="498">
        <f>'Юноши 1ф'!B5</f>
        <v>0</v>
      </c>
      <c r="E53" s="702" t="e">
        <f>IF(D53="","",VLOOKUP(D53,'Списки участников'!A:L,12,FALSE))</f>
        <v>#N/A</v>
      </c>
      <c r="F53" s="498">
        <f>'Юноши 1ф'!B23</f>
        <v>0</v>
      </c>
      <c r="G53" s="702" t="e">
        <f>IF(F53="","",VLOOKUP(F53,'Списки участников'!A:L,12,FALSE))</f>
        <v>#N/A</v>
      </c>
      <c r="H53" s="498"/>
      <c r="I53" s="702" t="str">
        <f>IF(H53="","",VLOOKUP(H53,'[4]Списки участников ОМ, ОЖ'!A$1:L$65536,12,FALSE))</f>
        <v/>
      </c>
      <c r="J53" s="701"/>
      <c r="K53" s="701"/>
      <c r="L53" s="701"/>
      <c r="M53" s="701"/>
      <c r="N53" s="701"/>
      <c r="O53" s="496"/>
    </row>
    <row r="54" spans="1:15" x14ac:dyDescent="0.25">
      <c r="A54" s="499">
        <v>50</v>
      </c>
      <c r="B54" s="509">
        <v>7</v>
      </c>
      <c r="C54" s="501" t="s">
        <v>1051</v>
      </c>
      <c r="D54" s="497">
        <f>'Юноши 1ф'!B25</f>
        <v>0</v>
      </c>
      <c r="E54" s="702" t="e">
        <f>IF(D54="","",VLOOKUP(D54,'Списки участников'!A:L,12,FALSE))</f>
        <v>#N/A</v>
      </c>
      <c r="F54" s="498">
        <f>'Юноши 1ф'!B21</f>
        <v>0</v>
      </c>
      <c r="G54" s="702" t="e">
        <f>IF(F54="","",VLOOKUP(F54,'Списки участников'!A:L,12,FALSE))</f>
        <v>#N/A</v>
      </c>
      <c r="H54" s="497"/>
      <c r="I54" s="702" t="str">
        <f>IF(H54="","",VLOOKUP(H54,'[4]Списки участников ОМ, ОЖ'!A$1:L$65536,12,FALSE))</f>
        <v/>
      </c>
      <c r="J54" s="499"/>
      <c r="K54" s="499"/>
      <c r="L54" s="499"/>
      <c r="M54" s="499"/>
      <c r="N54" s="499"/>
      <c r="O54" s="501"/>
    </row>
    <row r="55" spans="1:15" x14ac:dyDescent="0.25">
      <c r="A55" s="499">
        <v>51</v>
      </c>
      <c r="B55" s="509">
        <v>7</v>
      </c>
      <c r="C55" s="501" t="s">
        <v>1052</v>
      </c>
      <c r="D55" s="497">
        <f>'Юноши 1ф'!B27</f>
        <v>0</v>
      </c>
      <c r="E55" s="702" t="e">
        <f>IF(D55="","",VLOOKUP(D55,'Списки участников'!A:L,12,FALSE))</f>
        <v>#N/A</v>
      </c>
      <c r="F55" s="498">
        <f>'Юноши 1ф'!B19</f>
        <v>0</v>
      </c>
      <c r="G55" s="702" t="e">
        <f>IF(F55="","",VLOOKUP(F55,'Списки участников'!A:L,12,FALSE))</f>
        <v>#N/A</v>
      </c>
      <c r="H55" s="497"/>
      <c r="I55" s="702" t="str">
        <f>IF(H55="","",VLOOKUP(H55,'[4]Списки участников ОМ, ОЖ'!A$1:L$65536,12,FALSE))</f>
        <v/>
      </c>
      <c r="J55" s="499"/>
      <c r="K55" s="499"/>
      <c r="L55" s="499"/>
      <c r="M55" s="499"/>
      <c r="N55" s="499"/>
      <c r="O55" s="501"/>
    </row>
    <row r="56" spans="1:15" x14ac:dyDescent="0.25">
      <c r="A56" s="499">
        <v>52</v>
      </c>
      <c r="B56" s="509">
        <v>7</v>
      </c>
      <c r="C56" s="501" t="s">
        <v>1053</v>
      </c>
      <c r="D56" s="497">
        <f>'Юноши 1ф'!B29</f>
        <v>0</v>
      </c>
      <c r="E56" s="702" t="e">
        <f>IF(D56="","",VLOOKUP(D56,'Списки участников'!A:L,12,FALSE))</f>
        <v>#N/A</v>
      </c>
      <c r="F56" s="498">
        <f>'Юноши 1ф'!B17</f>
        <v>0</v>
      </c>
      <c r="G56" s="702" t="e">
        <f>IF(F56="","",VLOOKUP(F56,'Списки участников'!A:L,12,FALSE))</f>
        <v>#N/A</v>
      </c>
      <c r="H56" s="497"/>
      <c r="I56" s="702" t="str">
        <f>IF(H56="","",VLOOKUP(H56,'[4]Списки участников ОМ, ОЖ'!A$1:L$65536,12,FALSE))</f>
        <v/>
      </c>
      <c r="J56" s="499"/>
      <c r="K56" s="499"/>
      <c r="L56" s="499"/>
      <c r="M56" s="499"/>
      <c r="N56" s="499"/>
      <c r="O56" s="501"/>
    </row>
    <row r="57" spans="1:15" x14ac:dyDescent="0.25">
      <c r="A57" s="499">
        <v>53</v>
      </c>
      <c r="B57" s="514">
        <v>7</v>
      </c>
      <c r="C57" s="501" t="s">
        <v>1054</v>
      </c>
      <c r="D57" s="497">
        <f>'Юноши 1ф'!B31</f>
        <v>0</v>
      </c>
      <c r="E57" s="702" t="e">
        <f>IF(D57="","",VLOOKUP(D57,'Списки участников'!A:L,12,FALSE))</f>
        <v>#N/A</v>
      </c>
      <c r="F57" s="498">
        <f>'Юноши 1ф'!B15</f>
        <v>0</v>
      </c>
      <c r="G57" s="702" t="e">
        <f>IF(F57="","",VLOOKUP(F57,'Списки участников'!A:L,12,FALSE))</f>
        <v>#N/A</v>
      </c>
      <c r="H57" s="497"/>
      <c r="I57" s="702" t="str">
        <f>IF(H57="","",VLOOKUP(H57,'[4]Списки участников ОМ, ОЖ'!A$1:L$65536,12,FALSE))</f>
        <v/>
      </c>
      <c r="J57" s="499"/>
      <c r="K57" s="499"/>
      <c r="L57" s="499"/>
      <c r="M57" s="499"/>
      <c r="N57" s="499"/>
      <c r="O57" s="501"/>
    </row>
    <row r="58" spans="1:15" x14ac:dyDescent="0.25">
      <c r="A58" s="499">
        <v>54</v>
      </c>
      <c r="B58" s="509">
        <v>7</v>
      </c>
      <c r="C58" s="503" t="s">
        <v>1055</v>
      </c>
      <c r="D58" s="504">
        <f>'Юноши 1ф'!B33</f>
        <v>0</v>
      </c>
      <c r="E58" s="702" t="e">
        <f>IF(D58="","",VLOOKUP(D58,'Списки участников'!A:L,12,FALSE))</f>
        <v>#N/A</v>
      </c>
      <c r="F58" s="498">
        <f>'Юноши 1ф'!B13</f>
        <v>0</v>
      </c>
      <c r="G58" s="702" t="e">
        <f>IF(F58="","",VLOOKUP(F58,'Списки участников'!A:L,12,FALSE))</f>
        <v>#N/A</v>
      </c>
      <c r="H58" s="504"/>
      <c r="I58" s="702" t="str">
        <f>IF(H58="","",VLOOKUP(H58,'[4]Списки участников ОМ, ОЖ'!A$1:L$65536,12,FALSE))</f>
        <v/>
      </c>
      <c r="J58" s="700"/>
      <c r="K58" s="700"/>
      <c r="L58" s="700"/>
      <c r="M58" s="700"/>
      <c r="N58" s="700"/>
      <c r="O58" s="503"/>
    </row>
    <row r="59" spans="1:15" x14ac:dyDescent="0.25">
      <c r="A59" s="499">
        <v>55</v>
      </c>
      <c r="B59" s="509">
        <v>7</v>
      </c>
      <c r="C59" s="503" t="s">
        <v>1056</v>
      </c>
      <c r="D59" s="504">
        <f>'Юноши 1ф'!B35</f>
        <v>0</v>
      </c>
      <c r="E59" s="702" t="e">
        <f>IF(D59="","",VLOOKUP(D59,'Списки участников'!A:L,12,FALSE))</f>
        <v>#N/A</v>
      </c>
      <c r="F59" s="498">
        <f>'Юноши 1ф'!B11</f>
        <v>0</v>
      </c>
      <c r="G59" s="702" t="e">
        <f>IF(F59="","",VLOOKUP(F59,'Списки участников'!A:L,12,FALSE))</f>
        <v>#N/A</v>
      </c>
      <c r="H59" s="504"/>
      <c r="I59" s="702" t="str">
        <f>IF(H59="","",VLOOKUP(H59,'[4]Списки участников ОМ, ОЖ'!A$1:L$65536,12,FALSE))</f>
        <v/>
      </c>
      <c r="J59" s="700"/>
      <c r="K59" s="700"/>
      <c r="L59" s="700"/>
      <c r="M59" s="700"/>
      <c r="N59" s="700"/>
      <c r="O59" s="503"/>
    </row>
    <row r="60" spans="1:15" ht="15.75" thickBot="1" x14ac:dyDescent="0.3">
      <c r="A60" s="499">
        <v>56</v>
      </c>
      <c r="B60" s="513">
        <v>7</v>
      </c>
      <c r="C60" s="506" t="s">
        <v>1057</v>
      </c>
      <c r="D60" s="507">
        <f>'Юноши 1ф'!B7</f>
        <v>0</v>
      </c>
      <c r="E60" s="702" t="e">
        <f>IF(D60="","",VLOOKUP(D60,'Списки участников'!A:L,12,FALSE))</f>
        <v>#N/A</v>
      </c>
      <c r="F60" s="498">
        <f>'Юноши 1ф'!B9</f>
        <v>0</v>
      </c>
      <c r="G60" s="702" t="e">
        <f>IF(F60="","",VLOOKUP(F60,'Списки участников'!A:L,12,FALSE))</f>
        <v>#N/A</v>
      </c>
      <c r="H60" s="507"/>
      <c r="I60" s="715" t="str">
        <f>IF(H60="","",VLOOKUP(H60,'[4]Списки участников ОМ, ОЖ'!A$1:L$65536,12,FALSE))</f>
        <v/>
      </c>
      <c r="J60" s="716"/>
      <c r="K60" s="716"/>
      <c r="L60" s="716"/>
      <c r="M60" s="716"/>
      <c r="N60" s="716"/>
      <c r="O60" s="506"/>
    </row>
    <row r="61" spans="1:15" ht="15" customHeight="1" x14ac:dyDescent="0.25">
      <c r="A61" s="499">
        <v>57</v>
      </c>
      <c r="B61" s="495">
        <v>8</v>
      </c>
      <c r="C61" s="496" t="s">
        <v>1058</v>
      </c>
      <c r="D61" s="498">
        <f>'Юноши 1ф'!B21</f>
        <v>0</v>
      </c>
      <c r="E61" s="702" t="e">
        <f>IF(D61="","",VLOOKUP(D61,'Списки участников'!A:L,12,FALSE))</f>
        <v>#N/A</v>
      </c>
      <c r="F61" s="498">
        <f>'Юноши 1ф'!B5</f>
        <v>0</v>
      </c>
      <c r="G61" s="702" t="e">
        <f>IF(F61="","",VLOOKUP(F61,'Списки участников'!A:L,12,FALSE))</f>
        <v>#N/A</v>
      </c>
      <c r="H61" s="498"/>
      <c r="I61" s="702" t="str">
        <f>IF(H61="","",VLOOKUP(H61,'[4]Списки участников ОМ, ОЖ'!A$1:L$65536,12,FALSE))</f>
        <v/>
      </c>
      <c r="J61" s="701"/>
      <c r="K61" s="701"/>
      <c r="L61" s="701"/>
      <c r="M61" s="701"/>
      <c r="N61" s="701"/>
      <c r="O61" s="496"/>
    </row>
    <row r="62" spans="1:15" x14ac:dyDescent="0.25">
      <c r="A62" s="499">
        <v>58</v>
      </c>
      <c r="B62" s="509">
        <v>8</v>
      </c>
      <c r="C62" s="501" t="s">
        <v>1059</v>
      </c>
      <c r="D62" s="497">
        <f>'Юноши 1ф'!B23</f>
        <v>0</v>
      </c>
      <c r="E62" s="702" t="e">
        <f>IF(D62="","",VLOOKUP(D62,'Списки участников'!A:L,12,FALSE))</f>
        <v>#N/A</v>
      </c>
      <c r="F62" s="497">
        <f>'Юноши 1ф'!B19</f>
        <v>0</v>
      </c>
      <c r="G62" s="702" t="e">
        <f>IF(F62="","",VLOOKUP(F62,'Списки участников'!A:L,12,FALSE))</f>
        <v>#N/A</v>
      </c>
      <c r="H62" s="497"/>
      <c r="I62" s="702" t="str">
        <f>IF(H62="","",VLOOKUP(H62,'[4]Списки участников ОМ, ОЖ'!A$1:L$65536,12,FALSE))</f>
        <v/>
      </c>
      <c r="J62" s="499"/>
      <c r="K62" s="499"/>
      <c r="L62" s="499"/>
      <c r="M62" s="499"/>
      <c r="N62" s="499"/>
      <c r="O62" s="501"/>
    </row>
    <row r="63" spans="1:15" x14ac:dyDescent="0.25">
      <c r="A63" s="499">
        <v>59</v>
      </c>
      <c r="B63" s="509">
        <v>8</v>
      </c>
      <c r="C63" s="501" t="s">
        <v>1060</v>
      </c>
      <c r="D63" s="497">
        <f>'Юноши 1ф'!B25</f>
        <v>0</v>
      </c>
      <c r="E63" s="702" t="e">
        <f>IF(D63="","",VLOOKUP(D63,'Списки участников'!A:L,12,FALSE))</f>
        <v>#N/A</v>
      </c>
      <c r="F63" s="497">
        <f>'Юноши 1ф'!B17</f>
        <v>0</v>
      </c>
      <c r="G63" s="702" t="e">
        <f>IF(F63="","",VLOOKUP(F63,'Списки участников'!A:L,12,FALSE))</f>
        <v>#N/A</v>
      </c>
      <c r="H63" s="497"/>
      <c r="I63" s="702" t="str">
        <f>IF(H63="","",VLOOKUP(H63,'[4]Списки участников ОМ, ОЖ'!A$1:L$65536,12,FALSE))</f>
        <v/>
      </c>
      <c r="J63" s="499"/>
      <c r="K63" s="499"/>
      <c r="L63" s="499"/>
      <c r="M63" s="499"/>
      <c r="N63" s="499"/>
      <c r="O63" s="501"/>
    </row>
    <row r="64" spans="1:15" x14ac:dyDescent="0.25">
      <c r="A64" s="499">
        <v>60</v>
      </c>
      <c r="B64" s="509">
        <v>8</v>
      </c>
      <c r="C64" s="501" t="s">
        <v>1061</v>
      </c>
      <c r="D64" s="497">
        <f>'Юноши 1ф'!B27</f>
        <v>0</v>
      </c>
      <c r="E64" s="702" t="e">
        <f>IF(D64="","",VLOOKUP(D64,'Списки участников'!A:L,12,FALSE))</f>
        <v>#N/A</v>
      </c>
      <c r="F64" s="497">
        <f>'Юноши 1ф'!B15</f>
        <v>0</v>
      </c>
      <c r="G64" s="702" t="e">
        <f>IF(F64="","",VLOOKUP(F64,'Списки участников'!A:L,12,FALSE))</f>
        <v>#N/A</v>
      </c>
      <c r="H64" s="497"/>
      <c r="I64" s="702" t="str">
        <f>IF(H64="","",VLOOKUP(H64,'[4]Списки участников ОМ, ОЖ'!A$1:L$65536,12,FALSE))</f>
        <v/>
      </c>
      <c r="J64" s="499"/>
      <c r="K64" s="499"/>
      <c r="L64" s="499"/>
      <c r="M64" s="499"/>
      <c r="N64" s="499"/>
      <c r="O64" s="501"/>
    </row>
    <row r="65" spans="1:15" x14ac:dyDescent="0.25">
      <c r="A65" s="499">
        <v>61</v>
      </c>
      <c r="B65" s="514">
        <v>8</v>
      </c>
      <c r="C65" s="501" t="s">
        <v>1062</v>
      </c>
      <c r="D65" s="497">
        <f>'Юноши 1ф'!B29</f>
        <v>0</v>
      </c>
      <c r="E65" s="702" t="e">
        <f>IF(D65="","",VLOOKUP(D65,'Списки участников'!A:L,12,FALSE))</f>
        <v>#N/A</v>
      </c>
      <c r="F65" s="497">
        <f>'Юноши 1ф'!B13</f>
        <v>0</v>
      </c>
      <c r="G65" s="702" t="e">
        <f>IF(F65="","",VLOOKUP(F65,'Списки участников'!A:L,12,FALSE))</f>
        <v>#N/A</v>
      </c>
      <c r="H65" s="497"/>
      <c r="I65" s="702" t="str">
        <f>IF(H65="","",VLOOKUP(H65,'[4]Списки участников ОМ, ОЖ'!A$1:L$65536,12,FALSE))</f>
        <v/>
      </c>
      <c r="J65" s="499"/>
      <c r="K65" s="499"/>
      <c r="L65" s="499"/>
      <c r="M65" s="499"/>
      <c r="N65" s="499"/>
      <c r="O65" s="501"/>
    </row>
    <row r="66" spans="1:15" x14ac:dyDescent="0.25">
      <c r="A66" s="499">
        <v>62</v>
      </c>
      <c r="B66" s="509">
        <v>8</v>
      </c>
      <c r="C66" s="503" t="s">
        <v>1063</v>
      </c>
      <c r="D66" s="497">
        <f>'Юноши 1ф'!B31</f>
        <v>0</v>
      </c>
      <c r="E66" s="702" t="e">
        <f>IF(D66="","",VLOOKUP(D66,'Списки участников'!A:L,12,FALSE))</f>
        <v>#N/A</v>
      </c>
      <c r="F66" s="497">
        <f>'Юноши 1ф'!B11</f>
        <v>0</v>
      </c>
      <c r="G66" s="702" t="e">
        <f>IF(F66="","",VLOOKUP(F66,'Списки участников'!A:L,12,FALSE))</f>
        <v>#N/A</v>
      </c>
      <c r="H66" s="504"/>
      <c r="I66" s="702" t="str">
        <f>IF(H66="","",VLOOKUP(H66,'[4]Списки участников ОМ, ОЖ'!A$1:L$65536,12,FALSE))</f>
        <v/>
      </c>
      <c r="J66" s="700"/>
      <c r="K66" s="700"/>
      <c r="L66" s="700"/>
      <c r="M66" s="700"/>
      <c r="N66" s="700"/>
      <c r="O66" s="503"/>
    </row>
    <row r="67" spans="1:15" x14ac:dyDescent="0.25">
      <c r="A67" s="499">
        <v>63</v>
      </c>
      <c r="B67" s="509">
        <v>8</v>
      </c>
      <c r="C67" s="503" t="s">
        <v>1064</v>
      </c>
      <c r="D67" s="497">
        <f>'Юноши 1ф'!B33</f>
        <v>0</v>
      </c>
      <c r="E67" s="702" t="e">
        <f>IF(D67="","",VLOOKUP(D67,'Списки участников'!A:L,12,FALSE))</f>
        <v>#N/A</v>
      </c>
      <c r="F67" s="497">
        <f>'Юноши 1ф'!B9</f>
        <v>0</v>
      </c>
      <c r="G67" s="702" t="e">
        <f>IF(F67="","",VLOOKUP(F67,'Списки участников'!A:L,12,FALSE))</f>
        <v>#N/A</v>
      </c>
      <c r="H67" s="504"/>
      <c r="I67" s="702" t="str">
        <f>IF(H67="","",VLOOKUP(H67,'[4]Списки участников ОМ, ОЖ'!A$1:L$65536,12,FALSE))</f>
        <v/>
      </c>
      <c r="J67" s="700"/>
      <c r="K67" s="700"/>
      <c r="L67" s="700"/>
      <c r="M67" s="700"/>
      <c r="N67" s="700"/>
      <c r="O67" s="503"/>
    </row>
    <row r="68" spans="1:15" ht="15.75" thickBot="1" x14ac:dyDescent="0.3">
      <c r="A68" s="499">
        <v>64</v>
      </c>
      <c r="B68" s="513">
        <v>8</v>
      </c>
      <c r="C68" s="506" t="s">
        <v>1065</v>
      </c>
      <c r="D68" s="497">
        <f>'Юноши 1ф'!B35</f>
        <v>0</v>
      </c>
      <c r="E68" s="702" t="e">
        <f>IF(D68="","",VLOOKUP(D68,'Списки участников'!A:L,12,FALSE))</f>
        <v>#N/A</v>
      </c>
      <c r="F68" s="497">
        <f>'Юноши 1ф'!B7</f>
        <v>0</v>
      </c>
      <c r="G68" s="702" t="e">
        <f>IF(F68="","",VLOOKUP(F68,'Списки участников'!A:L,12,FALSE))</f>
        <v>#N/A</v>
      </c>
      <c r="H68" s="507"/>
      <c r="I68" s="715" t="str">
        <f>IF(H68="","",VLOOKUP(H68,'[4]Списки участников ОМ, ОЖ'!A$1:L$65536,12,FALSE))</f>
        <v/>
      </c>
      <c r="J68" s="716"/>
      <c r="K68" s="716"/>
      <c r="L68" s="716"/>
      <c r="M68" s="716"/>
      <c r="N68" s="716"/>
      <c r="O68" s="506"/>
    </row>
    <row r="69" spans="1:15" ht="15" customHeight="1" x14ac:dyDescent="0.25">
      <c r="A69" s="499">
        <v>65</v>
      </c>
      <c r="B69" s="495">
        <v>9</v>
      </c>
      <c r="C69" s="496" t="s">
        <v>1066</v>
      </c>
      <c r="D69" s="498">
        <f>'Юноши 1ф'!B5</f>
        <v>0</v>
      </c>
      <c r="E69" s="702" t="e">
        <f>IF(D69="","",VLOOKUP(D69,'Списки участников'!A:L,12,FALSE))</f>
        <v>#N/A</v>
      </c>
      <c r="F69" s="498">
        <f>'Юноши 1ф'!B19</f>
        <v>0</v>
      </c>
      <c r="G69" s="702" t="e">
        <f>IF(F69="","",VLOOKUP(F69,'Списки участников'!A:L,12,FALSE))</f>
        <v>#N/A</v>
      </c>
      <c r="H69" s="498"/>
      <c r="I69" s="702" t="str">
        <f>IF(H69="","",VLOOKUP(H69,'[4]Списки участников ОМ, ОЖ'!A$1:L$65536,12,FALSE))</f>
        <v/>
      </c>
      <c r="J69" s="701"/>
      <c r="K69" s="701"/>
      <c r="L69" s="701"/>
      <c r="M69" s="701"/>
      <c r="N69" s="701"/>
      <c r="O69" s="496"/>
    </row>
    <row r="70" spans="1:15" x14ac:dyDescent="0.25">
      <c r="A70" s="499">
        <v>66</v>
      </c>
      <c r="B70" s="509">
        <v>9</v>
      </c>
      <c r="C70" s="501" t="s">
        <v>1067</v>
      </c>
      <c r="D70" s="497">
        <f>'Юноши 1ф'!B21</f>
        <v>0</v>
      </c>
      <c r="E70" s="702" t="e">
        <f>IF(D70="","",VLOOKUP(D70,'Списки участников'!A:L,12,FALSE))</f>
        <v>#N/A</v>
      </c>
      <c r="F70" s="498">
        <f>'Юноши 1ф'!B17</f>
        <v>0</v>
      </c>
      <c r="G70" s="702" t="e">
        <f>IF(F70="","",VLOOKUP(F70,'Списки участников'!A:L,12,FALSE))</f>
        <v>#N/A</v>
      </c>
      <c r="H70" s="497"/>
      <c r="I70" s="702" t="str">
        <f>IF(H70="","",VLOOKUP(H70,'[4]Списки участников ОМ, ОЖ'!A$1:L$65536,12,FALSE))</f>
        <v/>
      </c>
      <c r="J70" s="499"/>
      <c r="K70" s="499"/>
      <c r="L70" s="499"/>
      <c r="M70" s="499"/>
      <c r="N70" s="499"/>
      <c r="O70" s="501"/>
    </row>
    <row r="71" spans="1:15" x14ac:dyDescent="0.25">
      <c r="A71" s="499">
        <v>67</v>
      </c>
      <c r="B71" s="509">
        <v>9</v>
      </c>
      <c r="C71" s="501" t="s">
        <v>1068</v>
      </c>
      <c r="D71" s="497">
        <f>'Юноши 1ф'!B23</f>
        <v>0</v>
      </c>
      <c r="E71" s="702" t="e">
        <f>IF(D71="","",VLOOKUP(D71,'Списки участников'!A:L,12,FALSE))</f>
        <v>#N/A</v>
      </c>
      <c r="F71" s="498">
        <f>'Юноши 1ф'!B15</f>
        <v>0</v>
      </c>
      <c r="G71" s="702" t="e">
        <f>IF(F71="","",VLOOKUP(F71,'Списки участников'!A:L,12,FALSE))</f>
        <v>#N/A</v>
      </c>
      <c r="H71" s="497"/>
      <c r="I71" s="702" t="str">
        <f>IF(H71="","",VLOOKUP(H71,'[4]Списки участников ОМ, ОЖ'!A$1:L$65536,12,FALSE))</f>
        <v/>
      </c>
      <c r="J71" s="499"/>
      <c r="K71" s="499"/>
      <c r="L71" s="499"/>
      <c r="M71" s="499"/>
      <c r="N71" s="499"/>
      <c r="O71" s="501"/>
    </row>
    <row r="72" spans="1:15" x14ac:dyDescent="0.25">
      <c r="A72" s="499">
        <v>68</v>
      </c>
      <c r="B72" s="509">
        <v>9</v>
      </c>
      <c r="C72" s="501" t="s">
        <v>1069</v>
      </c>
      <c r="D72" s="497">
        <f>'Юноши 1ф'!B25</f>
        <v>0</v>
      </c>
      <c r="E72" s="702" t="e">
        <f>IF(D72="","",VLOOKUP(D72,'Списки участников'!A:L,12,FALSE))</f>
        <v>#N/A</v>
      </c>
      <c r="F72" s="498">
        <f>'Юноши 1ф'!B13</f>
        <v>0</v>
      </c>
      <c r="G72" s="702" t="e">
        <f>IF(F72="","",VLOOKUP(F72,'Списки участников'!A:L,12,FALSE))</f>
        <v>#N/A</v>
      </c>
      <c r="H72" s="497"/>
      <c r="I72" s="702" t="str">
        <f>IF(H72="","",VLOOKUP(H72,'[4]Списки участников ОМ, ОЖ'!A$1:L$65536,12,FALSE))</f>
        <v/>
      </c>
      <c r="J72" s="499"/>
      <c r="K72" s="499"/>
      <c r="L72" s="499"/>
      <c r="M72" s="499"/>
      <c r="N72" s="499"/>
      <c r="O72" s="501"/>
    </row>
    <row r="73" spans="1:15" x14ac:dyDescent="0.25">
      <c r="A73" s="499">
        <v>69</v>
      </c>
      <c r="B73" s="514">
        <v>9</v>
      </c>
      <c r="C73" s="501" t="s">
        <v>1070</v>
      </c>
      <c r="D73" s="497">
        <f>'Юноши 1ф'!B27</f>
        <v>0</v>
      </c>
      <c r="E73" s="702" t="e">
        <f>IF(D73="","",VLOOKUP(D73,'Списки участников'!A:L,12,FALSE))</f>
        <v>#N/A</v>
      </c>
      <c r="F73" s="498">
        <f>'Юноши 1ф'!B11</f>
        <v>0</v>
      </c>
      <c r="G73" s="702" t="e">
        <f>IF(F73="","",VLOOKUP(F73,'Списки участников'!A:L,12,FALSE))</f>
        <v>#N/A</v>
      </c>
      <c r="H73" s="497"/>
      <c r="I73" s="702" t="str">
        <f>IF(H73="","",VLOOKUP(H73,'[4]Списки участников ОМ, ОЖ'!A$1:L$65536,12,FALSE))</f>
        <v/>
      </c>
      <c r="J73" s="499"/>
      <c r="K73" s="499"/>
      <c r="L73" s="499"/>
      <c r="M73" s="499"/>
      <c r="N73" s="499"/>
      <c r="O73" s="501"/>
    </row>
    <row r="74" spans="1:15" x14ac:dyDescent="0.25">
      <c r="A74" s="499">
        <v>70</v>
      </c>
      <c r="B74" s="509">
        <v>9</v>
      </c>
      <c r="C74" s="503" t="s">
        <v>1071</v>
      </c>
      <c r="D74" s="497">
        <f>'Юноши 1ф'!B29</f>
        <v>0</v>
      </c>
      <c r="E74" s="702" t="e">
        <f>IF(D74="","",VLOOKUP(D74,'Списки участников'!A:L,12,FALSE))</f>
        <v>#N/A</v>
      </c>
      <c r="F74" s="498">
        <f>'Юноши 1ф'!B9</f>
        <v>0</v>
      </c>
      <c r="G74" s="702" t="e">
        <f>IF(F74="","",VLOOKUP(F74,'Списки участников'!A:L,12,FALSE))</f>
        <v>#N/A</v>
      </c>
      <c r="H74" s="504"/>
      <c r="I74" s="702" t="str">
        <f>IF(H74="","",VLOOKUP(H74,'[4]Списки участников ОМ, ОЖ'!A$1:L$65536,12,FALSE))</f>
        <v/>
      </c>
      <c r="J74" s="700"/>
      <c r="K74" s="700"/>
      <c r="L74" s="700"/>
      <c r="M74" s="700"/>
      <c r="N74" s="700"/>
      <c r="O74" s="503"/>
    </row>
    <row r="75" spans="1:15" ht="15" customHeight="1" x14ac:dyDescent="0.25">
      <c r="A75" s="499">
        <v>71</v>
      </c>
      <c r="B75" s="509">
        <v>9</v>
      </c>
      <c r="C75" s="503" t="s">
        <v>1072</v>
      </c>
      <c r="D75" s="497">
        <f>'Юноши 1ф'!B31</f>
        <v>0</v>
      </c>
      <c r="E75" s="702" t="e">
        <f>IF(D75="","",VLOOKUP(D75,'Списки участников'!A:L,12,FALSE))</f>
        <v>#N/A</v>
      </c>
      <c r="F75" s="498">
        <f>'Юноши 1ф'!B7</f>
        <v>0</v>
      </c>
      <c r="G75" s="702" t="e">
        <f>IF(F75="","",VLOOKUP(F75,'Списки участников'!A:L,12,FALSE))</f>
        <v>#N/A</v>
      </c>
      <c r="H75" s="504"/>
      <c r="I75" s="702" t="str">
        <f>IF(H75="","",VLOOKUP(H75,'[4]Списки участников ОМ, ОЖ'!A$1:L$65536,12,FALSE))</f>
        <v/>
      </c>
      <c r="J75" s="700"/>
      <c r="K75" s="700"/>
      <c r="L75" s="700"/>
      <c r="M75" s="700"/>
      <c r="N75" s="700"/>
      <c r="O75" s="503"/>
    </row>
    <row r="76" spans="1:15" ht="15.75" thickBot="1" x14ac:dyDescent="0.3">
      <c r="A76" s="499">
        <v>72</v>
      </c>
      <c r="B76" s="513">
        <v>9</v>
      </c>
      <c r="C76" s="506" t="s">
        <v>1073</v>
      </c>
      <c r="D76" s="497">
        <f>'Юноши 1ф'!B33</f>
        <v>0</v>
      </c>
      <c r="E76" s="702" t="e">
        <f>IF(D76="","",VLOOKUP(D76,'Списки участников'!A:L,12,FALSE))</f>
        <v>#N/A</v>
      </c>
      <c r="F76" s="507">
        <f>'Юноши 1ф'!B35</f>
        <v>0</v>
      </c>
      <c r="G76" s="702" t="e">
        <f>IF(F76="","",VLOOKUP(F76,'Списки участников'!A:L,12,FALSE))</f>
        <v>#N/A</v>
      </c>
      <c r="H76" s="507"/>
      <c r="I76" s="715" t="str">
        <f>IF(H76="","",VLOOKUP(H76,'[4]Списки участников ОМ, ОЖ'!A$1:L$65536,12,FALSE))</f>
        <v/>
      </c>
      <c r="J76" s="716"/>
      <c r="K76" s="716"/>
      <c r="L76" s="716"/>
      <c r="M76" s="716"/>
      <c r="N76" s="716"/>
      <c r="O76" s="506"/>
    </row>
    <row r="77" spans="1:15" ht="15" customHeight="1" x14ac:dyDescent="0.25">
      <c r="A77" s="499">
        <v>73</v>
      </c>
      <c r="B77" s="495">
        <v>10</v>
      </c>
      <c r="C77" s="496" t="s">
        <v>1074</v>
      </c>
      <c r="D77" s="498">
        <f>'Юноши 1ф'!B17</f>
        <v>0</v>
      </c>
      <c r="E77" s="702" t="e">
        <f>IF(D77="","",VLOOKUP(D77,'Списки участников'!A:L,12,FALSE))</f>
        <v>#N/A</v>
      </c>
      <c r="F77" s="498">
        <f>'Юноши 1ф'!B5</f>
        <v>0</v>
      </c>
      <c r="G77" s="702" t="e">
        <f>IF(F77="","",VLOOKUP(F77,'Списки участников'!A:L,12,FALSE))</f>
        <v>#N/A</v>
      </c>
      <c r="H77" s="498"/>
      <c r="I77" s="702" t="str">
        <f>IF(H77="","",VLOOKUP(H77,'[4]Списки участников ОМ, ОЖ'!A$1:L$65536,12,FALSE))</f>
        <v/>
      </c>
      <c r="J77" s="701"/>
      <c r="K77" s="701"/>
      <c r="L77" s="701"/>
      <c r="M77" s="701"/>
      <c r="N77" s="701"/>
      <c r="O77" s="496"/>
    </row>
    <row r="78" spans="1:15" ht="17.25" x14ac:dyDescent="0.25">
      <c r="A78" s="499">
        <v>74</v>
      </c>
      <c r="B78" s="509">
        <v>10</v>
      </c>
      <c r="C78" s="501" t="s">
        <v>1075</v>
      </c>
      <c r="D78" s="498">
        <f>'Юноши 1ф'!B19</f>
        <v>0</v>
      </c>
      <c r="E78" s="702" t="e">
        <f>IF(D78="","",VLOOKUP(D78,'Списки участников'!A:L,12,FALSE))</f>
        <v>#N/A</v>
      </c>
      <c r="F78" s="497">
        <f>'Юноши 1ф'!B15</f>
        <v>0</v>
      </c>
      <c r="G78" s="702" t="e">
        <f>IF(F78="","",VLOOKUP(F78,'Списки участников'!A:L,12,FALSE))</f>
        <v>#N/A</v>
      </c>
      <c r="H78" s="497"/>
      <c r="I78" s="702" t="str">
        <f>IF(H78="","",VLOOKUP(H78,'[4]Списки участников ОМ, ОЖ'!A$1:L$65536,12,FALSE))</f>
        <v/>
      </c>
      <c r="J78" s="499"/>
      <c r="K78" s="499"/>
      <c r="L78" s="499"/>
      <c r="M78" s="499"/>
      <c r="N78" s="499"/>
      <c r="O78" s="501"/>
    </row>
    <row r="79" spans="1:15" ht="17.25" x14ac:dyDescent="0.25">
      <c r="A79" s="499">
        <v>75</v>
      </c>
      <c r="B79" s="509">
        <v>10</v>
      </c>
      <c r="C79" s="501" t="s">
        <v>1076</v>
      </c>
      <c r="D79" s="498">
        <f>'Юноши 1ф'!B21</f>
        <v>0</v>
      </c>
      <c r="E79" s="702" t="e">
        <f>IF(D79="","",VLOOKUP(D79,'Списки участников'!A:L,12,FALSE))</f>
        <v>#N/A</v>
      </c>
      <c r="F79" s="497">
        <f>'Юноши 1ф'!B13</f>
        <v>0</v>
      </c>
      <c r="G79" s="702" t="e">
        <f>IF(F79="","",VLOOKUP(F79,'Списки участников'!A:L,12,FALSE))</f>
        <v>#N/A</v>
      </c>
      <c r="H79" s="497"/>
      <c r="I79" s="702" t="str">
        <f>IF(H79="","",VLOOKUP(H79,'[4]Списки участников ОМ, ОЖ'!A$1:L$65536,12,FALSE))</f>
        <v/>
      </c>
      <c r="J79" s="499"/>
      <c r="K79" s="499"/>
      <c r="L79" s="499"/>
      <c r="M79" s="499"/>
      <c r="N79" s="499"/>
      <c r="O79" s="501"/>
    </row>
    <row r="80" spans="1:15" ht="17.25" x14ac:dyDescent="0.25">
      <c r="A80" s="499">
        <v>76</v>
      </c>
      <c r="B80" s="509">
        <v>10</v>
      </c>
      <c r="C80" s="501" t="s">
        <v>1077</v>
      </c>
      <c r="D80" s="498">
        <f>'Юноши 1ф'!B23</f>
        <v>0</v>
      </c>
      <c r="E80" s="702" t="e">
        <f>IF(D80="","",VLOOKUP(D80,'Списки участников'!A:L,12,FALSE))</f>
        <v>#N/A</v>
      </c>
      <c r="F80" s="497">
        <f>'Юноши 1ф'!B11</f>
        <v>0</v>
      </c>
      <c r="G80" s="702" t="e">
        <f>IF(F80="","",VLOOKUP(F80,'Списки участников'!A:L,12,FALSE))</f>
        <v>#N/A</v>
      </c>
      <c r="H80" s="497"/>
      <c r="I80" s="702" t="str">
        <f>IF(H80="","",VLOOKUP(H80,'[4]Списки участников ОМ, ОЖ'!A$1:L$65536,12,FALSE))</f>
        <v/>
      </c>
      <c r="J80" s="499"/>
      <c r="K80" s="499"/>
      <c r="L80" s="499"/>
      <c r="M80" s="499"/>
      <c r="N80" s="499"/>
      <c r="O80" s="501"/>
    </row>
    <row r="81" spans="1:15" ht="17.25" x14ac:dyDescent="0.25">
      <c r="A81" s="499">
        <v>77</v>
      </c>
      <c r="B81" s="514">
        <v>10</v>
      </c>
      <c r="C81" s="501" t="s">
        <v>1078</v>
      </c>
      <c r="D81" s="498">
        <f>'Юноши 1ф'!B25</f>
        <v>0</v>
      </c>
      <c r="E81" s="702" t="e">
        <f>IF(D81="","",VLOOKUP(D81,'Списки участников'!A:L,12,FALSE))</f>
        <v>#N/A</v>
      </c>
      <c r="F81" s="497">
        <f>'Юноши 1ф'!B9</f>
        <v>0</v>
      </c>
      <c r="G81" s="702" t="e">
        <f>IF(F81="","",VLOOKUP(F81,'Списки участников'!A:L,12,FALSE))</f>
        <v>#N/A</v>
      </c>
      <c r="H81" s="497"/>
      <c r="I81" s="702" t="str">
        <f>IF(H81="","",VLOOKUP(H81,'[4]Списки участников ОМ, ОЖ'!A$1:L$65536,12,FALSE))</f>
        <v/>
      </c>
      <c r="J81" s="499"/>
      <c r="K81" s="499"/>
      <c r="L81" s="499"/>
      <c r="M81" s="499"/>
      <c r="N81" s="499"/>
      <c r="O81" s="501"/>
    </row>
    <row r="82" spans="1:15" ht="17.25" x14ac:dyDescent="0.25">
      <c r="A82" s="499">
        <v>78</v>
      </c>
      <c r="B82" s="509">
        <v>10</v>
      </c>
      <c r="C82" s="503" t="s">
        <v>1079</v>
      </c>
      <c r="D82" s="498">
        <f>'Юноши 1ф'!B27</f>
        <v>0</v>
      </c>
      <c r="E82" s="702" t="e">
        <f>IF(D82="","",VLOOKUP(D82,'Списки участников'!A:L,12,FALSE))</f>
        <v>#N/A</v>
      </c>
      <c r="F82" s="497">
        <f>'Юноши 1ф'!B7</f>
        <v>0</v>
      </c>
      <c r="G82" s="702" t="e">
        <f>IF(F82="","",VLOOKUP(F82,'Списки участников'!A:L,12,FALSE))</f>
        <v>#N/A</v>
      </c>
      <c r="H82" s="504"/>
      <c r="I82" s="702" t="str">
        <f>IF(H82="","",VLOOKUP(H82,'[4]Списки участников ОМ, ОЖ'!A$1:L$65536,12,FALSE))</f>
        <v/>
      </c>
      <c r="J82" s="700"/>
      <c r="K82" s="700"/>
      <c r="L82" s="700"/>
      <c r="M82" s="700"/>
      <c r="N82" s="700"/>
      <c r="O82" s="503"/>
    </row>
    <row r="83" spans="1:15" ht="17.25" x14ac:dyDescent="0.25">
      <c r="A83" s="499">
        <v>79</v>
      </c>
      <c r="B83" s="509">
        <v>10</v>
      </c>
      <c r="C83" s="503" t="s">
        <v>1080</v>
      </c>
      <c r="D83" s="498">
        <f>'Юноши 1ф'!B29</f>
        <v>0</v>
      </c>
      <c r="E83" s="702" t="e">
        <f>IF(D83="","",VLOOKUP(D83,'Списки участников'!A:L,12,FALSE))</f>
        <v>#N/A</v>
      </c>
      <c r="F83" s="504">
        <f>'Юноши 1ф'!B35</f>
        <v>0</v>
      </c>
      <c r="G83" s="702" t="e">
        <f>IF(F83="","",VLOOKUP(F83,'Списки участников'!A:L,12,FALSE))</f>
        <v>#N/A</v>
      </c>
      <c r="H83" s="504"/>
      <c r="I83" s="702" t="str">
        <f>IF(H83="","",VLOOKUP(H83,'[4]Списки участников ОМ, ОЖ'!A$1:L$65536,12,FALSE))</f>
        <v/>
      </c>
      <c r="J83" s="700"/>
      <c r="K83" s="700"/>
      <c r="L83" s="700"/>
      <c r="M83" s="700"/>
      <c r="N83" s="700"/>
      <c r="O83" s="503"/>
    </row>
    <row r="84" spans="1:15" ht="18" thickBot="1" x14ac:dyDescent="0.3">
      <c r="A84" s="499">
        <v>80</v>
      </c>
      <c r="B84" s="510">
        <v>10</v>
      </c>
      <c r="C84" s="506" t="s">
        <v>1081</v>
      </c>
      <c r="D84" s="498">
        <f>'Юноши 1ф'!B31</f>
        <v>0</v>
      </c>
      <c r="E84" s="702" t="e">
        <f>IF(D84="","",VLOOKUP(D84,'Списки участников'!A:L,12,FALSE))</f>
        <v>#N/A</v>
      </c>
      <c r="F84" s="507">
        <f>'Юноши 1ф'!B33</f>
        <v>0</v>
      </c>
      <c r="G84" s="702" t="e">
        <f>IF(F84="","",VLOOKUP(F84,'Списки участников'!A:L,12,FALSE))</f>
        <v>#N/A</v>
      </c>
      <c r="H84" s="507"/>
      <c r="I84" s="715" t="str">
        <f>IF(H84="","",VLOOKUP(H84,'[4]Списки участников ОМ, ОЖ'!A$1:L$65536,12,FALSE))</f>
        <v/>
      </c>
      <c r="J84" s="716"/>
      <c r="K84" s="716"/>
      <c r="L84" s="716"/>
      <c r="M84" s="716"/>
      <c r="N84" s="716"/>
      <c r="O84" s="506"/>
    </row>
    <row r="85" spans="1:15" ht="15" customHeight="1" x14ac:dyDescent="0.25">
      <c r="A85" s="499">
        <v>81</v>
      </c>
      <c r="B85" s="511">
        <v>11</v>
      </c>
      <c r="C85" s="496" t="s">
        <v>1082</v>
      </c>
      <c r="D85" s="498">
        <f>'Юноши 1ф'!B5</f>
        <v>0</v>
      </c>
      <c r="E85" s="702" t="e">
        <f>IF(D85="","",VLOOKUP(D85,'Списки участников'!A:L,12,FALSE))</f>
        <v>#N/A</v>
      </c>
      <c r="F85" s="498">
        <f>'Юноши 1ф'!B15</f>
        <v>0</v>
      </c>
      <c r="G85" s="702" t="e">
        <f>IF(F85="","",VLOOKUP(F85,'Списки участников'!A:L,12,FALSE))</f>
        <v>#N/A</v>
      </c>
      <c r="H85" s="498"/>
      <c r="I85" s="702" t="str">
        <f>IF(H85="","",VLOOKUP(H85,'[4]Списки участников ОМ, ОЖ'!A$1:L$65536,12,FALSE))</f>
        <v/>
      </c>
      <c r="J85" s="701"/>
      <c r="K85" s="701"/>
      <c r="L85" s="701"/>
      <c r="M85" s="701"/>
      <c r="N85" s="701"/>
      <c r="O85" s="496"/>
    </row>
    <row r="86" spans="1:15" ht="17.25" x14ac:dyDescent="0.25">
      <c r="A86" s="499">
        <v>82</v>
      </c>
      <c r="B86" s="509">
        <v>11</v>
      </c>
      <c r="C86" s="501" t="s">
        <v>1083</v>
      </c>
      <c r="D86" s="497">
        <f>'Юноши 1ф'!B17</f>
        <v>0</v>
      </c>
      <c r="E86" s="702" t="e">
        <f>IF(D86="","",VLOOKUP(D86,'Списки участников'!A:L,12,FALSE))</f>
        <v>#N/A</v>
      </c>
      <c r="F86" s="498">
        <f>'Юноши 1ф'!B13</f>
        <v>0</v>
      </c>
      <c r="G86" s="702" t="e">
        <f>IF(F86="","",VLOOKUP(F86,'Списки участников'!A:L,12,FALSE))</f>
        <v>#N/A</v>
      </c>
      <c r="H86" s="497"/>
      <c r="I86" s="702" t="str">
        <f>IF(H86="","",VLOOKUP(H86,'[4]Списки участников ОМ, ОЖ'!A$1:L$65536,12,FALSE))</f>
        <v/>
      </c>
      <c r="J86" s="499"/>
      <c r="K86" s="499"/>
      <c r="L86" s="499"/>
      <c r="M86" s="499"/>
      <c r="N86" s="499"/>
      <c r="O86" s="501"/>
    </row>
    <row r="87" spans="1:15" ht="17.25" x14ac:dyDescent="0.25">
      <c r="A87" s="499">
        <v>83</v>
      </c>
      <c r="B87" s="509">
        <v>11</v>
      </c>
      <c r="C87" s="501" t="s">
        <v>1084</v>
      </c>
      <c r="D87" s="497">
        <f>'Юноши 1ф'!B19</f>
        <v>0</v>
      </c>
      <c r="E87" s="702" t="e">
        <f>IF(D87="","",VLOOKUP(D87,'Списки участников'!A:L,12,FALSE))</f>
        <v>#N/A</v>
      </c>
      <c r="F87" s="498">
        <f>'Юноши 1ф'!B11</f>
        <v>0</v>
      </c>
      <c r="G87" s="702" t="e">
        <f>IF(F87="","",VLOOKUP(F87,'Списки участников'!A:L,12,FALSE))</f>
        <v>#N/A</v>
      </c>
      <c r="H87" s="497"/>
      <c r="I87" s="702" t="str">
        <f>IF(H87="","",VLOOKUP(H87,'[4]Списки участников ОМ, ОЖ'!A$1:L$65536,12,FALSE))</f>
        <v/>
      </c>
      <c r="J87" s="499"/>
      <c r="K87" s="499"/>
      <c r="L87" s="499"/>
      <c r="M87" s="499"/>
      <c r="N87" s="499"/>
      <c r="O87" s="501"/>
    </row>
    <row r="88" spans="1:15" ht="17.25" x14ac:dyDescent="0.25">
      <c r="A88" s="499">
        <v>84</v>
      </c>
      <c r="B88" s="509">
        <v>11</v>
      </c>
      <c r="C88" s="501" t="s">
        <v>1085</v>
      </c>
      <c r="D88" s="497">
        <f>'Юноши 1ф'!B21</f>
        <v>0</v>
      </c>
      <c r="E88" s="702" t="e">
        <f>IF(D88="","",VLOOKUP(D88,'Списки участников'!A:L,12,FALSE))</f>
        <v>#N/A</v>
      </c>
      <c r="F88" s="498">
        <f>'Юноши 1ф'!B9</f>
        <v>0</v>
      </c>
      <c r="G88" s="702" t="e">
        <f>IF(F88="","",VLOOKUP(F88,'Списки участников'!A:L,12,FALSE))</f>
        <v>#N/A</v>
      </c>
      <c r="H88" s="497"/>
      <c r="I88" s="702" t="str">
        <f>IF(H88="","",VLOOKUP(H88,'[4]Списки участников ОМ, ОЖ'!A$1:L$65536,12,FALSE))</f>
        <v/>
      </c>
      <c r="J88" s="499"/>
      <c r="K88" s="499"/>
      <c r="L88" s="499"/>
      <c r="M88" s="499"/>
      <c r="N88" s="499"/>
      <c r="O88" s="501"/>
    </row>
    <row r="89" spans="1:15" ht="17.25" x14ac:dyDescent="0.25">
      <c r="A89" s="499">
        <v>85</v>
      </c>
      <c r="B89" s="509">
        <v>11</v>
      </c>
      <c r="C89" s="501" t="s">
        <v>1086</v>
      </c>
      <c r="D89" s="497">
        <f>'Юноши 1ф'!B23</f>
        <v>0</v>
      </c>
      <c r="E89" s="702" t="e">
        <f>IF(D89="","",VLOOKUP(D89,'Списки участников'!A:L,12,FALSE))</f>
        <v>#N/A</v>
      </c>
      <c r="F89" s="498">
        <f>'Юноши 1ф'!B7</f>
        <v>0</v>
      </c>
      <c r="G89" s="702" t="e">
        <f>IF(F89="","",VLOOKUP(F89,'Списки участников'!A:L,12,FALSE))</f>
        <v>#N/A</v>
      </c>
      <c r="H89" s="497"/>
      <c r="I89" s="702" t="str">
        <f>IF(H89="","",VLOOKUP(H89,'[4]Списки участников ОМ, ОЖ'!A$1:L$65536,12,FALSE))</f>
        <v/>
      </c>
      <c r="J89" s="499"/>
      <c r="K89" s="499"/>
      <c r="L89" s="499"/>
      <c r="M89" s="499"/>
      <c r="N89" s="499"/>
      <c r="O89" s="501"/>
    </row>
    <row r="90" spans="1:15" ht="17.25" x14ac:dyDescent="0.25">
      <c r="A90" s="499">
        <v>86</v>
      </c>
      <c r="B90" s="509">
        <v>11</v>
      </c>
      <c r="C90" s="503" t="s">
        <v>1087</v>
      </c>
      <c r="D90" s="497">
        <f>'Юноши 1ф'!B25</f>
        <v>0</v>
      </c>
      <c r="E90" s="702" t="e">
        <f>IF(D90="","",VLOOKUP(D90,'Списки участников'!A:L,12,FALSE))</f>
        <v>#N/A</v>
      </c>
      <c r="F90" s="504">
        <f>'Юноши 1ф'!B35</f>
        <v>0</v>
      </c>
      <c r="G90" s="702" t="e">
        <f>IF(F90="","",VLOOKUP(F90,'Списки участников'!A:L,12,FALSE))</f>
        <v>#N/A</v>
      </c>
      <c r="H90" s="504"/>
      <c r="I90" s="702" t="str">
        <f>IF(H90="","",VLOOKUP(H90,'[4]Списки участников ОМ, ОЖ'!A$1:L$65536,12,FALSE))</f>
        <v/>
      </c>
      <c r="J90" s="700"/>
      <c r="K90" s="700"/>
      <c r="L90" s="700"/>
      <c r="M90" s="700"/>
      <c r="N90" s="700"/>
      <c r="O90" s="503"/>
    </row>
    <row r="91" spans="1:15" ht="17.25" x14ac:dyDescent="0.25">
      <c r="A91" s="499">
        <v>87</v>
      </c>
      <c r="B91" s="509">
        <v>11</v>
      </c>
      <c r="C91" s="503" t="s">
        <v>1088</v>
      </c>
      <c r="D91" s="497">
        <f>'Юноши 1ф'!B27</f>
        <v>0</v>
      </c>
      <c r="E91" s="702" t="e">
        <f>IF(D91="","",VLOOKUP(D91,'Списки участников'!A:L,12,FALSE))</f>
        <v>#N/A</v>
      </c>
      <c r="F91" s="504">
        <f>'Юноши 1ф'!B33</f>
        <v>0</v>
      </c>
      <c r="G91" s="702" t="e">
        <f>IF(F91="","",VLOOKUP(F91,'Списки участников'!A:L,12,FALSE))</f>
        <v>#N/A</v>
      </c>
      <c r="H91" s="504"/>
      <c r="I91" s="702" t="str">
        <f>IF(H91="","",VLOOKUP(H91,'[4]Списки участников ОМ, ОЖ'!A$1:L$65536,12,FALSE))</f>
        <v/>
      </c>
      <c r="J91" s="700"/>
      <c r="K91" s="700"/>
      <c r="L91" s="700"/>
      <c r="M91" s="700"/>
      <c r="N91" s="700"/>
      <c r="O91" s="503"/>
    </row>
    <row r="92" spans="1:15" ht="18" thickBot="1" x14ac:dyDescent="0.3">
      <c r="A92" s="499">
        <v>88</v>
      </c>
      <c r="B92" s="513">
        <v>11</v>
      </c>
      <c r="C92" s="506" t="s">
        <v>1089</v>
      </c>
      <c r="D92" s="497">
        <f>'Юноши 1ф'!B29</f>
        <v>0</v>
      </c>
      <c r="E92" s="702" t="e">
        <f>IF(D92="","",VLOOKUP(D92,'Списки участников'!A:L,12,FALSE))</f>
        <v>#N/A</v>
      </c>
      <c r="F92" s="504">
        <f>'Юноши 1ф'!B31</f>
        <v>0</v>
      </c>
      <c r="G92" s="702" t="e">
        <f>IF(F92="","",VLOOKUP(F92,'Списки участников'!A:L,12,FALSE))</f>
        <v>#N/A</v>
      </c>
      <c r="H92" s="507"/>
      <c r="I92" s="715" t="str">
        <f>IF(H92="","",VLOOKUP(H92,'[4]Списки участников ОМ, ОЖ'!A$1:L$65536,12,FALSE))</f>
        <v/>
      </c>
      <c r="J92" s="716"/>
      <c r="K92" s="716"/>
      <c r="L92" s="716"/>
      <c r="M92" s="716"/>
      <c r="N92" s="716"/>
      <c r="O92" s="506"/>
    </row>
    <row r="93" spans="1:15" ht="15" customHeight="1" x14ac:dyDescent="0.25">
      <c r="A93" s="499">
        <v>89</v>
      </c>
      <c r="B93" s="495">
        <v>12</v>
      </c>
      <c r="C93" s="496" t="s">
        <v>1090</v>
      </c>
      <c r="D93" s="498">
        <f>'Юноши 1ф'!B13</f>
        <v>0</v>
      </c>
      <c r="E93" s="702" t="e">
        <f>IF(D93="","",VLOOKUP(D93,'Списки участников'!A:L,12,FALSE))</f>
        <v>#N/A</v>
      </c>
      <c r="F93" s="498">
        <f>'Юноши 1ф'!B5</f>
        <v>0</v>
      </c>
      <c r="G93" s="702" t="e">
        <f>IF(F93="","",VLOOKUP(F93,'Списки участников'!A:L,12,FALSE))</f>
        <v>#N/A</v>
      </c>
      <c r="H93" s="498"/>
      <c r="I93" s="702" t="str">
        <f>IF(H93="","",VLOOKUP(H93,'[4]Списки участников ОМ, ОЖ'!A$1:L$65536,12,FALSE))</f>
        <v/>
      </c>
      <c r="J93" s="701"/>
      <c r="K93" s="701"/>
      <c r="L93" s="701"/>
      <c r="M93" s="701"/>
      <c r="N93" s="701"/>
      <c r="O93" s="496"/>
    </row>
    <row r="94" spans="1:15" ht="17.25" x14ac:dyDescent="0.25">
      <c r="A94" s="499">
        <v>90</v>
      </c>
      <c r="B94" s="509">
        <v>12</v>
      </c>
      <c r="C94" s="501" t="s">
        <v>1091</v>
      </c>
      <c r="D94" s="498">
        <f>'Юноши 1ф'!B15</f>
        <v>0</v>
      </c>
      <c r="E94" s="702" t="e">
        <f>IF(D94="","",VLOOKUP(D94,'Списки участников'!A:L,12,FALSE))</f>
        <v>#N/A</v>
      </c>
      <c r="F94" s="497">
        <f>'Юноши 1ф'!B11</f>
        <v>0</v>
      </c>
      <c r="G94" s="702" t="e">
        <f>IF(F94="","",VLOOKUP(F94,'Списки участников'!A:L,12,FALSE))</f>
        <v>#N/A</v>
      </c>
      <c r="H94" s="497"/>
      <c r="I94" s="702" t="str">
        <f>IF(H94="","",VLOOKUP(H94,'[4]Списки участников ОМ, ОЖ'!A$1:L$65536,12,FALSE))</f>
        <v/>
      </c>
      <c r="J94" s="499"/>
      <c r="K94" s="499"/>
      <c r="L94" s="499"/>
      <c r="M94" s="499"/>
      <c r="N94" s="499"/>
      <c r="O94" s="501"/>
    </row>
    <row r="95" spans="1:15" ht="17.25" x14ac:dyDescent="0.25">
      <c r="A95" s="499">
        <v>91</v>
      </c>
      <c r="B95" s="509">
        <v>12</v>
      </c>
      <c r="C95" s="501" t="s">
        <v>1092</v>
      </c>
      <c r="D95" s="498">
        <f>'Юноши 1ф'!B17</f>
        <v>0</v>
      </c>
      <c r="E95" s="702" t="e">
        <f>IF(D95="","",VLOOKUP(D95,'Списки участников'!A:L,12,FALSE))</f>
        <v>#N/A</v>
      </c>
      <c r="F95" s="497">
        <f>'Юноши 1ф'!B9</f>
        <v>0</v>
      </c>
      <c r="G95" s="702" t="e">
        <f>IF(F95="","",VLOOKUP(F95,'Списки участников'!A:L,12,FALSE))</f>
        <v>#N/A</v>
      </c>
      <c r="H95" s="497"/>
      <c r="I95" s="702" t="str">
        <f>IF(H95="","",VLOOKUP(H95,'[4]Списки участников ОМ, ОЖ'!A$1:L$65536,12,FALSE))</f>
        <v/>
      </c>
      <c r="J95" s="499"/>
      <c r="K95" s="499"/>
      <c r="L95" s="499"/>
      <c r="M95" s="499"/>
      <c r="N95" s="499"/>
      <c r="O95" s="501"/>
    </row>
    <row r="96" spans="1:15" ht="17.25" x14ac:dyDescent="0.25">
      <c r="A96" s="499">
        <v>92</v>
      </c>
      <c r="B96" s="509">
        <v>12</v>
      </c>
      <c r="C96" s="501" t="s">
        <v>1093</v>
      </c>
      <c r="D96" s="498">
        <f>'Юноши 1ф'!B19</f>
        <v>0</v>
      </c>
      <c r="E96" s="702" t="e">
        <f>IF(D96="","",VLOOKUP(D96,'Списки участников'!A:L,12,FALSE))</f>
        <v>#N/A</v>
      </c>
      <c r="F96" s="497">
        <f>'Юноши 1ф'!B7</f>
        <v>0</v>
      </c>
      <c r="G96" s="702" t="e">
        <f>IF(F96="","",VLOOKUP(F96,'Списки участников'!A:L,12,FALSE))</f>
        <v>#N/A</v>
      </c>
      <c r="H96" s="497"/>
      <c r="I96" s="702" t="str">
        <f>IF(H96="","",VLOOKUP(H96,'[4]Списки участников ОМ, ОЖ'!A$1:L$65536,12,FALSE))</f>
        <v/>
      </c>
      <c r="J96" s="499"/>
      <c r="K96" s="499"/>
      <c r="L96" s="499"/>
      <c r="M96" s="499"/>
      <c r="N96" s="499"/>
      <c r="O96" s="501"/>
    </row>
    <row r="97" spans="1:15" ht="17.25" x14ac:dyDescent="0.25">
      <c r="A97" s="499">
        <v>93</v>
      </c>
      <c r="B97" s="514">
        <v>12</v>
      </c>
      <c r="C97" s="501" t="s">
        <v>1094</v>
      </c>
      <c r="D97" s="498">
        <f>'Юноши 1ф'!B21</f>
        <v>0</v>
      </c>
      <c r="E97" s="702" t="e">
        <f>IF(D97="","",VLOOKUP(D97,'Списки участников'!A:L,12,FALSE))</f>
        <v>#N/A</v>
      </c>
      <c r="F97" s="497">
        <f>'Юноши 1ф'!B35</f>
        <v>0</v>
      </c>
      <c r="G97" s="702" t="e">
        <f>IF(F97="","",VLOOKUP(F97,'Списки участников'!A:L,12,FALSE))</f>
        <v>#N/A</v>
      </c>
      <c r="H97" s="497"/>
      <c r="I97" s="702" t="str">
        <f>IF(H97="","",VLOOKUP(H97,'[4]Списки участников ОМ, ОЖ'!A$1:L$65536,12,FALSE))</f>
        <v/>
      </c>
      <c r="J97" s="499"/>
      <c r="K97" s="499"/>
      <c r="L97" s="499"/>
      <c r="M97" s="499"/>
      <c r="N97" s="499"/>
      <c r="O97" s="501"/>
    </row>
    <row r="98" spans="1:15" ht="17.25" x14ac:dyDescent="0.25">
      <c r="A98" s="499">
        <v>94</v>
      </c>
      <c r="B98" s="509">
        <v>12</v>
      </c>
      <c r="C98" s="503" t="s">
        <v>1095</v>
      </c>
      <c r="D98" s="498">
        <f>'Юноши 1ф'!B23</f>
        <v>0</v>
      </c>
      <c r="E98" s="702" t="e">
        <f>IF(D98="","",VLOOKUP(D98,'Списки участников'!A:L,12,FALSE))</f>
        <v>#N/A</v>
      </c>
      <c r="F98" s="497">
        <f>'Юноши 1ф'!B33</f>
        <v>0</v>
      </c>
      <c r="G98" s="702" t="e">
        <f>IF(F98="","",VLOOKUP(F98,'Списки участников'!A:L,12,FALSE))</f>
        <v>#N/A</v>
      </c>
      <c r="H98" s="504"/>
      <c r="I98" s="702" t="str">
        <f>IF(H98="","",VLOOKUP(H98,'[4]Списки участников ОМ, ОЖ'!A$1:L$65536,12,FALSE))</f>
        <v/>
      </c>
      <c r="J98" s="700"/>
      <c r="K98" s="700"/>
      <c r="L98" s="700"/>
      <c r="M98" s="700"/>
      <c r="N98" s="700"/>
      <c r="O98" s="503"/>
    </row>
    <row r="99" spans="1:15" ht="17.25" x14ac:dyDescent="0.25">
      <c r="A99" s="499">
        <v>95</v>
      </c>
      <c r="B99" s="509">
        <v>12</v>
      </c>
      <c r="C99" s="503" t="s">
        <v>1096</v>
      </c>
      <c r="D99" s="498">
        <f>'Юноши 1ф'!B25</f>
        <v>0</v>
      </c>
      <c r="E99" s="702" t="e">
        <f>IF(D99="","",VLOOKUP(D99,'Списки участников'!A:L,12,FALSE))</f>
        <v>#N/A</v>
      </c>
      <c r="F99" s="497">
        <f>'Юноши 1ф'!B31</f>
        <v>0</v>
      </c>
      <c r="G99" s="702" t="e">
        <f>IF(F99="","",VLOOKUP(F99,'Списки участников'!A:L,12,FALSE))</f>
        <v>#N/A</v>
      </c>
      <c r="H99" s="504"/>
      <c r="I99" s="702" t="str">
        <f>IF(H99="","",VLOOKUP(H99,'[4]Списки участников ОМ, ОЖ'!A$1:L$65536,12,FALSE))</f>
        <v/>
      </c>
      <c r="J99" s="700"/>
      <c r="K99" s="700"/>
      <c r="L99" s="700"/>
      <c r="M99" s="700"/>
      <c r="N99" s="700"/>
      <c r="O99" s="503"/>
    </row>
    <row r="100" spans="1:15" ht="18" thickBot="1" x14ac:dyDescent="0.3">
      <c r="A100" s="499">
        <v>96</v>
      </c>
      <c r="B100" s="513">
        <v>12</v>
      </c>
      <c r="C100" s="506" t="s">
        <v>1097</v>
      </c>
      <c r="D100" s="498">
        <f>'Юноши 1ф'!B27</f>
        <v>0</v>
      </c>
      <c r="E100" s="702" t="e">
        <f>IF(D100="","",VLOOKUP(D100,'Списки участников'!A:L,12,FALSE))</f>
        <v>#N/A</v>
      </c>
      <c r="F100" s="497">
        <f>'Юноши 1ф'!B29</f>
        <v>0</v>
      </c>
      <c r="G100" s="702" t="e">
        <f>IF(F100="","",VLOOKUP(F100,'Списки участников'!A:L,12,FALSE))</f>
        <v>#N/A</v>
      </c>
      <c r="H100" s="507"/>
      <c r="I100" s="715" t="str">
        <f>IF(H100="","",VLOOKUP(H100,'[4]Списки участников ОМ, ОЖ'!A$1:L$65536,12,FALSE))</f>
        <v/>
      </c>
      <c r="J100" s="716"/>
      <c r="K100" s="716"/>
      <c r="L100" s="716"/>
      <c r="M100" s="716"/>
      <c r="N100" s="716"/>
      <c r="O100" s="506"/>
    </row>
    <row r="101" spans="1:15" ht="15" customHeight="1" x14ac:dyDescent="0.25">
      <c r="A101" s="499">
        <v>97</v>
      </c>
      <c r="B101" s="495">
        <v>13</v>
      </c>
      <c r="C101" s="496" t="s">
        <v>1098</v>
      </c>
      <c r="D101" s="498">
        <f>'Юноши 1ф'!B5</f>
        <v>0</v>
      </c>
      <c r="E101" s="702" t="e">
        <f>IF(D101="","",VLOOKUP(D101,'Списки участников'!A:L,12,FALSE))</f>
        <v>#N/A</v>
      </c>
      <c r="F101" s="498">
        <f>'Юноши 1ф'!B11</f>
        <v>0</v>
      </c>
      <c r="G101" s="702" t="e">
        <f>IF(F101="","",VLOOKUP(F101,'Списки участников'!A:L,12,FALSE))</f>
        <v>#N/A</v>
      </c>
      <c r="H101" s="498"/>
      <c r="I101" s="702" t="str">
        <f>IF(H101="","",VLOOKUP(H101,'[4]Списки участников ОМ, ОЖ'!A$1:L$65536,12,FALSE))</f>
        <v/>
      </c>
      <c r="J101" s="701"/>
      <c r="K101" s="701"/>
      <c r="L101" s="701"/>
      <c r="M101" s="701"/>
      <c r="N101" s="701"/>
      <c r="O101" s="496"/>
    </row>
    <row r="102" spans="1:15" ht="17.25" x14ac:dyDescent="0.25">
      <c r="A102" s="499">
        <v>98</v>
      </c>
      <c r="B102" s="509">
        <v>13</v>
      </c>
      <c r="C102" s="501" t="s">
        <v>1099</v>
      </c>
      <c r="D102" s="497">
        <f>'Юноши 1ф'!B13</f>
        <v>0</v>
      </c>
      <c r="E102" s="702" t="e">
        <f>IF(D102="","",VLOOKUP(D102,'Списки участников'!A:L,12,FALSE))</f>
        <v>#N/A</v>
      </c>
      <c r="F102" s="498">
        <f>'Юноши 1ф'!B9</f>
        <v>0</v>
      </c>
      <c r="G102" s="702" t="e">
        <f>IF(F102="","",VLOOKUP(F102,'Списки участников'!A:L,12,FALSE))</f>
        <v>#N/A</v>
      </c>
      <c r="H102" s="497"/>
      <c r="I102" s="702" t="str">
        <f>IF(H102="","",VLOOKUP(H102,'[4]Списки участников ОМ, ОЖ'!A$1:L$65536,12,FALSE))</f>
        <v/>
      </c>
      <c r="J102" s="499"/>
      <c r="K102" s="499"/>
      <c r="L102" s="499"/>
      <c r="M102" s="499"/>
      <c r="N102" s="499"/>
      <c r="O102" s="501"/>
    </row>
    <row r="103" spans="1:15" ht="17.25" x14ac:dyDescent="0.25">
      <c r="A103" s="499">
        <v>99</v>
      </c>
      <c r="B103" s="509">
        <v>13</v>
      </c>
      <c r="C103" s="501" t="s">
        <v>1100</v>
      </c>
      <c r="D103" s="497">
        <f>'Юноши 1ф'!B15</f>
        <v>0</v>
      </c>
      <c r="E103" s="702" t="e">
        <f>IF(D103="","",VLOOKUP(D103,'Списки участников'!A:L,12,FALSE))</f>
        <v>#N/A</v>
      </c>
      <c r="F103" s="498">
        <f>'Юноши 1ф'!B7</f>
        <v>0</v>
      </c>
      <c r="G103" s="702" t="e">
        <f>IF(F103="","",VLOOKUP(F103,'Списки участников'!A:L,12,FALSE))</f>
        <v>#N/A</v>
      </c>
      <c r="H103" s="497"/>
      <c r="I103" s="702" t="str">
        <f>IF(H103="","",VLOOKUP(H103,'[4]Списки участников ОМ, ОЖ'!A$1:L$65536,12,FALSE))</f>
        <v/>
      </c>
      <c r="J103" s="499"/>
      <c r="K103" s="499"/>
      <c r="L103" s="499"/>
      <c r="M103" s="499"/>
      <c r="N103" s="499"/>
      <c r="O103" s="501"/>
    </row>
    <row r="104" spans="1:15" ht="17.25" x14ac:dyDescent="0.25">
      <c r="A104" s="499">
        <v>100</v>
      </c>
      <c r="B104" s="509">
        <v>13</v>
      </c>
      <c r="C104" s="501" t="s">
        <v>1101</v>
      </c>
      <c r="D104" s="497">
        <f>'Юноши 1ф'!B17</f>
        <v>0</v>
      </c>
      <c r="E104" s="702" t="e">
        <f>IF(D104="","",VLOOKUP(D104,'Списки участников'!A:L,12,FALSE))</f>
        <v>#N/A</v>
      </c>
      <c r="F104" s="497">
        <f>'Юноши 1ф'!B35</f>
        <v>0</v>
      </c>
      <c r="G104" s="702" t="e">
        <f>IF(F104="","",VLOOKUP(F104,'Списки участников'!A:L,12,FALSE))</f>
        <v>#N/A</v>
      </c>
      <c r="H104" s="497"/>
      <c r="I104" s="702" t="str">
        <f>IF(H104="","",VLOOKUP(H104,'[4]Списки участников ОМ, ОЖ'!A$1:L$65536,12,FALSE))</f>
        <v/>
      </c>
      <c r="J104" s="499"/>
      <c r="K104" s="499"/>
      <c r="L104" s="499"/>
      <c r="M104" s="499"/>
      <c r="N104" s="499"/>
      <c r="O104" s="501"/>
    </row>
    <row r="105" spans="1:15" ht="17.25" x14ac:dyDescent="0.25">
      <c r="A105" s="499">
        <v>101</v>
      </c>
      <c r="B105" s="514">
        <v>13</v>
      </c>
      <c r="C105" s="501" t="s">
        <v>1102</v>
      </c>
      <c r="D105" s="497">
        <f>'Юноши 1ф'!B19</f>
        <v>0</v>
      </c>
      <c r="E105" s="702" t="e">
        <f>IF(D105="","",VLOOKUP(D105,'Списки участников'!A:L,12,FALSE))</f>
        <v>#N/A</v>
      </c>
      <c r="F105" s="497">
        <f>'Юноши 1ф'!B33</f>
        <v>0</v>
      </c>
      <c r="G105" s="702" t="e">
        <f>IF(F105="","",VLOOKUP(F105,'Списки участников'!A:L,12,FALSE))</f>
        <v>#N/A</v>
      </c>
      <c r="H105" s="497"/>
      <c r="I105" s="702" t="str">
        <f>IF(H105="","",VLOOKUP(H105,'[4]Списки участников ОМ, ОЖ'!A$1:L$65536,12,FALSE))</f>
        <v/>
      </c>
      <c r="J105" s="499"/>
      <c r="K105" s="499"/>
      <c r="L105" s="499"/>
      <c r="M105" s="499"/>
      <c r="N105" s="499"/>
      <c r="O105" s="501"/>
    </row>
    <row r="106" spans="1:15" ht="17.25" x14ac:dyDescent="0.25">
      <c r="A106" s="499">
        <v>102</v>
      </c>
      <c r="B106" s="509">
        <v>13</v>
      </c>
      <c r="C106" s="503" t="s">
        <v>1103</v>
      </c>
      <c r="D106" s="497">
        <f>'Юноши 1ф'!B21</f>
        <v>0</v>
      </c>
      <c r="E106" s="702" t="e">
        <f>IF(D106="","",VLOOKUP(D106,'Списки участников'!A:L,12,FALSE))</f>
        <v>#N/A</v>
      </c>
      <c r="F106" s="497">
        <f>'Юноши 1ф'!B31</f>
        <v>0</v>
      </c>
      <c r="G106" s="702" t="e">
        <f>IF(F106="","",VLOOKUP(F106,'Списки участников'!A:L,12,FALSE))</f>
        <v>#N/A</v>
      </c>
      <c r="H106" s="504"/>
      <c r="I106" s="702" t="str">
        <f>IF(H106="","",VLOOKUP(H106,'[4]Списки участников ОМ, ОЖ'!A$1:L$65536,12,FALSE))</f>
        <v/>
      </c>
      <c r="J106" s="700"/>
      <c r="K106" s="700"/>
      <c r="L106" s="700"/>
      <c r="M106" s="700"/>
      <c r="N106" s="700"/>
      <c r="O106" s="503"/>
    </row>
    <row r="107" spans="1:15" ht="17.25" x14ac:dyDescent="0.25">
      <c r="A107" s="499">
        <v>103</v>
      </c>
      <c r="B107" s="509">
        <v>13</v>
      </c>
      <c r="C107" s="503" t="s">
        <v>1104</v>
      </c>
      <c r="D107" s="497">
        <f>'Юноши 1ф'!B23</f>
        <v>0</v>
      </c>
      <c r="E107" s="702" t="e">
        <f>IF(D107="","",VLOOKUP(D107,'Списки участников'!A:L,12,FALSE))</f>
        <v>#N/A</v>
      </c>
      <c r="F107" s="497">
        <f>'Юноши 1ф'!B29</f>
        <v>0</v>
      </c>
      <c r="G107" s="702" t="e">
        <f>IF(F107="","",VLOOKUP(F107,'Списки участников'!A:L,12,FALSE))</f>
        <v>#N/A</v>
      </c>
      <c r="H107" s="504"/>
      <c r="I107" s="702" t="str">
        <f>IF(H107="","",VLOOKUP(H107,'[4]Списки участников ОМ, ОЖ'!A$1:L$65536,12,FALSE))</f>
        <v/>
      </c>
      <c r="J107" s="700"/>
      <c r="K107" s="700"/>
      <c r="L107" s="700"/>
      <c r="M107" s="700"/>
      <c r="N107" s="700"/>
      <c r="O107" s="503"/>
    </row>
    <row r="108" spans="1:15" ht="18" thickBot="1" x14ac:dyDescent="0.3">
      <c r="A108" s="499">
        <v>104</v>
      </c>
      <c r="B108" s="510">
        <v>13</v>
      </c>
      <c r="C108" s="506" t="s">
        <v>1105</v>
      </c>
      <c r="D108" s="497">
        <f>'Юноши 1ф'!B25</f>
        <v>0</v>
      </c>
      <c r="E108" s="702" t="e">
        <f>IF(D108="","",VLOOKUP(D108,'Списки участников'!A:L,12,FALSE))</f>
        <v>#N/A</v>
      </c>
      <c r="F108" s="497">
        <f>'Юноши 1ф'!B27</f>
        <v>0</v>
      </c>
      <c r="G108" s="702" t="e">
        <f>IF(F108="","",VLOOKUP(F108,'Списки участников'!A:L,12,FALSE))</f>
        <v>#N/A</v>
      </c>
      <c r="H108" s="507"/>
      <c r="I108" s="715" t="str">
        <f>IF(H108="","",VLOOKUP(H108,'[4]Списки участников ОМ, ОЖ'!A$1:L$65536,12,FALSE))</f>
        <v/>
      </c>
      <c r="J108" s="716"/>
      <c r="K108" s="716"/>
      <c r="L108" s="716"/>
      <c r="M108" s="716"/>
      <c r="N108" s="716"/>
      <c r="O108" s="506"/>
    </row>
    <row r="109" spans="1:15" ht="15" customHeight="1" x14ac:dyDescent="0.25">
      <c r="A109" s="499">
        <v>105</v>
      </c>
      <c r="B109" s="511">
        <v>14</v>
      </c>
      <c r="C109" s="496" t="s">
        <v>1106</v>
      </c>
      <c r="D109" s="498">
        <f>'Юноши 1ф'!B9</f>
        <v>0</v>
      </c>
      <c r="E109" s="702" t="e">
        <f>IF(D109="","",VLOOKUP(D109,'Списки участников'!A:L,12,FALSE))</f>
        <v>#N/A</v>
      </c>
      <c r="F109" s="498">
        <f>'Юноши 1ф'!B5</f>
        <v>0</v>
      </c>
      <c r="G109" s="702" t="e">
        <f>IF(F109="","",VLOOKUP(F109,'Списки участников'!A:L,12,FALSE))</f>
        <v>#N/A</v>
      </c>
      <c r="H109" s="498"/>
      <c r="I109" s="702" t="str">
        <f>IF(H109="","",VLOOKUP(H109,'[4]Списки участников ОМ, ОЖ'!A$1:L$65536,12,FALSE))</f>
        <v/>
      </c>
      <c r="J109" s="701"/>
      <c r="K109" s="701"/>
      <c r="L109" s="701"/>
      <c r="M109" s="701"/>
      <c r="N109" s="701"/>
      <c r="O109" s="496"/>
    </row>
    <row r="110" spans="1:15" ht="17.25" x14ac:dyDescent="0.25">
      <c r="A110" s="499">
        <v>106</v>
      </c>
      <c r="B110" s="509">
        <v>14</v>
      </c>
      <c r="C110" s="501" t="s">
        <v>1107</v>
      </c>
      <c r="D110" s="498">
        <f>'Юноши 1ф'!B11</f>
        <v>0</v>
      </c>
      <c r="E110" s="702" t="e">
        <f>IF(D110="","",VLOOKUP(D110,'Списки участников'!A:L,12,FALSE))</f>
        <v>#N/A</v>
      </c>
      <c r="F110" s="497">
        <f>'Юноши 1ф'!B7</f>
        <v>0</v>
      </c>
      <c r="G110" s="702" t="e">
        <f>IF(F110="","",VLOOKUP(F110,'Списки участников'!A:L,12,FALSE))</f>
        <v>#N/A</v>
      </c>
      <c r="H110" s="497"/>
      <c r="I110" s="702" t="str">
        <f>IF(H110="","",VLOOKUP(H110,'[4]Списки участников ОМ, ОЖ'!A$1:L$65536,12,FALSE))</f>
        <v/>
      </c>
      <c r="J110" s="499"/>
      <c r="K110" s="499"/>
      <c r="L110" s="499"/>
      <c r="M110" s="499"/>
      <c r="N110" s="499"/>
      <c r="O110" s="501"/>
    </row>
    <row r="111" spans="1:15" ht="17.25" x14ac:dyDescent="0.25">
      <c r="A111" s="499">
        <v>107</v>
      </c>
      <c r="B111" s="509">
        <v>14</v>
      </c>
      <c r="C111" s="501" t="s">
        <v>1108</v>
      </c>
      <c r="D111" s="498">
        <f>'Юноши 1ф'!B13</f>
        <v>0</v>
      </c>
      <c r="E111" s="702" t="e">
        <f>IF(D111="","",VLOOKUP(D111,'Списки участников'!A:L,12,FALSE))</f>
        <v>#N/A</v>
      </c>
      <c r="F111" s="497">
        <f>'Юноши 1ф'!B35</f>
        <v>0</v>
      </c>
      <c r="G111" s="702" t="e">
        <f>IF(F111="","",VLOOKUP(F111,'Списки участников'!A:L,12,FALSE))</f>
        <v>#N/A</v>
      </c>
      <c r="H111" s="497"/>
      <c r="I111" s="702" t="str">
        <f>IF(H111="","",VLOOKUP(H111,'[4]Списки участников ОМ, ОЖ'!A$1:L$65536,12,FALSE))</f>
        <v/>
      </c>
      <c r="J111" s="499"/>
      <c r="K111" s="499"/>
      <c r="L111" s="499"/>
      <c r="M111" s="499"/>
      <c r="N111" s="499"/>
      <c r="O111" s="501"/>
    </row>
    <row r="112" spans="1:15" ht="17.25" x14ac:dyDescent="0.25">
      <c r="A112" s="499">
        <v>108</v>
      </c>
      <c r="B112" s="509">
        <v>14</v>
      </c>
      <c r="C112" s="501" t="s">
        <v>1109</v>
      </c>
      <c r="D112" s="498">
        <f>'Юноши 1ф'!B15</f>
        <v>0</v>
      </c>
      <c r="E112" s="702" t="e">
        <f>IF(D112="","",VLOOKUP(D112,'Списки участников'!A:L,12,FALSE))</f>
        <v>#N/A</v>
      </c>
      <c r="F112" s="497">
        <f>'Юноши 1ф'!B33</f>
        <v>0</v>
      </c>
      <c r="G112" s="702" t="e">
        <f>IF(F112="","",VLOOKUP(F112,'Списки участников'!A:L,12,FALSE))</f>
        <v>#N/A</v>
      </c>
      <c r="H112" s="497"/>
      <c r="I112" s="702" t="str">
        <f>IF(H112="","",VLOOKUP(H112,'[4]Списки участников ОМ, ОЖ'!A$1:L$65536,12,FALSE))</f>
        <v/>
      </c>
      <c r="J112" s="499"/>
      <c r="K112" s="499"/>
      <c r="L112" s="499"/>
      <c r="M112" s="499"/>
      <c r="N112" s="499"/>
      <c r="O112" s="501"/>
    </row>
    <row r="113" spans="1:15" ht="17.25" x14ac:dyDescent="0.25">
      <c r="A113" s="499">
        <v>109</v>
      </c>
      <c r="B113" s="514">
        <v>14</v>
      </c>
      <c r="C113" s="501" t="s">
        <v>1110</v>
      </c>
      <c r="D113" s="498">
        <f>'Юноши 1ф'!B17</f>
        <v>0</v>
      </c>
      <c r="E113" s="702" t="e">
        <f>IF(D113="","",VLOOKUP(D113,'Списки участников'!A:L,12,FALSE))</f>
        <v>#N/A</v>
      </c>
      <c r="F113" s="497">
        <f>'Юноши 1ф'!B31</f>
        <v>0</v>
      </c>
      <c r="G113" s="702" t="e">
        <f>IF(F113="","",VLOOKUP(F113,'Списки участников'!A:L,12,FALSE))</f>
        <v>#N/A</v>
      </c>
      <c r="H113" s="497"/>
      <c r="I113" s="702" t="str">
        <f>IF(H113="","",VLOOKUP(H113,'[4]Списки участников ОМ, ОЖ'!A$1:L$65536,12,FALSE))</f>
        <v/>
      </c>
      <c r="J113" s="499"/>
      <c r="K113" s="499"/>
      <c r="L113" s="499"/>
      <c r="M113" s="499"/>
      <c r="N113" s="499"/>
      <c r="O113" s="501"/>
    </row>
    <row r="114" spans="1:15" ht="17.25" x14ac:dyDescent="0.25">
      <c r="A114" s="499">
        <v>110</v>
      </c>
      <c r="B114" s="509">
        <v>14</v>
      </c>
      <c r="C114" s="503" t="s">
        <v>1111</v>
      </c>
      <c r="D114" s="498">
        <f>'Юноши 1ф'!B19</f>
        <v>0</v>
      </c>
      <c r="E114" s="702" t="e">
        <f>IF(D114="","",VLOOKUP(D114,'Списки участников'!A:L,12,FALSE))</f>
        <v>#N/A</v>
      </c>
      <c r="F114" s="497">
        <f>'Юноши 1ф'!B29</f>
        <v>0</v>
      </c>
      <c r="G114" s="702" t="e">
        <f>IF(F114="","",VLOOKUP(F114,'Списки участников'!A:L,12,FALSE))</f>
        <v>#N/A</v>
      </c>
      <c r="H114" s="504"/>
      <c r="I114" s="702" t="str">
        <f>IF(H114="","",VLOOKUP(H114,'[4]Списки участников ОМ, ОЖ'!A$1:L$65536,12,FALSE))</f>
        <v/>
      </c>
      <c r="J114" s="700"/>
      <c r="K114" s="700"/>
      <c r="L114" s="700"/>
      <c r="M114" s="700"/>
      <c r="N114" s="700"/>
      <c r="O114" s="503"/>
    </row>
    <row r="115" spans="1:15" ht="17.25" x14ac:dyDescent="0.25">
      <c r="A115" s="499">
        <v>111</v>
      </c>
      <c r="B115" s="509">
        <v>14</v>
      </c>
      <c r="C115" s="503" t="s">
        <v>1112</v>
      </c>
      <c r="D115" s="498">
        <f>'Юноши 1ф'!B21</f>
        <v>0</v>
      </c>
      <c r="E115" s="702" t="e">
        <f>IF(D115="","",VLOOKUP(D115,'Списки участников'!A:L,12,FALSE))</f>
        <v>#N/A</v>
      </c>
      <c r="F115" s="497">
        <f>'Юноши 1ф'!B27</f>
        <v>0</v>
      </c>
      <c r="G115" s="702" t="e">
        <f>IF(F115="","",VLOOKUP(F115,'Списки участников'!A:L,12,FALSE))</f>
        <v>#N/A</v>
      </c>
      <c r="H115" s="504"/>
      <c r="I115" s="702" t="str">
        <f>IF(H115="","",VLOOKUP(H115,'[4]Списки участников ОМ, ОЖ'!A$1:L$65536,12,FALSE))</f>
        <v/>
      </c>
      <c r="J115" s="700"/>
      <c r="K115" s="700"/>
      <c r="L115" s="700"/>
      <c r="M115" s="700"/>
      <c r="N115" s="700"/>
      <c r="O115" s="503"/>
    </row>
    <row r="116" spans="1:15" ht="18" thickBot="1" x14ac:dyDescent="0.3">
      <c r="A116" s="499">
        <v>112</v>
      </c>
      <c r="B116" s="513">
        <v>14</v>
      </c>
      <c r="C116" s="506" t="s">
        <v>1113</v>
      </c>
      <c r="D116" s="498">
        <f>'Юноши 1ф'!B23</f>
        <v>0</v>
      </c>
      <c r="E116" s="702" t="e">
        <f>IF(D116="","",VLOOKUP(D116,'Списки участников'!A:L,12,FALSE))</f>
        <v>#N/A</v>
      </c>
      <c r="F116" s="497">
        <f>'Юноши 1ф'!B25</f>
        <v>0</v>
      </c>
      <c r="G116" s="702" t="e">
        <f>IF(F116="","",VLOOKUP(F116,'Списки участников'!A:L,12,FALSE))</f>
        <v>#N/A</v>
      </c>
      <c r="H116" s="507"/>
      <c r="I116" s="715" t="str">
        <f>IF(H116="","",VLOOKUP(H116,'[4]Списки участников ОМ, ОЖ'!A$1:L$65536,12,FALSE))</f>
        <v/>
      </c>
      <c r="J116" s="716"/>
      <c r="K116" s="716"/>
      <c r="L116" s="716"/>
      <c r="M116" s="716"/>
      <c r="N116" s="716"/>
      <c r="O116" s="506"/>
    </row>
    <row r="117" spans="1:15" ht="15" customHeight="1" x14ac:dyDescent="0.25">
      <c r="A117" s="499">
        <v>113</v>
      </c>
      <c r="B117" s="495">
        <v>15</v>
      </c>
      <c r="C117" s="496" t="s">
        <v>1114</v>
      </c>
      <c r="D117" s="498">
        <f>'Юноши 1ф'!B5</f>
        <v>0</v>
      </c>
      <c r="E117" s="702" t="e">
        <f>IF(D117="","",VLOOKUP(D117,'Списки участников'!A:L,12,FALSE))</f>
        <v>#N/A</v>
      </c>
      <c r="F117" s="498">
        <f>'Юноши 1ф'!B7</f>
        <v>0</v>
      </c>
      <c r="G117" s="702" t="e">
        <f>IF(F117="","",VLOOKUP(F117,'Списки участников'!A:L,12,FALSE))</f>
        <v>#N/A</v>
      </c>
      <c r="H117" s="498"/>
      <c r="I117" s="702" t="str">
        <f>IF(H117="","",VLOOKUP(H117,'[4]Списки участников ОМ, ОЖ'!A$1:L$65536,12,FALSE))</f>
        <v/>
      </c>
      <c r="J117" s="701"/>
      <c r="K117" s="701"/>
      <c r="L117" s="701"/>
      <c r="M117" s="701"/>
      <c r="N117" s="701"/>
      <c r="O117" s="496"/>
    </row>
    <row r="118" spans="1:15" ht="17.25" x14ac:dyDescent="0.25">
      <c r="A118" s="499">
        <v>114</v>
      </c>
      <c r="B118" s="509">
        <v>15</v>
      </c>
      <c r="C118" s="501" t="s">
        <v>1115</v>
      </c>
      <c r="D118" s="497">
        <f>'Юноши 1ф'!B9</f>
        <v>0</v>
      </c>
      <c r="E118" s="702" t="e">
        <f>IF(D118="","",VLOOKUP(D118,'Списки участников'!A:L,12,FALSE))</f>
        <v>#N/A</v>
      </c>
      <c r="F118" s="497">
        <f>'Юноши 1ф'!B35</f>
        <v>0</v>
      </c>
      <c r="G118" s="702" t="e">
        <f>IF(F118="","",VLOOKUP(F118,'Списки участников'!A:L,12,FALSE))</f>
        <v>#N/A</v>
      </c>
      <c r="H118" s="497"/>
      <c r="I118" s="702" t="str">
        <f>IF(H118="","",VLOOKUP(H118,'[4]Списки участников ОМ, ОЖ'!A$1:L$65536,12,FALSE))</f>
        <v/>
      </c>
      <c r="J118" s="499"/>
      <c r="K118" s="499"/>
      <c r="L118" s="499"/>
      <c r="M118" s="499"/>
      <c r="N118" s="499"/>
      <c r="O118" s="501"/>
    </row>
    <row r="119" spans="1:15" ht="17.25" x14ac:dyDescent="0.25">
      <c r="A119" s="499">
        <v>115</v>
      </c>
      <c r="B119" s="509">
        <v>15</v>
      </c>
      <c r="C119" s="501" t="s">
        <v>1116</v>
      </c>
      <c r="D119" s="497">
        <f>'Юноши 1ф'!B11</f>
        <v>0</v>
      </c>
      <c r="E119" s="702" t="e">
        <f>IF(D119="","",VLOOKUP(D119,'Списки участников'!A:L,12,FALSE))</f>
        <v>#N/A</v>
      </c>
      <c r="F119" s="497">
        <f>'Юноши 1ф'!B33</f>
        <v>0</v>
      </c>
      <c r="G119" s="702" t="e">
        <f>IF(F119="","",VLOOKUP(F119,'Списки участников'!A:L,12,FALSE))</f>
        <v>#N/A</v>
      </c>
      <c r="H119" s="497"/>
      <c r="I119" s="702" t="str">
        <f>IF(H119="","",VLOOKUP(H119,'[4]Списки участников ОМ, ОЖ'!A$1:L$65536,12,FALSE))</f>
        <v/>
      </c>
      <c r="J119" s="499"/>
      <c r="K119" s="499"/>
      <c r="L119" s="499"/>
      <c r="M119" s="499"/>
      <c r="N119" s="499"/>
      <c r="O119" s="501"/>
    </row>
    <row r="120" spans="1:15" ht="17.25" x14ac:dyDescent="0.25">
      <c r="A120" s="499">
        <v>116</v>
      </c>
      <c r="B120" s="509">
        <v>15</v>
      </c>
      <c r="C120" s="501" t="s">
        <v>1117</v>
      </c>
      <c r="D120" s="497">
        <f>'Юноши 1ф'!B13</f>
        <v>0</v>
      </c>
      <c r="E120" s="702" t="e">
        <f>IF(D120="","",VLOOKUP(D120,'Списки участников'!A:L,12,FALSE))</f>
        <v>#N/A</v>
      </c>
      <c r="F120" s="497">
        <f>'Юноши 1ф'!B31</f>
        <v>0</v>
      </c>
      <c r="G120" s="702" t="e">
        <f>IF(F120="","",VLOOKUP(F120,'Списки участников'!A:L,12,FALSE))</f>
        <v>#N/A</v>
      </c>
      <c r="H120" s="497"/>
      <c r="I120" s="702" t="str">
        <f>IF(H120="","",VLOOKUP(H120,'[4]Списки участников ОМ, ОЖ'!A$1:L$65536,12,FALSE))</f>
        <v/>
      </c>
      <c r="J120" s="499"/>
      <c r="K120" s="499"/>
      <c r="L120" s="499"/>
      <c r="M120" s="499"/>
      <c r="N120" s="499"/>
      <c r="O120" s="501"/>
    </row>
    <row r="121" spans="1:15" ht="17.25" x14ac:dyDescent="0.25">
      <c r="A121" s="499">
        <v>117</v>
      </c>
      <c r="B121" s="514">
        <v>15</v>
      </c>
      <c r="C121" s="501" t="s">
        <v>1118</v>
      </c>
      <c r="D121" s="497">
        <f>'Юноши 1ф'!B15</f>
        <v>0</v>
      </c>
      <c r="E121" s="702" t="e">
        <f>IF(D121="","",VLOOKUP(D121,'Списки участников'!A:L,12,FALSE))</f>
        <v>#N/A</v>
      </c>
      <c r="F121" s="497">
        <f>'Юноши 1ф'!B29</f>
        <v>0</v>
      </c>
      <c r="G121" s="702" t="e">
        <f>IF(F121="","",VLOOKUP(F121,'Списки участников'!A:L,12,FALSE))</f>
        <v>#N/A</v>
      </c>
      <c r="H121" s="497"/>
      <c r="I121" s="702" t="str">
        <f>IF(H121="","",VLOOKUP(H121,'[4]Списки участников ОМ, ОЖ'!A$1:L$65536,12,FALSE))</f>
        <v/>
      </c>
      <c r="J121" s="499"/>
      <c r="K121" s="499"/>
      <c r="L121" s="499"/>
      <c r="M121" s="499"/>
      <c r="N121" s="499"/>
      <c r="O121" s="501"/>
    </row>
    <row r="122" spans="1:15" ht="17.25" x14ac:dyDescent="0.25">
      <c r="A122" s="499">
        <v>118</v>
      </c>
      <c r="B122" s="509">
        <v>15</v>
      </c>
      <c r="C122" s="503" t="s">
        <v>1119</v>
      </c>
      <c r="D122" s="497">
        <f>'Юноши 1ф'!B17</f>
        <v>0</v>
      </c>
      <c r="E122" s="702" t="e">
        <f>IF(D122="","",VLOOKUP(D122,'Списки участников'!A:L,12,FALSE))</f>
        <v>#N/A</v>
      </c>
      <c r="F122" s="497">
        <f>'Юноши 1ф'!B27</f>
        <v>0</v>
      </c>
      <c r="G122" s="702" t="e">
        <f>IF(F122="","",VLOOKUP(F122,'Списки участников'!A:L,12,FALSE))</f>
        <v>#N/A</v>
      </c>
      <c r="H122" s="504"/>
      <c r="I122" s="702" t="str">
        <f>IF(H122="","",VLOOKUP(H122,'[4]Списки участников ОМ, ОЖ'!A$1:L$65536,12,FALSE))</f>
        <v/>
      </c>
      <c r="J122" s="700"/>
      <c r="K122" s="700"/>
      <c r="L122" s="700"/>
      <c r="M122" s="700"/>
      <c r="N122" s="700"/>
      <c r="O122" s="503"/>
    </row>
    <row r="123" spans="1:15" ht="17.25" x14ac:dyDescent="0.25">
      <c r="A123" s="499">
        <v>119</v>
      </c>
      <c r="B123" s="509">
        <v>15</v>
      </c>
      <c r="C123" s="503" t="s">
        <v>1120</v>
      </c>
      <c r="D123" s="497">
        <f>'Юноши 1ф'!B19</f>
        <v>0</v>
      </c>
      <c r="E123" s="702" t="e">
        <f>IF(D123="","",VLOOKUP(D123,'Списки участников'!A:L,12,FALSE))</f>
        <v>#N/A</v>
      </c>
      <c r="F123" s="497">
        <f>'Юноши 1ф'!B25</f>
        <v>0</v>
      </c>
      <c r="G123" s="702" t="e">
        <f>IF(F123="","",VLOOKUP(F123,'Списки участников'!A:L,12,FALSE))</f>
        <v>#N/A</v>
      </c>
      <c r="H123" s="504"/>
      <c r="I123" s="702" t="str">
        <f>IF(H123="","",VLOOKUP(H123,'[4]Списки участников ОМ, ОЖ'!A$1:L$65536,12,FALSE))</f>
        <v/>
      </c>
      <c r="J123" s="700"/>
      <c r="K123" s="700"/>
      <c r="L123" s="700"/>
      <c r="M123" s="700"/>
      <c r="N123" s="700"/>
      <c r="O123" s="503"/>
    </row>
    <row r="124" spans="1:15" ht="18" thickBot="1" x14ac:dyDescent="0.3">
      <c r="A124" s="499">
        <v>120</v>
      </c>
      <c r="B124" s="513">
        <v>15</v>
      </c>
      <c r="C124" s="506" t="s">
        <v>1121</v>
      </c>
      <c r="D124" s="497">
        <f>'Юноши 1ф'!B21</f>
        <v>0</v>
      </c>
      <c r="E124" s="702" t="e">
        <f>IF(D124="","",VLOOKUP(D124,'Списки участников'!A:L,12,FALSE))</f>
        <v>#N/A</v>
      </c>
      <c r="F124" s="497">
        <f>'Юноши 1ф'!B23</f>
        <v>0</v>
      </c>
      <c r="G124" s="702" t="e">
        <f>IF(F124="","",VLOOKUP(F124,'Списки участников'!A:L,12,FALSE))</f>
        <v>#N/A</v>
      </c>
      <c r="H124" s="507"/>
      <c r="I124" s="715" t="str">
        <f>IF(H124="","",VLOOKUP(H124,'[4]Списки участников ОМ, ОЖ'!A$1:L$65536,12,FALSE))</f>
        <v/>
      </c>
      <c r="J124" s="716"/>
      <c r="K124" s="716"/>
      <c r="L124" s="716"/>
      <c r="M124" s="716"/>
      <c r="N124" s="716"/>
      <c r="O124" s="506"/>
    </row>
  </sheetData>
  <mergeCells count="12">
    <mergeCell ref="A3:A4"/>
    <mergeCell ref="B3:B4"/>
    <mergeCell ref="C3:C4"/>
    <mergeCell ref="D3:D4"/>
    <mergeCell ref="E3:E4"/>
    <mergeCell ref="G3:G4"/>
    <mergeCell ref="I3:I4"/>
    <mergeCell ref="J3:N3"/>
    <mergeCell ref="O3:O4"/>
    <mergeCell ref="C1:N1"/>
    <mergeCell ref="G2:M2"/>
    <mergeCell ref="N2:O2"/>
  </mergeCells>
  <pageMargins left="0.51181102362204722" right="0.51181102362204722" top="0.55118110236220474" bottom="0.55118110236220474" header="0.31496062992125984" footer="0.31496062992125984"/>
  <pageSetup paperSize="9" scale="69" orientation="portrait" r:id="rId1"/>
  <rowBreaks count="1" manualBreakCount="1">
    <brk id="68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9"/>
  </sheetPr>
  <dimension ref="A1:AE34"/>
  <sheetViews>
    <sheetView view="pageBreakPreview" topLeftCell="B1" zoomScale="80" zoomScaleNormal="100" zoomScaleSheetLayoutView="80" workbookViewId="0">
      <selection activeCell="AD8" sqref="AD8"/>
    </sheetView>
  </sheetViews>
  <sheetFormatPr defaultColWidth="9.33203125" defaultRowHeight="15" outlineLevelCol="1" x14ac:dyDescent="0.25"/>
  <cols>
    <col min="1" max="1" width="7.6640625" style="135" hidden="1" customWidth="1" outlineLevel="1"/>
    <col min="2" max="2" width="47.33203125" style="135" customWidth="1" collapsed="1"/>
    <col min="3" max="3" width="20.83203125" style="135" customWidth="1"/>
    <col min="4" max="8" width="10.83203125" style="135" customWidth="1"/>
    <col min="9" max="10" width="0" style="135" hidden="1" customWidth="1"/>
    <col min="11" max="11" width="6.6640625" style="135" customWidth="1"/>
    <col min="12" max="12" width="0.6640625" style="135" hidden="1" customWidth="1"/>
    <col min="13" max="13" width="6.6640625" style="135" customWidth="1"/>
    <col min="14" max="15" width="3.1640625" style="135" customWidth="1"/>
    <col min="16" max="16" width="8.33203125" style="135" hidden="1" customWidth="1" outlineLevel="1"/>
    <col min="17" max="17" width="45.33203125" style="135" customWidth="1" collapsed="1"/>
    <col min="18" max="18" width="19.1640625" style="135" customWidth="1"/>
    <col min="19" max="23" width="10.83203125" style="135" customWidth="1"/>
    <col min="24" max="25" width="0" style="135" hidden="1" customWidth="1"/>
    <col min="26" max="26" width="10.83203125" style="135" customWidth="1"/>
    <col min="27" max="27" width="10.6640625" style="135" hidden="1" customWidth="1"/>
    <col min="28" max="28" width="2" style="135" customWidth="1"/>
    <col min="29" max="16384" width="9.33203125" style="135"/>
  </cols>
  <sheetData>
    <row r="1" spans="1:31" s="515" customFormat="1" ht="20.100000000000001" customHeight="1" thickTop="1" thickBot="1" x14ac:dyDescent="0.35">
      <c r="B1" s="765" t="str">
        <f>'Порядок встреч 1Ф'!H2</f>
        <v>1 ФИНАЛ</v>
      </c>
      <c r="C1" s="516" t="s">
        <v>1122</v>
      </c>
      <c r="D1" s="517" t="s">
        <v>793</v>
      </c>
      <c r="E1" s="518"/>
      <c r="F1" s="764">
        <f>LOOKUP(H1,'Порядок встреч 1Ф'!Q5:Q19,'Порядок встреч 1Ф'!R5:R19)</f>
        <v>113</v>
      </c>
      <c r="G1" s="519" t="s">
        <v>1123</v>
      </c>
      <c r="H1" s="798">
        <v>15</v>
      </c>
      <c r="I1" s="520">
        <v>1</v>
      </c>
      <c r="J1" s="521"/>
      <c r="K1" s="1368" t="str">
        <f>IF(H1&lt;=8,CONCATENATE(LOOKUP(F1,'Порядок встреч 2Ф'!A5:A68,'Порядок встреч 2Ф'!C5:C68),"-",LOOKUP(F1,'Порядок встреч 2Ф'!A5:A68,'Порядок встреч 2Ф'!D5:D68)),CONCATENATE(LOOKUP(F1,'Порядок встреч 2Ф'!I5:I60,'Порядок встреч 2Ф'!K5:K60),"-",LOOKUP(F1,'Порядок встреч 2Ф'!I5:I60,'Порядок встреч 2Ф'!L5:L60)))</f>
        <v>1-2</v>
      </c>
      <c r="L1" s="1369"/>
      <c r="M1" s="1370"/>
      <c r="P1" s="782"/>
      <c r="Q1" s="770" t="str">
        <f>B1</f>
        <v>1 ФИНАЛ</v>
      </c>
      <c r="R1" s="771" t="s">
        <v>1122</v>
      </c>
      <c r="S1" s="517" t="s">
        <v>793</v>
      </c>
      <c r="T1" s="518"/>
      <c r="U1" s="772">
        <f>F1+4</f>
        <v>117</v>
      </c>
      <c r="V1" s="773" t="s">
        <v>1123</v>
      </c>
      <c r="W1" s="774">
        <f>H1</f>
        <v>15</v>
      </c>
      <c r="X1" s="775">
        <v>1</v>
      </c>
      <c r="Y1" s="782"/>
      <c r="Z1" s="1368" t="str">
        <f>IF(W1&lt;=8,CONCATENATE(LOOKUP(U1,'Порядок встреч 2Ф'!A5:A68,'Порядок встреч 2Ф'!C5:C68),"-",LOOKUP(U1,'Порядок встреч 2Ф'!A5:A68,'Порядок встреч 2Ф'!D5:D68)),CONCATENATE(LOOKUP(U1,'Порядок встреч 2Ф'!I5:I60,'Порядок встреч 2Ф'!K5:K60),"-",LOOKUP(U1,'Порядок встреч 2Ф'!I5:I60,'Порядок встреч 2Ф'!L5:L60)))</f>
        <v>6-13</v>
      </c>
      <c r="AA1" s="1369"/>
      <c r="AB1" s="1369"/>
    </row>
    <row r="2" spans="1:31" ht="16.5" customHeight="1" thickTop="1" x14ac:dyDescent="0.25">
      <c r="A2" s="1371"/>
      <c r="B2" s="1373" t="s">
        <v>1124</v>
      </c>
      <c r="C2" s="1373" t="s">
        <v>44</v>
      </c>
      <c r="D2" s="1350" t="s">
        <v>1001</v>
      </c>
      <c r="E2" s="1350"/>
      <c r="F2" s="1350"/>
      <c r="G2" s="1350"/>
      <c r="H2" s="1351"/>
      <c r="I2" s="1351"/>
      <c r="J2" s="1351"/>
      <c r="K2" s="1352" t="s">
        <v>1134</v>
      </c>
      <c r="L2" s="1353"/>
      <c r="M2" s="1375"/>
      <c r="N2" s="523"/>
      <c r="O2" s="524"/>
      <c r="P2" s="1371"/>
      <c r="Q2" s="1373" t="s">
        <v>1124</v>
      </c>
      <c r="R2" s="1373" t="s">
        <v>44</v>
      </c>
      <c r="S2" s="1350" t="s">
        <v>1001</v>
      </c>
      <c r="T2" s="1350"/>
      <c r="U2" s="1350"/>
      <c r="V2" s="1350"/>
      <c r="W2" s="1351"/>
      <c r="X2" s="1351"/>
      <c r="Y2" s="1351"/>
      <c r="Z2" s="1352" t="s">
        <v>1125</v>
      </c>
      <c r="AA2" s="1353"/>
      <c r="AB2" s="1354"/>
    </row>
    <row r="3" spans="1:31" ht="15.75" x14ac:dyDescent="0.25">
      <c r="A3" s="1372"/>
      <c r="B3" s="1374"/>
      <c r="C3" s="1374"/>
      <c r="D3" s="525">
        <v>1</v>
      </c>
      <c r="E3" s="525">
        <v>2</v>
      </c>
      <c r="F3" s="525">
        <v>3</v>
      </c>
      <c r="G3" s="525">
        <v>4</v>
      </c>
      <c r="H3" s="525">
        <v>5</v>
      </c>
      <c r="I3" s="526"/>
      <c r="J3" s="526"/>
      <c r="K3" s="1355"/>
      <c r="L3" s="1356"/>
      <c r="M3" s="1376"/>
      <c r="N3" s="523"/>
      <c r="O3" s="524"/>
      <c r="P3" s="1372"/>
      <c r="Q3" s="1374"/>
      <c r="R3" s="1374"/>
      <c r="S3" s="525">
        <v>1</v>
      </c>
      <c r="T3" s="525">
        <v>2</v>
      </c>
      <c r="U3" s="525">
        <v>3</v>
      </c>
      <c r="V3" s="525">
        <v>4</v>
      </c>
      <c r="W3" s="525">
        <v>5</v>
      </c>
      <c r="X3" s="526"/>
      <c r="Y3" s="526"/>
      <c r="Z3" s="1355"/>
      <c r="AA3" s="1356"/>
      <c r="AB3" s="1357"/>
    </row>
    <row r="4" spans="1:31" ht="54.95" customHeight="1" x14ac:dyDescent="0.25">
      <c r="A4" s="527">
        <f>IF(H1&lt;=8,VLOOKUP(F1,'Порядок встреч 1Ф'!A:G,5,FALSE),VLOOKUP(F1,'Порядок встреч 1Ф'!I:O,5,FALSE))</f>
        <v>0</v>
      </c>
      <c r="B4" s="528" t="e">
        <f>IF(A4="","",VLOOKUP(A4,'Списки участников'!A:I,3,FALSE))</f>
        <v>#N/A</v>
      </c>
      <c r="C4" s="529" t="e">
        <f>IF(A4="","",VLOOKUP(A4,'Списки участников'!A:I,6,FALSE))</f>
        <v>#N/A</v>
      </c>
      <c r="D4" s="530"/>
      <c r="E4" s="531"/>
      <c r="F4" s="532"/>
      <c r="G4" s="532"/>
      <c r="H4" s="532"/>
      <c r="I4" s="533"/>
      <c r="J4" s="533"/>
      <c r="K4" s="1358"/>
      <c r="L4" s="1359"/>
      <c r="M4" s="1360"/>
      <c r="N4" s="523"/>
      <c r="O4" s="524"/>
      <c r="P4" s="527">
        <f>IF(W1&lt;=8,VLOOKUP(U1,'Порядок встреч 1Ф'!A:G,5,FALSE),VLOOKUP(U1,'Порядок встреч 1Ф'!I:O,5,FALSE))</f>
        <v>0</v>
      </c>
      <c r="Q4" s="528" t="e">
        <f>IF(P4="","",VLOOKUP(P4,'Списки участников'!A:I,3,FALSE))</f>
        <v>#N/A</v>
      </c>
      <c r="R4" s="529" t="e">
        <f>IF(P4="","",VLOOKUP(P4,'Списки участников'!A:I,6,FALSE))</f>
        <v>#N/A</v>
      </c>
      <c r="S4" s="530"/>
      <c r="T4" s="531"/>
      <c r="U4" s="532"/>
      <c r="V4" s="532"/>
      <c r="W4" s="532"/>
      <c r="X4" s="533"/>
      <c r="Y4" s="533"/>
      <c r="Z4" s="1361"/>
      <c r="AA4" s="1362"/>
      <c r="AB4" s="1363"/>
    </row>
    <row r="5" spans="1:31" ht="54.95" customHeight="1" thickBot="1" x14ac:dyDescent="0.3">
      <c r="A5" s="527">
        <f>IF(H1&lt;=8,VLOOKUP(F1,'Порядок встреч 1Ф'!A:G,7,FALSE),VLOOKUP(F1,'Порядок встреч 1Ф'!I:O,7,FALSE))</f>
        <v>0</v>
      </c>
      <c r="B5" s="528" t="e">
        <f>IF(A5="","",VLOOKUP(A5,'Списки участников'!A:I,3,FALSE))</f>
        <v>#N/A</v>
      </c>
      <c r="C5" s="529" t="e">
        <f>IF(A5="","",VLOOKUP(A5,'Списки участников'!A:I,6,FALSE))</f>
        <v>#N/A</v>
      </c>
      <c r="D5" s="534"/>
      <c r="E5" s="535"/>
      <c r="F5" s="536"/>
      <c r="G5" s="536"/>
      <c r="H5" s="536"/>
      <c r="I5" s="537"/>
      <c r="J5" s="538"/>
      <c r="K5" s="1364"/>
      <c r="L5" s="1365"/>
      <c r="M5" s="1366"/>
      <c r="N5" s="523"/>
      <c r="O5" s="524"/>
      <c r="P5" s="527">
        <f>IF(W1&lt;=8,VLOOKUP(U1,'Порядок встреч 1Ф'!A:G,7,FALSE),VLOOKUP(U1,'Порядок встреч 1Ф'!I:O,7,FALSE))</f>
        <v>0</v>
      </c>
      <c r="Q5" s="528" t="e">
        <f>IF(P5="","",VLOOKUP(P5,'Списки участников'!A:I,3,FALSE))</f>
        <v>#N/A</v>
      </c>
      <c r="R5" s="529" t="e">
        <f>IF(P5="","",VLOOKUP(P5,'Списки участников'!A:I,6,FALSE))</f>
        <v>#N/A</v>
      </c>
      <c r="S5" s="534"/>
      <c r="T5" s="535"/>
      <c r="U5" s="536"/>
      <c r="V5" s="536"/>
      <c r="W5" s="536"/>
      <c r="X5" s="537"/>
      <c r="Y5" s="538"/>
      <c r="Z5" s="1364"/>
      <c r="AA5" s="1365"/>
      <c r="AB5" s="1367"/>
    </row>
    <row r="6" spans="1:31" ht="20.100000000000001" customHeight="1" thickTop="1" thickBot="1" x14ac:dyDescent="0.35">
      <c r="A6" s="1384" t="s">
        <v>1126</v>
      </c>
      <c r="B6" s="1385"/>
      <c r="C6" s="1385"/>
      <c r="D6" s="1386" t="s">
        <v>1127</v>
      </c>
      <c r="E6" s="1387"/>
      <c r="F6" s="1388" t="s">
        <v>1128</v>
      </c>
      <c r="G6" s="1388"/>
      <c r="H6" s="1388"/>
      <c r="I6" s="1388"/>
      <c r="J6" s="1388"/>
      <c r="K6" s="1388"/>
      <c r="L6" s="1388"/>
      <c r="M6" s="1388"/>
      <c r="N6" s="539"/>
      <c r="P6" s="1384" t="s">
        <v>1126</v>
      </c>
      <c r="Q6" s="1385"/>
      <c r="R6" s="1385"/>
      <c r="S6" s="1386" t="s">
        <v>1127</v>
      </c>
      <c r="T6" s="1387"/>
      <c r="U6" s="1389" t="s">
        <v>1128</v>
      </c>
      <c r="V6" s="1390"/>
      <c r="W6" s="1390"/>
      <c r="X6" s="1390"/>
      <c r="Y6" s="1390"/>
      <c r="Z6" s="1390"/>
      <c r="AA6" s="1390"/>
      <c r="AB6" s="1391"/>
    </row>
    <row r="7" spans="1:31" ht="30" customHeight="1" thickTop="1" thickBot="1" x14ac:dyDescent="0.3">
      <c r="A7" s="1377"/>
      <c r="B7" s="1378"/>
      <c r="C7" s="1378"/>
      <c r="D7" s="1378"/>
      <c r="E7" s="1379"/>
      <c r="F7" s="1380"/>
      <c r="G7" s="1381"/>
      <c r="H7" s="1381"/>
      <c r="I7" s="1381"/>
      <c r="J7" s="1381"/>
      <c r="K7" s="1381"/>
      <c r="L7" s="1381"/>
      <c r="M7" s="1382"/>
      <c r="N7" s="539"/>
      <c r="P7" s="1377"/>
      <c r="Q7" s="1378"/>
      <c r="R7" s="1378"/>
      <c r="S7" s="1378"/>
      <c r="T7" s="1379"/>
      <c r="U7" s="1380"/>
      <c r="V7" s="1381"/>
      <c r="W7" s="1381"/>
      <c r="X7" s="1381"/>
      <c r="Y7" s="1381"/>
      <c r="Z7" s="1381"/>
      <c r="AA7" s="1381"/>
      <c r="AB7" s="1383"/>
      <c r="AD7" s="524"/>
      <c r="AE7" s="524"/>
    </row>
    <row r="8" spans="1:31" ht="20.100000000000001" customHeight="1" thickTop="1" thickBot="1" x14ac:dyDescent="0.3">
      <c r="A8" s="524"/>
      <c r="B8" s="524"/>
      <c r="C8" s="524"/>
      <c r="D8" s="524"/>
      <c r="E8" s="524"/>
      <c r="F8" s="524"/>
      <c r="G8" s="524"/>
      <c r="H8" s="524"/>
      <c r="I8" s="524"/>
      <c r="J8" s="524"/>
      <c r="K8" s="524"/>
      <c r="L8" s="524"/>
      <c r="M8" s="524"/>
      <c r="N8" s="541"/>
      <c r="O8" s="540"/>
      <c r="P8" s="524"/>
      <c r="Q8" s="524"/>
      <c r="R8" s="524"/>
      <c r="S8" s="524"/>
      <c r="T8" s="524"/>
      <c r="U8" s="524"/>
      <c r="V8" s="524"/>
      <c r="W8" s="524"/>
      <c r="X8" s="524"/>
      <c r="Y8" s="524"/>
      <c r="Z8" s="524"/>
      <c r="AA8" s="524"/>
      <c r="AB8" s="539"/>
      <c r="AD8" s="524"/>
      <c r="AE8" s="524"/>
    </row>
    <row r="9" spans="1:31" ht="20.100000000000001" customHeight="1" thickTop="1" thickBot="1" x14ac:dyDescent="0.35">
      <c r="A9" s="517"/>
      <c r="B9" s="770" t="str">
        <f>B1</f>
        <v>1 ФИНАЛ</v>
      </c>
      <c r="C9" s="771" t="s">
        <v>1122</v>
      </c>
      <c r="D9" s="517" t="s">
        <v>793</v>
      </c>
      <c r="E9" s="518"/>
      <c r="F9" s="772">
        <f>F1+1</f>
        <v>114</v>
      </c>
      <c r="G9" s="773" t="s">
        <v>1123</v>
      </c>
      <c r="H9" s="774">
        <f>H1</f>
        <v>15</v>
      </c>
      <c r="I9" s="775">
        <v>1</v>
      </c>
      <c r="J9" s="776"/>
      <c r="K9" s="1401" t="str">
        <f>IF(H9&lt;=8,CONCATENATE(LOOKUP(F9,'Порядок встреч 2Ф'!A5:A68,'Порядок встреч 2Ф'!C5:C68),"-",LOOKUP(F9,'Порядок встреч 2Ф'!A5:A68,'Порядок встреч 2Ф'!D5:D68)),CONCATENATE(LOOKUP(F9,'Порядок встреч 2Ф'!I5:I60,'Порядок встреч 2Ф'!K5:K60),"-",LOOKUP(F9,'Порядок встреч 2Ф'!I5:I60,'Порядок встреч 2Ф'!L5:L60)))</f>
        <v>3-16</v>
      </c>
      <c r="L9" s="1402"/>
      <c r="M9" s="1403"/>
      <c r="N9" s="515"/>
      <c r="O9" s="515"/>
      <c r="P9" s="517"/>
      <c r="Q9" s="793" t="str">
        <f>B1</f>
        <v>1 ФИНАЛ</v>
      </c>
      <c r="R9" s="794" t="s">
        <v>1122</v>
      </c>
      <c r="S9" s="517" t="s">
        <v>793</v>
      </c>
      <c r="T9" s="518"/>
      <c r="U9" s="772">
        <f>F1+5</f>
        <v>118</v>
      </c>
      <c r="V9" s="773" t="s">
        <v>1123</v>
      </c>
      <c r="W9" s="774">
        <f>H1</f>
        <v>15</v>
      </c>
      <c r="X9" s="775">
        <v>1</v>
      </c>
      <c r="Y9" s="776"/>
      <c r="Z9" s="1401" t="str">
        <f>IF(W9&lt;=8,CONCATENATE(LOOKUP(U9,'Порядок встреч 2Ф'!A5:A68,'Порядок встреч 2Ф'!C5:C68),"-",LOOKUP(U9,'Порядок встреч 2Ф'!A5:A68,'Порядок встреч 2Ф'!D5:D68)),CONCATENATE(LOOKUP(U9,'Порядок встреч 2Ф'!I5:I60,'Порядок встреч 2Ф'!K5:K60),"-",LOOKUP(U9,'Порядок встреч 2Ф'!I5:I60,'Порядок встреч 2Ф'!L5:L60)))</f>
        <v>7-12</v>
      </c>
      <c r="AA9" s="1402"/>
      <c r="AB9" s="1403"/>
      <c r="AC9" s="524"/>
      <c r="AD9" s="524"/>
      <c r="AE9" s="524"/>
    </row>
    <row r="10" spans="1:31" ht="20.100000000000001" customHeight="1" thickTop="1" x14ac:dyDescent="0.25">
      <c r="A10" s="1371"/>
      <c r="B10" s="1373" t="s">
        <v>1124</v>
      </c>
      <c r="C10" s="1373" t="s">
        <v>44</v>
      </c>
      <c r="D10" s="1350" t="s">
        <v>1001</v>
      </c>
      <c r="E10" s="1350"/>
      <c r="F10" s="1350"/>
      <c r="G10" s="1350"/>
      <c r="H10" s="1351"/>
      <c r="I10" s="1351"/>
      <c r="J10" s="1351"/>
      <c r="K10" s="1352" t="s">
        <v>1134</v>
      </c>
      <c r="L10" s="1353"/>
      <c r="M10" s="1375"/>
      <c r="N10" s="523"/>
      <c r="O10" s="524"/>
      <c r="P10" s="1404"/>
      <c r="Q10" s="1405" t="s">
        <v>1124</v>
      </c>
      <c r="R10" s="1405" t="s">
        <v>44</v>
      </c>
      <c r="S10" s="1351" t="s">
        <v>1001</v>
      </c>
      <c r="T10" s="1351"/>
      <c r="U10" s="1351"/>
      <c r="V10" s="1351"/>
      <c r="W10" s="1351"/>
      <c r="X10" s="1351"/>
      <c r="Y10" s="1351"/>
      <c r="Z10" s="1392" t="s">
        <v>1134</v>
      </c>
      <c r="AA10" s="1393"/>
      <c r="AB10" s="1394"/>
    </row>
    <row r="11" spans="1:31" ht="20.100000000000001" customHeight="1" x14ac:dyDescent="0.25">
      <c r="A11" s="1372"/>
      <c r="B11" s="1374"/>
      <c r="C11" s="1374"/>
      <c r="D11" s="525">
        <v>1</v>
      </c>
      <c r="E11" s="525">
        <v>2</v>
      </c>
      <c r="F11" s="525">
        <v>3</v>
      </c>
      <c r="G11" s="525">
        <v>4</v>
      </c>
      <c r="H11" s="525">
        <v>5</v>
      </c>
      <c r="I11" s="526"/>
      <c r="J11" s="526"/>
      <c r="K11" s="1355"/>
      <c r="L11" s="1356"/>
      <c r="M11" s="1376"/>
      <c r="N11" s="523"/>
      <c r="O11" s="524"/>
      <c r="P11" s="1372"/>
      <c r="Q11" s="1374"/>
      <c r="R11" s="1374"/>
      <c r="S11" s="525">
        <v>1</v>
      </c>
      <c r="T11" s="525">
        <v>2</v>
      </c>
      <c r="U11" s="525">
        <v>3</v>
      </c>
      <c r="V11" s="525">
        <v>4</v>
      </c>
      <c r="W11" s="525">
        <v>5</v>
      </c>
      <c r="X11" s="526"/>
      <c r="Y11" s="526"/>
      <c r="Z11" s="1355"/>
      <c r="AA11" s="1356"/>
      <c r="AB11" s="1376"/>
    </row>
    <row r="12" spans="1:31" ht="54.95" customHeight="1" x14ac:dyDescent="0.25">
      <c r="A12" s="527">
        <f>IF(H9&lt;=8,VLOOKUP(F9,'Порядок встреч 1Ф'!A:G,5,FALSE),VLOOKUP(F9,'Порядок встреч 1Ф'!I:O,5,FALSE))</f>
        <v>0</v>
      </c>
      <c r="B12" s="528" t="e">
        <f>IF(A12="","",VLOOKUP(A12,'Списки участников'!A:I,3,FALSE))</f>
        <v>#N/A</v>
      </c>
      <c r="C12" s="529" t="e">
        <f>IF(A12="","",VLOOKUP(A12,'Списки участников'!A:I,6,FALSE))</f>
        <v>#N/A</v>
      </c>
      <c r="D12" s="530"/>
      <c r="E12" s="531"/>
      <c r="F12" s="532"/>
      <c r="G12" s="532"/>
      <c r="H12" s="532"/>
      <c r="I12" s="533"/>
      <c r="J12" s="533"/>
      <c r="K12" s="1358"/>
      <c r="L12" s="1359"/>
      <c r="M12" s="1360"/>
      <c r="N12" s="523"/>
      <c r="O12" s="524"/>
      <c r="P12" s="527">
        <f>IF(W9&lt;=8,VLOOKUP(U9,'Порядок встреч 1Ф'!A:G,5,FALSE),VLOOKUP(U9,'Порядок встреч 1Ф'!I:O,5,FALSE))</f>
        <v>0</v>
      </c>
      <c r="Q12" s="528" t="e">
        <f>IF(P12="","",VLOOKUP(P12,'Списки участников'!A:I,3,FALSE))</f>
        <v>#N/A</v>
      </c>
      <c r="R12" s="529" t="e">
        <f>IF(P12="","",VLOOKUP(P12,'Списки участников'!A:I,6,FALSE))</f>
        <v>#N/A</v>
      </c>
      <c r="S12" s="530"/>
      <c r="T12" s="531"/>
      <c r="U12" s="532"/>
      <c r="V12" s="532"/>
      <c r="W12" s="532"/>
      <c r="X12" s="533"/>
      <c r="Y12" s="533"/>
      <c r="Z12" s="1358"/>
      <c r="AA12" s="1359"/>
      <c r="AB12" s="1395"/>
    </row>
    <row r="13" spans="1:31" ht="54.95" customHeight="1" thickBot="1" x14ac:dyDescent="0.3">
      <c r="A13" s="527">
        <f>IF(H9&lt;=8,VLOOKUP(F9,'Порядок встреч 1Ф'!A:G,7,FALSE),VLOOKUP(F9,'Порядок встреч 1Ф'!I:O,7,FALSE))</f>
        <v>0</v>
      </c>
      <c r="B13" s="528" t="e">
        <f>IF(A13="","",VLOOKUP(A13,'Списки участников'!A:I,3,FALSE))</f>
        <v>#N/A</v>
      </c>
      <c r="C13" s="529" t="e">
        <f>IF(A13="","",VLOOKUP(A13,'Списки участников'!A:I,6,FALSE))</f>
        <v>#N/A</v>
      </c>
      <c r="D13" s="534"/>
      <c r="E13" s="535"/>
      <c r="F13" s="779"/>
      <c r="G13" s="779"/>
      <c r="H13" s="779"/>
      <c r="I13" s="780"/>
      <c r="J13" s="781"/>
      <c r="K13" s="1396"/>
      <c r="L13" s="1397"/>
      <c r="M13" s="767"/>
      <c r="N13" s="523"/>
      <c r="O13" s="524"/>
      <c r="P13" s="527">
        <f>IF(W9&lt;=8,VLOOKUP(U9,'Порядок встреч 1Ф'!A:G,7,FALSE),VLOOKUP(U9,'Порядок встреч 1Ф'!I:O,7,FALSE))</f>
        <v>0</v>
      </c>
      <c r="Q13" s="528" t="e">
        <f>IF(P13="","",VLOOKUP(P13,'Списки участников'!A:I,3,FALSE))</f>
        <v>#N/A</v>
      </c>
      <c r="R13" s="529" t="e">
        <f>IF(P13="","",VLOOKUP(P13,'Списки участников'!A:I,6,FALSE))</f>
        <v>#N/A</v>
      </c>
      <c r="S13" s="534"/>
      <c r="T13" s="535"/>
      <c r="U13" s="536"/>
      <c r="V13" s="536"/>
      <c r="W13" s="536"/>
      <c r="X13" s="537"/>
      <c r="Y13" s="538"/>
      <c r="Z13" s="1398"/>
      <c r="AA13" s="1399"/>
      <c r="AB13" s="1400"/>
    </row>
    <row r="14" spans="1:31" ht="20.100000000000001" customHeight="1" thickTop="1" thickBot="1" x14ac:dyDescent="0.35">
      <c r="A14" s="1384" t="s">
        <v>1126</v>
      </c>
      <c r="B14" s="1385"/>
      <c r="C14" s="1385"/>
      <c r="D14" s="1386" t="s">
        <v>1127</v>
      </c>
      <c r="E14" s="1408"/>
      <c r="F14" s="1389" t="s">
        <v>1128</v>
      </c>
      <c r="G14" s="1390"/>
      <c r="H14" s="1390"/>
      <c r="I14" s="1390"/>
      <c r="J14" s="1390"/>
      <c r="K14" s="1390"/>
      <c r="L14" s="1390"/>
      <c r="M14" s="1409"/>
      <c r="N14" s="539"/>
      <c r="P14" s="1384" t="s">
        <v>1126</v>
      </c>
      <c r="Q14" s="1385"/>
      <c r="R14" s="1385"/>
      <c r="S14" s="1386" t="s">
        <v>1127</v>
      </c>
      <c r="T14" s="1387"/>
      <c r="U14" s="1410" t="s">
        <v>1128</v>
      </c>
      <c r="V14" s="1411"/>
      <c r="W14" s="1411"/>
      <c r="X14" s="1411"/>
      <c r="Y14" s="1411"/>
      <c r="Z14" s="1411"/>
      <c r="AA14" s="1411"/>
      <c r="AB14" s="1412"/>
    </row>
    <row r="15" spans="1:31" ht="30" customHeight="1" thickTop="1" thickBot="1" x14ac:dyDescent="0.3">
      <c r="A15" s="1377"/>
      <c r="B15" s="1378"/>
      <c r="C15" s="1378"/>
      <c r="D15" s="1378"/>
      <c r="E15" s="1379"/>
      <c r="F15" s="1406"/>
      <c r="G15" s="1406"/>
      <c r="H15" s="1406"/>
      <c r="I15" s="1406"/>
      <c r="J15" s="1406"/>
      <c r="K15" s="1406"/>
      <c r="L15" s="1406"/>
      <c r="M15" s="1407"/>
      <c r="N15" s="539"/>
      <c r="P15" s="1377"/>
      <c r="Q15" s="1378"/>
      <c r="R15" s="1378"/>
      <c r="S15" s="1378"/>
      <c r="T15" s="1379"/>
      <c r="U15" s="1380"/>
      <c r="V15" s="1381"/>
      <c r="W15" s="1381"/>
      <c r="X15" s="1381"/>
      <c r="Y15" s="1381"/>
      <c r="Z15" s="1381"/>
      <c r="AA15" s="1381"/>
      <c r="AB15" s="1383"/>
    </row>
    <row r="16" spans="1:31" ht="16.5" customHeight="1" thickTop="1" thickBot="1" x14ac:dyDescent="0.3">
      <c r="A16" s="524"/>
      <c r="B16" s="524"/>
      <c r="C16" s="524"/>
      <c r="D16" s="524"/>
      <c r="E16" s="524"/>
      <c r="F16" s="524"/>
      <c r="G16" s="524"/>
      <c r="H16" s="524"/>
      <c r="I16" s="524"/>
      <c r="J16" s="524"/>
      <c r="K16" s="524"/>
      <c r="L16" s="524"/>
      <c r="M16" s="524"/>
      <c r="N16" s="541"/>
      <c r="O16" s="540"/>
      <c r="P16" s="524"/>
      <c r="Q16" s="524"/>
      <c r="R16" s="524"/>
      <c r="S16" s="524"/>
      <c r="T16" s="524"/>
      <c r="U16" s="524"/>
      <c r="V16" s="524"/>
      <c r="W16" s="524"/>
      <c r="X16" s="524"/>
      <c r="Y16" s="524"/>
      <c r="Z16" s="524"/>
      <c r="AA16" s="524"/>
      <c r="AB16" s="539"/>
    </row>
    <row r="17" spans="1:28" ht="20.25" thickTop="1" thickBot="1" x14ac:dyDescent="0.35">
      <c r="A17" s="517"/>
      <c r="B17" s="770" t="str">
        <f>B9</f>
        <v>1 ФИНАЛ</v>
      </c>
      <c r="C17" s="771" t="s">
        <v>1122</v>
      </c>
      <c r="D17" s="517" t="s">
        <v>793</v>
      </c>
      <c r="E17" s="518"/>
      <c r="F17" s="772">
        <f>F1+2</f>
        <v>115</v>
      </c>
      <c r="G17" s="773" t="s">
        <v>1123</v>
      </c>
      <c r="H17" s="774">
        <f>H1</f>
        <v>15</v>
      </c>
      <c r="I17" s="775">
        <v>1</v>
      </c>
      <c r="J17" s="782"/>
      <c r="K17" s="1414" t="str">
        <f>IF(H17&lt;=8,CONCATENATE(LOOKUP(F17,'Порядок встреч 2Ф'!A5:A68,'Порядок встреч 2Ф'!C5:C68),"-",LOOKUP(F17,'Порядок встреч 2Ф'!A5:A68,'Порядок встреч 2Ф'!D5:D68)),CONCATENATE(LOOKUP(F17,'Порядок встреч 2Ф'!I5:I60,'Порядок встреч 2Ф'!K5:K60),"-",LOOKUP(F17,'Порядок встреч 2Ф'!I5:I60,'Порядок встреч 2Ф'!L5:L60)))</f>
        <v>4-15</v>
      </c>
      <c r="L17" s="1402"/>
      <c r="M17" s="1403"/>
      <c r="N17" s="515"/>
      <c r="O17" s="515"/>
      <c r="P17" s="517"/>
      <c r="Q17" s="793" t="str">
        <f>B1</f>
        <v>1 ФИНАЛ</v>
      </c>
      <c r="R17" s="771" t="s">
        <v>1122</v>
      </c>
      <c r="S17" s="517" t="s">
        <v>793</v>
      </c>
      <c r="T17" s="518"/>
      <c r="U17" s="772">
        <f>F1+6</f>
        <v>119</v>
      </c>
      <c r="V17" s="773" t="s">
        <v>1123</v>
      </c>
      <c r="W17" s="774">
        <f>H1</f>
        <v>15</v>
      </c>
      <c r="X17" s="775">
        <v>1</v>
      </c>
      <c r="Y17" s="776"/>
      <c r="Z17" s="1401" t="str">
        <f>IF(W17&lt;=8,CONCATENATE(LOOKUP(U17,'Порядок встреч 2Ф'!A5:A68,'Порядок встреч 2Ф'!C5:C68),"-",LOOKUP(U17,'Порядок встреч 2Ф'!A5:A68,'Порядок встреч 2Ф'!D5:D68)),CONCATENATE(LOOKUP(U17,'Порядок встреч 2Ф'!I5:I60,'Порядок встреч 2Ф'!K5:K60),"-",LOOKUP(U17,'Порядок встреч 2Ф'!I5:I60,'Порядок встреч 2Ф'!L5:L60)))</f>
        <v>8-11</v>
      </c>
      <c r="AA17" s="1402"/>
      <c r="AB17" s="1403"/>
    </row>
    <row r="18" spans="1:28" ht="20.100000000000001" customHeight="1" thickTop="1" x14ac:dyDescent="0.25">
      <c r="A18" s="1404"/>
      <c r="B18" s="1405" t="s">
        <v>1124</v>
      </c>
      <c r="C18" s="1405" t="s">
        <v>44</v>
      </c>
      <c r="D18" s="1351" t="s">
        <v>1001</v>
      </c>
      <c r="E18" s="1351"/>
      <c r="F18" s="1351"/>
      <c r="G18" s="1351"/>
      <c r="H18" s="1351"/>
      <c r="I18" s="1351"/>
      <c r="J18" s="1351"/>
      <c r="K18" s="1352" t="s">
        <v>1134</v>
      </c>
      <c r="L18" s="1353"/>
      <c r="M18" s="1375"/>
      <c r="N18" s="523"/>
      <c r="O18" s="524"/>
      <c r="P18" s="1404"/>
      <c r="Q18" s="1405" t="s">
        <v>1124</v>
      </c>
      <c r="R18" s="1405" t="s">
        <v>44</v>
      </c>
      <c r="S18" s="1351" t="s">
        <v>1001</v>
      </c>
      <c r="T18" s="1351"/>
      <c r="U18" s="1351"/>
      <c r="V18" s="1351"/>
      <c r="W18" s="1351"/>
      <c r="X18" s="1351"/>
      <c r="Y18" s="1351"/>
      <c r="Z18" s="1352" t="s">
        <v>1134</v>
      </c>
      <c r="AA18" s="1353"/>
      <c r="AB18" s="1354"/>
    </row>
    <row r="19" spans="1:28" ht="20.100000000000001" customHeight="1" x14ac:dyDescent="0.25">
      <c r="A19" s="1372"/>
      <c r="B19" s="1374"/>
      <c r="C19" s="1374"/>
      <c r="D19" s="525">
        <v>1</v>
      </c>
      <c r="E19" s="525">
        <v>2</v>
      </c>
      <c r="F19" s="525">
        <v>3</v>
      </c>
      <c r="G19" s="525">
        <v>4</v>
      </c>
      <c r="H19" s="525">
        <v>5</v>
      </c>
      <c r="I19" s="526"/>
      <c r="J19" s="526"/>
      <c r="K19" s="1355"/>
      <c r="L19" s="1356"/>
      <c r="M19" s="1376"/>
      <c r="N19" s="523"/>
      <c r="O19" s="524"/>
      <c r="P19" s="1372"/>
      <c r="Q19" s="1374"/>
      <c r="R19" s="1374"/>
      <c r="S19" s="525">
        <v>1</v>
      </c>
      <c r="T19" s="525">
        <v>2</v>
      </c>
      <c r="U19" s="525">
        <v>3</v>
      </c>
      <c r="V19" s="525">
        <v>4</v>
      </c>
      <c r="W19" s="525">
        <v>5</v>
      </c>
      <c r="X19" s="526"/>
      <c r="Y19" s="526"/>
      <c r="Z19" s="1355"/>
      <c r="AA19" s="1356"/>
      <c r="AB19" s="1357"/>
    </row>
    <row r="20" spans="1:28" ht="54.95" customHeight="1" x14ac:dyDescent="0.25">
      <c r="A20" s="527">
        <f>IF(H17&lt;=8,VLOOKUP(F17,'Порядок встреч 1Ф'!A:G,5,FALSE),VLOOKUP(F17,'Порядок встреч 1Ф'!I:O,5,FALSE))</f>
        <v>0</v>
      </c>
      <c r="B20" s="528" t="e">
        <f>IF(A20="","",VLOOKUP(A20,'Списки участников'!A:I,3,FALSE))</f>
        <v>#N/A</v>
      </c>
      <c r="C20" s="529" t="e">
        <f>IF(A20="","",VLOOKUP(A20,'Списки участников'!A:I,6,FALSE))</f>
        <v>#N/A</v>
      </c>
      <c r="D20" s="530"/>
      <c r="E20" s="531"/>
      <c r="F20" s="532"/>
      <c r="G20" s="532"/>
      <c r="H20" s="532"/>
      <c r="I20" s="533"/>
      <c r="J20" s="533"/>
      <c r="K20" s="1361"/>
      <c r="L20" s="1362"/>
      <c r="M20" s="1413"/>
      <c r="N20" s="523"/>
      <c r="O20" s="524"/>
      <c r="P20" s="527">
        <f>IF(W17&lt;=8,VLOOKUP(U17,'Порядок встреч 1Ф'!A:G,5,FALSE),VLOOKUP(U17,'Порядок встреч 1Ф'!I:O,5,FALSE))</f>
        <v>0</v>
      </c>
      <c r="Q20" s="528" t="e">
        <f>IF(P20="","",VLOOKUP(P20,'Списки участников'!A:I,3,FALSE))</f>
        <v>#N/A</v>
      </c>
      <c r="R20" s="529" t="e">
        <f>IF(P20="","",VLOOKUP(P20,'Списки участников'!A:I,6,FALSE))</f>
        <v>#N/A</v>
      </c>
      <c r="S20" s="530"/>
      <c r="T20" s="531"/>
      <c r="U20" s="532"/>
      <c r="V20" s="532"/>
      <c r="W20" s="532"/>
      <c r="X20" s="533"/>
      <c r="Y20" s="533"/>
      <c r="Z20" s="1361"/>
      <c r="AA20" s="1362"/>
      <c r="AB20" s="1363"/>
    </row>
    <row r="21" spans="1:28" ht="54.95" customHeight="1" thickBot="1" x14ac:dyDescent="0.3">
      <c r="A21" s="527">
        <f>IF(H17&lt;=8,VLOOKUP(F17,'Порядок встреч 1Ф'!A:G,7,FALSE),VLOOKUP(F17,'Порядок встреч 1Ф'!I:O,7,FALSE))</f>
        <v>0</v>
      </c>
      <c r="B21" s="528" t="e">
        <f>IF(A21="","",VLOOKUP(A21,'Списки участников'!A:I,3,FALSE))</f>
        <v>#N/A</v>
      </c>
      <c r="C21" s="529" t="e">
        <f>IF(A21="","",VLOOKUP(A21,'Списки участников'!A:I,6,FALSE))</f>
        <v>#N/A</v>
      </c>
      <c r="D21" s="534"/>
      <c r="E21" s="535"/>
      <c r="F21" s="536"/>
      <c r="G21" s="536"/>
      <c r="H21" s="536"/>
      <c r="I21" s="777"/>
      <c r="J21" s="778"/>
      <c r="K21" s="1364"/>
      <c r="L21" s="1365"/>
      <c r="M21" s="1366"/>
      <c r="N21" s="523"/>
      <c r="O21" s="524"/>
      <c r="P21" s="792">
        <f>IF(W17&lt;=8,VLOOKUP(U17,'Порядок встреч 1Ф'!A:G,7,FALSE),VLOOKUP(U17,'Порядок встреч 1Ф'!I:O,7,FALSE))</f>
        <v>0</v>
      </c>
      <c r="Q21" s="795" t="e">
        <f>IF(P21="","",VLOOKUP(P21,'Списки участников'!A:I,3,FALSE))</f>
        <v>#N/A</v>
      </c>
      <c r="R21" s="796" t="e">
        <f>IF(P21="","",VLOOKUP(P21,'Списки участников'!A:I,6,FALSE))</f>
        <v>#N/A</v>
      </c>
      <c r="S21" s="534"/>
      <c r="T21" s="535"/>
      <c r="U21" s="536"/>
      <c r="V21" s="536"/>
      <c r="W21" s="536"/>
      <c r="X21" s="777"/>
      <c r="Y21" s="778"/>
      <c r="Z21" s="1364"/>
      <c r="AA21" s="1365"/>
      <c r="AB21" s="1367"/>
    </row>
    <row r="22" spans="1:28" ht="20.100000000000001" customHeight="1" thickTop="1" thickBot="1" x14ac:dyDescent="0.35">
      <c r="A22" s="1384" t="s">
        <v>1126</v>
      </c>
      <c r="B22" s="1385"/>
      <c r="C22" s="1385"/>
      <c r="D22" s="1386" t="s">
        <v>1127</v>
      </c>
      <c r="E22" s="1387"/>
      <c r="F22" s="1389" t="s">
        <v>1128</v>
      </c>
      <c r="G22" s="1390"/>
      <c r="H22" s="1390"/>
      <c r="I22" s="1390"/>
      <c r="J22" s="1390"/>
      <c r="K22" s="1390"/>
      <c r="L22" s="1390"/>
      <c r="M22" s="1409"/>
      <c r="N22" s="539"/>
      <c r="P22" s="1417" t="s">
        <v>1126</v>
      </c>
      <c r="Q22" s="1418"/>
      <c r="R22" s="1418"/>
      <c r="S22" s="1386" t="s">
        <v>1127</v>
      </c>
      <c r="T22" s="1387"/>
      <c r="U22" s="1410" t="s">
        <v>1128</v>
      </c>
      <c r="V22" s="1411"/>
      <c r="W22" s="1411"/>
      <c r="X22" s="1411"/>
      <c r="Y22" s="1411"/>
      <c r="Z22" s="1411"/>
      <c r="AA22" s="1411"/>
      <c r="AB22" s="1412"/>
    </row>
    <row r="23" spans="1:28" ht="30" customHeight="1" thickTop="1" thickBot="1" x14ac:dyDescent="0.3">
      <c r="A23" s="1377"/>
      <c r="B23" s="1378"/>
      <c r="C23" s="1378"/>
      <c r="D23" s="1378"/>
      <c r="E23" s="1379"/>
      <c r="F23" s="1380"/>
      <c r="G23" s="1381"/>
      <c r="H23" s="1381"/>
      <c r="I23" s="1381"/>
      <c r="J23" s="1381"/>
      <c r="K23" s="1381"/>
      <c r="L23" s="1381"/>
      <c r="M23" s="1382"/>
      <c r="N23" s="539"/>
      <c r="P23" s="1415"/>
      <c r="Q23" s="1416"/>
      <c r="R23" s="1416"/>
      <c r="S23" s="1378"/>
      <c r="T23" s="1379"/>
      <c r="U23" s="1380"/>
      <c r="V23" s="1381"/>
      <c r="W23" s="1381"/>
      <c r="X23" s="1381"/>
      <c r="Y23" s="1381"/>
      <c r="Z23" s="1381"/>
      <c r="AA23" s="1381"/>
      <c r="AB23" s="1383"/>
    </row>
    <row r="24" spans="1:28" ht="16.5" thickTop="1" thickBot="1" x14ac:dyDescent="0.3">
      <c r="A24" s="788"/>
      <c r="B24" s="788"/>
      <c r="C24" s="788"/>
      <c r="D24" s="788"/>
      <c r="E24" s="788"/>
      <c r="F24" s="788"/>
      <c r="G24" s="788"/>
      <c r="H24" s="788"/>
      <c r="I24" s="788"/>
      <c r="J24" s="788"/>
      <c r="K24" s="788"/>
      <c r="L24" s="788"/>
      <c r="M24" s="788"/>
      <c r="N24" s="541"/>
      <c r="O24" s="540"/>
      <c r="P24" s="524"/>
      <c r="Q24" s="788"/>
      <c r="R24" s="788"/>
      <c r="S24" s="524"/>
      <c r="T24" s="524"/>
      <c r="U24" s="524"/>
      <c r="V24" s="524"/>
      <c r="W24" s="524"/>
      <c r="X24" s="524"/>
      <c r="Y24" s="524"/>
      <c r="Z24" s="524"/>
      <c r="AA24" s="524"/>
      <c r="AB24" s="539"/>
    </row>
    <row r="25" spans="1:28" ht="20.25" thickTop="1" thickBot="1" x14ac:dyDescent="0.35">
      <c r="A25" s="515"/>
      <c r="B25" s="765" t="str">
        <f>B17</f>
        <v>1 ФИНАЛ</v>
      </c>
      <c r="C25" s="784" t="s">
        <v>1122</v>
      </c>
      <c r="D25" s="785" t="s">
        <v>793</v>
      </c>
      <c r="E25" s="786"/>
      <c r="F25" s="522">
        <f>F1+3</f>
        <v>116</v>
      </c>
      <c r="G25" s="519" t="s">
        <v>1123</v>
      </c>
      <c r="H25" s="787">
        <f>H1</f>
        <v>15</v>
      </c>
      <c r="I25" s="775">
        <v>1</v>
      </c>
      <c r="J25" s="782"/>
      <c r="K25" s="1414" t="str">
        <f>IF(H25&lt;=8,CONCATENATE(LOOKUP(F25,'Порядок встреч 2Ф'!A5:A68,'Порядок встреч 2Ф'!C5:C68),"-",LOOKUP(F25,'Порядок встреч 2Ф'!A5:A68,'Порядок встреч 2Ф'!D5:D68)),CONCATENATE(LOOKUP(F25,'Порядок встреч 2Ф'!I5:I60,'Порядок встреч 2Ф'!K5:K60),"-",LOOKUP(F25,'Порядок встреч 2Ф'!I5:I60,'Порядок встреч 2Ф'!L5:L60)))</f>
        <v>5-14</v>
      </c>
      <c r="L25" s="1402"/>
      <c r="M25" s="1403"/>
      <c r="N25" s="515"/>
      <c r="O25" s="515"/>
      <c r="P25" s="517"/>
      <c r="Q25" s="793" t="str">
        <f>B1</f>
        <v>1 ФИНАЛ</v>
      </c>
      <c r="R25" s="771" t="s">
        <v>1122</v>
      </c>
      <c r="S25" s="517" t="s">
        <v>793</v>
      </c>
      <c r="T25" s="518"/>
      <c r="U25" s="772">
        <f>F1+7</f>
        <v>120</v>
      </c>
      <c r="V25" s="773" t="s">
        <v>1123</v>
      </c>
      <c r="W25" s="774">
        <f>H1</f>
        <v>15</v>
      </c>
      <c r="X25" s="775">
        <v>1</v>
      </c>
      <c r="Y25" s="776"/>
      <c r="Z25" s="1401" t="str">
        <f>IF(W25&lt;=8,CONCATENATE(LOOKUP(U25,'Порядок встреч 2Ф'!A5:A68,'Порядок встреч 2Ф'!C5:C68),"-",LOOKUP(U25,'Порядок встреч 2Ф'!A5:A68,'Порядок встреч 2Ф'!D5:D68)),CONCATENATE(LOOKUP(U25,'Порядок встреч 2Ф'!I5:I60,'Порядок встреч 2Ф'!K5:K60),"-",LOOKUP(U25,'Порядок встреч 2Ф'!I5:I60,'Порядок встреч 2Ф'!L5:L60)))</f>
        <v>9-10</v>
      </c>
      <c r="AA25" s="1402"/>
      <c r="AB25" s="1403"/>
    </row>
    <row r="26" spans="1:28" ht="20.100000000000001" customHeight="1" thickTop="1" x14ac:dyDescent="0.25">
      <c r="A26" s="1371"/>
      <c r="B26" s="1373" t="s">
        <v>1124</v>
      </c>
      <c r="C26" s="1373" t="s">
        <v>44</v>
      </c>
      <c r="D26" s="1350" t="s">
        <v>1001</v>
      </c>
      <c r="E26" s="1350"/>
      <c r="F26" s="1350"/>
      <c r="G26" s="1350"/>
      <c r="H26" s="1351"/>
      <c r="I26" s="1351"/>
      <c r="J26" s="1351"/>
      <c r="K26" s="1352" t="s">
        <v>1134</v>
      </c>
      <c r="L26" s="1353"/>
      <c r="M26" s="1375"/>
      <c r="N26" s="523"/>
      <c r="O26" s="524"/>
      <c r="P26" s="1404"/>
      <c r="Q26" s="1405" t="s">
        <v>1124</v>
      </c>
      <c r="R26" s="1405" t="s">
        <v>44</v>
      </c>
      <c r="S26" s="1351" t="s">
        <v>1001</v>
      </c>
      <c r="T26" s="1351"/>
      <c r="U26" s="1351"/>
      <c r="V26" s="1351"/>
      <c r="W26" s="1351"/>
      <c r="X26" s="1351"/>
      <c r="Y26" s="1351"/>
      <c r="Z26" s="1352" t="s">
        <v>1134</v>
      </c>
      <c r="AA26" s="1353"/>
      <c r="AB26" s="1354"/>
    </row>
    <row r="27" spans="1:28" ht="20.100000000000001" customHeight="1" x14ac:dyDescent="0.25">
      <c r="A27" s="1372"/>
      <c r="B27" s="1374"/>
      <c r="C27" s="1374"/>
      <c r="D27" s="525">
        <v>1</v>
      </c>
      <c r="E27" s="525">
        <v>2</v>
      </c>
      <c r="F27" s="525">
        <v>3</v>
      </c>
      <c r="G27" s="525">
        <v>4</v>
      </c>
      <c r="H27" s="525">
        <v>5</v>
      </c>
      <c r="I27" s="526"/>
      <c r="J27" s="526"/>
      <c r="K27" s="1355"/>
      <c r="L27" s="1356"/>
      <c r="M27" s="1376"/>
      <c r="N27" s="523"/>
      <c r="O27" s="524"/>
      <c r="P27" s="1372"/>
      <c r="Q27" s="1374"/>
      <c r="R27" s="1374"/>
      <c r="S27" s="525">
        <v>1</v>
      </c>
      <c r="T27" s="525">
        <v>2</v>
      </c>
      <c r="U27" s="525">
        <v>3</v>
      </c>
      <c r="V27" s="525">
        <v>4</v>
      </c>
      <c r="W27" s="525">
        <v>5</v>
      </c>
      <c r="X27" s="526"/>
      <c r="Y27" s="526"/>
      <c r="Z27" s="1355"/>
      <c r="AA27" s="1356"/>
      <c r="AB27" s="1357"/>
    </row>
    <row r="28" spans="1:28" ht="54.95" customHeight="1" x14ac:dyDescent="0.25">
      <c r="A28" s="527">
        <f>IF(H25&lt;=8,VLOOKUP(F25,'Порядок встреч 1Ф'!A:G,5,FALSE),VLOOKUP(F25,'Порядок встреч 1Ф'!I:O,5,FALSE))</f>
        <v>0</v>
      </c>
      <c r="B28" s="528" t="e">
        <f>IF(A28="","",VLOOKUP(A28,'Списки участников'!A:I,3,FALSE))</f>
        <v>#N/A</v>
      </c>
      <c r="C28" s="529" t="e">
        <f>IF(A28="","",VLOOKUP(A28,'Списки участников'!A:I,6,FALSE))</f>
        <v>#N/A</v>
      </c>
      <c r="D28" s="530"/>
      <c r="E28" s="531"/>
      <c r="F28" s="532"/>
      <c r="G28" s="532"/>
      <c r="H28" s="532"/>
      <c r="I28" s="533"/>
      <c r="J28" s="533"/>
      <c r="K28" s="1361"/>
      <c r="L28" s="1362"/>
      <c r="M28" s="1413"/>
      <c r="N28" s="523"/>
      <c r="O28" s="524"/>
      <c r="P28" s="527">
        <f>IF(W25&lt;=8,VLOOKUP(U25,'Порядок встреч 1Ф'!A:G,5,FALSE),VLOOKUP(U25,'Порядок встреч 1Ф'!I:O,5,FALSE))</f>
        <v>0</v>
      </c>
      <c r="Q28" s="528" t="e">
        <f>IF(P28="","",VLOOKUP(P28,'Списки участников'!A:I,3,FALSE))</f>
        <v>#N/A</v>
      </c>
      <c r="R28" s="529" t="e">
        <f>IF(P28="","",VLOOKUP(P28,'Списки участников'!A:I,6,FALSE))</f>
        <v>#N/A</v>
      </c>
      <c r="S28" s="530"/>
      <c r="T28" s="531"/>
      <c r="U28" s="532"/>
      <c r="V28" s="532"/>
      <c r="W28" s="532"/>
      <c r="X28" s="533"/>
      <c r="Y28" s="533"/>
      <c r="Z28" s="1361"/>
      <c r="AA28" s="1362"/>
      <c r="AB28" s="1363"/>
    </row>
    <row r="29" spans="1:28" ht="54.95" customHeight="1" thickBot="1" x14ac:dyDescent="0.3">
      <c r="A29" s="527">
        <f>IF(H25&lt;=8,VLOOKUP(F25,'Порядок встреч 1Ф'!A:G,7,FALSE),VLOOKUP(F25,'Порядок встреч 1Ф'!I:O,7,FALSE))</f>
        <v>0</v>
      </c>
      <c r="B29" s="528" t="e">
        <f>IF(A29="","",VLOOKUP(A29,'Списки участников'!A:I,3,FALSE))</f>
        <v>#N/A</v>
      </c>
      <c r="C29" s="529" t="e">
        <f>IF(A29="","",VLOOKUP(A29,'Списки участников'!A:I,6,FALSE))</f>
        <v>#N/A</v>
      </c>
      <c r="D29" s="534"/>
      <c r="E29" s="535"/>
      <c r="F29" s="789"/>
      <c r="G29" s="789"/>
      <c r="H29" s="789"/>
      <c r="I29" s="790"/>
      <c r="J29" s="791"/>
      <c r="K29" s="1397"/>
      <c r="L29" s="1419"/>
      <c r="M29" s="1420"/>
      <c r="N29" s="523"/>
      <c r="O29" s="524"/>
      <c r="P29" s="792">
        <f>IF(W25&lt;=8,VLOOKUP(U25,'Порядок встреч 1Ф'!A:G,7,FALSE),VLOOKUP(U25,'Порядок встреч 1Ф'!I:O,7,FALSE))</f>
        <v>0</v>
      </c>
      <c r="Q29" s="795" t="e">
        <f>IF(P29="","",VLOOKUP(P29,'Списки участников'!A:I,3,FALSE))</f>
        <v>#N/A</v>
      </c>
      <c r="R29" s="796" t="e">
        <f>IF(P29="","",VLOOKUP(P29,'Списки участников'!A:I,6,FALSE))</f>
        <v>#N/A</v>
      </c>
      <c r="S29" s="534"/>
      <c r="T29" s="535"/>
      <c r="U29" s="536"/>
      <c r="V29" s="536"/>
      <c r="W29" s="536"/>
      <c r="X29" s="537"/>
      <c r="Y29" s="538"/>
      <c r="Z29" s="1364"/>
      <c r="AA29" s="1365"/>
      <c r="AB29" s="1367"/>
    </row>
    <row r="30" spans="1:28" ht="20.100000000000001" customHeight="1" thickTop="1" thickBot="1" x14ac:dyDescent="0.35">
      <c r="A30" s="1384" t="s">
        <v>1126</v>
      </c>
      <c r="B30" s="1385"/>
      <c r="C30" s="1385"/>
      <c r="D30" s="1386" t="s">
        <v>1127</v>
      </c>
      <c r="E30" s="1387"/>
      <c r="F30" s="1421" t="s">
        <v>1128</v>
      </c>
      <c r="G30" s="1422"/>
      <c r="H30" s="1422"/>
      <c r="I30" s="1422"/>
      <c r="J30" s="1422"/>
      <c r="K30" s="1422"/>
      <c r="L30" s="1422"/>
      <c r="M30" s="1423"/>
      <c r="N30" s="539"/>
      <c r="P30" s="1417" t="s">
        <v>1126</v>
      </c>
      <c r="Q30" s="1418"/>
      <c r="R30" s="1418"/>
      <c r="S30" s="1386" t="s">
        <v>1127</v>
      </c>
      <c r="T30" s="1387"/>
      <c r="U30" s="1424" t="s">
        <v>1128</v>
      </c>
      <c r="V30" s="1425"/>
      <c r="W30" s="1425"/>
      <c r="X30" s="1425"/>
      <c r="Y30" s="1425"/>
      <c r="Z30" s="1425"/>
      <c r="AA30" s="1425"/>
      <c r="AB30" s="1426"/>
    </row>
    <row r="31" spans="1:28" ht="30" customHeight="1" thickTop="1" thickBot="1" x14ac:dyDescent="0.3">
      <c r="A31" s="1377"/>
      <c r="B31" s="1378"/>
      <c r="C31" s="1378"/>
      <c r="D31" s="1378"/>
      <c r="E31" s="1379"/>
      <c r="F31" s="1380"/>
      <c r="G31" s="1381"/>
      <c r="H31" s="1381"/>
      <c r="I31" s="1381"/>
      <c r="J31" s="1381"/>
      <c r="K31" s="1381"/>
      <c r="L31" s="1381"/>
      <c r="M31" s="1382"/>
      <c r="N31" s="539"/>
      <c r="P31" s="1415"/>
      <c r="Q31" s="1416"/>
      <c r="R31" s="1416"/>
      <c r="S31" s="1416"/>
      <c r="T31" s="1379"/>
      <c r="U31" s="768"/>
      <c r="V31" s="769"/>
      <c r="W31" s="769"/>
      <c r="X31" s="769"/>
      <c r="Y31" s="769"/>
      <c r="Z31" s="1381"/>
      <c r="AA31" s="1381"/>
      <c r="AB31" s="1383"/>
    </row>
    <row r="32" spans="1:28" ht="15.75" thickTop="1" x14ac:dyDescent="0.25">
      <c r="A32" s="540"/>
      <c r="B32" s="540"/>
      <c r="C32" s="540"/>
      <c r="D32" s="540"/>
      <c r="E32" s="540"/>
      <c r="F32" s="540"/>
      <c r="G32" s="524"/>
      <c r="H32" s="524"/>
      <c r="I32" s="540"/>
      <c r="J32" s="540"/>
      <c r="K32" s="540"/>
      <c r="L32" s="540"/>
      <c r="M32" s="540"/>
      <c r="N32" s="541"/>
      <c r="O32" s="540"/>
      <c r="P32" s="540"/>
      <c r="Q32" s="797"/>
      <c r="R32" s="797"/>
      <c r="S32" s="797"/>
      <c r="T32" s="540"/>
      <c r="U32" s="540"/>
      <c r="V32" s="524"/>
      <c r="W32" s="524"/>
      <c r="X32" s="540"/>
      <c r="Y32" s="540"/>
      <c r="Z32" s="540"/>
      <c r="AA32" s="540"/>
      <c r="AB32" s="541"/>
    </row>
    <row r="34" spans="3:3" x14ac:dyDescent="0.25">
      <c r="C34" s="783"/>
    </row>
  </sheetData>
  <sheetProtection password="CEE7" sheet="1"/>
  <mergeCells count="112">
    <mergeCell ref="A31:C31"/>
    <mergeCell ref="D31:E31"/>
    <mergeCell ref="F31:M31"/>
    <mergeCell ref="P31:R31"/>
    <mergeCell ref="S31:T31"/>
    <mergeCell ref="Z31:AB31"/>
    <mergeCell ref="A30:C30"/>
    <mergeCell ref="D30:E30"/>
    <mergeCell ref="F30:M30"/>
    <mergeCell ref="P30:R30"/>
    <mergeCell ref="S30:T30"/>
    <mergeCell ref="U30:AB30"/>
    <mergeCell ref="S26:Y26"/>
    <mergeCell ref="Z26:AB27"/>
    <mergeCell ref="K28:M28"/>
    <mergeCell ref="Z28:AB28"/>
    <mergeCell ref="K29:M29"/>
    <mergeCell ref="Z29:AB29"/>
    <mergeCell ref="K25:M25"/>
    <mergeCell ref="Z25:AB25"/>
    <mergeCell ref="A26:A27"/>
    <mergeCell ref="B26:B27"/>
    <mergeCell ref="C26:C27"/>
    <mergeCell ref="D26:J26"/>
    <mergeCell ref="K26:M27"/>
    <mergeCell ref="P26:P27"/>
    <mergeCell ref="Q26:Q27"/>
    <mergeCell ref="R26:R27"/>
    <mergeCell ref="A23:C23"/>
    <mergeCell ref="D23:E23"/>
    <mergeCell ref="F23:M23"/>
    <mergeCell ref="P23:R23"/>
    <mergeCell ref="S23:T23"/>
    <mergeCell ref="U23:AB23"/>
    <mergeCell ref="A22:C22"/>
    <mergeCell ref="D22:E22"/>
    <mergeCell ref="F22:M22"/>
    <mergeCell ref="P22:R22"/>
    <mergeCell ref="S22:T22"/>
    <mergeCell ref="U22:AB22"/>
    <mergeCell ref="S18:Y18"/>
    <mergeCell ref="Z18:AB19"/>
    <mergeCell ref="K20:M20"/>
    <mergeCell ref="Z20:AB20"/>
    <mergeCell ref="K21:M21"/>
    <mergeCell ref="Z21:AB21"/>
    <mergeCell ref="K17:M17"/>
    <mergeCell ref="Z17:AB17"/>
    <mergeCell ref="A18:A19"/>
    <mergeCell ref="B18:B19"/>
    <mergeCell ref="C18:C19"/>
    <mergeCell ref="D18:J18"/>
    <mergeCell ref="K18:M19"/>
    <mergeCell ref="P18:P19"/>
    <mergeCell ref="Q18:Q19"/>
    <mergeCell ref="R18:R19"/>
    <mergeCell ref="A15:C15"/>
    <mergeCell ref="D15:E15"/>
    <mergeCell ref="F15:M15"/>
    <mergeCell ref="P15:R15"/>
    <mergeCell ref="S15:T15"/>
    <mergeCell ref="U15:AB15"/>
    <mergeCell ref="A14:C14"/>
    <mergeCell ref="D14:E14"/>
    <mergeCell ref="F14:M14"/>
    <mergeCell ref="P14:R14"/>
    <mergeCell ref="S14:T14"/>
    <mergeCell ref="U14:AB14"/>
    <mergeCell ref="S10:Y10"/>
    <mergeCell ref="Z10:AB11"/>
    <mergeCell ref="K12:M12"/>
    <mergeCell ref="Z12:AB12"/>
    <mergeCell ref="K13:L13"/>
    <mergeCell ref="Z13:AB13"/>
    <mergeCell ref="K9:M9"/>
    <mergeCell ref="Z9:AB9"/>
    <mergeCell ref="A10:A11"/>
    <mergeCell ref="B10:B11"/>
    <mergeCell ref="C10:C11"/>
    <mergeCell ref="D10:J10"/>
    <mergeCell ref="K10:M11"/>
    <mergeCell ref="P10:P11"/>
    <mergeCell ref="Q10:Q11"/>
    <mergeCell ref="R10:R11"/>
    <mergeCell ref="A7:C7"/>
    <mergeCell ref="D7:E7"/>
    <mergeCell ref="F7:M7"/>
    <mergeCell ref="P7:R7"/>
    <mergeCell ref="S7:T7"/>
    <mergeCell ref="U7:AB7"/>
    <mergeCell ref="A6:C6"/>
    <mergeCell ref="D6:E6"/>
    <mergeCell ref="F6:M6"/>
    <mergeCell ref="P6:R6"/>
    <mergeCell ref="S6:T6"/>
    <mergeCell ref="U6:AB6"/>
    <mergeCell ref="S2:Y2"/>
    <mergeCell ref="Z2:AB3"/>
    <mergeCell ref="K4:M4"/>
    <mergeCell ref="Z4:AB4"/>
    <mergeCell ref="K5:M5"/>
    <mergeCell ref="Z5:AB5"/>
    <mergeCell ref="K1:M1"/>
    <mergeCell ref="Z1:AB1"/>
    <mergeCell ref="A2:A3"/>
    <mergeCell ref="B2:B3"/>
    <mergeCell ref="C2:C3"/>
    <mergeCell ref="D2:J2"/>
    <mergeCell ref="K2:M3"/>
    <mergeCell ref="P2:P3"/>
    <mergeCell ref="Q2:Q3"/>
    <mergeCell ref="R2:R3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59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9"/>
  </sheetPr>
  <dimension ref="A1:AE34"/>
  <sheetViews>
    <sheetView view="pageBreakPreview" topLeftCell="B1" zoomScale="80" zoomScaleNormal="100" zoomScaleSheetLayoutView="80" workbookViewId="0">
      <selection activeCell="K5" sqref="K5:M5"/>
    </sheetView>
  </sheetViews>
  <sheetFormatPr defaultColWidth="9.33203125" defaultRowHeight="15" outlineLevelCol="1" x14ac:dyDescent="0.25"/>
  <cols>
    <col min="1" max="1" width="7.6640625" style="135" hidden="1" customWidth="1" outlineLevel="1"/>
    <col min="2" max="2" width="47.33203125" style="135" customWidth="1" collapsed="1"/>
    <col min="3" max="3" width="20.83203125" style="135" customWidth="1"/>
    <col min="4" max="8" width="10.83203125" style="135" customWidth="1"/>
    <col min="9" max="10" width="0" style="135" hidden="1" customWidth="1"/>
    <col min="11" max="11" width="6.6640625" style="135" customWidth="1"/>
    <col min="12" max="12" width="0.6640625" style="135" hidden="1" customWidth="1"/>
    <col min="13" max="13" width="6.6640625" style="135" customWidth="1"/>
    <col min="14" max="15" width="3.1640625" style="135" customWidth="1"/>
    <col min="16" max="16" width="8.33203125" style="135" hidden="1" customWidth="1" outlineLevel="1"/>
    <col min="17" max="17" width="45.33203125" style="135" customWidth="1" collapsed="1"/>
    <col min="18" max="18" width="19.1640625" style="135" customWidth="1"/>
    <col min="19" max="23" width="10.83203125" style="135" customWidth="1"/>
    <col min="24" max="25" width="0" style="135" hidden="1" customWidth="1"/>
    <col min="26" max="26" width="10.83203125" style="135" customWidth="1"/>
    <col min="27" max="27" width="10.6640625" style="135" hidden="1" customWidth="1"/>
    <col min="28" max="28" width="2" style="135" customWidth="1"/>
    <col min="29" max="16384" width="9.33203125" style="135"/>
  </cols>
  <sheetData>
    <row r="1" spans="1:31" s="515" customFormat="1" ht="20.100000000000001" customHeight="1" thickTop="1" thickBot="1" x14ac:dyDescent="0.35">
      <c r="B1" s="765" t="str">
        <f>'Порядок встреч 2Ф'!H2</f>
        <v>2 ФИНАЛ</v>
      </c>
      <c r="C1" s="516" t="s">
        <v>1122</v>
      </c>
      <c r="D1" s="517" t="s">
        <v>793</v>
      </c>
      <c r="E1" s="518"/>
      <c r="F1" s="764">
        <f>LOOKUP(H1,'Порядок встреч 1Ф'!Q5:Q19,'Порядок встреч 1Ф'!R5:R19)</f>
        <v>113</v>
      </c>
      <c r="G1" s="519" t="s">
        <v>1123</v>
      </c>
      <c r="H1" s="798">
        <v>15</v>
      </c>
      <c r="I1" s="520">
        <v>1</v>
      </c>
      <c r="J1" s="521"/>
      <c r="K1" s="1368" t="str">
        <f>IF(H1&lt;=8,CONCATENATE(LOOKUP(F1,'Порядок встреч 2Ф'!A5:A68,'Порядок встреч 2Ф'!C5:C68),"-",LOOKUP(F1,'Порядок встреч 2Ф'!A5:A68,'Порядок встреч 2Ф'!D5:D68)),CONCATENATE(LOOKUP(F1,'Порядок встреч 2Ф'!I5:I60,'Порядок встреч 2Ф'!K5:K60),"-",LOOKUP(F1,'Порядок встреч 2Ф'!I5:I60,'Порядок встреч 2Ф'!L5:L60)))</f>
        <v>1-2</v>
      </c>
      <c r="L1" s="1369"/>
      <c r="M1" s="1370"/>
      <c r="P1" s="782"/>
      <c r="Q1" s="770" t="str">
        <f>B1</f>
        <v>2 ФИНАЛ</v>
      </c>
      <c r="R1" s="771" t="s">
        <v>1122</v>
      </c>
      <c r="S1" s="517" t="s">
        <v>793</v>
      </c>
      <c r="T1" s="518"/>
      <c r="U1" s="772">
        <f>F1+4</f>
        <v>117</v>
      </c>
      <c r="V1" s="773" t="s">
        <v>1123</v>
      </c>
      <c r="W1" s="774">
        <f>H1</f>
        <v>15</v>
      </c>
      <c r="X1" s="775">
        <v>1</v>
      </c>
      <c r="Y1" s="782"/>
      <c r="Z1" s="1368" t="str">
        <f>IF(W1&lt;=8,CONCATENATE(LOOKUP(U1,'Порядок встреч 2Ф'!A5:A68,'Порядок встреч 2Ф'!C5:C68),"-",LOOKUP(U1,'Порядок встреч 2Ф'!A5:A68,'Порядок встреч 2Ф'!D5:D68)),CONCATENATE(LOOKUP(U1,'Порядок встреч 2Ф'!I5:I60,'Порядок встреч 2Ф'!K5:K60),"-",LOOKUP(U1,'Порядок встреч 2Ф'!I5:I60,'Порядок встреч 2Ф'!L5:L60)))</f>
        <v>6-13</v>
      </c>
      <c r="AA1" s="1369"/>
      <c r="AB1" s="1369"/>
    </row>
    <row r="2" spans="1:31" ht="16.5" customHeight="1" thickTop="1" x14ac:dyDescent="0.25">
      <c r="A2" s="1371"/>
      <c r="B2" s="1373" t="s">
        <v>1124</v>
      </c>
      <c r="C2" s="1373" t="s">
        <v>44</v>
      </c>
      <c r="D2" s="1350" t="s">
        <v>1001</v>
      </c>
      <c r="E2" s="1350"/>
      <c r="F2" s="1350"/>
      <c r="G2" s="1350"/>
      <c r="H2" s="1351"/>
      <c r="I2" s="1351"/>
      <c r="J2" s="1351"/>
      <c r="K2" s="1352" t="s">
        <v>1134</v>
      </c>
      <c r="L2" s="1353"/>
      <c r="M2" s="1375"/>
      <c r="N2" s="523"/>
      <c r="O2" s="524"/>
      <c r="P2" s="1371"/>
      <c r="Q2" s="1373" t="s">
        <v>1124</v>
      </c>
      <c r="R2" s="1373" t="s">
        <v>44</v>
      </c>
      <c r="S2" s="1350" t="s">
        <v>1001</v>
      </c>
      <c r="T2" s="1350"/>
      <c r="U2" s="1350"/>
      <c r="V2" s="1350"/>
      <c r="W2" s="1351"/>
      <c r="X2" s="1351"/>
      <c r="Y2" s="1351"/>
      <c r="Z2" s="1352" t="s">
        <v>1125</v>
      </c>
      <c r="AA2" s="1353"/>
      <c r="AB2" s="1354"/>
    </row>
    <row r="3" spans="1:31" ht="15.75" x14ac:dyDescent="0.25">
      <c r="A3" s="1372"/>
      <c r="B3" s="1374"/>
      <c r="C3" s="1374"/>
      <c r="D3" s="525">
        <v>1</v>
      </c>
      <c r="E3" s="525">
        <v>2</v>
      </c>
      <c r="F3" s="525">
        <v>3</v>
      </c>
      <c r="G3" s="525">
        <v>4</v>
      </c>
      <c r="H3" s="525">
        <v>5</v>
      </c>
      <c r="I3" s="526"/>
      <c r="J3" s="526"/>
      <c r="K3" s="1355"/>
      <c r="L3" s="1356"/>
      <c r="M3" s="1376"/>
      <c r="N3" s="523"/>
      <c r="O3" s="524"/>
      <c r="P3" s="1372"/>
      <c r="Q3" s="1374"/>
      <c r="R3" s="1374"/>
      <c r="S3" s="525">
        <v>1</v>
      </c>
      <c r="T3" s="525">
        <v>2</v>
      </c>
      <c r="U3" s="525">
        <v>3</v>
      </c>
      <c r="V3" s="525">
        <v>4</v>
      </c>
      <c r="W3" s="525">
        <v>5</v>
      </c>
      <c r="X3" s="526"/>
      <c r="Y3" s="526"/>
      <c r="Z3" s="1355"/>
      <c r="AA3" s="1356"/>
      <c r="AB3" s="1357"/>
    </row>
    <row r="4" spans="1:31" ht="54.95" customHeight="1" x14ac:dyDescent="0.25">
      <c r="A4" s="527">
        <f>IF(H1&lt;=8,VLOOKUP(F1,'Порядок встреч 2Ф'!A:G,5,FALSE),VLOOKUP(F1,'Порядок встреч 2Ф'!I:O,5,FALSE))</f>
        <v>0</v>
      </c>
      <c r="B4" s="528" t="e">
        <f>IF(A4="","",VLOOKUP(A4,'Списки участников'!A:I,3,FALSE))</f>
        <v>#N/A</v>
      </c>
      <c r="C4" s="529" t="e">
        <f>IF(A4="","",VLOOKUP(A4,'Списки участников'!A:I,6,FALSE))</f>
        <v>#N/A</v>
      </c>
      <c r="D4" s="530"/>
      <c r="E4" s="531"/>
      <c r="F4" s="532"/>
      <c r="G4" s="532"/>
      <c r="H4" s="532"/>
      <c r="I4" s="533"/>
      <c r="J4" s="533"/>
      <c r="K4" s="1358"/>
      <c r="L4" s="1359"/>
      <c r="M4" s="1360"/>
      <c r="N4" s="523"/>
      <c r="O4" s="524"/>
      <c r="P4" s="527">
        <f>IF(W1&lt;=8,VLOOKUP(U1,'Порядок встреч 2Ф'!A:G,5,FALSE),VLOOKUP(U1,'Порядок встреч 2Ф'!I:O,5,FALSE))</f>
        <v>0</v>
      </c>
      <c r="Q4" s="528" t="e">
        <f>IF(P4="","",VLOOKUP(P4,'Списки участников'!A:I,3,FALSE))</f>
        <v>#N/A</v>
      </c>
      <c r="R4" s="529" t="e">
        <f>IF(P4="","",VLOOKUP(P4,'Списки участников'!A:I,6,FALSE))</f>
        <v>#N/A</v>
      </c>
      <c r="S4" s="530"/>
      <c r="T4" s="531"/>
      <c r="U4" s="532"/>
      <c r="V4" s="532"/>
      <c r="W4" s="532"/>
      <c r="X4" s="533"/>
      <c r="Y4" s="533"/>
      <c r="Z4" s="1361"/>
      <c r="AA4" s="1362"/>
      <c r="AB4" s="1363"/>
    </row>
    <row r="5" spans="1:31" ht="54.95" customHeight="1" thickBot="1" x14ac:dyDescent="0.3">
      <c r="A5" s="527">
        <f>IF(H1&lt;=8,VLOOKUP(F1,'Порядок встреч 2Ф'!A:G,7,FALSE),VLOOKUP(F1,'Порядок встреч 2Ф'!I:O,7,FALSE))</f>
        <v>0</v>
      </c>
      <c r="B5" s="528" t="e">
        <f>IF(A5="","",VLOOKUP(A5,'Списки участников'!A:I,3,FALSE))</f>
        <v>#N/A</v>
      </c>
      <c r="C5" s="529" t="e">
        <f>IF(A5="","",VLOOKUP(A5,'Списки участников'!A:I,6,FALSE))</f>
        <v>#N/A</v>
      </c>
      <c r="D5" s="534"/>
      <c r="E5" s="535"/>
      <c r="F5" s="536"/>
      <c r="G5" s="536"/>
      <c r="H5" s="536"/>
      <c r="I5" s="537"/>
      <c r="J5" s="538"/>
      <c r="K5" s="1364"/>
      <c r="L5" s="1365"/>
      <c r="M5" s="1366"/>
      <c r="N5" s="523"/>
      <c r="O5" s="524"/>
      <c r="P5" s="527">
        <f>IF(W1&lt;=8,VLOOKUP(U1,'Порядок встреч 2Ф'!A:G,7,FALSE),VLOOKUP(U1,'Порядок встреч 2Ф'!I:O,7,FALSE))</f>
        <v>0</v>
      </c>
      <c r="Q5" s="528" t="e">
        <f>IF(P5="","",VLOOKUP(P5,'Списки участников'!A:I,3,FALSE))</f>
        <v>#N/A</v>
      </c>
      <c r="R5" s="529" t="e">
        <f>IF(P5="","",VLOOKUP(P5,'Списки участников'!A:I,6,FALSE))</f>
        <v>#N/A</v>
      </c>
      <c r="S5" s="534"/>
      <c r="T5" s="535"/>
      <c r="U5" s="536"/>
      <c r="V5" s="536"/>
      <c r="W5" s="536"/>
      <c r="X5" s="537"/>
      <c r="Y5" s="538"/>
      <c r="Z5" s="1364"/>
      <c r="AA5" s="1365"/>
      <c r="AB5" s="1367"/>
    </row>
    <row r="6" spans="1:31" ht="20.100000000000001" customHeight="1" thickTop="1" thickBot="1" x14ac:dyDescent="0.35">
      <c r="A6" s="1384" t="s">
        <v>1126</v>
      </c>
      <c r="B6" s="1385"/>
      <c r="C6" s="1385"/>
      <c r="D6" s="1386" t="s">
        <v>1127</v>
      </c>
      <c r="E6" s="1387"/>
      <c r="F6" s="1388" t="s">
        <v>1128</v>
      </c>
      <c r="G6" s="1388"/>
      <c r="H6" s="1388"/>
      <c r="I6" s="1388"/>
      <c r="J6" s="1388"/>
      <c r="K6" s="1388"/>
      <c r="L6" s="1388"/>
      <c r="M6" s="1388"/>
      <c r="N6" s="539"/>
      <c r="P6" s="1384" t="s">
        <v>1126</v>
      </c>
      <c r="Q6" s="1385"/>
      <c r="R6" s="1385"/>
      <c r="S6" s="1386" t="s">
        <v>1127</v>
      </c>
      <c r="T6" s="1387"/>
      <c r="U6" s="1389" t="s">
        <v>1128</v>
      </c>
      <c r="V6" s="1390"/>
      <c r="W6" s="1390"/>
      <c r="X6" s="1390"/>
      <c r="Y6" s="1390"/>
      <c r="Z6" s="1390"/>
      <c r="AA6" s="1390"/>
      <c r="AB6" s="1391"/>
    </row>
    <row r="7" spans="1:31" ht="30" customHeight="1" thickTop="1" thickBot="1" x14ac:dyDescent="0.3">
      <c r="A7" s="1377"/>
      <c r="B7" s="1378"/>
      <c r="C7" s="1378"/>
      <c r="D7" s="1378"/>
      <c r="E7" s="1379"/>
      <c r="F7" s="1380"/>
      <c r="G7" s="1381"/>
      <c r="H7" s="1381"/>
      <c r="I7" s="1381"/>
      <c r="J7" s="1381"/>
      <c r="K7" s="1381"/>
      <c r="L7" s="1381"/>
      <c r="M7" s="1382"/>
      <c r="N7" s="539"/>
      <c r="P7" s="1377"/>
      <c r="Q7" s="1378"/>
      <c r="R7" s="1378"/>
      <c r="S7" s="1378"/>
      <c r="T7" s="1379"/>
      <c r="U7" s="1380"/>
      <c r="V7" s="1381"/>
      <c r="W7" s="1381"/>
      <c r="X7" s="1381"/>
      <c r="Y7" s="1381"/>
      <c r="Z7" s="1381"/>
      <c r="AA7" s="1381"/>
      <c r="AB7" s="1383"/>
      <c r="AD7" s="524"/>
      <c r="AE7" s="524"/>
    </row>
    <row r="8" spans="1:31" ht="20.100000000000001" customHeight="1" thickTop="1" thickBot="1" x14ac:dyDescent="0.3">
      <c r="A8" s="524"/>
      <c r="B8" s="524"/>
      <c r="C8" s="524"/>
      <c r="D8" s="524"/>
      <c r="E8" s="524"/>
      <c r="F8" s="524"/>
      <c r="G8" s="524"/>
      <c r="H8" s="524"/>
      <c r="I8" s="524"/>
      <c r="J8" s="524"/>
      <c r="K8" s="524"/>
      <c r="L8" s="524"/>
      <c r="M8" s="524"/>
      <c r="N8" s="541"/>
      <c r="O8" s="540"/>
      <c r="P8" s="524"/>
      <c r="Q8" s="524"/>
      <c r="R8" s="524"/>
      <c r="S8" s="524"/>
      <c r="T8" s="524"/>
      <c r="U8" s="524"/>
      <c r="V8" s="524"/>
      <c r="W8" s="524"/>
      <c r="X8" s="524"/>
      <c r="Y8" s="524"/>
      <c r="Z8" s="524"/>
      <c r="AA8" s="524"/>
      <c r="AB8" s="539"/>
      <c r="AD8" s="524"/>
      <c r="AE8" s="524"/>
    </row>
    <row r="9" spans="1:31" ht="20.100000000000001" customHeight="1" thickTop="1" thickBot="1" x14ac:dyDescent="0.35">
      <c r="A9" s="517"/>
      <c r="B9" s="770" t="str">
        <f>B1</f>
        <v>2 ФИНАЛ</v>
      </c>
      <c r="C9" s="771" t="s">
        <v>1122</v>
      </c>
      <c r="D9" s="517" t="s">
        <v>793</v>
      </c>
      <c r="E9" s="518"/>
      <c r="F9" s="772">
        <f>F1+1</f>
        <v>114</v>
      </c>
      <c r="G9" s="773" t="s">
        <v>1123</v>
      </c>
      <c r="H9" s="774">
        <f>H1</f>
        <v>15</v>
      </c>
      <c r="I9" s="775">
        <v>1</v>
      </c>
      <c r="J9" s="776"/>
      <c r="K9" s="1401" t="str">
        <f>IF(H9&lt;=8,CONCATENATE(LOOKUP(F9,'Порядок встреч 2Ф'!A5:A68,'Порядок встреч 2Ф'!C5:C68),"-",LOOKUP(F9,'Порядок встреч 2Ф'!A5:A68,'Порядок встреч 2Ф'!D5:D68)),CONCATENATE(LOOKUP(F9,'Порядок встреч 2Ф'!I5:I60,'Порядок встреч 2Ф'!K5:K60),"-",LOOKUP(F9,'Порядок встреч 2Ф'!I5:I60,'Порядок встреч 2Ф'!L5:L60)))</f>
        <v>3-16</v>
      </c>
      <c r="L9" s="1402"/>
      <c r="M9" s="1403"/>
      <c r="N9" s="515"/>
      <c r="O9" s="515"/>
      <c r="P9" s="517"/>
      <c r="Q9" s="793" t="str">
        <f>B1</f>
        <v>2 ФИНАЛ</v>
      </c>
      <c r="R9" s="794" t="s">
        <v>1122</v>
      </c>
      <c r="S9" s="517" t="s">
        <v>793</v>
      </c>
      <c r="T9" s="518"/>
      <c r="U9" s="772">
        <f>F1+5</f>
        <v>118</v>
      </c>
      <c r="V9" s="773" t="s">
        <v>1123</v>
      </c>
      <c r="W9" s="774">
        <f>H1</f>
        <v>15</v>
      </c>
      <c r="X9" s="775">
        <v>1</v>
      </c>
      <c r="Y9" s="776"/>
      <c r="Z9" s="1401" t="str">
        <f>IF(W9&lt;=8,CONCATENATE(LOOKUP(U9,'Порядок встреч 2Ф'!A5:A68,'Порядок встреч 2Ф'!C5:C68),"-",LOOKUP(U9,'Порядок встреч 2Ф'!A5:A68,'Порядок встреч 2Ф'!D5:D68)),CONCATENATE(LOOKUP(U9,'Порядок встреч 2Ф'!I5:I60,'Порядок встреч 2Ф'!K5:K60),"-",LOOKUP(U9,'Порядок встреч 2Ф'!I5:I60,'Порядок встреч 2Ф'!L5:L60)))</f>
        <v>7-12</v>
      </c>
      <c r="AA9" s="1402"/>
      <c r="AB9" s="1403"/>
      <c r="AC9" s="524"/>
      <c r="AD9" s="524"/>
      <c r="AE9" s="524"/>
    </row>
    <row r="10" spans="1:31" ht="20.100000000000001" customHeight="1" thickTop="1" x14ac:dyDescent="0.25">
      <c r="A10" s="1371"/>
      <c r="B10" s="1373" t="s">
        <v>1124</v>
      </c>
      <c r="C10" s="1373" t="s">
        <v>44</v>
      </c>
      <c r="D10" s="1350" t="s">
        <v>1001</v>
      </c>
      <c r="E10" s="1350"/>
      <c r="F10" s="1350"/>
      <c r="G10" s="1350"/>
      <c r="H10" s="1351"/>
      <c r="I10" s="1351"/>
      <c r="J10" s="1351"/>
      <c r="K10" s="1352" t="s">
        <v>1134</v>
      </c>
      <c r="L10" s="1353"/>
      <c r="M10" s="1375"/>
      <c r="N10" s="523"/>
      <c r="O10" s="524"/>
      <c r="P10" s="1404"/>
      <c r="Q10" s="1405" t="s">
        <v>1124</v>
      </c>
      <c r="R10" s="1405" t="s">
        <v>44</v>
      </c>
      <c r="S10" s="1351" t="s">
        <v>1001</v>
      </c>
      <c r="T10" s="1351"/>
      <c r="U10" s="1351"/>
      <c r="V10" s="1351"/>
      <c r="W10" s="1351"/>
      <c r="X10" s="1351"/>
      <c r="Y10" s="1351"/>
      <c r="Z10" s="1392" t="s">
        <v>1134</v>
      </c>
      <c r="AA10" s="1393"/>
      <c r="AB10" s="1394"/>
    </row>
    <row r="11" spans="1:31" ht="20.100000000000001" customHeight="1" x14ac:dyDescent="0.25">
      <c r="A11" s="1372"/>
      <c r="B11" s="1374"/>
      <c r="C11" s="1374"/>
      <c r="D11" s="525">
        <v>1</v>
      </c>
      <c r="E11" s="525">
        <v>2</v>
      </c>
      <c r="F11" s="525">
        <v>3</v>
      </c>
      <c r="G11" s="525">
        <v>4</v>
      </c>
      <c r="H11" s="525">
        <v>5</v>
      </c>
      <c r="I11" s="526"/>
      <c r="J11" s="526"/>
      <c r="K11" s="1355"/>
      <c r="L11" s="1356"/>
      <c r="M11" s="1376"/>
      <c r="N11" s="523"/>
      <c r="O11" s="524"/>
      <c r="P11" s="1372"/>
      <c r="Q11" s="1374"/>
      <c r="R11" s="1374"/>
      <c r="S11" s="525">
        <v>1</v>
      </c>
      <c r="T11" s="525">
        <v>2</v>
      </c>
      <c r="U11" s="525">
        <v>3</v>
      </c>
      <c r="V11" s="525">
        <v>4</v>
      </c>
      <c r="W11" s="525">
        <v>5</v>
      </c>
      <c r="X11" s="526"/>
      <c r="Y11" s="526"/>
      <c r="Z11" s="1355"/>
      <c r="AA11" s="1356"/>
      <c r="AB11" s="1376"/>
    </row>
    <row r="12" spans="1:31" ht="54.95" customHeight="1" x14ac:dyDescent="0.25">
      <c r="A12" s="527">
        <f>IF(H9&lt;=8,VLOOKUP(F9,'Порядок встреч 2Ф'!A:G,5,FALSE),VLOOKUP(F9,'Порядок встреч 2Ф'!I:O,5,FALSE))</f>
        <v>0</v>
      </c>
      <c r="B12" s="528" t="e">
        <f>IF(A12="","",VLOOKUP(A12,'Списки участников'!A:I,3,FALSE))</f>
        <v>#N/A</v>
      </c>
      <c r="C12" s="529" t="e">
        <f>IF(A12="","",VLOOKUP(A12,'Списки участников'!A:I,6,FALSE))</f>
        <v>#N/A</v>
      </c>
      <c r="D12" s="530"/>
      <c r="E12" s="531"/>
      <c r="F12" s="532"/>
      <c r="G12" s="532"/>
      <c r="H12" s="532"/>
      <c r="I12" s="533"/>
      <c r="J12" s="533"/>
      <c r="K12" s="1358"/>
      <c r="L12" s="1359"/>
      <c r="M12" s="1360"/>
      <c r="N12" s="523"/>
      <c r="O12" s="524"/>
      <c r="P12" s="527">
        <f>IF(W9&lt;=8,VLOOKUP(U9,'Порядок встреч 2Ф'!A:G,5,FALSE),VLOOKUP(U9,'Порядок встреч 2Ф'!I:O,5,FALSE))</f>
        <v>0</v>
      </c>
      <c r="Q12" s="528" t="e">
        <f>IF(P12="","",VLOOKUP(P12,'Списки участников'!A:I,3,FALSE))</f>
        <v>#N/A</v>
      </c>
      <c r="R12" s="529" t="e">
        <f>IF(P12="","",VLOOKUP(P12,'Списки участников'!A:I,6,FALSE))</f>
        <v>#N/A</v>
      </c>
      <c r="S12" s="530"/>
      <c r="T12" s="531"/>
      <c r="U12" s="532"/>
      <c r="V12" s="532"/>
      <c r="W12" s="532"/>
      <c r="X12" s="533"/>
      <c r="Y12" s="533"/>
      <c r="Z12" s="1358"/>
      <c r="AA12" s="1359"/>
      <c r="AB12" s="1395"/>
    </row>
    <row r="13" spans="1:31" ht="54.95" customHeight="1" thickBot="1" x14ac:dyDescent="0.3">
      <c r="A13" s="527">
        <f>IF(H9&lt;=8,VLOOKUP(F9,'Порядок встреч 2Ф'!A:G,7,FALSE),VLOOKUP(F9,'Порядок встреч 2Ф'!I:O,7,FALSE))</f>
        <v>0</v>
      </c>
      <c r="B13" s="528" t="e">
        <f>IF(A13="","",VLOOKUP(A13,'Списки участников'!A:I,3,FALSE))</f>
        <v>#N/A</v>
      </c>
      <c r="C13" s="529" t="e">
        <f>IF(A13="","",VLOOKUP(A13,'Списки участников'!A:I,6,FALSE))</f>
        <v>#N/A</v>
      </c>
      <c r="D13" s="534"/>
      <c r="E13" s="535"/>
      <c r="F13" s="779"/>
      <c r="G13" s="779"/>
      <c r="H13" s="779"/>
      <c r="I13" s="780"/>
      <c r="J13" s="781"/>
      <c r="K13" s="1396"/>
      <c r="L13" s="1397"/>
      <c r="M13" s="767"/>
      <c r="N13" s="523"/>
      <c r="O13" s="524"/>
      <c r="P13" s="527">
        <f>IF(W9&lt;=8,VLOOKUP(U9,'Порядок встреч 2Ф'!A:G,7,FALSE),VLOOKUP(U9,'Порядок встреч 2Ф'!I:O,7,FALSE))</f>
        <v>0</v>
      </c>
      <c r="Q13" s="528" t="e">
        <f>IF(P13="","",VLOOKUP(P13,'Списки участников'!A:I,3,FALSE))</f>
        <v>#N/A</v>
      </c>
      <c r="R13" s="529" t="e">
        <f>IF(P13="","",VLOOKUP(P13,'Списки участников'!A:I,6,FALSE))</f>
        <v>#N/A</v>
      </c>
      <c r="S13" s="534"/>
      <c r="T13" s="535"/>
      <c r="U13" s="536"/>
      <c r="V13" s="536"/>
      <c r="W13" s="536"/>
      <c r="X13" s="537"/>
      <c r="Y13" s="538"/>
      <c r="Z13" s="1398"/>
      <c r="AA13" s="1399"/>
      <c r="AB13" s="1400"/>
    </row>
    <row r="14" spans="1:31" ht="20.100000000000001" customHeight="1" thickTop="1" thickBot="1" x14ac:dyDescent="0.35">
      <c r="A14" s="1384" t="s">
        <v>1126</v>
      </c>
      <c r="B14" s="1385"/>
      <c r="C14" s="1385"/>
      <c r="D14" s="1386" t="s">
        <v>1127</v>
      </c>
      <c r="E14" s="1408"/>
      <c r="F14" s="1389" t="s">
        <v>1128</v>
      </c>
      <c r="G14" s="1390"/>
      <c r="H14" s="1390"/>
      <c r="I14" s="1390"/>
      <c r="J14" s="1390"/>
      <c r="K14" s="1390"/>
      <c r="L14" s="1390"/>
      <c r="M14" s="1409"/>
      <c r="N14" s="539"/>
      <c r="P14" s="1384" t="s">
        <v>1126</v>
      </c>
      <c r="Q14" s="1385"/>
      <c r="R14" s="1385"/>
      <c r="S14" s="1386" t="s">
        <v>1127</v>
      </c>
      <c r="T14" s="1387"/>
      <c r="U14" s="1410" t="s">
        <v>1128</v>
      </c>
      <c r="V14" s="1411"/>
      <c r="W14" s="1411"/>
      <c r="X14" s="1411"/>
      <c r="Y14" s="1411"/>
      <c r="Z14" s="1411"/>
      <c r="AA14" s="1411"/>
      <c r="AB14" s="1412"/>
    </row>
    <row r="15" spans="1:31" ht="30" customHeight="1" thickTop="1" thickBot="1" x14ac:dyDescent="0.3">
      <c r="A15" s="1377"/>
      <c r="B15" s="1378"/>
      <c r="C15" s="1378"/>
      <c r="D15" s="1378"/>
      <c r="E15" s="1379"/>
      <c r="F15" s="1406"/>
      <c r="G15" s="1406"/>
      <c r="H15" s="1406"/>
      <c r="I15" s="1406"/>
      <c r="J15" s="1406"/>
      <c r="K15" s="1406"/>
      <c r="L15" s="1406"/>
      <c r="M15" s="1407"/>
      <c r="N15" s="539"/>
      <c r="P15" s="1377"/>
      <c r="Q15" s="1378"/>
      <c r="R15" s="1378"/>
      <c r="S15" s="1378"/>
      <c r="T15" s="1379"/>
      <c r="U15" s="1380"/>
      <c r="V15" s="1381"/>
      <c r="W15" s="1381"/>
      <c r="X15" s="1381"/>
      <c r="Y15" s="1381"/>
      <c r="Z15" s="1381"/>
      <c r="AA15" s="1381"/>
      <c r="AB15" s="1383"/>
    </row>
    <row r="16" spans="1:31" ht="16.5" customHeight="1" thickTop="1" thickBot="1" x14ac:dyDescent="0.3">
      <c r="A16" s="524"/>
      <c r="B16" s="524"/>
      <c r="C16" s="524"/>
      <c r="D16" s="524"/>
      <c r="E16" s="524"/>
      <c r="F16" s="524"/>
      <c r="G16" s="524"/>
      <c r="H16" s="524"/>
      <c r="I16" s="524"/>
      <c r="J16" s="524"/>
      <c r="K16" s="524"/>
      <c r="L16" s="524"/>
      <c r="M16" s="524"/>
      <c r="N16" s="541"/>
      <c r="O16" s="540"/>
      <c r="P16" s="524"/>
      <c r="Q16" s="524"/>
      <c r="R16" s="524"/>
      <c r="S16" s="524"/>
      <c r="T16" s="524"/>
      <c r="U16" s="524"/>
      <c r="V16" s="524"/>
      <c r="W16" s="524"/>
      <c r="X16" s="524"/>
      <c r="Y16" s="524"/>
      <c r="Z16" s="524"/>
      <c r="AA16" s="524"/>
      <c r="AB16" s="539"/>
    </row>
    <row r="17" spans="1:28" ht="20.25" thickTop="1" thickBot="1" x14ac:dyDescent="0.35">
      <c r="A17" s="517"/>
      <c r="B17" s="770" t="str">
        <f>B9</f>
        <v>2 ФИНАЛ</v>
      </c>
      <c r="C17" s="771" t="s">
        <v>1122</v>
      </c>
      <c r="D17" s="517" t="s">
        <v>793</v>
      </c>
      <c r="E17" s="518"/>
      <c r="F17" s="772">
        <f>F1+2</f>
        <v>115</v>
      </c>
      <c r="G17" s="773" t="s">
        <v>1123</v>
      </c>
      <c r="H17" s="774">
        <f>H1</f>
        <v>15</v>
      </c>
      <c r="I17" s="775">
        <v>1</v>
      </c>
      <c r="J17" s="782"/>
      <c r="K17" s="1414" t="str">
        <f>IF(H17&lt;=8,CONCATENATE(LOOKUP(F17,'Порядок встреч 2Ф'!A5:A68,'Порядок встреч 2Ф'!C5:C68),"-",LOOKUP(F17,'Порядок встреч 2Ф'!A5:A68,'Порядок встреч 2Ф'!D5:D68)),CONCATENATE(LOOKUP(F17,'Порядок встреч 2Ф'!I5:I60,'Порядок встреч 2Ф'!K5:K60),"-",LOOKUP(F17,'Порядок встреч 2Ф'!I5:I60,'Порядок встреч 2Ф'!L5:L60)))</f>
        <v>4-15</v>
      </c>
      <c r="L17" s="1402"/>
      <c r="M17" s="1403"/>
      <c r="N17" s="515"/>
      <c r="O17" s="515"/>
      <c r="P17" s="517"/>
      <c r="Q17" s="793" t="str">
        <f>B1</f>
        <v>2 ФИНАЛ</v>
      </c>
      <c r="R17" s="771" t="s">
        <v>1122</v>
      </c>
      <c r="S17" s="517" t="s">
        <v>793</v>
      </c>
      <c r="T17" s="518"/>
      <c r="U17" s="772">
        <f>F1+6</f>
        <v>119</v>
      </c>
      <c r="V17" s="773" t="s">
        <v>1123</v>
      </c>
      <c r="W17" s="774">
        <f>H1</f>
        <v>15</v>
      </c>
      <c r="X17" s="775">
        <v>1</v>
      </c>
      <c r="Y17" s="776"/>
      <c r="Z17" s="1401" t="str">
        <f>IF(W17&lt;=8,CONCATENATE(LOOKUP(U17,'Порядок встреч 2Ф'!A5:A68,'Порядок встреч 2Ф'!C5:C68),"-",LOOKUP(U17,'Порядок встреч 2Ф'!A5:A68,'Порядок встреч 2Ф'!D5:D68)),CONCATENATE(LOOKUP(U17,'Порядок встреч 2Ф'!I5:I60,'Порядок встреч 2Ф'!K5:K60),"-",LOOKUP(U17,'Порядок встреч 2Ф'!I5:I60,'Порядок встреч 2Ф'!L5:L60)))</f>
        <v>8-11</v>
      </c>
      <c r="AA17" s="1402"/>
      <c r="AB17" s="1403"/>
    </row>
    <row r="18" spans="1:28" ht="20.100000000000001" customHeight="1" thickTop="1" x14ac:dyDescent="0.25">
      <c r="A18" s="1404"/>
      <c r="B18" s="1405" t="s">
        <v>1124</v>
      </c>
      <c r="C18" s="1405" t="s">
        <v>44</v>
      </c>
      <c r="D18" s="1351" t="s">
        <v>1001</v>
      </c>
      <c r="E18" s="1351"/>
      <c r="F18" s="1351"/>
      <c r="G18" s="1351"/>
      <c r="H18" s="1351"/>
      <c r="I18" s="1351"/>
      <c r="J18" s="1351"/>
      <c r="K18" s="1352" t="s">
        <v>1134</v>
      </c>
      <c r="L18" s="1353"/>
      <c r="M18" s="1375"/>
      <c r="N18" s="523"/>
      <c r="O18" s="524"/>
      <c r="P18" s="1404"/>
      <c r="Q18" s="1405" t="s">
        <v>1124</v>
      </c>
      <c r="R18" s="1405" t="s">
        <v>44</v>
      </c>
      <c r="S18" s="1351" t="s">
        <v>1001</v>
      </c>
      <c r="T18" s="1351"/>
      <c r="U18" s="1351"/>
      <c r="V18" s="1351"/>
      <c r="W18" s="1351"/>
      <c r="X18" s="1351"/>
      <c r="Y18" s="1351"/>
      <c r="Z18" s="1352" t="s">
        <v>1134</v>
      </c>
      <c r="AA18" s="1353"/>
      <c r="AB18" s="1354"/>
    </row>
    <row r="19" spans="1:28" ht="20.100000000000001" customHeight="1" x14ac:dyDescent="0.25">
      <c r="A19" s="1372"/>
      <c r="B19" s="1374"/>
      <c r="C19" s="1374"/>
      <c r="D19" s="525">
        <v>1</v>
      </c>
      <c r="E19" s="525">
        <v>2</v>
      </c>
      <c r="F19" s="525">
        <v>3</v>
      </c>
      <c r="G19" s="525">
        <v>4</v>
      </c>
      <c r="H19" s="525">
        <v>5</v>
      </c>
      <c r="I19" s="526"/>
      <c r="J19" s="526"/>
      <c r="K19" s="1355"/>
      <c r="L19" s="1356"/>
      <c r="M19" s="1376"/>
      <c r="N19" s="523"/>
      <c r="O19" s="524"/>
      <c r="P19" s="1372"/>
      <c r="Q19" s="1374"/>
      <c r="R19" s="1374"/>
      <c r="S19" s="525">
        <v>1</v>
      </c>
      <c r="T19" s="525">
        <v>2</v>
      </c>
      <c r="U19" s="525">
        <v>3</v>
      </c>
      <c r="V19" s="525">
        <v>4</v>
      </c>
      <c r="W19" s="525">
        <v>5</v>
      </c>
      <c r="X19" s="526"/>
      <c r="Y19" s="526"/>
      <c r="Z19" s="1355"/>
      <c r="AA19" s="1356"/>
      <c r="AB19" s="1357"/>
    </row>
    <row r="20" spans="1:28" ht="54.95" customHeight="1" x14ac:dyDescent="0.25">
      <c r="A20" s="527">
        <f>IF(H17&lt;=8,VLOOKUP(F17,'Порядок встреч 2Ф'!A:G,5,FALSE),VLOOKUP(F17,'Порядок встреч 2Ф'!I:O,5,FALSE))</f>
        <v>0</v>
      </c>
      <c r="B20" s="528" t="e">
        <f>IF(A20="","",VLOOKUP(A20,'Списки участников'!A:I,3,FALSE))</f>
        <v>#N/A</v>
      </c>
      <c r="C20" s="529" t="e">
        <f>IF(A20="","",VLOOKUP(A20,'Списки участников'!A:I,6,FALSE))</f>
        <v>#N/A</v>
      </c>
      <c r="D20" s="530"/>
      <c r="E20" s="531"/>
      <c r="F20" s="532"/>
      <c r="G20" s="532"/>
      <c r="H20" s="532"/>
      <c r="I20" s="533"/>
      <c r="J20" s="533"/>
      <c r="K20" s="1361"/>
      <c r="L20" s="1362"/>
      <c r="M20" s="1413"/>
      <c r="N20" s="523"/>
      <c r="O20" s="524"/>
      <c r="P20" s="527">
        <f>IF(W17&lt;=8,VLOOKUP(U17,'Порядок встреч 2Ф'!A:G,5,FALSE),VLOOKUP(U17,'Порядок встреч 2Ф'!I:O,5,FALSE))</f>
        <v>0</v>
      </c>
      <c r="Q20" s="528" t="e">
        <f>IF(P20="","",VLOOKUP(P20,'Списки участников'!A:I,3,FALSE))</f>
        <v>#N/A</v>
      </c>
      <c r="R20" s="529" t="e">
        <f>IF(P20="","",VLOOKUP(P20,'Списки участников'!A:I,6,FALSE))</f>
        <v>#N/A</v>
      </c>
      <c r="S20" s="530"/>
      <c r="T20" s="531"/>
      <c r="U20" s="532"/>
      <c r="V20" s="532"/>
      <c r="W20" s="532"/>
      <c r="X20" s="533"/>
      <c r="Y20" s="533"/>
      <c r="Z20" s="1361"/>
      <c r="AA20" s="1362"/>
      <c r="AB20" s="1363"/>
    </row>
    <row r="21" spans="1:28" ht="54.95" customHeight="1" thickBot="1" x14ac:dyDescent="0.3">
      <c r="A21" s="527">
        <f>IF(H17&lt;=8,VLOOKUP(F17,'Порядок встреч 2Ф'!A:G,7,FALSE),VLOOKUP(F17,'Порядок встреч 2Ф'!I:O,7,FALSE))</f>
        <v>0</v>
      </c>
      <c r="B21" s="528" t="e">
        <f>IF(A21="","",VLOOKUP(A21,'Списки участников'!A:I,3,FALSE))</f>
        <v>#N/A</v>
      </c>
      <c r="C21" s="529" t="e">
        <f>IF(A21="","",VLOOKUP(A21,'Списки участников'!A:I,6,FALSE))</f>
        <v>#N/A</v>
      </c>
      <c r="D21" s="534"/>
      <c r="E21" s="535"/>
      <c r="F21" s="536"/>
      <c r="G21" s="536"/>
      <c r="H21" s="536"/>
      <c r="I21" s="777"/>
      <c r="J21" s="778"/>
      <c r="K21" s="1364"/>
      <c r="L21" s="1365"/>
      <c r="M21" s="1366"/>
      <c r="N21" s="523"/>
      <c r="O21" s="524"/>
      <c r="P21" s="792">
        <f>IF(W17&lt;=8,VLOOKUP(U17,'Порядок встреч 2Ф'!A:G,7,FALSE),VLOOKUP(U17,'Порядок встреч 2Ф'!I:O,7,FALSE))</f>
        <v>0</v>
      </c>
      <c r="Q21" s="795" t="e">
        <f>IF(P21="","",VLOOKUP(P21,'Списки участников'!A:I,3,FALSE))</f>
        <v>#N/A</v>
      </c>
      <c r="R21" s="796" t="e">
        <f>IF(P21="","",VLOOKUP(P21,'Списки участников'!A:I,6,FALSE))</f>
        <v>#N/A</v>
      </c>
      <c r="S21" s="534"/>
      <c r="T21" s="535"/>
      <c r="U21" s="536"/>
      <c r="V21" s="536"/>
      <c r="W21" s="536"/>
      <c r="X21" s="777"/>
      <c r="Y21" s="778"/>
      <c r="Z21" s="1364"/>
      <c r="AA21" s="1365"/>
      <c r="AB21" s="1367"/>
    </row>
    <row r="22" spans="1:28" ht="20.100000000000001" customHeight="1" thickTop="1" thickBot="1" x14ac:dyDescent="0.35">
      <c r="A22" s="1384" t="s">
        <v>1126</v>
      </c>
      <c r="B22" s="1385"/>
      <c r="C22" s="1385"/>
      <c r="D22" s="1386" t="s">
        <v>1127</v>
      </c>
      <c r="E22" s="1387"/>
      <c r="F22" s="1389" t="s">
        <v>1128</v>
      </c>
      <c r="G22" s="1390"/>
      <c r="H22" s="1390"/>
      <c r="I22" s="1390"/>
      <c r="J22" s="1390"/>
      <c r="K22" s="1390"/>
      <c r="L22" s="1390"/>
      <c r="M22" s="1409"/>
      <c r="N22" s="539"/>
      <c r="P22" s="1417" t="s">
        <v>1126</v>
      </c>
      <c r="Q22" s="1418"/>
      <c r="R22" s="1418"/>
      <c r="S22" s="1386" t="s">
        <v>1127</v>
      </c>
      <c r="T22" s="1387"/>
      <c r="U22" s="1410" t="s">
        <v>1128</v>
      </c>
      <c r="V22" s="1411"/>
      <c r="W22" s="1411"/>
      <c r="X22" s="1411"/>
      <c r="Y22" s="1411"/>
      <c r="Z22" s="1411"/>
      <c r="AA22" s="1411"/>
      <c r="AB22" s="1412"/>
    </row>
    <row r="23" spans="1:28" ht="30" customHeight="1" thickTop="1" thickBot="1" x14ac:dyDescent="0.3">
      <c r="A23" s="1377"/>
      <c r="B23" s="1378"/>
      <c r="C23" s="1378"/>
      <c r="D23" s="1378"/>
      <c r="E23" s="1379"/>
      <c r="F23" s="1380"/>
      <c r="G23" s="1381"/>
      <c r="H23" s="1381"/>
      <c r="I23" s="1381"/>
      <c r="J23" s="1381"/>
      <c r="K23" s="1381"/>
      <c r="L23" s="1381"/>
      <c r="M23" s="1382"/>
      <c r="N23" s="539"/>
      <c r="P23" s="1415"/>
      <c r="Q23" s="1416"/>
      <c r="R23" s="1416"/>
      <c r="S23" s="1378"/>
      <c r="T23" s="1379"/>
      <c r="U23" s="1380"/>
      <c r="V23" s="1381"/>
      <c r="W23" s="1381"/>
      <c r="X23" s="1381"/>
      <c r="Y23" s="1381"/>
      <c r="Z23" s="1381"/>
      <c r="AA23" s="1381"/>
      <c r="AB23" s="1383"/>
    </row>
    <row r="24" spans="1:28" ht="16.5" thickTop="1" thickBot="1" x14ac:dyDescent="0.3">
      <c r="A24" s="788"/>
      <c r="B24" s="788"/>
      <c r="C24" s="788"/>
      <c r="D24" s="788"/>
      <c r="E24" s="788"/>
      <c r="F24" s="788"/>
      <c r="G24" s="788"/>
      <c r="H24" s="788"/>
      <c r="I24" s="788"/>
      <c r="J24" s="788"/>
      <c r="K24" s="788"/>
      <c r="L24" s="788"/>
      <c r="M24" s="788"/>
      <c r="N24" s="541"/>
      <c r="O24" s="540"/>
      <c r="P24" s="524"/>
      <c r="Q24" s="788"/>
      <c r="R24" s="788"/>
      <c r="S24" s="524"/>
      <c r="T24" s="524"/>
      <c r="U24" s="524"/>
      <c r="V24" s="524"/>
      <c r="W24" s="524"/>
      <c r="X24" s="524"/>
      <c r="Y24" s="524"/>
      <c r="Z24" s="524"/>
      <c r="AA24" s="524"/>
      <c r="AB24" s="539"/>
    </row>
    <row r="25" spans="1:28" ht="20.25" thickTop="1" thickBot="1" x14ac:dyDescent="0.35">
      <c r="A25" s="515"/>
      <c r="B25" s="765" t="str">
        <f>B17</f>
        <v>2 ФИНАЛ</v>
      </c>
      <c r="C25" s="784" t="s">
        <v>1122</v>
      </c>
      <c r="D25" s="785" t="s">
        <v>793</v>
      </c>
      <c r="E25" s="786"/>
      <c r="F25" s="522">
        <f>F1+3</f>
        <v>116</v>
      </c>
      <c r="G25" s="519" t="s">
        <v>1123</v>
      </c>
      <c r="H25" s="787">
        <f>H1</f>
        <v>15</v>
      </c>
      <c r="I25" s="775">
        <v>1</v>
      </c>
      <c r="J25" s="782"/>
      <c r="K25" s="1414" t="str">
        <f>IF(H25&lt;=8,CONCATENATE(LOOKUP(F25,'Порядок встреч 2Ф'!A5:A68,'Порядок встреч 2Ф'!C5:C68),"-",LOOKUP(F25,'Порядок встреч 2Ф'!A5:A68,'Порядок встреч 2Ф'!D5:D68)),CONCATENATE(LOOKUP(F25,'Порядок встреч 2Ф'!I5:I60,'Порядок встреч 2Ф'!K5:K60),"-",LOOKUP(F25,'Порядок встреч 2Ф'!I5:I60,'Порядок встреч 2Ф'!L5:L60)))</f>
        <v>5-14</v>
      </c>
      <c r="L25" s="1402"/>
      <c r="M25" s="1403"/>
      <c r="N25" s="515"/>
      <c r="O25" s="515"/>
      <c r="P25" s="517"/>
      <c r="Q25" s="793" t="str">
        <f>B1</f>
        <v>2 ФИНАЛ</v>
      </c>
      <c r="R25" s="771" t="s">
        <v>1122</v>
      </c>
      <c r="S25" s="517" t="s">
        <v>793</v>
      </c>
      <c r="T25" s="518"/>
      <c r="U25" s="772">
        <f>F1+7</f>
        <v>120</v>
      </c>
      <c r="V25" s="773" t="s">
        <v>1123</v>
      </c>
      <c r="W25" s="774">
        <f>H1</f>
        <v>15</v>
      </c>
      <c r="X25" s="775">
        <v>1</v>
      </c>
      <c r="Y25" s="776"/>
      <c r="Z25" s="1401" t="str">
        <f>IF(W25&lt;=8,CONCATENATE(LOOKUP(U25,'Порядок встреч 2Ф'!A5:A68,'Порядок встреч 2Ф'!C5:C68),"-",LOOKUP(U25,'Порядок встреч 2Ф'!A5:A68,'Порядок встреч 2Ф'!D5:D68)),CONCATENATE(LOOKUP(U25,'Порядок встреч 2Ф'!I5:I60,'Порядок встреч 2Ф'!K5:K60),"-",LOOKUP(U25,'Порядок встреч 2Ф'!I5:I60,'Порядок встреч 2Ф'!L5:L60)))</f>
        <v>9-10</v>
      </c>
      <c r="AA25" s="1402"/>
      <c r="AB25" s="1403"/>
    </row>
    <row r="26" spans="1:28" ht="20.100000000000001" customHeight="1" thickTop="1" x14ac:dyDescent="0.25">
      <c r="A26" s="1371"/>
      <c r="B26" s="1373" t="s">
        <v>1124</v>
      </c>
      <c r="C26" s="1373" t="s">
        <v>44</v>
      </c>
      <c r="D26" s="1350" t="s">
        <v>1001</v>
      </c>
      <c r="E26" s="1350"/>
      <c r="F26" s="1350"/>
      <c r="G26" s="1350"/>
      <c r="H26" s="1351"/>
      <c r="I26" s="1351"/>
      <c r="J26" s="1351"/>
      <c r="K26" s="1352" t="s">
        <v>1134</v>
      </c>
      <c r="L26" s="1353"/>
      <c r="M26" s="1375"/>
      <c r="N26" s="523"/>
      <c r="O26" s="524"/>
      <c r="P26" s="1404"/>
      <c r="Q26" s="1405" t="s">
        <v>1124</v>
      </c>
      <c r="R26" s="1405" t="s">
        <v>44</v>
      </c>
      <c r="S26" s="1351" t="s">
        <v>1001</v>
      </c>
      <c r="T26" s="1351"/>
      <c r="U26" s="1351"/>
      <c r="V26" s="1351"/>
      <c r="W26" s="1351"/>
      <c r="X26" s="1351"/>
      <c r="Y26" s="1351"/>
      <c r="Z26" s="1352" t="s">
        <v>1134</v>
      </c>
      <c r="AA26" s="1353"/>
      <c r="AB26" s="1354"/>
    </row>
    <row r="27" spans="1:28" ht="20.100000000000001" customHeight="1" x14ac:dyDescent="0.25">
      <c r="A27" s="1372"/>
      <c r="B27" s="1374"/>
      <c r="C27" s="1374"/>
      <c r="D27" s="525">
        <v>1</v>
      </c>
      <c r="E27" s="525">
        <v>2</v>
      </c>
      <c r="F27" s="525">
        <v>3</v>
      </c>
      <c r="G27" s="525">
        <v>4</v>
      </c>
      <c r="H27" s="525">
        <v>5</v>
      </c>
      <c r="I27" s="526"/>
      <c r="J27" s="526"/>
      <c r="K27" s="1355"/>
      <c r="L27" s="1356"/>
      <c r="M27" s="1376"/>
      <c r="N27" s="523"/>
      <c r="O27" s="524"/>
      <c r="P27" s="1372"/>
      <c r="Q27" s="1374"/>
      <c r="R27" s="1374"/>
      <c r="S27" s="525">
        <v>1</v>
      </c>
      <c r="T27" s="525">
        <v>2</v>
      </c>
      <c r="U27" s="525">
        <v>3</v>
      </c>
      <c r="V27" s="525">
        <v>4</v>
      </c>
      <c r="W27" s="525">
        <v>5</v>
      </c>
      <c r="X27" s="526"/>
      <c r="Y27" s="526"/>
      <c r="Z27" s="1355"/>
      <c r="AA27" s="1356"/>
      <c r="AB27" s="1357"/>
    </row>
    <row r="28" spans="1:28" ht="54.95" customHeight="1" x14ac:dyDescent="0.25">
      <c r="A28" s="527">
        <f>IF(H25&lt;=8,VLOOKUP(F25,'Порядок встреч 2Ф'!A:G,5,FALSE),VLOOKUP(F25,'Порядок встреч 2Ф'!I:O,5,FALSE))</f>
        <v>0</v>
      </c>
      <c r="B28" s="528" t="e">
        <f>IF(A28="","",VLOOKUP(A28,'Списки участников'!A:I,3,FALSE))</f>
        <v>#N/A</v>
      </c>
      <c r="C28" s="529" t="e">
        <f>IF(A28="","",VLOOKUP(A28,'Списки участников'!A:I,6,FALSE))</f>
        <v>#N/A</v>
      </c>
      <c r="D28" s="530"/>
      <c r="E28" s="531"/>
      <c r="F28" s="532"/>
      <c r="G28" s="532"/>
      <c r="H28" s="532"/>
      <c r="I28" s="533"/>
      <c r="J28" s="533"/>
      <c r="K28" s="1361"/>
      <c r="L28" s="1362"/>
      <c r="M28" s="1413"/>
      <c r="N28" s="523"/>
      <c r="O28" s="524"/>
      <c r="P28" s="527">
        <f>IF(W25&lt;=8,VLOOKUP(U25,'Порядок встреч 2Ф'!A:G,5,FALSE),VLOOKUP(U25,'Порядок встреч 2Ф'!I:O,5,FALSE))</f>
        <v>0</v>
      </c>
      <c r="Q28" s="528" t="e">
        <f>IF(P28="","",VLOOKUP(P28,'Списки участников'!A:I,3,FALSE))</f>
        <v>#N/A</v>
      </c>
      <c r="R28" s="529" t="e">
        <f>IF(P28="","",VLOOKUP(P28,'Списки участников'!A:I,6,FALSE))</f>
        <v>#N/A</v>
      </c>
      <c r="S28" s="530"/>
      <c r="T28" s="531"/>
      <c r="U28" s="532"/>
      <c r="V28" s="532"/>
      <c r="W28" s="532"/>
      <c r="X28" s="533"/>
      <c r="Y28" s="533"/>
      <c r="Z28" s="1361"/>
      <c r="AA28" s="1362"/>
      <c r="AB28" s="1363"/>
    </row>
    <row r="29" spans="1:28" ht="54.95" customHeight="1" thickBot="1" x14ac:dyDescent="0.3">
      <c r="A29" s="527">
        <f>IF(H25&lt;=8,VLOOKUP(F25,'Порядок встреч 2Ф'!A:G,7,FALSE),VLOOKUP(F25,'Порядок встреч 2Ф'!I:O,7,FALSE))</f>
        <v>0</v>
      </c>
      <c r="B29" s="528" t="e">
        <f>IF(A29="","",VLOOKUP(A29,'Списки участников'!A:I,3,FALSE))</f>
        <v>#N/A</v>
      </c>
      <c r="C29" s="529" t="e">
        <f>IF(A29="","",VLOOKUP(A29,'Списки участников'!A:I,6,FALSE))</f>
        <v>#N/A</v>
      </c>
      <c r="D29" s="534"/>
      <c r="E29" s="535"/>
      <c r="F29" s="789"/>
      <c r="G29" s="789"/>
      <c r="H29" s="789"/>
      <c r="I29" s="790"/>
      <c r="J29" s="791"/>
      <c r="K29" s="1397"/>
      <c r="L29" s="1419"/>
      <c r="M29" s="1420"/>
      <c r="N29" s="523"/>
      <c r="O29" s="524"/>
      <c r="P29" s="792">
        <f>IF(W25&lt;=8,VLOOKUP(U25,'Порядок встреч 2Ф'!A:G,7,FALSE),VLOOKUP(U25,'Порядок встреч 2Ф'!I:O,7,FALSE))</f>
        <v>0</v>
      </c>
      <c r="Q29" s="795" t="e">
        <f>IF(P29="","",VLOOKUP(P29,'Списки участников'!A:I,3,FALSE))</f>
        <v>#N/A</v>
      </c>
      <c r="R29" s="796" t="e">
        <f>IF(P29="","",VLOOKUP(P29,'Списки участников'!A:I,6,FALSE))</f>
        <v>#N/A</v>
      </c>
      <c r="S29" s="534"/>
      <c r="T29" s="535"/>
      <c r="U29" s="536"/>
      <c r="V29" s="536"/>
      <c r="W29" s="536"/>
      <c r="X29" s="537"/>
      <c r="Y29" s="538"/>
      <c r="Z29" s="1364"/>
      <c r="AA29" s="1365"/>
      <c r="AB29" s="1367"/>
    </row>
    <row r="30" spans="1:28" ht="20.100000000000001" customHeight="1" thickTop="1" thickBot="1" x14ac:dyDescent="0.35">
      <c r="A30" s="1384" t="s">
        <v>1126</v>
      </c>
      <c r="B30" s="1385"/>
      <c r="C30" s="1385"/>
      <c r="D30" s="1386" t="s">
        <v>1127</v>
      </c>
      <c r="E30" s="1387"/>
      <c r="F30" s="1421" t="s">
        <v>1128</v>
      </c>
      <c r="G30" s="1422"/>
      <c r="H30" s="1422"/>
      <c r="I30" s="1422"/>
      <c r="J30" s="1422"/>
      <c r="K30" s="1422"/>
      <c r="L30" s="1422"/>
      <c r="M30" s="1423"/>
      <c r="N30" s="539"/>
      <c r="P30" s="1417" t="s">
        <v>1126</v>
      </c>
      <c r="Q30" s="1418"/>
      <c r="R30" s="1418"/>
      <c r="S30" s="1386" t="s">
        <v>1127</v>
      </c>
      <c r="T30" s="1387"/>
      <c r="U30" s="1424" t="s">
        <v>1128</v>
      </c>
      <c r="V30" s="1425"/>
      <c r="W30" s="1425"/>
      <c r="X30" s="1425"/>
      <c r="Y30" s="1425"/>
      <c r="Z30" s="1425"/>
      <c r="AA30" s="1425"/>
      <c r="AB30" s="1426"/>
    </row>
    <row r="31" spans="1:28" ht="30" customHeight="1" thickTop="1" thickBot="1" x14ac:dyDescent="0.3">
      <c r="A31" s="1377"/>
      <c r="B31" s="1378"/>
      <c r="C31" s="1378"/>
      <c r="D31" s="1378"/>
      <c r="E31" s="1379"/>
      <c r="F31" s="1380"/>
      <c r="G31" s="1381"/>
      <c r="H31" s="1381"/>
      <c r="I31" s="1381"/>
      <c r="J31" s="1381"/>
      <c r="K31" s="1381"/>
      <c r="L31" s="1381"/>
      <c r="M31" s="1382"/>
      <c r="N31" s="539"/>
      <c r="P31" s="1415"/>
      <c r="Q31" s="1416"/>
      <c r="R31" s="1416"/>
      <c r="S31" s="1416"/>
      <c r="T31" s="1379"/>
      <c r="U31" s="768"/>
      <c r="V31" s="769"/>
      <c r="W31" s="769"/>
      <c r="X31" s="769"/>
      <c r="Y31" s="769"/>
      <c r="Z31" s="1381"/>
      <c r="AA31" s="1381"/>
      <c r="AB31" s="1383"/>
    </row>
    <row r="32" spans="1:28" ht="15.75" thickTop="1" x14ac:dyDescent="0.25">
      <c r="A32" s="540"/>
      <c r="B32" s="540"/>
      <c r="C32" s="540"/>
      <c r="D32" s="540"/>
      <c r="E32" s="540"/>
      <c r="F32" s="540"/>
      <c r="G32" s="524"/>
      <c r="H32" s="524"/>
      <c r="I32" s="540"/>
      <c r="J32" s="540"/>
      <c r="K32" s="540"/>
      <c r="L32" s="540"/>
      <c r="M32" s="540"/>
      <c r="N32" s="541"/>
      <c r="O32" s="540"/>
      <c r="P32" s="540"/>
      <c r="Q32" s="797"/>
      <c r="R32" s="797"/>
      <c r="S32" s="797"/>
      <c r="T32" s="540"/>
      <c r="U32" s="540"/>
      <c r="V32" s="524"/>
      <c r="W32" s="524"/>
      <c r="X32" s="540"/>
      <c r="Y32" s="540"/>
      <c r="Z32" s="540"/>
      <c r="AA32" s="540"/>
      <c r="AB32" s="541"/>
    </row>
    <row r="34" spans="3:3" x14ac:dyDescent="0.25">
      <c r="C34" s="783"/>
    </row>
  </sheetData>
  <sheetProtection password="CEE7" sheet="1"/>
  <mergeCells count="112">
    <mergeCell ref="A31:C31"/>
    <mergeCell ref="D31:E31"/>
    <mergeCell ref="F31:M31"/>
    <mergeCell ref="P31:R31"/>
    <mergeCell ref="S31:T31"/>
    <mergeCell ref="Z31:AB31"/>
    <mergeCell ref="A30:C30"/>
    <mergeCell ref="D30:E30"/>
    <mergeCell ref="F30:M30"/>
    <mergeCell ref="P30:R30"/>
    <mergeCell ref="S30:T30"/>
    <mergeCell ref="U30:AB30"/>
    <mergeCell ref="S26:Y26"/>
    <mergeCell ref="Z26:AB27"/>
    <mergeCell ref="K28:M28"/>
    <mergeCell ref="Z28:AB28"/>
    <mergeCell ref="K29:M29"/>
    <mergeCell ref="Z29:AB29"/>
    <mergeCell ref="K25:M25"/>
    <mergeCell ref="Z25:AB25"/>
    <mergeCell ref="A26:A27"/>
    <mergeCell ref="B26:B27"/>
    <mergeCell ref="C26:C27"/>
    <mergeCell ref="D26:J26"/>
    <mergeCell ref="K26:M27"/>
    <mergeCell ref="P26:P27"/>
    <mergeCell ref="Q26:Q27"/>
    <mergeCell ref="R26:R27"/>
    <mergeCell ref="A23:C23"/>
    <mergeCell ref="D23:E23"/>
    <mergeCell ref="F23:M23"/>
    <mergeCell ref="P23:R23"/>
    <mergeCell ref="S23:T23"/>
    <mergeCell ref="U23:AB23"/>
    <mergeCell ref="A22:C22"/>
    <mergeCell ref="D22:E22"/>
    <mergeCell ref="F22:M22"/>
    <mergeCell ref="P22:R22"/>
    <mergeCell ref="S22:T22"/>
    <mergeCell ref="U22:AB22"/>
    <mergeCell ref="S18:Y18"/>
    <mergeCell ref="Z18:AB19"/>
    <mergeCell ref="K20:M20"/>
    <mergeCell ref="Z20:AB20"/>
    <mergeCell ref="K21:M21"/>
    <mergeCell ref="Z21:AB21"/>
    <mergeCell ref="K17:M17"/>
    <mergeCell ref="Z17:AB17"/>
    <mergeCell ref="A18:A19"/>
    <mergeCell ref="B18:B19"/>
    <mergeCell ref="C18:C19"/>
    <mergeCell ref="D18:J18"/>
    <mergeCell ref="K18:M19"/>
    <mergeCell ref="P18:P19"/>
    <mergeCell ref="Q18:Q19"/>
    <mergeCell ref="R18:R19"/>
    <mergeCell ref="A15:C15"/>
    <mergeCell ref="D15:E15"/>
    <mergeCell ref="F15:M15"/>
    <mergeCell ref="P15:R15"/>
    <mergeCell ref="S15:T15"/>
    <mergeCell ref="U15:AB15"/>
    <mergeCell ref="A14:C14"/>
    <mergeCell ref="D14:E14"/>
    <mergeCell ref="F14:M14"/>
    <mergeCell ref="P14:R14"/>
    <mergeCell ref="S14:T14"/>
    <mergeCell ref="U14:AB14"/>
    <mergeCell ref="S10:Y10"/>
    <mergeCell ref="Z10:AB11"/>
    <mergeCell ref="K12:M12"/>
    <mergeCell ref="Z12:AB12"/>
    <mergeCell ref="K13:L13"/>
    <mergeCell ref="Z13:AB13"/>
    <mergeCell ref="K9:M9"/>
    <mergeCell ref="Z9:AB9"/>
    <mergeCell ref="A10:A11"/>
    <mergeCell ref="B10:B11"/>
    <mergeCell ref="C10:C11"/>
    <mergeCell ref="D10:J10"/>
    <mergeCell ref="K10:M11"/>
    <mergeCell ref="P10:P11"/>
    <mergeCell ref="Q10:Q11"/>
    <mergeCell ref="R10:R11"/>
    <mergeCell ref="A7:C7"/>
    <mergeCell ref="D7:E7"/>
    <mergeCell ref="F7:M7"/>
    <mergeCell ref="P7:R7"/>
    <mergeCell ref="S7:T7"/>
    <mergeCell ref="U7:AB7"/>
    <mergeCell ref="A6:C6"/>
    <mergeCell ref="D6:E6"/>
    <mergeCell ref="F6:M6"/>
    <mergeCell ref="P6:R6"/>
    <mergeCell ref="S6:T6"/>
    <mergeCell ref="U6:AB6"/>
    <mergeCell ref="S2:Y2"/>
    <mergeCell ref="Z2:AB3"/>
    <mergeCell ref="K4:M4"/>
    <mergeCell ref="Z4:AB4"/>
    <mergeCell ref="K5:M5"/>
    <mergeCell ref="Z5:AB5"/>
    <mergeCell ref="K1:M1"/>
    <mergeCell ref="Z1:AB1"/>
    <mergeCell ref="A2:A3"/>
    <mergeCell ref="B2:B3"/>
    <mergeCell ref="C2:C3"/>
    <mergeCell ref="D2:J2"/>
    <mergeCell ref="K2:M3"/>
    <mergeCell ref="P2:P3"/>
    <mergeCell ref="Q2:Q3"/>
    <mergeCell ref="R2:R3"/>
  </mergeCells>
  <pageMargins left="0.11811023622047245" right="0.11811023622047245" top="0.15748031496062992" bottom="0.15748031496062992" header="0.31496062992125984" footer="0.31496062992125984"/>
  <pageSetup paperSize="9" scale="59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9"/>
  </sheetPr>
  <dimension ref="A1:AE34"/>
  <sheetViews>
    <sheetView view="pageBreakPreview" topLeftCell="B1" zoomScale="80" zoomScaleNormal="100" zoomScaleSheetLayoutView="80" workbookViewId="0">
      <selection activeCell="H4" sqref="H4"/>
    </sheetView>
  </sheetViews>
  <sheetFormatPr defaultColWidth="9.33203125" defaultRowHeight="15" outlineLevelCol="1" x14ac:dyDescent="0.25"/>
  <cols>
    <col min="1" max="1" width="7.6640625" style="135" hidden="1" customWidth="1" outlineLevel="1"/>
    <col min="2" max="2" width="47.33203125" style="135" customWidth="1" collapsed="1"/>
    <col min="3" max="3" width="20.83203125" style="135" customWidth="1"/>
    <col min="4" max="8" width="10.83203125" style="135" customWidth="1"/>
    <col min="9" max="10" width="0" style="135" hidden="1" customWidth="1"/>
    <col min="11" max="11" width="6.6640625" style="135" customWidth="1"/>
    <col min="12" max="12" width="0.6640625" style="135" hidden="1" customWidth="1"/>
    <col min="13" max="13" width="6.6640625" style="135" customWidth="1"/>
    <col min="14" max="15" width="3.1640625" style="135" customWidth="1"/>
    <col min="16" max="16" width="8.33203125" style="135" hidden="1" customWidth="1" outlineLevel="1"/>
    <col min="17" max="17" width="45.33203125" style="135" customWidth="1" collapsed="1"/>
    <col min="18" max="18" width="19.1640625" style="135" customWidth="1"/>
    <col min="19" max="23" width="10.83203125" style="135" customWidth="1"/>
    <col min="24" max="25" width="0" style="135" hidden="1" customWidth="1"/>
    <col min="26" max="26" width="10.83203125" style="135" customWidth="1"/>
    <col min="27" max="27" width="10.6640625" style="135" hidden="1" customWidth="1"/>
    <col min="28" max="28" width="2" style="135" customWidth="1"/>
    <col min="29" max="16384" width="9.33203125" style="135"/>
  </cols>
  <sheetData>
    <row r="1" spans="1:31" s="515" customFormat="1" ht="20.100000000000001" customHeight="1" thickTop="1" thickBot="1" x14ac:dyDescent="0.35">
      <c r="B1" s="765" t="str">
        <f>'Порядок встреч 3Ф'!H2</f>
        <v>3 ФИНАЛ</v>
      </c>
      <c r="C1" s="516" t="s">
        <v>1122</v>
      </c>
      <c r="D1" s="517" t="s">
        <v>793</v>
      </c>
      <c r="E1" s="518"/>
      <c r="F1" s="764">
        <f>LOOKUP(H1,'Порядок встреч 1Ф'!Q5:Q19,'Порядок встреч 1Ф'!R5:R19)</f>
        <v>113</v>
      </c>
      <c r="G1" s="519" t="s">
        <v>1123</v>
      </c>
      <c r="H1" s="798">
        <v>15</v>
      </c>
      <c r="I1" s="520">
        <v>1</v>
      </c>
      <c r="J1" s="521"/>
      <c r="K1" s="1368" t="str">
        <f>IF(H1&lt;=8,CONCATENATE(LOOKUP(F1,'Порядок встреч 2Ф'!A5:A68,'Порядок встреч 2Ф'!C5:C68),"-",LOOKUP(F1,'Порядок встреч 2Ф'!A5:A68,'Порядок встреч 2Ф'!D5:D68)),CONCATENATE(LOOKUP(F1,'Порядок встреч 2Ф'!I5:I60,'Порядок встреч 2Ф'!K5:K60),"-",LOOKUP(F1,'Порядок встреч 2Ф'!I5:I60,'Порядок встреч 2Ф'!L5:L60)))</f>
        <v>1-2</v>
      </c>
      <c r="L1" s="1369"/>
      <c r="M1" s="1370"/>
      <c r="P1" s="782"/>
      <c r="Q1" s="770" t="str">
        <f>B1</f>
        <v>3 ФИНАЛ</v>
      </c>
      <c r="R1" s="771" t="s">
        <v>1122</v>
      </c>
      <c r="S1" s="517" t="s">
        <v>793</v>
      </c>
      <c r="T1" s="518"/>
      <c r="U1" s="772">
        <f>F1+4</f>
        <v>117</v>
      </c>
      <c r="V1" s="773" t="s">
        <v>1123</v>
      </c>
      <c r="W1" s="774">
        <f>H1</f>
        <v>15</v>
      </c>
      <c r="X1" s="775">
        <v>1</v>
      </c>
      <c r="Y1" s="782"/>
      <c r="Z1" s="1368" t="str">
        <f>IF(W1&lt;=8,CONCATENATE(LOOKUP(U1,'Порядок встреч 2Ф'!A5:A68,'Порядок встреч 2Ф'!C5:C68),"-",LOOKUP(U1,'Порядок встреч 2Ф'!A5:A68,'Порядок встреч 2Ф'!D5:D68)),CONCATENATE(LOOKUP(U1,'Порядок встреч 2Ф'!I5:I60,'Порядок встреч 2Ф'!K5:K60),"-",LOOKUP(U1,'Порядок встреч 2Ф'!I5:I60,'Порядок встреч 2Ф'!L5:L60)))</f>
        <v>6-13</v>
      </c>
      <c r="AA1" s="1369"/>
      <c r="AB1" s="1369"/>
    </row>
    <row r="2" spans="1:31" ht="16.5" customHeight="1" thickTop="1" x14ac:dyDescent="0.25">
      <c r="A2" s="1371"/>
      <c r="B2" s="1373" t="s">
        <v>1124</v>
      </c>
      <c r="C2" s="1373" t="s">
        <v>44</v>
      </c>
      <c r="D2" s="1350" t="s">
        <v>1001</v>
      </c>
      <c r="E2" s="1350"/>
      <c r="F2" s="1350"/>
      <c r="G2" s="1350"/>
      <c r="H2" s="1351"/>
      <c r="I2" s="1351"/>
      <c r="J2" s="1351"/>
      <c r="K2" s="1352" t="s">
        <v>1134</v>
      </c>
      <c r="L2" s="1353"/>
      <c r="M2" s="1375"/>
      <c r="N2" s="523"/>
      <c r="O2" s="524"/>
      <c r="P2" s="1371"/>
      <c r="Q2" s="1373" t="s">
        <v>1124</v>
      </c>
      <c r="R2" s="1373" t="s">
        <v>44</v>
      </c>
      <c r="S2" s="1350" t="s">
        <v>1001</v>
      </c>
      <c r="T2" s="1350"/>
      <c r="U2" s="1350"/>
      <c r="V2" s="1350"/>
      <c r="W2" s="1351"/>
      <c r="X2" s="1351"/>
      <c r="Y2" s="1351"/>
      <c r="Z2" s="1352" t="s">
        <v>1125</v>
      </c>
      <c r="AA2" s="1353"/>
      <c r="AB2" s="1354"/>
    </row>
    <row r="3" spans="1:31" ht="15.75" x14ac:dyDescent="0.25">
      <c r="A3" s="1372"/>
      <c r="B3" s="1374"/>
      <c r="C3" s="1374"/>
      <c r="D3" s="525">
        <v>1</v>
      </c>
      <c r="E3" s="525">
        <v>2</v>
      </c>
      <c r="F3" s="525">
        <v>3</v>
      </c>
      <c r="G3" s="525">
        <v>4</v>
      </c>
      <c r="H3" s="525">
        <v>5</v>
      </c>
      <c r="I3" s="526"/>
      <c r="J3" s="526"/>
      <c r="K3" s="1355"/>
      <c r="L3" s="1356"/>
      <c r="M3" s="1376"/>
      <c r="N3" s="523"/>
      <c r="O3" s="524"/>
      <c r="P3" s="1372"/>
      <c r="Q3" s="1374"/>
      <c r="R3" s="1374"/>
      <c r="S3" s="525">
        <v>1</v>
      </c>
      <c r="T3" s="525">
        <v>2</v>
      </c>
      <c r="U3" s="525">
        <v>3</v>
      </c>
      <c r="V3" s="525">
        <v>4</v>
      </c>
      <c r="W3" s="525">
        <v>5</v>
      </c>
      <c r="X3" s="526"/>
      <c r="Y3" s="526"/>
      <c r="Z3" s="1355"/>
      <c r="AA3" s="1356"/>
      <c r="AB3" s="1357"/>
    </row>
    <row r="4" spans="1:31" ht="54.95" customHeight="1" x14ac:dyDescent="0.25">
      <c r="A4" s="527">
        <f>IF(H1&lt;=8,VLOOKUP(F1,'Порядок встреч 3Ф'!A:G,5,FALSE),VLOOKUP(F1,'Порядок встреч 3Ф'!I:O,5,FALSE))</f>
        <v>0</v>
      </c>
      <c r="B4" s="528" t="e">
        <f>IF(A4="","",VLOOKUP(A4,'Списки участников'!A:I,3,FALSE))</f>
        <v>#N/A</v>
      </c>
      <c r="C4" s="529" t="e">
        <f>IF(A4="","",VLOOKUP(A4,'Списки участников'!A:I,6,FALSE))</f>
        <v>#N/A</v>
      </c>
      <c r="D4" s="530"/>
      <c r="E4" s="531"/>
      <c r="F4" s="532"/>
      <c r="G4" s="532"/>
      <c r="H4" s="532"/>
      <c r="I4" s="533"/>
      <c r="J4" s="533"/>
      <c r="K4" s="1358"/>
      <c r="L4" s="1359"/>
      <c r="M4" s="1360"/>
      <c r="N4" s="523"/>
      <c r="O4" s="524"/>
      <c r="P4" s="527">
        <f>IF(W1&lt;=8,VLOOKUP(U1,'Порядок встреч 3Ф'!A:G,5,FALSE),VLOOKUP(U1,'Порядок встреч 3Ф'!I:O,5,FALSE))</f>
        <v>0</v>
      </c>
      <c r="Q4" s="528" t="e">
        <f>IF(P4="","",VLOOKUP(P4,'Списки участников'!A:I,3,FALSE))</f>
        <v>#N/A</v>
      </c>
      <c r="R4" s="529" t="e">
        <f>IF(P4="","",VLOOKUP(P4,'Списки участников'!A:I,6,FALSE))</f>
        <v>#N/A</v>
      </c>
      <c r="S4" s="530"/>
      <c r="T4" s="531"/>
      <c r="U4" s="532"/>
      <c r="V4" s="532"/>
      <c r="W4" s="532"/>
      <c r="X4" s="533"/>
      <c r="Y4" s="533"/>
      <c r="Z4" s="1361"/>
      <c r="AA4" s="1362"/>
      <c r="AB4" s="1363"/>
    </row>
    <row r="5" spans="1:31" ht="54.95" customHeight="1" thickBot="1" x14ac:dyDescent="0.3">
      <c r="A5" s="527">
        <f>IF(H1&lt;=8,VLOOKUP(F1,'Порядок встреч 3Ф'!A:G,7,FALSE),VLOOKUP(F1,'Порядок встреч 3Ф'!I:O,7,FALSE))</f>
        <v>0</v>
      </c>
      <c r="B5" s="528" t="e">
        <f>IF(A5="","",VLOOKUP(A5,'Списки участников'!A:I,3,FALSE))</f>
        <v>#N/A</v>
      </c>
      <c r="C5" s="529" t="e">
        <f>IF(A5="","",VLOOKUP(A5,'Списки участников'!A:I,6,FALSE))</f>
        <v>#N/A</v>
      </c>
      <c r="D5" s="534"/>
      <c r="E5" s="535"/>
      <c r="F5" s="536"/>
      <c r="G5" s="536"/>
      <c r="H5" s="536"/>
      <c r="I5" s="537"/>
      <c r="J5" s="538"/>
      <c r="K5" s="1364"/>
      <c r="L5" s="1365"/>
      <c r="M5" s="1366"/>
      <c r="N5" s="523"/>
      <c r="O5" s="524"/>
      <c r="P5" s="527">
        <f>IF(W1&lt;=8,VLOOKUP(U1,'Порядок встреч 3Ф'!A:G,7,FALSE),VLOOKUP(U1,'Порядок встреч 3Ф'!I:O,7,FALSE))</f>
        <v>0</v>
      </c>
      <c r="Q5" s="528" t="e">
        <f>IF(P5="","",VLOOKUP(P5,'Списки участников'!A:I,3,FALSE))</f>
        <v>#N/A</v>
      </c>
      <c r="R5" s="529" t="e">
        <f>IF(P5="","",VLOOKUP(P5,'Списки участников'!A:I,6,FALSE))</f>
        <v>#N/A</v>
      </c>
      <c r="S5" s="534"/>
      <c r="T5" s="535"/>
      <c r="U5" s="536"/>
      <c r="V5" s="536"/>
      <c r="W5" s="536"/>
      <c r="X5" s="537"/>
      <c r="Y5" s="538"/>
      <c r="Z5" s="1364"/>
      <c r="AA5" s="1365"/>
      <c r="AB5" s="1367"/>
    </row>
    <row r="6" spans="1:31" ht="20.100000000000001" customHeight="1" thickTop="1" thickBot="1" x14ac:dyDescent="0.35">
      <c r="A6" s="1384" t="s">
        <v>1126</v>
      </c>
      <c r="B6" s="1385"/>
      <c r="C6" s="1385"/>
      <c r="D6" s="1386" t="s">
        <v>1127</v>
      </c>
      <c r="E6" s="1387"/>
      <c r="F6" s="1388" t="s">
        <v>1128</v>
      </c>
      <c r="G6" s="1388"/>
      <c r="H6" s="1388"/>
      <c r="I6" s="1388"/>
      <c r="J6" s="1388"/>
      <c r="K6" s="1388"/>
      <c r="L6" s="1388"/>
      <c r="M6" s="1388"/>
      <c r="N6" s="539"/>
      <c r="P6" s="1384" t="s">
        <v>1126</v>
      </c>
      <c r="Q6" s="1385"/>
      <c r="R6" s="1385"/>
      <c r="S6" s="1386" t="s">
        <v>1127</v>
      </c>
      <c r="T6" s="1387"/>
      <c r="U6" s="1389" t="s">
        <v>1128</v>
      </c>
      <c r="V6" s="1390"/>
      <c r="W6" s="1390"/>
      <c r="X6" s="1390"/>
      <c r="Y6" s="1390"/>
      <c r="Z6" s="1390"/>
      <c r="AA6" s="1390"/>
      <c r="AB6" s="1391"/>
    </row>
    <row r="7" spans="1:31" ht="30" customHeight="1" thickTop="1" thickBot="1" x14ac:dyDescent="0.3">
      <c r="A7" s="1377"/>
      <c r="B7" s="1378"/>
      <c r="C7" s="1378"/>
      <c r="D7" s="1378"/>
      <c r="E7" s="1379"/>
      <c r="F7" s="1380"/>
      <c r="G7" s="1381"/>
      <c r="H7" s="1381"/>
      <c r="I7" s="1381"/>
      <c r="J7" s="1381"/>
      <c r="K7" s="1381"/>
      <c r="L7" s="1381"/>
      <c r="M7" s="1382"/>
      <c r="N7" s="539"/>
      <c r="P7" s="1377"/>
      <c r="Q7" s="1378"/>
      <c r="R7" s="1378"/>
      <c r="S7" s="1378"/>
      <c r="T7" s="1379"/>
      <c r="U7" s="1380"/>
      <c r="V7" s="1381"/>
      <c r="W7" s="1381"/>
      <c r="X7" s="1381"/>
      <c r="Y7" s="1381"/>
      <c r="Z7" s="1381"/>
      <c r="AA7" s="1381"/>
      <c r="AB7" s="1383"/>
      <c r="AD7" s="524"/>
      <c r="AE7" s="524"/>
    </row>
    <row r="8" spans="1:31" ht="20.100000000000001" customHeight="1" thickTop="1" thickBot="1" x14ac:dyDescent="0.3">
      <c r="A8" s="524"/>
      <c r="B8" s="524"/>
      <c r="C8" s="524"/>
      <c r="D8" s="524"/>
      <c r="E8" s="524"/>
      <c r="F8" s="524"/>
      <c r="G8" s="524"/>
      <c r="H8" s="524"/>
      <c r="I8" s="524"/>
      <c r="J8" s="524"/>
      <c r="K8" s="524"/>
      <c r="L8" s="524"/>
      <c r="M8" s="524"/>
      <c r="N8" s="541"/>
      <c r="O8" s="540"/>
      <c r="P8" s="524"/>
      <c r="Q8" s="524"/>
      <c r="R8" s="524"/>
      <c r="S8" s="524"/>
      <c r="T8" s="524"/>
      <c r="U8" s="524"/>
      <c r="V8" s="524"/>
      <c r="W8" s="524"/>
      <c r="X8" s="524"/>
      <c r="Y8" s="524"/>
      <c r="Z8" s="524"/>
      <c r="AA8" s="524"/>
      <c r="AB8" s="539"/>
      <c r="AD8" s="524"/>
      <c r="AE8" s="524"/>
    </row>
    <row r="9" spans="1:31" ht="20.100000000000001" customHeight="1" thickTop="1" thickBot="1" x14ac:dyDescent="0.35">
      <c r="A9" s="517"/>
      <c r="B9" s="770" t="str">
        <f>B1</f>
        <v>3 ФИНАЛ</v>
      </c>
      <c r="C9" s="771" t="s">
        <v>1122</v>
      </c>
      <c r="D9" s="517" t="s">
        <v>793</v>
      </c>
      <c r="E9" s="518"/>
      <c r="F9" s="772">
        <f>F1+1</f>
        <v>114</v>
      </c>
      <c r="G9" s="773" t="s">
        <v>1123</v>
      </c>
      <c r="H9" s="774">
        <f>H1</f>
        <v>15</v>
      </c>
      <c r="I9" s="775">
        <v>1</v>
      </c>
      <c r="J9" s="776"/>
      <c r="K9" s="1401" t="str">
        <f>IF(H9&lt;=8,CONCATENATE(LOOKUP(F9,'Порядок встреч 2Ф'!A5:A68,'Порядок встреч 2Ф'!C5:C68),"-",LOOKUP(F9,'Порядок встреч 2Ф'!A5:A68,'Порядок встреч 2Ф'!D5:D68)),CONCATENATE(LOOKUP(F9,'Порядок встреч 2Ф'!I5:I60,'Порядок встреч 2Ф'!K5:K60),"-",LOOKUP(F9,'Порядок встреч 2Ф'!I5:I60,'Порядок встреч 2Ф'!L5:L60)))</f>
        <v>3-16</v>
      </c>
      <c r="L9" s="1402"/>
      <c r="M9" s="1403"/>
      <c r="N9" s="515"/>
      <c r="O9" s="515"/>
      <c r="P9" s="517"/>
      <c r="Q9" s="793" t="str">
        <f>B1</f>
        <v>3 ФИНАЛ</v>
      </c>
      <c r="R9" s="794" t="s">
        <v>1122</v>
      </c>
      <c r="S9" s="517" t="s">
        <v>793</v>
      </c>
      <c r="T9" s="518"/>
      <c r="U9" s="772">
        <f>F1+5</f>
        <v>118</v>
      </c>
      <c r="V9" s="773" t="s">
        <v>1123</v>
      </c>
      <c r="W9" s="774">
        <f>H1</f>
        <v>15</v>
      </c>
      <c r="X9" s="775">
        <v>1</v>
      </c>
      <c r="Y9" s="776"/>
      <c r="Z9" s="1401" t="str">
        <f>IF(W9&lt;=8,CONCATENATE(LOOKUP(U9,'Порядок встреч 2Ф'!A5:A68,'Порядок встреч 2Ф'!C5:C68),"-",LOOKUP(U9,'Порядок встреч 2Ф'!A5:A68,'Порядок встреч 2Ф'!D5:D68)),CONCATENATE(LOOKUP(U9,'Порядок встреч 2Ф'!I5:I60,'Порядок встреч 2Ф'!K5:K60),"-",LOOKUP(U9,'Порядок встреч 2Ф'!I5:I60,'Порядок встреч 2Ф'!L5:L60)))</f>
        <v>7-12</v>
      </c>
      <c r="AA9" s="1402"/>
      <c r="AB9" s="1403"/>
      <c r="AC9" s="524"/>
      <c r="AD9" s="524"/>
      <c r="AE9" s="524"/>
    </row>
    <row r="10" spans="1:31" ht="20.100000000000001" customHeight="1" thickTop="1" x14ac:dyDescent="0.25">
      <c r="A10" s="1371"/>
      <c r="B10" s="1373" t="s">
        <v>1124</v>
      </c>
      <c r="C10" s="1373" t="s">
        <v>44</v>
      </c>
      <c r="D10" s="1350" t="s">
        <v>1001</v>
      </c>
      <c r="E10" s="1350"/>
      <c r="F10" s="1350"/>
      <c r="G10" s="1350"/>
      <c r="H10" s="1351"/>
      <c r="I10" s="1351"/>
      <c r="J10" s="1351"/>
      <c r="K10" s="1352" t="s">
        <v>1134</v>
      </c>
      <c r="L10" s="1353"/>
      <c r="M10" s="1375"/>
      <c r="N10" s="523"/>
      <c r="O10" s="524"/>
      <c r="P10" s="1404"/>
      <c r="Q10" s="1405" t="s">
        <v>1124</v>
      </c>
      <c r="R10" s="1405" t="s">
        <v>44</v>
      </c>
      <c r="S10" s="1351" t="s">
        <v>1001</v>
      </c>
      <c r="T10" s="1351"/>
      <c r="U10" s="1351"/>
      <c r="V10" s="1351"/>
      <c r="W10" s="1351"/>
      <c r="X10" s="1351"/>
      <c r="Y10" s="1351"/>
      <c r="Z10" s="1392" t="s">
        <v>1134</v>
      </c>
      <c r="AA10" s="1393"/>
      <c r="AB10" s="1394"/>
    </row>
    <row r="11" spans="1:31" ht="20.100000000000001" customHeight="1" x14ac:dyDescent="0.25">
      <c r="A11" s="1372"/>
      <c r="B11" s="1374"/>
      <c r="C11" s="1374"/>
      <c r="D11" s="525">
        <v>1</v>
      </c>
      <c r="E11" s="525">
        <v>2</v>
      </c>
      <c r="F11" s="525">
        <v>3</v>
      </c>
      <c r="G11" s="525">
        <v>4</v>
      </c>
      <c r="H11" s="525">
        <v>5</v>
      </c>
      <c r="I11" s="526"/>
      <c r="J11" s="526"/>
      <c r="K11" s="1355"/>
      <c r="L11" s="1356"/>
      <c r="M11" s="1376"/>
      <c r="N11" s="523"/>
      <c r="O11" s="524"/>
      <c r="P11" s="1372"/>
      <c r="Q11" s="1374"/>
      <c r="R11" s="1374"/>
      <c r="S11" s="525">
        <v>1</v>
      </c>
      <c r="T11" s="525">
        <v>2</v>
      </c>
      <c r="U11" s="525">
        <v>3</v>
      </c>
      <c r="V11" s="525">
        <v>4</v>
      </c>
      <c r="W11" s="525">
        <v>5</v>
      </c>
      <c r="X11" s="526"/>
      <c r="Y11" s="526"/>
      <c r="Z11" s="1355"/>
      <c r="AA11" s="1356"/>
      <c r="AB11" s="1376"/>
    </row>
    <row r="12" spans="1:31" ht="54.95" customHeight="1" x14ac:dyDescent="0.25">
      <c r="A12" s="527">
        <f>IF(H9&lt;=8,VLOOKUP(F9,'Порядок встреч 3Ф'!A:G,5,FALSE),VLOOKUP(F9,'Порядок встреч 3Ф'!I:O,5,FALSE))</f>
        <v>0</v>
      </c>
      <c r="B12" s="528" t="e">
        <f>IF(A12="","",VLOOKUP(A12,'Списки участников'!A:I,3,FALSE))</f>
        <v>#N/A</v>
      </c>
      <c r="C12" s="529" t="e">
        <f>IF(A12="","",VLOOKUP(A12,'Списки участников'!A:I,6,FALSE))</f>
        <v>#N/A</v>
      </c>
      <c r="D12" s="530"/>
      <c r="E12" s="531"/>
      <c r="F12" s="532"/>
      <c r="G12" s="532"/>
      <c r="H12" s="532"/>
      <c r="I12" s="533"/>
      <c r="J12" s="533"/>
      <c r="K12" s="1358"/>
      <c r="L12" s="1359"/>
      <c r="M12" s="1360"/>
      <c r="N12" s="523"/>
      <c r="O12" s="524"/>
      <c r="P12" s="527">
        <f>IF(W9&lt;=8,VLOOKUP(U9,'Порядок встреч 3Ф'!A:G,5,FALSE),VLOOKUP(U9,'Порядок встреч 3Ф'!I:O,5,FALSE))</f>
        <v>0</v>
      </c>
      <c r="Q12" s="528" t="e">
        <f>IF(P12="","",VLOOKUP(P12,'Списки участников'!A:I,3,FALSE))</f>
        <v>#N/A</v>
      </c>
      <c r="R12" s="529" t="e">
        <f>IF(P12="","",VLOOKUP(P12,'Списки участников'!A:I,6,FALSE))</f>
        <v>#N/A</v>
      </c>
      <c r="S12" s="530"/>
      <c r="T12" s="531"/>
      <c r="U12" s="532"/>
      <c r="V12" s="532"/>
      <c r="W12" s="532"/>
      <c r="X12" s="533"/>
      <c r="Y12" s="533"/>
      <c r="Z12" s="1358"/>
      <c r="AA12" s="1359"/>
      <c r="AB12" s="1395"/>
    </row>
    <row r="13" spans="1:31" ht="54.95" customHeight="1" thickBot="1" x14ac:dyDescent="0.3">
      <c r="A13" s="527">
        <f>IF(H9&lt;=8,VLOOKUP(F9,'Порядок встреч 3Ф'!A:G,7,FALSE),VLOOKUP(F9,'Порядок встреч 3Ф'!I:O,7,FALSE))</f>
        <v>0</v>
      </c>
      <c r="B13" s="528" t="e">
        <f>IF(A13="","",VLOOKUP(A13,'Списки участников'!A:I,3,FALSE))</f>
        <v>#N/A</v>
      </c>
      <c r="C13" s="529" t="e">
        <f>IF(A13="","",VLOOKUP(A13,'Списки участников'!A:I,6,FALSE))</f>
        <v>#N/A</v>
      </c>
      <c r="D13" s="534"/>
      <c r="E13" s="535"/>
      <c r="F13" s="779"/>
      <c r="G13" s="779"/>
      <c r="H13" s="779"/>
      <c r="I13" s="780"/>
      <c r="J13" s="781"/>
      <c r="K13" s="1396"/>
      <c r="L13" s="1397"/>
      <c r="M13" s="767"/>
      <c r="N13" s="523"/>
      <c r="O13" s="524"/>
      <c r="P13" s="527">
        <f>IF(W9&lt;=8,VLOOKUP(U9,'Порядок встреч 3Ф'!A:G,7,FALSE),VLOOKUP(U9,'Порядок встреч 3Ф'!I:O,7,FALSE))</f>
        <v>0</v>
      </c>
      <c r="Q13" s="528" t="e">
        <f>IF(P13="","",VLOOKUP(P13,'Списки участников'!A:I,3,FALSE))</f>
        <v>#N/A</v>
      </c>
      <c r="R13" s="529" t="e">
        <f>IF(P13="","",VLOOKUP(P13,'Списки участников'!A:I,6,FALSE))</f>
        <v>#N/A</v>
      </c>
      <c r="S13" s="534"/>
      <c r="T13" s="535"/>
      <c r="U13" s="536"/>
      <c r="V13" s="536"/>
      <c r="W13" s="536"/>
      <c r="X13" s="537"/>
      <c r="Y13" s="538"/>
      <c r="Z13" s="1398"/>
      <c r="AA13" s="1399"/>
      <c r="AB13" s="1400"/>
    </row>
    <row r="14" spans="1:31" ht="20.100000000000001" customHeight="1" thickTop="1" thickBot="1" x14ac:dyDescent="0.35">
      <c r="A14" s="1384" t="s">
        <v>1126</v>
      </c>
      <c r="B14" s="1385"/>
      <c r="C14" s="1385"/>
      <c r="D14" s="1386" t="s">
        <v>1127</v>
      </c>
      <c r="E14" s="1408"/>
      <c r="F14" s="1389" t="s">
        <v>1128</v>
      </c>
      <c r="G14" s="1390"/>
      <c r="H14" s="1390"/>
      <c r="I14" s="1390"/>
      <c r="J14" s="1390"/>
      <c r="K14" s="1390"/>
      <c r="L14" s="1390"/>
      <c r="M14" s="1409"/>
      <c r="N14" s="539"/>
      <c r="P14" s="1384" t="s">
        <v>1126</v>
      </c>
      <c r="Q14" s="1385"/>
      <c r="R14" s="1385"/>
      <c r="S14" s="1386" t="s">
        <v>1127</v>
      </c>
      <c r="T14" s="1387"/>
      <c r="U14" s="1410" t="s">
        <v>1128</v>
      </c>
      <c r="V14" s="1411"/>
      <c r="W14" s="1411"/>
      <c r="X14" s="1411"/>
      <c r="Y14" s="1411"/>
      <c r="Z14" s="1411"/>
      <c r="AA14" s="1411"/>
      <c r="AB14" s="1412"/>
    </row>
    <row r="15" spans="1:31" ht="30" customHeight="1" thickTop="1" thickBot="1" x14ac:dyDescent="0.3">
      <c r="A15" s="1377"/>
      <c r="B15" s="1378"/>
      <c r="C15" s="1378"/>
      <c r="D15" s="1378"/>
      <c r="E15" s="1379"/>
      <c r="F15" s="1406"/>
      <c r="G15" s="1406"/>
      <c r="H15" s="1406"/>
      <c r="I15" s="1406"/>
      <c r="J15" s="1406"/>
      <c r="K15" s="1406"/>
      <c r="L15" s="1406"/>
      <c r="M15" s="1407"/>
      <c r="N15" s="539"/>
      <c r="P15" s="1377"/>
      <c r="Q15" s="1378"/>
      <c r="R15" s="1378"/>
      <c r="S15" s="1378"/>
      <c r="T15" s="1379"/>
      <c r="U15" s="1380"/>
      <c r="V15" s="1381"/>
      <c r="W15" s="1381"/>
      <c r="X15" s="1381"/>
      <c r="Y15" s="1381"/>
      <c r="Z15" s="1381"/>
      <c r="AA15" s="1381"/>
      <c r="AB15" s="1383"/>
    </row>
    <row r="16" spans="1:31" ht="16.5" customHeight="1" thickTop="1" thickBot="1" x14ac:dyDescent="0.3">
      <c r="A16" s="524"/>
      <c r="B16" s="524"/>
      <c r="C16" s="524"/>
      <c r="D16" s="524"/>
      <c r="E16" s="524"/>
      <c r="F16" s="524"/>
      <c r="G16" s="524"/>
      <c r="H16" s="524"/>
      <c r="I16" s="524"/>
      <c r="J16" s="524"/>
      <c r="K16" s="524"/>
      <c r="L16" s="524"/>
      <c r="M16" s="524"/>
      <c r="N16" s="541"/>
      <c r="O16" s="540"/>
      <c r="P16" s="524"/>
      <c r="Q16" s="524"/>
      <c r="R16" s="524"/>
      <c r="S16" s="524"/>
      <c r="T16" s="524"/>
      <c r="U16" s="524"/>
      <c r="V16" s="524"/>
      <c r="W16" s="524"/>
      <c r="X16" s="524"/>
      <c r="Y16" s="524"/>
      <c r="Z16" s="524"/>
      <c r="AA16" s="524"/>
      <c r="AB16" s="539"/>
    </row>
    <row r="17" spans="1:28" ht="20.25" thickTop="1" thickBot="1" x14ac:dyDescent="0.35">
      <c r="A17" s="517"/>
      <c r="B17" s="770" t="str">
        <f>B9</f>
        <v>3 ФИНАЛ</v>
      </c>
      <c r="C17" s="771" t="s">
        <v>1122</v>
      </c>
      <c r="D17" s="517" t="s">
        <v>793</v>
      </c>
      <c r="E17" s="518"/>
      <c r="F17" s="772">
        <f>F1+2</f>
        <v>115</v>
      </c>
      <c r="G17" s="773" t="s">
        <v>1123</v>
      </c>
      <c r="H17" s="774">
        <f>H1</f>
        <v>15</v>
      </c>
      <c r="I17" s="775">
        <v>1</v>
      </c>
      <c r="J17" s="782"/>
      <c r="K17" s="1414" t="str">
        <f>IF(H17&lt;=8,CONCATENATE(LOOKUP(F17,'Порядок встреч 2Ф'!A5:A68,'Порядок встреч 2Ф'!C5:C68),"-",LOOKUP(F17,'Порядок встреч 2Ф'!A5:A68,'Порядок встреч 2Ф'!D5:D68)),CONCATENATE(LOOKUP(F17,'Порядок встреч 2Ф'!I5:I60,'Порядок встреч 2Ф'!K5:K60),"-",LOOKUP(F17,'Порядок встреч 2Ф'!I5:I60,'Порядок встреч 2Ф'!L5:L60)))</f>
        <v>4-15</v>
      </c>
      <c r="L17" s="1402"/>
      <c r="M17" s="1403"/>
      <c r="N17" s="515"/>
      <c r="O17" s="515"/>
      <c r="P17" s="517"/>
      <c r="Q17" s="793" t="str">
        <f>B1</f>
        <v>3 ФИНАЛ</v>
      </c>
      <c r="R17" s="771" t="s">
        <v>1122</v>
      </c>
      <c r="S17" s="517" t="s">
        <v>793</v>
      </c>
      <c r="T17" s="518"/>
      <c r="U17" s="772">
        <f>F1+6</f>
        <v>119</v>
      </c>
      <c r="V17" s="773" t="s">
        <v>1123</v>
      </c>
      <c r="W17" s="774">
        <f>H1</f>
        <v>15</v>
      </c>
      <c r="X17" s="775">
        <v>1</v>
      </c>
      <c r="Y17" s="776"/>
      <c r="Z17" s="1401" t="str">
        <f>IF(W17&lt;=8,CONCATENATE(LOOKUP(U17,'Порядок встреч 2Ф'!A5:A68,'Порядок встреч 2Ф'!C5:C68),"-",LOOKUP(U17,'Порядок встреч 2Ф'!A5:A68,'Порядок встреч 2Ф'!D5:D68)),CONCATENATE(LOOKUP(U17,'Порядок встреч 2Ф'!I5:I60,'Порядок встреч 2Ф'!K5:K60),"-",LOOKUP(U17,'Порядок встреч 2Ф'!I5:I60,'Порядок встреч 2Ф'!L5:L60)))</f>
        <v>8-11</v>
      </c>
      <c r="AA17" s="1402"/>
      <c r="AB17" s="1403"/>
    </row>
    <row r="18" spans="1:28" ht="20.100000000000001" customHeight="1" thickTop="1" x14ac:dyDescent="0.25">
      <c r="A18" s="1404"/>
      <c r="B18" s="1405" t="s">
        <v>1124</v>
      </c>
      <c r="C18" s="1405" t="s">
        <v>44</v>
      </c>
      <c r="D18" s="1351" t="s">
        <v>1001</v>
      </c>
      <c r="E18" s="1351"/>
      <c r="F18" s="1351"/>
      <c r="G18" s="1351"/>
      <c r="H18" s="1351"/>
      <c r="I18" s="1351"/>
      <c r="J18" s="1351"/>
      <c r="K18" s="1352" t="s">
        <v>1134</v>
      </c>
      <c r="L18" s="1353"/>
      <c r="M18" s="1375"/>
      <c r="N18" s="523"/>
      <c r="O18" s="524"/>
      <c r="P18" s="1404"/>
      <c r="Q18" s="1405" t="s">
        <v>1124</v>
      </c>
      <c r="R18" s="1405" t="s">
        <v>44</v>
      </c>
      <c r="S18" s="1351" t="s">
        <v>1001</v>
      </c>
      <c r="T18" s="1351"/>
      <c r="U18" s="1351"/>
      <c r="V18" s="1351"/>
      <c r="W18" s="1351"/>
      <c r="X18" s="1351"/>
      <c r="Y18" s="1351"/>
      <c r="Z18" s="1352" t="s">
        <v>1134</v>
      </c>
      <c r="AA18" s="1353"/>
      <c r="AB18" s="1354"/>
    </row>
    <row r="19" spans="1:28" ht="20.100000000000001" customHeight="1" x14ac:dyDescent="0.25">
      <c r="A19" s="1372"/>
      <c r="B19" s="1374"/>
      <c r="C19" s="1374"/>
      <c r="D19" s="525">
        <v>1</v>
      </c>
      <c r="E19" s="525">
        <v>2</v>
      </c>
      <c r="F19" s="525">
        <v>3</v>
      </c>
      <c r="G19" s="525">
        <v>4</v>
      </c>
      <c r="H19" s="525">
        <v>5</v>
      </c>
      <c r="I19" s="526"/>
      <c r="J19" s="526"/>
      <c r="K19" s="1355"/>
      <c r="L19" s="1356"/>
      <c r="M19" s="1376"/>
      <c r="N19" s="523"/>
      <c r="O19" s="524"/>
      <c r="P19" s="1372"/>
      <c r="Q19" s="1374"/>
      <c r="R19" s="1374"/>
      <c r="S19" s="525">
        <v>1</v>
      </c>
      <c r="T19" s="525">
        <v>2</v>
      </c>
      <c r="U19" s="525">
        <v>3</v>
      </c>
      <c r="V19" s="525">
        <v>4</v>
      </c>
      <c r="W19" s="525">
        <v>5</v>
      </c>
      <c r="X19" s="526"/>
      <c r="Y19" s="526"/>
      <c r="Z19" s="1355"/>
      <c r="AA19" s="1356"/>
      <c r="AB19" s="1357"/>
    </row>
    <row r="20" spans="1:28" ht="54.95" customHeight="1" x14ac:dyDescent="0.25">
      <c r="A20" s="527">
        <f>IF(H17&lt;=8,VLOOKUP(F17,'Порядок встреч 3Ф'!A:G,5,FALSE),VLOOKUP(F17,'Порядок встреч 3Ф'!I:O,5,FALSE))</f>
        <v>0</v>
      </c>
      <c r="B20" s="528" t="e">
        <f>IF(A20="","",VLOOKUP(A20,'Списки участников'!A:I,3,FALSE))</f>
        <v>#N/A</v>
      </c>
      <c r="C20" s="529" t="e">
        <f>IF(A20="","",VLOOKUP(A20,'Списки участников'!A:I,6,FALSE))</f>
        <v>#N/A</v>
      </c>
      <c r="D20" s="530"/>
      <c r="E20" s="531"/>
      <c r="F20" s="532"/>
      <c r="G20" s="532"/>
      <c r="H20" s="532"/>
      <c r="I20" s="533"/>
      <c r="J20" s="533"/>
      <c r="K20" s="1361"/>
      <c r="L20" s="1362"/>
      <c r="M20" s="1413"/>
      <c r="N20" s="523"/>
      <c r="O20" s="524"/>
      <c r="P20" s="527">
        <f>IF(W17&lt;=8,VLOOKUP(U17,'Порядок встреч 3Ф'!A:G,5,FALSE),VLOOKUP(U17,'Порядок встреч 3Ф'!I:O,5,FALSE))</f>
        <v>0</v>
      </c>
      <c r="Q20" s="528" t="e">
        <f>IF(P20="","",VLOOKUP(P20,'Списки участников'!A:I,3,FALSE))</f>
        <v>#N/A</v>
      </c>
      <c r="R20" s="529" t="e">
        <f>IF(P20="","",VLOOKUP(P20,'Списки участников'!A:I,6,FALSE))</f>
        <v>#N/A</v>
      </c>
      <c r="S20" s="530"/>
      <c r="T20" s="531"/>
      <c r="U20" s="532"/>
      <c r="V20" s="532"/>
      <c r="W20" s="532"/>
      <c r="X20" s="533"/>
      <c r="Y20" s="533"/>
      <c r="Z20" s="1361"/>
      <c r="AA20" s="1362"/>
      <c r="AB20" s="1363"/>
    </row>
    <row r="21" spans="1:28" ht="54.95" customHeight="1" thickBot="1" x14ac:dyDescent="0.3">
      <c r="A21" s="527">
        <f>IF(H17&lt;=8,VLOOKUP(F17,'Порядок встреч 3Ф'!A:G,7,FALSE),VLOOKUP(F17,'Порядок встреч 3Ф'!I:O,7,FALSE))</f>
        <v>0</v>
      </c>
      <c r="B21" s="528" t="e">
        <f>IF(A21="","",VLOOKUP(A21,'Списки участников'!A:I,3,FALSE))</f>
        <v>#N/A</v>
      </c>
      <c r="C21" s="529" t="e">
        <f>IF(A21="","",VLOOKUP(A21,'Списки участников'!A:I,6,FALSE))</f>
        <v>#N/A</v>
      </c>
      <c r="D21" s="534"/>
      <c r="E21" s="535"/>
      <c r="F21" s="536"/>
      <c r="G21" s="536"/>
      <c r="H21" s="536"/>
      <c r="I21" s="777"/>
      <c r="J21" s="778"/>
      <c r="K21" s="1364"/>
      <c r="L21" s="1365"/>
      <c r="M21" s="1366"/>
      <c r="N21" s="523"/>
      <c r="O21" s="524"/>
      <c r="P21" s="792">
        <f>IF(W17&lt;=8,VLOOKUP(U17,'Порядок встреч 3Ф'!A:G,7,FALSE),VLOOKUP(U17,'Порядок встреч 3Ф'!I:O,7,FALSE))</f>
        <v>0</v>
      </c>
      <c r="Q21" s="795" t="e">
        <f>IF(P21="","",VLOOKUP(P21,'Списки участников'!A:I,3,FALSE))</f>
        <v>#N/A</v>
      </c>
      <c r="R21" s="796" t="e">
        <f>IF(P21="","",VLOOKUP(P21,'Списки участников'!A:I,6,FALSE))</f>
        <v>#N/A</v>
      </c>
      <c r="S21" s="534"/>
      <c r="T21" s="535"/>
      <c r="U21" s="536"/>
      <c r="V21" s="536"/>
      <c r="W21" s="536"/>
      <c r="X21" s="777"/>
      <c r="Y21" s="778"/>
      <c r="Z21" s="1364"/>
      <c r="AA21" s="1365"/>
      <c r="AB21" s="1367"/>
    </row>
    <row r="22" spans="1:28" ht="20.100000000000001" customHeight="1" thickTop="1" thickBot="1" x14ac:dyDescent="0.35">
      <c r="A22" s="1384" t="s">
        <v>1126</v>
      </c>
      <c r="B22" s="1385"/>
      <c r="C22" s="1385"/>
      <c r="D22" s="1386" t="s">
        <v>1127</v>
      </c>
      <c r="E22" s="1387"/>
      <c r="F22" s="1389" t="s">
        <v>1128</v>
      </c>
      <c r="G22" s="1390"/>
      <c r="H22" s="1390"/>
      <c r="I22" s="1390"/>
      <c r="J22" s="1390"/>
      <c r="K22" s="1390"/>
      <c r="L22" s="1390"/>
      <c r="M22" s="1409"/>
      <c r="N22" s="539"/>
      <c r="P22" s="1417" t="s">
        <v>1126</v>
      </c>
      <c r="Q22" s="1418"/>
      <c r="R22" s="1418"/>
      <c r="S22" s="1386" t="s">
        <v>1127</v>
      </c>
      <c r="T22" s="1387"/>
      <c r="U22" s="1410" t="s">
        <v>1128</v>
      </c>
      <c r="V22" s="1411"/>
      <c r="W22" s="1411"/>
      <c r="X22" s="1411"/>
      <c r="Y22" s="1411"/>
      <c r="Z22" s="1411"/>
      <c r="AA22" s="1411"/>
      <c r="AB22" s="1412"/>
    </row>
    <row r="23" spans="1:28" ht="30" customHeight="1" thickTop="1" thickBot="1" x14ac:dyDescent="0.3">
      <c r="A23" s="1377"/>
      <c r="B23" s="1378"/>
      <c r="C23" s="1378"/>
      <c r="D23" s="1378"/>
      <c r="E23" s="1379"/>
      <c r="F23" s="1380"/>
      <c r="G23" s="1381"/>
      <c r="H23" s="1381"/>
      <c r="I23" s="1381"/>
      <c r="J23" s="1381"/>
      <c r="K23" s="1381"/>
      <c r="L23" s="1381"/>
      <c r="M23" s="1382"/>
      <c r="N23" s="539"/>
      <c r="P23" s="1415"/>
      <c r="Q23" s="1416"/>
      <c r="R23" s="1416"/>
      <c r="S23" s="1378"/>
      <c r="T23" s="1379"/>
      <c r="U23" s="1380"/>
      <c r="V23" s="1381"/>
      <c r="W23" s="1381"/>
      <c r="X23" s="1381"/>
      <c r="Y23" s="1381"/>
      <c r="Z23" s="1381"/>
      <c r="AA23" s="1381"/>
      <c r="AB23" s="1383"/>
    </row>
    <row r="24" spans="1:28" ht="16.5" thickTop="1" thickBot="1" x14ac:dyDescent="0.3">
      <c r="A24" s="788"/>
      <c r="B24" s="788"/>
      <c r="C24" s="788"/>
      <c r="D24" s="788"/>
      <c r="E24" s="788"/>
      <c r="F24" s="788"/>
      <c r="G24" s="788"/>
      <c r="H24" s="788"/>
      <c r="I24" s="788"/>
      <c r="J24" s="788"/>
      <c r="K24" s="788"/>
      <c r="L24" s="788"/>
      <c r="M24" s="788"/>
      <c r="N24" s="541"/>
      <c r="O24" s="540"/>
      <c r="P24" s="524"/>
      <c r="Q24" s="788"/>
      <c r="R24" s="788"/>
      <c r="S24" s="524"/>
      <c r="T24" s="524"/>
      <c r="U24" s="524"/>
      <c r="V24" s="524"/>
      <c r="W24" s="524"/>
      <c r="X24" s="524"/>
      <c r="Y24" s="524"/>
      <c r="Z24" s="524"/>
      <c r="AA24" s="524"/>
      <c r="AB24" s="539"/>
    </row>
    <row r="25" spans="1:28" ht="20.25" thickTop="1" thickBot="1" x14ac:dyDescent="0.35">
      <c r="A25" s="515"/>
      <c r="B25" s="765" t="str">
        <f>B17</f>
        <v>3 ФИНАЛ</v>
      </c>
      <c r="C25" s="784" t="s">
        <v>1122</v>
      </c>
      <c r="D25" s="785" t="s">
        <v>793</v>
      </c>
      <c r="E25" s="786"/>
      <c r="F25" s="522">
        <f>F1+3</f>
        <v>116</v>
      </c>
      <c r="G25" s="519" t="s">
        <v>1123</v>
      </c>
      <c r="H25" s="787">
        <f>H1</f>
        <v>15</v>
      </c>
      <c r="I25" s="775">
        <v>1</v>
      </c>
      <c r="J25" s="782"/>
      <c r="K25" s="1414" t="str">
        <f>IF(H25&lt;=8,CONCATENATE(LOOKUP(F25,'Порядок встреч 2Ф'!A5:A68,'Порядок встреч 2Ф'!C5:C68),"-",LOOKUP(F25,'Порядок встреч 2Ф'!A5:A68,'Порядок встреч 2Ф'!D5:D68)),CONCATENATE(LOOKUP(F25,'Порядок встреч 2Ф'!I5:I60,'Порядок встреч 2Ф'!K5:K60),"-",LOOKUP(F25,'Порядок встреч 2Ф'!I5:I60,'Порядок встреч 2Ф'!L5:L60)))</f>
        <v>5-14</v>
      </c>
      <c r="L25" s="1402"/>
      <c r="M25" s="1403"/>
      <c r="N25" s="515"/>
      <c r="O25" s="515"/>
      <c r="P25" s="517"/>
      <c r="Q25" s="793" t="str">
        <f>B1</f>
        <v>3 ФИНАЛ</v>
      </c>
      <c r="R25" s="771" t="s">
        <v>1122</v>
      </c>
      <c r="S25" s="517" t="s">
        <v>793</v>
      </c>
      <c r="T25" s="518"/>
      <c r="U25" s="772">
        <f>F1+7</f>
        <v>120</v>
      </c>
      <c r="V25" s="773" t="s">
        <v>1123</v>
      </c>
      <c r="W25" s="774">
        <f>H1</f>
        <v>15</v>
      </c>
      <c r="X25" s="775">
        <v>1</v>
      </c>
      <c r="Y25" s="776"/>
      <c r="Z25" s="1401" t="str">
        <f>IF(W25&lt;=8,CONCATENATE(LOOKUP(U25,'Порядок встреч 2Ф'!A5:A68,'Порядок встреч 2Ф'!C5:C68),"-",LOOKUP(U25,'Порядок встреч 2Ф'!A5:A68,'Порядок встреч 2Ф'!D5:D68)),CONCATENATE(LOOKUP(U25,'Порядок встреч 2Ф'!I5:I60,'Порядок встреч 2Ф'!K5:K60),"-",LOOKUP(U25,'Порядок встреч 2Ф'!I5:I60,'Порядок встреч 2Ф'!L5:L60)))</f>
        <v>9-10</v>
      </c>
      <c r="AA25" s="1402"/>
      <c r="AB25" s="1403"/>
    </row>
    <row r="26" spans="1:28" ht="20.100000000000001" customHeight="1" thickTop="1" x14ac:dyDescent="0.25">
      <c r="A26" s="1371"/>
      <c r="B26" s="1373" t="s">
        <v>1124</v>
      </c>
      <c r="C26" s="1373" t="s">
        <v>44</v>
      </c>
      <c r="D26" s="1350" t="s">
        <v>1001</v>
      </c>
      <c r="E26" s="1350"/>
      <c r="F26" s="1350"/>
      <c r="G26" s="1350"/>
      <c r="H26" s="1351"/>
      <c r="I26" s="1351"/>
      <c r="J26" s="1351"/>
      <c r="K26" s="1352" t="s">
        <v>1134</v>
      </c>
      <c r="L26" s="1353"/>
      <c r="M26" s="1375"/>
      <c r="N26" s="523"/>
      <c r="O26" s="524"/>
      <c r="P26" s="1404"/>
      <c r="Q26" s="1405" t="s">
        <v>1124</v>
      </c>
      <c r="R26" s="1405" t="s">
        <v>44</v>
      </c>
      <c r="S26" s="1351" t="s">
        <v>1001</v>
      </c>
      <c r="T26" s="1351"/>
      <c r="U26" s="1351"/>
      <c r="V26" s="1351"/>
      <c r="W26" s="1351"/>
      <c r="X26" s="1351"/>
      <c r="Y26" s="1351"/>
      <c r="Z26" s="1352" t="s">
        <v>1134</v>
      </c>
      <c r="AA26" s="1353"/>
      <c r="AB26" s="1354"/>
    </row>
    <row r="27" spans="1:28" ht="20.100000000000001" customHeight="1" x14ac:dyDescent="0.25">
      <c r="A27" s="1372"/>
      <c r="B27" s="1374"/>
      <c r="C27" s="1374"/>
      <c r="D27" s="525">
        <v>1</v>
      </c>
      <c r="E27" s="525">
        <v>2</v>
      </c>
      <c r="F27" s="525">
        <v>3</v>
      </c>
      <c r="G27" s="525">
        <v>4</v>
      </c>
      <c r="H27" s="525">
        <v>5</v>
      </c>
      <c r="I27" s="526"/>
      <c r="J27" s="526"/>
      <c r="K27" s="1355"/>
      <c r="L27" s="1356"/>
      <c r="M27" s="1376"/>
      <c r="N27" s="523"/>
      <c r="O27" s="524"/>
      <c r="P27" s="1372"/>
      <c r="Q27" s="1374"/>
      <c r="R27" s="1374"/>
      <c r="S27" s="525">
        <v>1</v>
      </c>
      <c r="T27" s="525">
        <v>2</v>
      </c>
      <c r="U27" s="525">
        <v>3</v>
      </c>
      <c r="V27" s="525">
        <v>4</v>
      </c>
      <c r="W27" s="525">
        <v>5</v>
      </c>
      <c r="X27" s="526"/>
      <c r="Y27" s="526"/>
      <c r="Z27" s="1355"/>
      <c r="AA27" s="1356"/>
      <c r="AB27" s="1357"/>
    </row>
    <row r="28" spans="1:28" ht="54.95" customHeight="1" x14ac:dyDescent="0.25">
      <c r="A28" s="527">
        <f>IF(H25&lt;=8,VLOOKUP(F25,'Порядок встреч 3Ф'!A:G,5,FALSE),VLOOKUP(F25,'Порядок встреч 3Ф'!I:O,5,FALSE))</f>
        <v>0</v>
      </c>
      <c r="B28" s="528" t="e">
        <f>IF(A28="","",VLOOKUP(A28,'Списки участников'!A:I,3,FALSE))</f>
        <v>#N/A</v>
      </c>
      <c r="C28" s="529" t="e">
        <f>IF(A28="","",VLOOKUP(A28,'Списки участников'!A:I,6,FALSE))</f>
        <v>#N/A</v>
      </c>
      <c r="D28" s="530"/>
      <c r="E28" s="531"/>
      <c r="F28" s="532"/>
      <c r="G28" s="532"/>
      <c r="H28" s="532"/>
      <c r="I28" s="533"/>
      <c r="J28" s="533"/>
      <c r="K28" s="1361"/>
      <c r="L28" s="1362"/>
      <c r="M28" s="1413"/>
      <c r="N28" s="523"/>
      <c r="O28" s="524"/>
      <c r="P28" s="527">
        <f>IF(W25&lt;=8,VLOOKUP(U25,'Порядок встреч 3Ф'!A:G,5,FALSE),VLOOKUP(U25,'Порядок встреч 3Ф'!I:O,5,FALSE))</f>
        <v>0</v>
      </c>
      <c r="Q28" s="528" t="e">
        <f>IF(P28="","",VLOOKUP(P28,'Списки участников'!A:I,3,FALSE))</f>
        <v>#N/A</v>
      </c>
      <c r="R28" s="529" t="e">
        <f>IF(P28="","",VLOOKUP(P28,'Списки участников'!A:I,6,FALSE))</f>
        <v>#N/A</v>
      </c>
      <c r="S28" s="530"/>
      <c r="T28" s="531"/>
      <c r="U28" s="532"/>
      <c r="V28" s="532"/>
      <c r="W28" s="532"/>
      <c r="X28" s="533"/>
      <c r="Y28" s="533"/>
      <c r="Z28" s="1361"/>
      <c r="AA28" s="1362"/>
      <c r="AB28" s="1363"/>
    </row>
    <row r="29" spans="1:28" ht="54.95" customHeight="1" thickBot="1" x14ac:dyDescent="0.3">
      <c r="A29" s="527">
        <f>IF(H25&lt;=8,VLOOKUP(F25,'Порядок встреч 3Ф'!A:G,7,FALSE),VLOOKUP(F25,'Порядок встреч 3Ф'!I:O,7,FALSE))</f>
        <v>0</v>
      </c>
      <c r="B29" s="528" t="e">
        <f>IF(A29="","",VLOOKUP(A29,'Списки участников'!A:I,3,FALSE))</f>
        <v>#N/A</v>
      </c>
      <c r="C29" s="529" t="e">
        <f>IF(A29="","",VLOOKUP(A29,'Списки участников'!A:I,6,FALSE))</f>
        <v>#N/A</v>
      </c>
      <c r="D29" s="534"/>
      <c r="E29" s="535"/>
      <c r="F29" s="789"/>
      <c r="G29" s="789"/>
      <c r="H29" s="789"/>
      <c r="I29" s="790"/>
      <c r="J29" s="791"/>
      <c r="K29" s="1397"/>
      <c r="L29" s="1419"/>
      <c r="M29" s="1420"/>
      <c r="N29" s="523"/>
      <c r="O29" s="524"/>
      <c r="P29" s="792">
        <f>IF(W25&lt;=8,VLOOKUP(U25,'Порядок встреч 3Ф'!A:G,7,FALSE),VLOOKUP(U25,'Порядок встреч 3Ф'!I:O,7,FALSE))</f>
        <v>0</v>
      </c>
      <c r="Q29" s="795" t="e">
        <f>IF(P29="","",VLOOKUP(P29,'Списки участников'!A:I,3,FALSE))</f>
        <v>#N/A</v>
      </c>
      <c r="R29" s="796" t="e">
        <f>IF(P29="","",VLOOKUP(P29,'Списки участников'!A:I,6,FALSE))</f>
        <v>#N/A</v>
      </c>
      <c r="S29" s="534"/>
      <c r="T29" s="535"/>
      <c r="U29" s="536"/>
      <c r="V29" s="536"/>
      <c r="W29" s="536"/>
      <c r="X29" s="537"/>
      <c r="Y29" s="538"/>
      <c r="Z29" s="1364"/>
      <c r="AA29" s="1365"/>
      <c r="AB29" s="1367"/>
    </row>
    <row r="30" spans="1:28" ht="20.100000000000001" customHeight="1" thickTop="1" thickBot="1" x14ac:dyDescent="0.35">
      <c r="A30" s="1384" t="s">
        <v>1126</v>
      </c>
      <c r="B30" s="1385"/>
      <c r="C30" s="1385"/>
      <c r="D30" s="1386" t="s">
        <v>1127</v>
      </c>
      <c r="E30" s="1387"/>
      <c r="F30" s="1421" t="s">
        <v>1128</v>
      </c>
      <c r="G30" s="1422"/>
      <c r="H30" s="1422"/>
      <c r="I30" s="1422"/>
      <c r="J30" s="1422"/>
      <c r="K30" s="1422"/>
      <c r="L30" s="1422"/>
      <c r="M30" s="1423"/>
      <c r="N30" s="539"/>
      <c r="P30" s="1417" t="s">
        <v>1126</v>
      </c>
      <c r="Q30" s="1418"/>
      <c r="R30" s="1418"/>
      <c r="S30" s="1386" t="s">
        <v>1127</v>
      </c>
      <c r="T30" s="1387"/>
      <c r="U30" s="1424" t="s">
        <v>1128</v>
      </c>
      <c r="V30" s="1425"/>
      <c r="W30" s="1425"/>
      <c r="X30" s="1425"/>
      <c r="Y30" s="1425"/>
      <c r="Z30" s="1425"/>
      <c r="AA30" s="1425"/>
      <c r="AB30" s="1426"/>
    </row>
    <row r="31" spans="1:28" ht="30" customHeight="1" thickTop="1" thickBot="1" x14ac:dyDescent="0.3">
      <c r="A31" s="1377"/>
      <c r="B31" s="1378"/>
      <c r="C31" s="1378"/>
      <c r="D31" s="1378"/>
      <c r="E31" s="1379"/>
      <c r="F31" s="1380"/>
      <c r="G31" s="1381"/>
      <c r="H31" s="1381"/>
      <c r="I31" s="1381"/>
      <c r="J31" s="1381"/>
      <c r="K31" s="1381"/>
      <c r="L31" s="1381"/>
      <c r="M31" s="1382"/>
      <c r="N31" s="539"/>
      <c r="P31" s="1415"/>
      <c r="Q31" s="1416"/>
      <c r="R31" s="1416"/>
      <c r="S31" s="1416"/>
      <c r="T31" s="1379"/>
      <c r="U31" s="768"/>
      <c r="V31" s="769"/>
      <c r="W31" s="769"/>
      <c r="X31" s="769"/>
      <c r="Y31" s="769"/>
      <c r="Z31" s="1381"/>
      <c r="AA31" s="1381"/>
      <c r="AB31" s="1383"/>
    </row>
    <row r="32" spans="1:28" ht="15.75" thickTop="1" x14ac:dyDescent="0.25">
      <c r="A32" s="540"/>
      <c r="B32" s="540"/>
      <c r="C32" s="540"/>
      <c r="D32" s="540"/>
      <c r="E32" s="540"/>
      <c r="F32" s="540"/>
      <c r="G32" s="524"/>
      <c r="H32" s="524"/>
      <c r="I32" s="540"/>
      <c r="J32" s="540"/>
      <c r="K32" s="540"/>
      <c r="L32" s="540"/>
      <c r="M32" s="540"/>
      <c r="N32" s="541"/>
      <c r="O32" s="540"/>
      <c r="P32" s="540"/>
      <c r="Q32" s="797"/>
      <c r="R32" s="797"/>
      <c r="S32" s="797"/>
      <c r="T32" s="540"/>
      <c r="U32" s="540"/>
      <c r="V32" s="524"/>
      <c r="W32" s="524"/>
      <c r="X32" s="540"/>
      <c r="Y32" s="540"/>
      <c r="Z32" s="540"/>
      <c r="AA32" s="540"/>
      <c r="AB32" s="541"/>
    </row>
    <row r="34" spans="3:3" x14ac:dyDescent="0.25">
      <c r="C34" s="783"/>
    </row>
  </sheetData>
  <sheetProtection password="CEE7" sheet="1"/>
  <mergeCells count="112">
    <mergeCell ref="A31:C31"/>
    <mergeCell ref="D31:E31"/>
    <mergeCell ref="F31:M31"/>
    <mergeCell ref="P31:R31"/>
    <mergeCell ref="S31:T31"/>
    <mergeCell ref="Z31:AB31"/>
    <mergeCell ref="A30:C30"/>
    <mergeCell ref="D30:E30"/>
    <mergeCell ref="F30:M30"/>
    <mergeCell ref="P30:R30"/>
    <mergeCell ref="S30:T30"/>
    <mergeCell ref="U30:AB30"/>
    <mergeCell ref="S26:Y26"/>
    <mergeCell ref="Z26:AB27"/>
    <mergeCell ref="K28:M28"/>
    <mergeCell ref="Z28:AB28"/>
    <mergeCell ref="K29:M29"/>
    <mergeCell ref="Z29:AB29"/>
    <mergeCell ref="K25:M25"/>
    <mergeCell ref="Z25:AB25"/>
    <mergeCell ref="A26:A27"/>
    <mergeCell ref="B26:B27"/>
    <mergeCell ref="C26:C27"/>
    <mergeCell ref="D26:J26"/>
    <mergeCell ref="K26:M27"/>
    <mergeCell ref="P26:P27"/>
    <mergeCell ref="Q26:Q27"/>
    <mergeCell ref="R26:R27"/>
    <mergeCell ref="A23:C23"/>
    <mergeCell ref="D23:E23"/>
    <mergeCell ref="F23:M23"/>
    <mergeCell ref="P23:R23"/>
    <mergeCell ref="S23:T23"/>
    <mergeCell ref="U23:AB23"/>
    <mergeCell ref="A22:C22"/>
    <mergeCell ref="D22:E22"/>
    <mergeCell ref="F22:M22"/>
    <mergeCell ref="P22:R22"/>
    <mergeCell ref="S22:T22"/>
    <mergeCell ref="U22:AB22"/>
    <mergeCell ref="S18:Y18"/>
    <mergeCell ref="Z18:AB19"/>
    <mergeCell ref="K20:M20"/>
    <mergeCell ref="Z20:AB20"/>
    <mergeCell ref="K21:M21"/>
    <mergeCell ref="Z21:AB21"/>
    <mergeCell ref="K17:M17"/>
    <mergeCell ref="Z17:AB17"/>
    <mergeCell ref="A18:A19"/>
    <mergeCell ref="B18:B19"/>
    <mergeCell ref="C18:C19"/>
    <mergeCell ref="D18:J18"/>
    <mergeCell ref="K18:M19"/>
    <mergeCell ref="P18:P19"/>
    <mergeCell ref="Q18:Q19"/>
    <mergeCell ref="R18:R19"/>
    <mergeCell ref="A15:C15"/>
    <mergeCell ref="D15:E15"/>
    <mergeCell ref="F15:M15"/>
    <mergeCell ref="P15:R15"/>
    <mergeCell ref="S15:T15"/>
    <mergeCell ref="U15:AB15"/>
    <mergeCell ref="A14:C14"/>
    <mergeCell ref="D14:E14"/>
    <mergeCell ref="F14:M14"/>
    <mergeCell ref="P14:R14"/>
    <mergeCell ref="S14:T14"/>
    <mergeCell ref="U14:AB14"/>
    <mergeCell ref="S10:Y10"/>
    <mergeCell ref="Z10:AB11"/>
    <mergeCell ref="K12:M12"/>
    <mergeCell ref="Z12:AB12"/>
    <mergeCell ref="K13:L13"/>
    <mergeCell ref="Z13:AB13"/>
    <mergeCell ref="K9:M9"/>
    <mergeCell ref="Z9:AB9"/>
    <mergeCell ref="A10:A11"/>
    <mergeCell ref="B10:B11"/>
    <mergeCell ref="C10:C11"/>
    <mergeCell ref="D10:J10"/>
    <mergeCell ref="K10:M11"/>
    <mergeCell ref="P10:P11"/>
    <mergeCell ref="Q10:Q11"/>
    <mergeCell ref="R10:R11"/>
    <mergeCell ref="A7:C7"/>
    <mergeCell ref="D7:E7"/>
    <mergeCell ref="F7:M7"/>
    <mergeCell ref="P7:R7"/>
    <mergeCell ref="S7:T7"/>
    <mergeCell ref="U7:AB7"/>
    <mergeCell ref="A6:C6"/>
    <mergeCell ref="D6:E6"/>
    <mergeCell ref="F6:M6"/>
    <mergeCell ref="P6:R6"/>
    <mergeCell ref="S6:T6"/>
    <mergeCell ref="U6:AB6"/>
    <mergeCell ref="S2:Y2"/>
    <mergeCell ref="Z2:AB3"/>
    <mergeCell ref="K4:M4"/>
    <mergeCell ref="Z4:AB4"/>
    <mergeCell ref="K5:M5"/>
    <mergeCell ref="Z5:AB5"/>
    <mergeCell ref="K1:M1"/>
    <mergeCell ref="Z1:AB1"/>
    <mergeCell ref="A2:A3"/>
    <mergeCell ref="B2:B3"/>
    <mergeCell ref="C2:C3"/>
    <mergeCell ref="D2:J2"/>
    <mergeCell ref="K2:M3"/>
    <mergeCell ref="P2:P3"/>
    <mergeCell ref="Q2:Q3"/>
    <mergeCell ref="R2:R3"/>
  </mergeCells>
  <pageMargins left="0.11811023622047245" right="0.11811023622047245" top="0.15748031496062992" bottom="0.15748031496062992" header="0.31496062992125984" footer="0.31496062992125984"/>
  <pageSetup paperSize="9" scale="59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9"/>
  </sheetPr>
  <dimension ref="A1:AE34"/>
  <sheetViews>
    <sheetView view="pageBreakPreview" topLeftCell="B1" zoomScale="80" zoomScaleNormal="100" zoomScaleSheetLayoutView="80" workbookViewId="0">
      <selection activeCell="Q36" sqref="Q36"/>
    </sheetView>
  </sheetViews>
  <sheetFormatPr defaultColWidth="9.33203125" defaultRowHeight="15" outlineLevelCol="1" x14ac:dyDescent="0.25"/>
  <cols>
    <col min="1" max="1" width="7.6640625" style="135" hidden="1" customWidth="1" outlineLevel="1"/>
    <col min="2" max="2" width="47.33203125" style="135" customWidth="1" collapsed="1"/>
    <col min="3" max="3" width="20.83203125" style="135" customWidth="1"/>
    <col min="4" max="8" width="10.83203125" style="135" customWidth="1"/>
    <col min="9" max="10" width="0" style="135" hidden="1" customWidth="1"/>
    <col min="11" max="11" width="6.6640625" style="135" customWidth="1"/>
    <col min="12" max="12" width="0.6640625" style="135" hidden="1" customWidth="1"/>
    <col min="13" max="13" width="6.6640625" style="135" customWidth="1"/>
    <col min="14" max="15" width="3.1640625" style="135" customWidth="1"/>
    <col min="16" max="16" width="8.33203125" style="135" hidden="1" customWidth="1" outlineLevel="1"/>
    <col min="17" max="17" width="45.33203125" style="135" customWidth="1" collapsed="1"/>
    <col min="18" max="18" width="19.1640625" style="135" customWidth="1"/>
    <col min="19" max="23" width="10.83203125" style="135" customWidth="1"/>
    <col min="24" max="25" width="0" style="135" hidden="1" customWidth="1"/>
    <col min="26" max="26" width="10.83203125" style="135" customWidth="1"/>
    <col min="27" max="27" width="10.6640625" style="135" hidden="1" customWidth="1"/>
    <col min="28" max="28" width="2" style="135" customWidth="1"/>
    <col min="29" max="16384" width="9.33203125" style="135"/>
  </cols>
  <sheetData>
    <row r="1" spans="1:31" s="515" customFormat="1" ht="20.100000000000001" customHeight="1" thickTop="1" thickBot="1" x14ac:dyDescent="0.35">
      <c r="B1" s="765" t="str">
        <f>'Порядок встреч 4Ф'!H2</f>
        <v>4 ФИНАЛ</v>
      </c>
      <c r="C1" s="516" t="s">
        <v>1122</v>
      </c>
      <c r="D1" s="517" t="s">
        <v>793</v>
      </c>
      <c r="E1" s="518"/>
      <c r="F1" s="764">
        <f>LOOKUP(H1,'Порядок встреч 1Ф'!Q5:Q19,'Порядок встреч 1Ф'!R5:R19)</f>
        <v>1</v>
      </c>
      <c r="G1" s="519" t="s">
        <v>1123</v>
      </c>
      <c r="H1" s="798">
        <v>1</v>
      </c>
      <c r="I1" s="520">
        <v>1</v>
      </c>
      <c r="J1" s="521"/>
      <c r="K1" s="1368" t="str">
        <f>IF(H1&lt;=8,CONCATENATE(LOOKUP(F1,'Порядок встреч 2Ф'!A5:A68,'Порядок встреч 2Ф'!C5:C68),"-",LOOKUP(F1,'Порядок встреч 2Ф'!A5:A68,'Порядок встреч 2Ф'!D5:D68)),CONCATENATE(LOOKUP(F1,'Порядок встреч 2Ф'!I5:I60,'Порядок встреч 2Ф'!K5:K60),"-",LOOKUP(F1,'Порядок встреч 2Ф'!I5:I60,'Порядок встреч 2Ф'!L5:L60)))</f>
        <v>1-16</v>
      </c>
      <c r="L1" s="1369"/>
      <c r="M1" s="1370"/>
      <c r="P1" s="782"/>
      <c r="Q1" s="770" t="str">
        <f>B1</f>
        <v>4 ФИНАЛ</v>
      </c>
      <c r="R1" s="771" t="s">
        <v>1122</v>
      </c>
      <c r="S1" s="517" t="s">
        <v>793</v>
      </c>
      <c r="T1" s="518"/>
      <c r="U1" s="772">
        <f>F1+4</f>
        <v>5</v>
      </c>
      <c r="V1" s="773" t="s">
        <v>1123</v>
      </c>
      <c r="W1" s="774">
        <f>H1</f>
        <v>1</v>
      </c>
      <c r="X1" s="775">
        <v>1</v>
      </c>
      <c r="Y1" s="782"/>
      <c r="Z1" s="1368" t="str">
        <f>IF(W1&lt;=8,CONCATENATE(LOOKUP(U1,'Порядок встреч 2Ф'!A5:A68,'Порядок встреч 2Ф'!C5:C68),"-",LOOKUP(U1,'Порядок встреч 2Ф'!A5:A68,'Порядок встреч 2Ф'!D5:D68)),CONCATENATE(LOOKUP(U1,'Порядок встреч 2Ф'!I5:I60,'Порядок встреч 2Ф'!K5:K60),"-",LOOKUP(U1,'Порядок встреч 2Ф'!I5:I60,'Порядок встреч 2Ф'!L5:L60)))</f>
        <v>5-12</v>
      </c>
      <c r="AA1" s="1369"/>
      <c r="AB1" s="1369"/>
    </row>
    <row r="2" spans="1:31" ht="16.5" customHeight="1" thickTop="1" x14ac:dyDescent="0.25">
      <c r="A2" s="1371"/>
      <c r="B2" s="1373" t="s">
        <v>1124</v>
      </c>
      <c r="C2" s="1373" t="s">
        <v>44</v>
      </c>
      <c r="D2" s="1350" t="s">
        <v>1001</v>
      </c>
      <c r="E2" s="1350"/>
      <c r="F2" s="1350"/>
      <c r="G2" s="1350"/>
      <c r="H2" s="1351"/>
      <c r="I2" s="1351"/>
      <c r="J2" s="1351"/>
      <c r="K2" s="1352" t="s">
        <v>1134</v>
      </c>
      <c r="L2" s="1353"/>
      <c r="M2" s="1375"/>
      <c r="N2" s="523"/>
      <c r="O2" s="524"/>
      <c r="P2" s="1371"/>
      <c r="Q2" s="1373" t="s">
        <v>1124</v>
      </c>
      <c r="R2" s="1373" t="s">
        <v>44</v>
      </c>
      <c r="S2" s="1350" t="s">
        <v>1001</v>
      </c>
      <c r="T2" s="1350"/>
      <c r="U2" s="1350"/>
      <c r="V2" s="1350"/>
      <c r="W2" s="1351"/>
      <c r="X2" s="1351"/>
      <c r="Y2" s="1351"/>
      <c r="Z2" s="1352" t="s">
        <v>1125</v>
      </c>
      <c r="AA2" s="1353"/>
      <c r="AB2" s="1354"/>
    </row>
    <row r="3" spans="1:31" ht="15.75" x14ac:dyDescent="0.25">
      <c r="A3" s="1372"/>
      <c r="B3" s="1374"/>
      <c r="C3" s="1374"/>
      <c r="D3" s="525">
        <v>1</v>
      </c>
      <c r="E3" s="525">
        <v>2</v>
      </c>
      <c r="F3" s="525">
        <v>3</v>
      </c>
      <c r="G3" s="525">
        <v>4</v>
      </c>
      <c r="H3" s="525">
        <v>5</v>
      </c>
      <c r="I3" s="526"/>
      <c r="J3" s="526"/>
      <c r="K3" s="1355"/>
      <c r="L3" s="1356"/>
      <c r="M3" s="1376"/>
      <c r="N3" s="523"/>
      <c r="O3" s="524"/>
      <c r="P3" s="1372"/>
      <c r="Q3" s="1374"/>
      <c r="R3" s="1374"/>
      <c r="S3" s="525">
        <v>1</v>
      </c>
      <c r="T3" s="525">
        <v>2</v>
      </c>
      <c r="U3" s="525">
        <v>3</v>
      </c>
      <c r="V3" s="525">
        <v>4</v>
      </c>
      <c r="W3" s="525">
        <v>5</v>
      </c>
      <c r="X3" s="526"/>
      <c r="Y3" s="526"/>
      <c r="Z3" s="1355"/>
      <c r="AA3" s="1356"/>
      <c r="AB3" s="1357"/>
    </row>
    <row r="4" spans="1:31" ht="54.95" customHeight="1" x14ac:dyDescent="0.25">
      <c r="A4" s="527">
        <f>IF(H1&lt;=8,VLOOKUP(F1,'Порядок встреч 4Ф'!A:G,5,FALSE),VLOOKUP(F1,'Порядок встреч 4Ф'!I:O,5,FALSE))</f>
        <v>0</v>
      </c>
      <c r="B4" s="528" t="e">
        <f>IF(A4="","",VLOOKUP(A4,'Списки участников'!A:I,3,FALSE))</f>
        <v>#N/A</v>
      </c>
      <c r="C4" s="529" t="e">
        <f>IF(A4="","",VLOOKUP(A4,'Списки участников'!A:I,6,FALSE))</f>
        <v>#N/A</v>
      </c>
      <c r="D4" s="530"/>
      <c r="E4" s="531"/>
      <c r="F4" s="532"/>
      <c r="G4" s="532"/>
      <c r="H4" s="532"/>
      <c r="I4" s="533"/>
      <c r="J4" s="533"/>
      <c r="K4" s="1358"/>
      <c r="L4" s="1359"/>
      <c r="M4" s="1360"/>
      <c r="N4" s="523"/>
      <c r="O4" s="524"/>
      <c r="P4" s="527">
        <f>IF(W1&lt;=8,VLOOKUP(U1,'Порядок встреч 4Ф'!A:G,5,FALSE),VLOOKUP(U1,'Порядок встреч 4Ф'!I:O,5,FALSE))</f>
        <v>0</v>
      </c>
      <c r="Q4" s="528" t="e">
        <f>IF(P4="","",VLOOKUP(P4,'Списки участников'!A:I,3,FALSE))</f>
        <v>#N/A</v>
      </c>
      <c r="R4" s="529" t="e">
        <f>IF(P4="","",VLOOKUP(P4,'Списки участников'!A:I,6,FALSE))</f>
        <v>#N/A</v>
      </c>
      <c r="S4" s="530"/>
      <c r="T4" s="531"/>
      <c r="U4" s="532"/>
      <c r="V4" s="532"/>
      <c r="W4" s="532"/>
      <c r="X4" s="533"/>
      <c r="Y4" s="533"/>
      <c r="Z4" s="1361"/>
      <c r="AA4" s="1362"/>
      <c r="AB4" s="1363"/>
    </row>
    <row r="5" spans="1:31" ht="54.95" customHeight="1" thickBot="1" x14ac:dyDescent="0.3">
      <c r="A5" s="527">
        <f>IF(H1&lt;=8,VLOOKUP(F1,'Порядок встреч 4Ф'!A:G,7,FALSE),VLOOKUP(F1,'Порядок встреч 4Ф'!I:O,7,FALSE))</f>
        <v>0</v>
      </c>
      <c r="B5" s="528" t="e">
        <f>IF(A5="","",VLOOKUP(A5,'Списки участников'!A:I,3,FALSE))</f>
        <v>#N/A</v>
      </c>
      <c r="C5" s="529" t="e">
        <f>IF(A5="","",VLOOKUP(A5,'Списки участников'!A:I,6,FALSE))</f>
        <v>#N/A</v>
      </c>
      <c r="D5" s="534"/>
      <c r="E5" s="535"/>
      <c r="F5" s="536"/>
      <c r="G5" s="536"/>
      <c r="H5" s="536"/>
      <c r="I5" s="537"/>
      <c r="J5" s="538"/>
      <c r="K5" s="1364"/>
      <c r="L5" s="1365"/>
      <c r="M5" s="1366"/>
      <c r="N5" s="523"/>
      <c r="O5" s="524"/>
      <c r="P5" s="527">
        <f>IF(W1&lt;=8,VLOOKUP(U1,'Порядок встреч 4Ф'!A:G,7,FALSE),VLOOKUP(U1,'Порядок встреч 4Ф'!I:O,7,FALSE))</f>
        <v>0</v>
      </c>
      <c r="Q5" s="528" t="e">
        <f>IF(P5="","",VLOOKUP(P5,'Списки участников'!A:I,3,FALSE))</f>
        <v>#N/A</v>
      </c>
      <c r="R5" s="529" t="e">
        <f>IF(P5="","",VLOOKUP(P5,'Списки участников'!A:I,6,FALSE))</f>
        <v>#N/A</v>
      </c>
      <c r="S5" s="534"/>
      <c r="T5" s="535"/>
      <c r="U5" s="536"/>
      <c r="V5" s="536"/>
      <c r="W5" s="536"/>
      <c r="X5" s="537"/>
      <c r="Y5" s="538"/>
      <c r="Z5" s="1364"/>
      <c r="AA5" s="1365"/>
      <c r="AB5" s="1367"/>
    </row>
    <row r="6" spans="1:31" ht="20.100000000000001" customHeight="1" thickTop="1" thickBot="1" x14ac:dyDescent="0.35">
      <c r="A6" s="1384" t="s">
        <v>1126</v>
      </c>
      <c r="B6" s="1385"/>
      <c r="C6" s="1385"/>
      <c r="D6" s="1386" t="s">
        <v>1127</v>
      </c>
      <c r="E6" s="1387"/>
      <c r="F6" s="1388" t="s">
        <v>1128</v>
      </c>
      <c r="G6" s="1388"/>
      <c r="H6" s="1388"/>
      <c r="I6" s="1388"/>
      <c r="J6" s="1388"/>
      <c r="K6" s="1388"/>
      <c r="L6" s="1388"/>
      <c r="M6" s="1388"/>
      <c r="N6" s="539"/>
      <c r="P6" s="1384" t="s">
        <v>1126</v>
      </c>
      <c r="Q6" s="1385"/>
      <c r="R6" s="1385"/>
      <c r="S6" s="1386" t="s">
        <v>1127</v>
      </c>
      <c r="T6" s="1387"/>
      <c r="U6" s="1389" t="s">
        <v>1128</v>
      </c>
      <c r="V6" s="1390"/>
      <c r="W6" s="1390"/>
      <c r="X6" s="1390"/>
      <c r="Y6" s="1390"/>
      <c r="Z6" s="1390"/>
      <c r="AA6" s="1390"/>
      <c r="AB6" s="1391"/>
    </row>
    <row r="7" spans="1:31" ht="30" customHeight="1" thickTop="1" thickBot="1" x14ac:dyDescent="0.3">
      <c r="A7" s="1377"/>
      <c r="B7" s="1378"/>
      <c r="C7" s="1378"/>
      <c r="D7" s="1378"/>
      <c r="E7" s="1379"/>
      <c r="F7" s="1380"/>
      <c r="G7" s="1381"/>
      <c r="H7" s="1381"/>
      <c r="I7" s="1381"/>
      <c r="J7" s="1381"/>
      <c r="K7" s="1381"/>
      <c r="L7" s="1381"/>
      <c r="M7" s="1382"/>
      <c r="N7" s="539"/>
      <c r="P7" s="1377"/>
      <c r="Q7" s="1378"/>
      <c r="R7" s="1378"/>
      <c r="S7" s="1378"/>
      <c r="T7" s="1379"/>
      <c r="U7" s="1380"/>
      <c r="V7" s="1381"/>
      <c r="W7" s="1381"/>
      <c r="X7" s="1381"/>
      <c r="Y7" s="1381"/>
      <c r="Z7" s="1381"/>
      <c r="AA7" s="1381"/>
      <c r="AB7" s="1383"/>
      <c r="AD7" s="524"/>
      <c r="AE7" s="524"/>
    </row>
    <row r="8" spans="1:31" ht="20.100000000000001" customHeight="1" thickTop="1" thickBot="1" x14ac:dyDescent="0.3">
      <c r="A8" s="524"/>
      <c r="B8" s="524"/>
      <c r="C8" s="524"/>
      <c r="D8" s="524"/>
      <c r="E8" s="524"/>
      <c r="F8" s="524"/>
      <c r="G8" s="524"/>
      <c r="H8" s="524"/>
      <c r="I8" s="524"/>
      <c r="J8" s="524"/>
      <c r="K8" s="524"/>
      <c r="L8" s="524"/>
      <c r="M8" s="524"/>
      <c r="N8" s="541"/>
      <c r="O8" s="540"/>
      <c r="P8" s="524"/>
      <c r="Q8" s="524"/>
      <c r="R8" s="524"/>
      <c r="S8" s="524"/>
      <c r="T8" s="524"/>
      <c r="U8" s="524"/>
      <c r="V8" s="524"/>
      <c r="W8" s="524"/>
      <c r="X8" s="524"/>
      <c r="Y8" s="524"/>
      <c r="Z8" s="524"/>
      <c r="AA8" s="524"/>
      <c r="AB8" s="539"/>
      <c r="AD8" s="524"/>
      <c r="AE8" s="524"/>
    </row>
    <row r="9" spans="1:31" ht="20.100000000000001" customHeight="1" thickTop="1" thickBot="1" x14ac:dyDescent="0.35">
      <c r="A9" s="517"/>
      <c r="B9" s="770" t="str">
        <f>B1</f>
        <v>4 ФИНАЛ</v>
      </c>
      <c r="C9" s="771" t="s">
        <v>1122</v>
      </c>
      <c r="D9" s="517" t="s">
        <v>793</v>
      </c>
      <c r="E9" s="518"/>
      <c r="F9" s="772">
        <f>F1+1</f>
        <v>2</v>
      </c>
      <c r="G9" s="773" t="s">
        <v>1123</v>
      </c>
      <c r="H9" s="774">
        <f>H1</f>
        <v>1</v>
      </c>
      <c r="I9" s="775">
        <v>1</v>
      </c>
      <c r="J9" s="776"/>
      <c r="K9" s="1401" t="str">
        <f>IF(H9&lt;=8,CONCATENATE(LOOKUP(F9,'Порядок встреч 2Ф'!A5:A68,'Порядок встреч 2Ф'!C5:C68),"-",LOOKUP(F9,'Порядок встреч 2Ф'!A5:A68,'Порядок встреч 2Ф'!D5:D68)),CONCATENATE(LOOKUP(F9,'Порядок встреч 2Ф'!I5:I60,'Порядок встреч 2Ф'!K5:K60),"-",LOOKUP(F9,'Порядок встреч 2Ф'!I5:I60,'Порядок встреч 2Ф'!L5:L60)))</f>
        <v>2-15</v>
      </c>
      <c r="L9" s="1402"/>
      <c r="M9" s="1403"/>
      <c r="N9" s="515"/>
      <c r="O9" s="515"/>
      <c r="P9" s="517"/>
      <c r="Q9" s="793" t="str">
        <f>B1</f>
        <v>4 ФИНАЛ</v>
      </c>
      <c r="R9" s="794" t="s">
        <v>1122</v>
      </c>
      <c r="S9" s="517" t="s">
        <v>793</v>
      </c>
      <c r="T9" s="518"/>
      <c r="U9" s="772">
        <f>F1+5</f>
        <v>6</v>
      </c>
      <c r="V9" s="773" t="s">
        <v>1123</v>
      </c>
      <c r="W9" s="774">
        <f>H1</f>
        <v>1</v>
      </c>
      <c r="X9" s="775">
        <v>1</v>
      </c>
      <c r="Y9" s="776"/>
      <c r="Z9" s="1401" t="str">
        <f>IF(W9&lt;=8,CONCATENATE(LOOKUP(U9,'Порядок встреч 2Ф'!A5:A68,'Порядок встреч 2Ф'!C5:C68),"-",LOOKUP(U9,'Порядок встреч 2Ф'!A5:A68,'Порядок встреч 2Ф'!D5:D68)),CONCATENATE(LOOKUP(U9,'Порядок встреч 2Ф'!I5:I60,'Порядок встреч 2Ф'!K5:K60),"-",LOOKUP(U9,'Порядок встреч 2Ф'!I5:I60,'Порядок встреч 2Ф'!L5:L60)))</f>
        <v>6-11</v>
      </c>
      <c r="AA9" s="1402"/>
      <c r="AB9" s="1403"/>
      <c r="AC9" s="524"/>
      <c r="AD9" s="524"/>
      <c r="AE9" s="524"/>
    </row>
    <row r="10" spans="1:31" ht="20.100000000000001" customHeight="1" thickTop="1" x14ac:dyDescent="0.25">
      <c r="A10" s="1371"/>
      <c r="B10" s="1373" t="s">
        <v>1124</v>
      </c>
      <c r="C10" s="1373" t="s">
        <v>44</v>
      </c>
      <c r="D10" s="1350" t="s">
        <v>1001</v>
      </c>
      <c r="E10" s="1350"/>
      <c r="F10" s="1350"/>
      <c r="G10" s="1350"/>
      <c r="H10" s="1351"/>
      <c r="I10" s="1351"/>
      <c r="J10" s="1351"/>
      <c r="K10" s="1352" t="s">
        <v>1134</v>
      </c>
      <c r="L10" s="1353"/>
      <c r="M10" s="1375"/>
      <c r="N10" s="523"/>
      <c r="O10" s="524"/>
      <c r="P10" s="1404"/>
      <c r="Q10" s="1405" t="s">
        <v>1124</v>
      </c>
      <c r="R10" s="1405" t="s">
        <v>44</v>
      </c>
      <c r="S10" s="1351" t="s">
        <v>1001</v>
      </c>
      <c r="T10" s="1351"/>
      <c r="U10" s="1351"/>
      <c r="V10" s="1351"/>
      <c r="W10" s="1351"/>
      <c r="X10" s="1351"/>
      <c r="Y10" s="1351"/>
      <c r="Z10" s="1392" t="s">
        <v>1134</v>
      </c>
      <c r="AA10" s="1393"/>
      <c r="AB10" s="1394"/>
    </row>
    <row r="11" spans="1:31" ht="20.100000000000001" customHeight="1" x14ac:dyDescent="0.25">
      <c r="A11" s="1372"/>
      <c r="B11" s="1374"/>
      <c r="C11" s="1374"/>
      <c r="D11" s="525">
        <v>1</v>
      </c>
      <c r="E11" s="525">
        <v>2</v>
      </c>
      <c r="F11" s="525">
        <v>3</v>
      </c>
      <c r="G11" s="525">
        <v>4</v>
      </c>
      <c r="H11" s="525">
        <v>5</v>
      </c>
      <c r="I11" s="526"/>
      <c r="J11" s="526"/>
      <c r="K11" s="1355"/>
      <c r="L11" s="1356"/>
      <c r="M11" s="1376"/>
      <c r="N11" s="523"/>
      <c r="O11" s="524"/>
      <c r="P11" s="1372"/>
      <c r="Q11" s="1374"/>
      <c r="R11" s="1374"/>
      <c r="S11" s="525">
        <v>1</v>
      </c>
      <c r="T11" s="525">
        <v>2</v>
      </c>
      <c r="U11" s="525">
        <v>3</v>
      </c>
      <c r="V11" s="525">
        <v>4</v>
      </c>
      <c r="W11" s="525">
        <v>5</v>
      </c>
      <c r="X11" s="526"/>
      <c r="Y11" s="526"/>
      <c r="Z11" s="1355"/>
      <c r="AA11" s="1356"/>
      <c r="AB11" s="1376"/>
    </row>
    <row r="12" spans="1:31" ht="54.95" customHeight="1" x14ac:dyDescent="0.25">
      <c r="A12" s="527">
        <f>IF(H9&lt;=8,VLOOKUP(F9,'Порядок встреч 4Ф'!A:G,5,FALSE),VLOOKUP(F9,'Порядок встреч 4Ф'!I:O,5,FALSE))</f>
        <v>0</v>
      </c>
      <c r="B12" s="528" t="e">
        <f>IF(A12="","",VLOOKUP(A12,'Списки участников'!A:I,3,FALSE))</f>
        <v>#N/A</v>
      </c>
      <c r="C12" s="529" t="e">
        <f>IF(A12="","",VLOOKUP(A12,'Списки участников'!A:I,6,FALSE))</f>
        <v>#N/A</v>
      </c>
      <c r="D12" s="530"/>
      <c r="E12" s="531"/>
      <c r="F12" s="532"/>
      <c r="G12" s="532"/>
      <c r="H12" s="532"/>
      <c r="I12" s="533"/>
      <c r="J12" s="533"/>
      <c r="K12" s="1358"/>
      <c r="L12" s="1359"/>
      <c r="M12" s="1360"/>
      <c r="N12" s="523"/>
      <c r="O12" s="524"/>
      <c r="P12" s="527">
        <f>IF(W9&lt;=8,VLOOKUP(U9,'Порядок встреч 4Ф'!A:G,5,FALSE),VLOOKUP(U9,'Порядок встреч 4Ф'!I:O,5,FALSE))</f>
        <v>0</v>
      </c>
      <c r="Q12" s="528" t="e">
        <f>IF(P12="","",VLOOKUP(P12,'Списки участников'!A:I,3,FALSE))</f>
        <v>#N/A</v>
      </c>
      <c r="R12" s="529" t="e">
        <f>IF(P12="","",VLOOKUP(P12,'Списки участников'!A:I,6,FALSE))</f>
        <v>#N/A</v>
      </c>
      <c r="S12" s="530"/>
      <c r="T12" s="531"/>
      <c r="U12" s="532"/>
      <c r="V12" s="532"/>
      <c r="W12" s="532"/>
      <c r="X12" s="533"/>
      <c r="Y12" s="533"/>
      <c r="Z12" s="1358"/>
      <c r="AA12" s="1359"/>
      <c r="AB12" s="1395"/>
    </row>
    <row r="13" spans="1:31" ht="54.95" customHeight="1" thickBot="1" x14ac:dyDescent="0.3">
      <c r="A13" s="527">
        <f>IF(H9&lt;=8,VLOOKUP(F9,'Порядок встреч 4Ф'!A:G,7,FALSE),VLOOKUP(F9,'Порядок встреч 4Ф'!I:O,7,FALSE))</f>
        <v>0</v>
      </c>
      <c r="B13" s="528" t="e">
        <f>IF(A13="","",VLOOKUP(A13,'Списки участников'!A:I,3,FALSE))</f>
        <v>#N/A</v>
      </c>
      <c r="C13" s="529" t="e">
        <f>IF(A13="","",VLOOKUP(A13,'Списки участников'!A:I,6,FALSE))</f>
        <v>#N/A</v>
      </c>
      <c r="D13" s="534"/>
      <c r="E13" s="535"/>
      <c r="F13" s="779"/>
      <c r="G13" s="779"/>
      <c r="H13" s="779"/>
      <c r="I13" s="780"/>
      <c r="J13" s="781"/>
      <c r="K13" s="1396"/>
      <c r="L13" s="1397"/>
      <c r="M13" s="767"/>
      <c r="N13" s="523"/>
      <c r="O13" s="524"/>
      <c r="P13" s="527">
        <f>IF(W9&lt;=8,VLOOKUP(U9,'Порядок встреч 4Ф'!A:G,7,FALSE),VLOOKUP(U9,'Порядок встреч 4Ф'!I:O,7,FALSE))</f>
        <v>0</v>
      </c>
      <c r="Q13" s="528" t="e">
        <f>IF(P13="","",VLOOKUP(P13,'Списки участников'!A:I,3,FALSE))</f>
        <v>#N/A</v>
      </c>
      <c r="R13" s="529" t="e">
        <f>IF(P13="","",VLOOKUP(P13,'Списки участников'!A:I,6,FALSE))</f>
        <v>#N/A</v>
      </c>
      <c r="S13" s="534"/>
      <c r="T13" s="535"/>
      <c r="U13" s="536"/>
      <c r="V13" s="536"/>
      <c r="W13" s="536"/>
      <c r="X13" s="537"/>
      <c r="Y13" s="538"/>
      <c r="Z13" s="1398"/>
      <c r="AA13" s="1399"/>
      <c r="AB13" s="1400"/>
    </row>
    <row r="14" spans="1:31" ht="20.100000000000001" customHeight="1" thickTop="1" thickBot="1" x14ac:dyDescent="0.35">
      <c r="A14" s="1384" t="s">
        <v>1126</v>
      </c>
      <c r="B14" s="1385"/>
      <c r="C14" s="1385"/>
      <c r="D14" s="1386" t="s">
        <v>1127</v>
      </c>
      <c r="E14" s="1408"/>
      <c r="F14" s="1389" t="s">
        <v>1128</v>
      </c>
      <c r="G14" s="1390"/>
      <c r="H14" s="1390"/>
      <c r="I14" s="1390"/>
      <c r="J14" s="1390"/>
      <c r="K14" s="1390"/>
      <c r="L14" s="1390"/>
      <c r="M14" s="1409"/>
      <c r="N14" s="539"/>
      <c r="P14" s="1384" t="s">
        <v>1126</v>
      </c>
      <c r="Q14" s="1385"/>
      <c r="R14" s="1385"/>
      <c r="S14" s="1386" t="s">
        <v>1127</v>
      </c>
      <c r="T14" s="1387"/>
      <c r="U14" s="1410" t="s">
        <v>1128</v>
      </c>
      <c r="V14" s="1411"/>
      <c r="W14" s="1411"/>
      <c r="X14" s="1411"/>
      <c r="Y14" s="1411"/>
      <c r="Z14" s="1411"/>
      <c r="AA14" s="1411"/>
      <c r="AB14" s="1412"/>
    </row>
    <row r="15" spans="1:31" ht="30" customHeight="1" thickTop="1" thickBot="1" x14ac:dyDescent="0.3">
      <c r="A15" s="1377"/>
      <c r="B15" s="1378"/>
      <c r="C15" s="1378"/>
      <c r="D15" s="1378"/>
      <c r="E15" s="1379"/>
      <c r="F15" s="1406"/>
      <c r="G15" s="1406"/>
      <c r="H15" s="1406"/>
      <c r="I15" s="1406"/>
      <c r="J15" s="1406"/>
      <c r="K15" s="1406"/>
      <c r="L15" s="1406"/>
      <c r="M15" s="1407"/>
      <c r="N15" s="539"/>
      <c r="P15" s="1377"/>
      <c r="Q15" s="1378"/>
      <c r="R15" s="1378"/>
      <c r="S15" s="1378"/>
      <c r="T15" s="1379"/>
      <c r="U15" s="1380"/>
      <c r="V15" s="1381"/>
      <c r="W15" s="1381"/>
      <c r="X15" s="1381"/>
      <c r="Y15" s="1381"/>
      <c r="Z15" s="1381"/>
      <c r="AA15" s="1381"/>
      <c r="AB15" s="1383"/>
    </row>
    <row r="16" spans="1:31" ht="16.5" customHeight="1" thickTop="1" thickBot="1" x14ac:dyDescent="0.3">
      <c r="A16" s="524"/>
      <c r="B16" s="524"/>
      <c r="C16" s="524"/>
      <c r="D16" s="524"/>
      <c r="E16" s="524"/>
      <c r="F16" s="524"/>
      <c r="G16" s="524"/>
      <c r="H16" s="524"/>
      <c r="I16" s="524"/>
      <c r="J16" s="524"/>
      <c r="K16" s="524"/>
      <c r="L16" s="524"/>
      <c r="M16" s="524"/>
      <c r="N16" s="541"/>
      <c r="O16" s="540"/>
      <c r="P16" s="524"/>
      <c r="Q16" s="524"/>
      <c r="R16" s="524"/>
      <c r="S16" s="524"/>
      <c r="T16" s="524"/>
      <c r="U16" s="524"/>
      <c r="V16" s="524"/>
      <c r="W16" s="524"/>
      <c r="X16" s="524"/>
      <c r="Y16" s="524"/>
      <c r="Z16" s="524"/>
      <c r="AA16" s="524"/>
      <c r="AB16" s="539"/>
    </row>
    <row r="17" spans="1:28" ht="20.25" thickTop="1" thickBot="1" x14ac:dyDescent="0.35">
      <c r="A17" s="517"/>
      <c r="B17" s="770" t="str">
        <f>B9</f>
        <v>4 ФИНАЛ</v>
      </c>
      <c r="C17" s="771" t="s">
        <v>1122</v>
      </c>
      <c r="D17" s="517" t="s">
        <v>793</v>
      </c>
      <c r="E17" s="518"/>
      <c r="F17" s="772">
        <f>F1+2</f>
        <v>3</v>
      </c>
      <c r="G17" s="773" t="s">
        <v>1123</v>
      </c>
      <c r="H17" s="774">
        <f>H1</f>
        <v>1</v>
      </c>
      <c r="I17" s="775">
        <v>1</v>
      </c>
      <c r="J17" s="782"/>
      <c r="K17" s="1414" t="str">
        <f>IF(H17&lt;=8,CONCATENATE(LOOKUP(F17,'Порядок встреч 2Ф'!A5:A68,'Порядок встреч 2Ф'!C5:C68),"-",LOOKUP(F17,'Порядок встреч 2Ф'!A5:A68,'Порядок встреч 2Ф'!D5:D68)),CONCATENATE(LOOKUP(F17,'Порядок встреч 2Ф'!I5:I60,'Порядок встреч 2Ф'!K5:K60),"-",LOOKUP(F17,'Порядок встреч 2Ф'!I5:I60,'Порядок встреч 2Ф'!L5:L60)))</f>
        <v>3-14</v>
      </c>
      <c r="L17" s="1402"/>
      <c r="M17" s="1403"/>
      <c r="N17" s="515"/>
      <c r="O17" s="515"/>
      <c r="P17" s="517"/>
      <c r="Q17" s="793" t="str">
        <f>B1</f>
        <v>4 ФИНАЛ</v>
      </c>
      <c r="R17" s="771" t="s">
        <v>1122</v>
      </c>
      <c r="S17" s="517" t="s">
        <v>793</v>
      </c>
      <c r="T17" s="518"/>
      <c r="U17" s="772">
        <f>F1+6</f>
        <v>7</v>
      </c>
      <c r="V17" s="773" t="s">
        <v>1123</v>
      </c>
      <c r="W17" s="774">
        <f>H1</f>
        <v>1</v>
      </c>
      <c r="X17" s="775">
        <v>1</v>
      </c>
      <c r="Y17" s="776"/>
      <c r="Z17" s="1401" t="str">
        <f>IF(W17&lt;=8,CONCATENATE(LOOKUP(U17,'Порядок встреч 2Ф'!A5:A68,'Порядок встреч 2Ф'!C5:C68),"-",LOOKUP(U17,'Порядок встреч 2Ф'!A5:A68,'Порядок встреч 2Ф'!D5:D68)),CONCATENATE(LOOKUP(U17,'Порядок встреч 2Ф'!I5:I60,'Порядок встреч 2Ф'!K5:K60),"-",LOOKUP(U17,'Порядок встреч 2Ф'!I5:I60,'Порядок встреч 2Ф'!L5:L60)))</f>
        <v>7-10</v>
      </c>
      <c r="AA17" s="1402"/>
      <c r="AB17" s="1403"/>
    </row>
    <row r="18" spans="1:28" ht="20.100000000000001" customHeight="1" thickTop="1" x14ac:dyDescent="0.25">
      <c r="A18" s="1404"/>
      <c r="B18" s="1405" t="s">
        <v>1124</v>
      </c>
      <c r="C18" s="1405" t="s">
        <v>44</v>
      </c>
      <c r="D18" s="1351" t="s">
        <v>1001</v>
      </c>
      <c r="E18" s="1351"/>
      <c r="F18" s="1351"/>
      <c r="G18" s="1351"/>
      <c r="H18" s="1351"/>
      <c r="I18" s="1351"/>
      <c r="J18" s="1351"/>
      <c r="K18" s="1352" t="s">
        <v>1134</v>
      </c>
      <c r="L18" s="1353"/>
      <c r="M18" s="1375"/>
      <c r="N18" s="523"/>
      <c r="O18" s="524"/>
      <c r="P18" s="1404"/>
      <c r="Q18" s="1405" t="s">
        <v>1124</v>
      </c>
      <c r="R18" s="1405" t="s">
        <v>44</v>
      </c>
      <c r="S18" s="1351" t="s">
        <v>1001</v>
      </c>
      <c r="T18" s="1351"/>
      <c r="U18" s="1351"/>
      <c r="V18" s="1351"/>
      <c r="W18" s="1351"/>
      <c r="X18" s="1351"/>
      <c r="Y18" s="1351"/>
      <c r="Z18" s="1352" t="s">
        <v>1134</v>
      </c>
      <c r="AA18" s="1353"/>
      <c r="AB18" s="1354"/>
    </row>
    <row r="19" spans="1:28" ht="20.100000000000001" customHeight="1" x14ac:dyDescent="0.25">
      <c r="A19" s="1372"/>
      <c r="B19" s="1374"/>
      <c r="C19" s="1374"/>
      <c r="D19" s="525">
        <v>1</v>
      </c>
      <c r="E19" s="525">
        <v>2</v>
      </c>
      <c r="F19" s="525">
        <v>3</v>
      </c>
      <c r="G19" s="525">
        <v>4</v>
      </c>
      <c r="H19" s="525">
        <v>5</v>
      </c>
      <c r="I19" s="526"/>
      <c r="J19" s="526"/>
      <c r="K19" s="1355"/>
      <c r="L19" s="1356"/>
      <c r="M19" s="1376"/>
      <c r="N19" s="523"/>
      <c r="O19" s="524"/>
      <c r="P19" s="1372"/>
      <c r="Q19" s="1374"/>
      <c r="R19" s="1374"/>
      <c r="S19" s="525">
        <v>1</v>
      </c>
      <c r="T19" s="525">
        <v>2</v>
      </c>
      <c r="U19" s="525">
        <v>3</v>
      </c>
      <c r="V19" s="525">
        <v>4</v>
      </c>
      <c r="W19" s="525">
        <v>5</v>
      </c>
      <c r="X19" s="526"/>
      <c r="Y19" s="526"/>
      <c r="Z19" s="1355"/>
      <c r="AA19" s="1356"/>
      <c r="AB19" s="1357"/>
    </row>
    <row r="20" spans="1:28" ht="54.95" customHeight="1" x14ac:dyDescent="0.25">
      <c r="A20" s="527">
        <f>IF(H17&lt;=8,VLOOKUP(F17,'Порядок встреч 4Ф'!A:G,5,FALSE),VLOOKUP(F17,'Порядок встреч 4Ф'!I:O,5,FALSE))</f>
        <v>0</v>
      </c>
      <c r="B20" s="528" t="e">
        <f>IF(A20="","",VLOOKUP(A20,'Списки участников'!A:I,3,FALSE))</f>
        <v>#N/A</v>
      </c>
      <c r="C20" s="529" t="e">
        <f>IF(A20="","",VLOOKUP(A20,'Списки участников'!A:I,6,FALSE))</f>
        <v>#N/A</v>
      </c>
      <c r="D20" s="530"/>
      <c r="E20" s="531"/>
      <c r="F20" s="532"/>
      <c r="G20" s="532"/>
      <c r="H20" s="532"/>
      <c r="I20" s="533"/>
      <c r="J20" s="533"/>
      <c r="K20" s="1361"/>
      <c r="L20" s="1362"/>
      <c r="M20" s="1413"/>
      <c r="N20" s="523"/>
      <c r="O20" s="524"/>
      <c r="P20" s="527">
        <f>IF(W17&lt;=8,VLOOKUP(U17,'Порядок встреч 4Ф'!A:G,5,FALSE),VLOOKUP(U17,'Порядок встреч 4Ф'!I:O,5,FALSE))</f>
        <v>0</v>
      </c>
      <c r="Q20" s="528" t="e">
        <f>IF(P20="","",VLOOKUP(P20,'Списки участников'!A:I,3,FALSE))</f>
        <v>#N/A</v>
      </c>
      <c r="R20" s="529" t="e">
        <f>IF(P20="","",VLOOKUP(P20,'Списки участников'!A:I,6,FALSE))</f>
        <v>#N/A</v>
      </c>
      <c r="S20" s="530"/>
      <c r="T20" s="531"/>
      <c r="U20" s="532"/>
      <c r="V20" s="532"/>
      <c r="W20" s="532"/>
      <c r="X20" s="533"/>
      <c r="Y20" s="533"/>
      <c r="Z20" s="1361"/>
      <c r="AA20" s="1362"/>
      <c r="AB20" s="1363"/>
    </row>
    <row r="21" spans="1:28" ht="54.95" customHeight="1" thickBot="1" x14ac:dyDescent="0.3">
      <c r="A21" s="527">
        <f>IF(H17&lt;=8,VLOOKUP(F17,'Порядок встреч 4Ф'!A:G,7,FALSE),VLOOKUP(F17,'Порядок встреч 4Ф'!I:O,7,FALSE))</f>
        <v>0</v>
      </c>
      <c r="B21" s="528" t="e">
        <f>IF(A21="","",VLOOKUP(A21,'Списки участников'!A:I,3,FALSE))</f>
        <v>#N/A</v>
      </c>
      <c r="C21" s="529" t="e">
        <f>IF(A21="","",VLOOKUP(A21,'Списки участников'!A:I,6,FALSE))</f>
        <v>#N/A</v>
      </c>
      <c r="D21" s="534"/>
      <c r="E21" s="535"/>
      <c r="F21" s="536"/>
      <c r="G21" s="536"/>
      <c r="H21" s="536"/>
      <c r="I21" s="777"/>
      <c r="J21" s="778"/>
      <c r="K21" s="1364"/>
      <c r="L21" s="1365"/>
      <c r="M21" s="1366"/>
      <c r="N21" s="523"/>
      <c r="O21" s="524"/>
      <c r="P21" s="792">
        <f>IF(W17&lt;=8,VLOOKUP(U17,'Порядок встреч 4Ф'!A:G,7,FALSE),VLOOKUP(U17,'Порядок встреч 4Ф'!I:O,7,FALSE))</f>
        <v>0</v>
      </c>
      <c r="Q21" s="795" t="e">
        <f>IF(P21="","",VLOOKUP(P21,'Списки участников'!A:I,3,FALSE))</f>
        <v>#N/A</v>
      </c>
      <c r="R21" s="796" t="e">
        <f>IF(P21="","",VLOOKUP(P21,'Списки участников'!A:I,6,FALSE))</f>
        <v>#N/A</v>
      </c>
      <c r="S21" s="534"/>
      <c r="T21" s="535"/>
      <c r="U21" s="536"/>
      <c r="V21" s="536"/>
      <c r="W21" s="536"/>
      <c r="X21" s="777"/>
      <c r="Y21" s="778"/>
      <c r="Z21" s="1364"/>
      <c r="AA21" s="1365"/>
      <c r="AB21" s="1367"/>
    </row>
    <row r="22" spans="1:28" ht="20.100000000000001" customHeight="1" thickTop="1" thickBot="1" x14ac:dyDescent="0.35">
      <c r="A22" s="1384" t="s">
        <v>1126</v>
      </c>
      <c r="B22" s="1385"/>
      <c r="C22" s="1385"/>
      <c r="D22" s="1386" t="s">
        <v>1127</v>
      </c>
      <c r="E22" s="1387"/>
      <c r="F22" s="1389" t="s">
        <v>1128</v>
      </c>
      <c r="G22" s="1390"/>
      <c r="H22" s="1390"/>
      <c r="I22" s="1390"/>
      <c r="J22" s="1390"/>
      <c r="K22" s="1390"/>
      <c r="L22" s="1390"/>
      <c r="M22" s="1409"/>
      <c r="N22" s="539"/>
      <c r="P22" s="1417" t="s">
        <v>1126</v>
      </c>
      <c r="Q22" s="1418"/>
      <c r="R22" s="1418"/>
      <c r="S22" s="1386" t="s">
        <v>1127</v>
      </c>
      <c r="T22" s="1387"/>
      <c r="U22" s="1410" t="s">
        <v>1128</v>
      </c>
      <c r="V22" s="1411"/>
      <c r="W22" s="1411"/>
      <c r="X22" s="1411"/>
      <c r="Y22" s="1411"/>
      <c r="Z22" s="1411"/>
      <c r="AA22" s="1411"/>
      <c r="AB22" s="1412"/>
    </row>
    <row r="23" spans="1:28" ht="30" customHeight="1" thickTop="1" thickBot="1" x14ac:dyDescent="0.3">
      <c r="A23" s="1377"/>
      <c r="B23" s="1378"/>
      <c r="C23" s="1378"/>
      <c r="D23" s="1378"/>
      <c r="E23" s="1379"/>
      <c r="F23" s="1380"/>
      <c r="G23" s="1381"/>
      <c r="H23" s="1381"/>
      <c r="I23" s="1381"/>
      <c r="J23" s="1381"/>
      <c r="K23" s="1381"/>
      <c r="L23" s="1381"/>
      <c r="M23" s="1382"/>
      <c r="N23" s="539"/>
      <c r="P23" s="1415"/>
      <c r="Q23" s="1416"/>
      <c r="R23" s="1416"/>
      <c r="S23" s="1378"/>
      <c r="T23" s="1379"/>
      <c r="U23" s="1380"/>
      <c r="V23" s="1381"/>
      <c r="W23" s="1381"/>
      <c r="X23" s="1381"/>
      <c r="Y23" s="1381"/>
      <c r="Z23" s="1381"/>
      <c r="AA23" s="1381"/>
      <c r="AB23" s="1383"/>
    </row>
    <row r="24" spans="1:28" ht="16.5" thickTop="1" thickBot="1" x14ac:dyDescent="0.3">
      <c r="A24" s="788"/>
      <c r="B24" s="788"/>
      <c r="C24" s="788"/>
      <c r="D24" s="788"/>
      <c r="E24" s="788"/>
      <c r="F24" s="788"/>
      <c r="G24" s="788"/>
      <c r="H24" s="788"/>
      <c r="I24" s="788"/>
      <c r="J24" s="788"/>
      <c r="K24" s="788"/>
      <c r="L24" s="788"/>
      <c r="M24" s="788"/>
      <c r="N24" s="541"/>
      <c r="O24" s="540"/>
      <c r="P24" s="524"/>
      <c r="Q24" s="788"/>
      <c r="R24" s="788"/>
      <c r="S24" s="524"/>
      <c r="T24" s="524"/>
      <c r="U24" s="524"/>
      <c r="V24" s="524"/>
      <c r="W24" s="524"/>
      <c r="X24" s="524"/>
      <c r="Y24" s="524"/>
      <c r="Z24" s="524"/>
      <c r="AA24" s="524"/>
      <c r="AB24" s="539"/>
    </row>
    <row r="25" spans="1:28" ht="20.25" thickTop="1" thickBot="1" x14ac:dyDescent="0.35">
      <c r="A25" s="515"/>
      <c r="B25" s="765" t="str">
        <f>B17</f>
        <v>4 ФИНАЛ</v>
      </c>
      <c r="C25" s="784" t="s">
        <v>1122</v>
      </c>
      <c r="D25" s="785" t="s">
        <v>793</v>
      </c>
      <c r="E25" s="786"/>
      <c r="F25" s="522">
        <f>F1+3</f>
        <v>4</v>
      </c>
      <c r="G25" s="519" t="s">
        <v>1123</v>
      </c>
      <c r="H25" s="787">
        <f>H1</f>
        <v>1</v>
      </c>
      <c r="I25" s="775">
        <v>1</v>
      </c>
      <c r="J25" s="782"/>
      <c r="K25" s="1414" t="str">
        <f>IF(H25&lt;=8,CONCATENATE(LOOKUP(F25,'Порядок встреч 2Ф'!A5:A68,'Порядок встреч 2Ф'!C5:C68),"-",LOOKUP(F25,'Порядок встреч 2Ф'!A5:A68,'Порядок встреч 2Ф'!D5:D68)),CONCATENATE(LOOKUP(F25,'Порядок встреч 2Ф'!I5:I60,'Порядок встреч 2Ф'!K5:K60),"-",LOOKUP(F25,'Порядок встреч 2Ф'!I5:I60,'Порядок встреч 2Ф'!L5:L60)))</f>
        <v>4-13</v>
      </c>
      <c r="L25" s="1402"/>
      <c r="M25" s="1403"/>
      <c r="N25" s="515"/>
      <c r="O25" s="515"/>
      <c r="P25" s="517"/>
      <c r="Q25" s="793" t="str">
        <f>B1</f>
        <v>4 ФИНАЛ</v>
      </c>
      <c r="R25" s="771" t="s">
        <v>1122</v>
      </c>
      <c r="S25" s="517" t="s">
        <v>793</v>
      </c>
      <c r="T25" s="518"/>
      <c r="U25" s="772">
        <f>F1+7</f>
        <v>8</v>
      </c>
      <c r="V25" s="773" t="s">
        <v>1123</v>
      </c>
      <c r="W25" s="774">
        <f>H1</f>
        <v>1</v>
      </c>
      <c r="X25" s="775">
        <v>1</v>
      </c>
      <c r="Y25" s="776"/>
      <c r="Z25" s="1401" t="str">
        <f>IF(W25&lt;=8,CONCATENATE(LOOKUP(U25,'Порядок встреч 2Ф'!A5:A68,'Порядок встреч 2Ф'!C5:C68),"-",LOOKUP(U25,'Порядок встреч 2Ф'!A5:A68,'Порядок встреч 2Ф'!D5:D68)),CONCATENATE(LOOKUP(U25,'Порядок встреч 2Ф'!I5:I60,'Порядок встреч 2Ф'!K5:K60),"-",LOOKUP(U25,'Порядок встреч 2Ф'!I5:I60,'Порядок встреч 2Ф'!L5:L60)))</f>
        <v>8-9</v>
      </c>
      <c r="AA25" s="1402"/>
      <c r="AB25" s="1403"/>
    </row>
    <row r="26" spans="1:28" ht="20.100000000000001" customHeight="1" thickTop="1" x14ac:dyDescent="0.25">
      <c r="A26" s="1371"/>
      <c r="B26" s="1373" t="s">
        <v>1124</v>
      </c>
      <c r="C26" s="1373" t="s">
        <v>44</v>
      </c>
      <c r="D26" s="1350" t="s">
        <v>1001</v>
      </c>
      <c r="E26" s="1350"/>
      <c r="F26" s="1350"/>
      <c r="G26" s="1350"/>
      <c r="H26" s="1351"/>
      <c r="I26" s="1351"/>
      <c r="J26" s="1351"/>
      <c r="K26" s="1352" t="s">
        <v>1134</v>
      </c>
      <c r="L26" s="1353"/>
      <c r="M26" s="1375"/>
      <c r="N26" s="523"/>
      <c r="O26" s="524"/>
      <c r="P26" s="1404"/>
      <c r="Q26" s="1405" t="s">
        <v>1124</v>
      </c>
      <c r="R26" s="1405" t="s">
        <v>44</v>
      </c>
      <c r="S26" s="1351" t="s">
        <v>1001</v>
      </c>
      <c r="T26" s="1351"/>
      <c r="U26" s="1351"/>
      <c r="V26" s="1351"/>
      <c r="W26" s="1351"/>
      <c r="X26" s="1351"/>
      <c r="Y26" s="1351"/>
      <c r="Z26" s="1352" t="s">
        <v>1134</v>
      </c>
      <c r="AA26" s="1353"/>
      <c r="AB26" s="1354"/>
    </row>
    <row r="27" spans="1:28" ht="20.100000000000001" customHeight="1" x14ac:dyDescent="0.25">
      <c r="A27" s="1372"/>
      <c r="B27" s="1374"/>
      <c r="C27" s="1374"/>
      <c r="D27" s="525">
        <v>1</v>
      </c>
      <c r="E27" s="525">
        <v>2</v>
      </c>
      <c r="F27" s="525">
        <v>3</v>
      </c>
      <c r="G27" s="525">
        <v>4</v>
      </c>
      <c r="H27" s="525">
        <v>5</v>
      </c>
      <c r="I27" s="526"/>
      <c r="J27" s="526"/>
      <c r="K27" s="1355"/>
      <c r="L27" s="1356"/>
      <c r="M27" s="1376"/>
      <c r="N27" s="523"/>
      <c r="O27" s="524"/>
      <c r="P27" s="1372"/>
      <c r="Q27" s="1374"/>
      <c r="R27" s="1374"/>
      <c r="S27" s="525">
        <v>1</v>
      </c>
      <c r="T27" s="525">
        <v>2</v>
      </c>
      <c r="U27" s="525">
        <v>3</v>
      </c>
      <c r="V27" s="525">
        <v>4</v>
      </c>
      <c r="W27" s="525">
        <v>5</v>
      </c>
      <c r="X27" s="526"/>
      <c r="Y27" s="526"/>
      <c r="Z27" s="1355"/>
      <c r="AA27" s="1356"/>
      <c r="AB27" s="1357"/>
    </row>
    <row r="28" spans="1:28" ht="54.95" customHeight="1" x14ac:dyDescent="0.25">
      <c r="A28" s="527">
        <f>IF(H25&lt;=8,VLOOKUP(F25,'Порядок встреч 4Ф'!A:G,5,FALSE),VLOOKUP(F25,'Порядок встреч 4Ф'!I:O,5,FALSE))</f>
        <v>0</v>
      </c>
      <c r="B28" s="528" t="e">
        <f>IF(A28="","",VLOOKUP(A28,'Списки участников'!A:I,3,FALSE))</f>
        <v>#N/A</v>
      </c>
      <c r="C28" s="529" t="e">
        <f>IF(A28="","",VLOOKUP(A28,'Списки участников'!A:I,6,FALSE))</f>
        <v>#N/A</v>
      </c>
      <c r="D28" s="530"/>
      <c r="E28" s="531"/>
      <c r="F28" s="532"/>
      <c r="G28" s="532"/>
      <c r="H28" s="532"/>
      <c r="I28" s="533"/>
      <c r="J28" s="533"/>
      <c r="K28" s="1361"/>
      <c r="L28" s="1362"/>
      <c r="M28" s="1413"/>
      <c r="N28" s="523"/>
      <c r="O28" s="524"/>
      <c r="P28" s="527">
        <f>IF(W25&lt;=8,VLOOKUP(U25,'Порядок встреч 4Ф'!A:G,5,FALSE),VLOOKUP(U25,'Порядок встреч 4Ф'!I:O,5,FALSE))</f>
        <v>0</v>
      </c>
      <c r="Q28" s="528" t="e">
        <f>IF(P28="","",VLOOKUP(P28,'Списки участников'!A:I,3,FALSE))</f>
        <v>#N/A</v>
      </c>
      <c r="R28" s="529" t="e">
        <f>IF(P28="","",VLOOKUP(P28,'Списки участников'!A:I,6,FALSE))</f>
        <v>#N/A</v>
      </c>
      <c r="S28" s="530"/>
      <c r="T28" s="531"/>
      <c r="U28" s="532"/>
      <c r="V28" s="532"/>
      <c r="W28" s="532"/>
      <c r="X28" s="533"/>
      <c r="Y28" s="533"/>
      <c r="Z28" s="1361"/>
      <c r="AA28" s="1362"/>
      <c r="AB28" s="1363"/>
    </row>
    <row r="29" spans="1:28" ht="54.95" customHeight="1" thickBot="1" x14ac:dyDescent="0.3">
      <c r="A29" s="527">
        <f>IF(H25&lt;=8,VLOOKUP(F25,'Порядок встреч 4Ф'!A:G,7,FALSE),VLOOKUP(F25,'Порядок встреч 4Ф'!I:O,7,FALSE))</f>
        <v>0</v>
      </c>
      <c r="B29" s="528" t="e">
        <f>IF(A29="","",VLOOKUP(A29,'Списки участников'!A:I,3,FALSE))</f>
        <v>#N/A</v>
      </c>
      <c r="C29" s="529" t="e">
        <f>IF(A29="","",VLOOKUP(A29,'Списки участников'!A:I,6,FALSE))</f>
        <v>#N/A</v>
      </c>
      <c r="D29" s="534"/>
      <c r="E29" s="535"/>
      <c r="F29" s="789"/>
      <c r="G29" s="789"/>
      <c r="H29" s="789"/>
      <c r="I29" s="790"/>
      <c r="J29" s="791"/>
      <c r="K29" s="1397"/>
      <c r="L29" s="1419"/>
      <c r="M29" s="1420"/>
      <c r="N29" s="523"/>
      <c r="O29" s="524"/>
      <c r="P29" s="792">
        <f>IF(W25&lt;=8,VLOOKUP(U25,'Порядок встреч 4Ф'!A:G,7,FALSE),VLOOKUP(U25,'Порядок встреч 4Ф'!I:O,7,FALSE))</f>
        <v>0</v>
      </c>
      <c r="Q29" s="795" t="e">
        <f>IF(P29="","",VLOOKUP(P29,'Списки участников'!A:I,3,FALSE))</f>
        <v>#N/A</v>
      </c>
      <c r="R29" s="796" t="e">
        <f>IF(P29="","",VLOOKUP(P29,'Списки участников'!A:I,6,FALSE))</f>
        <v>#N/A</v>
      </c>
      <c r="S29" s="534"/>
      <c r="T29" s="535"/>
      <c r="U29" s="536"/>
      <c r="V29" s="536"/>
      <c r="W29" s="536"/>
      <c r="X29" s="537"/>
      <c r="Y29" s="538"/>
      <c r="Z29" s="1364"/>
      <c r="AA29" s="1365"/>
      <c r="AB29" s="1367"/>
    </row>
    <row r="30" spans="1:28" ht="20.100000000000001" customHeight="1" thickTop="1" thickBot="1" x14ac:dyDescent="0.35">
      <c r="A30" s="1384" t="s">
        <v>1126</v>
      </c>
      <c r="B30" s="1385"/>
      <c r="C30" s="1385"/>
      <c r="D30" s="1386" t="s">
        <v>1127</v>
      </c>
      <c r="E30" s="1387"/>
      <c r="F30" s="1421" t="s">
        <v>1128</v>
      </c>
      <c r="G30" s="1422"/>
      <c r="H30" s="1422"/>
      <c r="I30" s="1422"/>
      <c r="J30" s="1422"/>
      <c r="K30" s="1422"/>
      <c r="L30" s="1422"/>
      <c r="M30" s="1423"/>
      <c r="N30" s="539"/>
      <c r="P30" s="1417" t="s">
        <v>1126</v>
      </c>
      <c r="Q30" s="1418"/>
      <c r="R30" s="1418"/>
      <c r="S30" s="1386" t="s">
        <v>1127</v>
      </c>
      <c r="T30" s="1387"/>
      <c r="U30" s="1424" t="s">
        <v>1128</v>
      </c>
      <c r="V30" s="1425"/>
      <c r="W30" s="1425"/>
      <c r="X30" s="1425"/>
      <c r="Y30" s="1425"/>
      <c r="Z30" s="1425"/>
      <c r="AA30" s="1425"/>
      <c r="AB30" s="1426"/>
    </row>
    <row r="31" spans="1:28" ht="30" customHeight="1" thickTop="1" thickBot="1" x14ac:dyDescent="0.3">
      <c r="A31" s="1377"/>
      <c r="B31" s="1378"/>
      <c r="C31" s="1378"/>
      <c r="D31" s="1378"/>
      <c r="E31" s="1379"/>
      <c r="F31" s="1380"/>
      <c r="G31" s="1381"/>
      <c r="H31" s="1381"/>
      <c r="I31" s="1381"/>
      <c r="J31" s="1381"/>
      <c r="K31" s="1381"/>
      <c r="L31" s="1381"/>
      <c r="M31" s="1382"/>
      <c r="N31" s="539"/>
      <c r="P31" s="1415"/>
      <c r="Q31" s="1416"/>
      <c r="R31" s="1416"/>
      <c r="S31" s="1416"/>
      <c r="T31" s="1379"/>
      <c r="U31" s="768"/>
      <c r="V31" s="769"/>
      <c r="W31" s="769"/>
      <c r="X31" s="769"/>
      <c r="Y31" s="769"/>
      <c r="Z31" s="1381"/>
      <c r="AA31" s="1381"/>
      <c r="AB31" s="1383"/>
    </row>
    <row r="32" spans="1:28" ht="15.75" thickTop="1" x14ac:dyDescent="0.25">
      <c r="A32" s="540"/>
      <c r="B32" s="540"/>
      <c r="C32" s="540"/>
      <c r="D32" s="540"/>
      <c r="E32" s="540"/>
      <c r="F32" s="540"/>
      <c r="G32" s="524"/>
      <c r="H32" s="524"/>
      <c r="I32" s="540"/>
      <c r="J32" s="540"/>
      <c r="K32" s="540"/>
      <c r="L32" s="540"/>
      <c r="M32" s="540"/>
      <c r="N32" s="541"/>
      <c r="O32" s="540"/>
      <c r="P32" s="540"/>
      <c r="Q32" s="797"/>
      <c r="R32" s="797"/>
      <c r="S32" s="797"/>
      <c r="T32" s="540"/>
      <c r="U32" s="540"/>
      <c r="V32" s="524"/>
      <c r="W32" s="524"/>
      <c r="X32" s="540"/>
      <c r="Y32" s="540"/>
      <c r="Z32" s="540"/>
      <c r="AA32" s="540"/>
      <c r="AB32" s="541"/>
    </row>
    <row r="34" spans="3:3" x14ac:dyDescent="0.25">
      <c r="C34" s="783"/>
    </row>
  </sheetData>
  <sheetProtection password="CEE7" sheet="1"/>
  <mergeCells count="112">
    <mergeCell ref="A31:C31"/>
    <mergeCell ref="D31:E31"/>
    <mergeCell ref="F31:M31"/>
    <mergeCell ref="P31:R31"/>
    <mergeCell ref="S31:T31"/>
    <mergeCell ref="Z31:AB31"/>
    <mergeCell ref="A30:C30"/>
    <mergeCell ref="D30:E30"/>
    <mergeCell ref="F30:M30"/>
    <mergeCell ref="P30:R30"/>
    <mergeCell ref="S30:T30"/>
    <mergeCell ref="U30:AB30"/>
    <mergeCell ref="S26:Y26"/>
    <mergeCell ref="Z26:AB27"/>
    <mergeCell ref="K28:M28"/>
    <mergeCell ref="Z28:AB28"/>
    <mergeCell ref="K29:M29"/>
    <mergeCell ref="Z29:AB29"/>
    <mergeCell ref="K25:M25"/>
    <mergeCell ref="Z25:AB25"/>
    <mergeCell ref="A26:A27"/>
    <mergeCell ref="B26:B27"/>
    <mergeCell ref="C26:C27"/>
    <mergeCell ref="D26:J26"/>
    <mergeCell ref="K26:M27"/>
    <mergeCell ref="P26:P27"/>
    <mergeCell ref="Q26:Q27"/>
    <mergeCell ref="R26:R27"/>
    <mergeCell ref="A23:C23"/>
    <mergeCell ref="D23:E23"/>
    <mergeCell ref="F23:M23"/>
    <mergeCell ref="P23:R23"/>
    <mergeCell ref="S23:T23"/>
    <mergeCell ref="U23:AB23"/>
    <mergeCell ref="A22:C22"/>
    <mergeCell ref="D22:E22"/>
    <mergeCell ref="F22:M22"/>
    <mergeCell ref="P22:R22"/>
    <mergeCell ref="S22:T22"/>
    <mergeCell ref="U22:AB22"/>
    <mergeCell ref="S18:Y18"/>
    <mergeCell ref="Z18:AB19"/>
    <mergeCell ref="K20:M20"/>
    <mergeCell ref="Z20:AB20"/>
    <mergeCell ref="K21:M21"/>
    <mergeCell ref="Z21:AB21"/>
    <mergeCell ref="K17:M17"/>
    <mergeCell ref="Z17:AB17"/>
    <mergeCell ref="A18:A19"/>
    <mergeCell ref="B18:B19"/>
    <mergeCell ref="C18:C19"/>
    <mergeCell ref="D18:J18"/>
    <mergeCell ref="K18:M19"/>
    <mergeCell ref="P18:P19"/>
    <mergeCell ref="Q18:Q19"/>
    <mergeCell ref="R18:R19"/>
    <mergeCell ref="A15:C15"/>
    <mergeCell ref="D15:E15"/>
    <mergeCell ref="F15:M15"/>
    <mergeCell ref="P15:R15"/>
    <mergeCell ref="S15:T15"/>
    <mergeCell ref="U15:AB15"/>
    <mergeCell ref="A14:C14"/>
    <mergeCell ref="D14:E14"/>
    <mergeCell ref="F14:M14"/>
    <mergeCell ref="P14:R14"/>
    <mergeCell ref="S14:T14"/>
    <mergeCell ref="U14:AB14"/>
    <mergeCell ref="S10:Y10"/>
    <mergeCell ref="Z10:AB11"/>
    <mergeCell ref="K12:M12"/>
    <mergeCell ref="Z12:AB12"/>
    <mergeCell ref="K13:L13"/>
    <mergeCell ref="Z13:AB13"/>
    <mergeCell ref="K9:M9"/>
    <mergeCell ref="Z9:AB9"/>
    <mergeCell ref="A10:A11"/>
    <mergeCell ref="B10:B11"/>
    <mergeCell ref="C10:C11"/>
    <mergeCell ref="D10:J10"/>
    <mergeCell ref="K10:M11"/>
    <mergeCell ref="P10:P11"/>
    <mergeCell ref="Q10:Q11"/>
    <mergeCell ref="R10:R11"/>
    <mergeCell ref="A7:C7"/>
    <mergeCell ref="D7:E7"/>
    <mergeCell ref="F7:M7"/>
    <mergeCell ref="P7:R7"/>
    <mergeCell ref="S7:T7"/>
    <mergeCell ref="U7:AB7"/>
    <mergeCell ref="A6:C6"/>
    <mergeCell ref="D6:E6"/>
    <mergeCell ref="F6:M6"/>
    <mergeCell ref="P6:R6"/>
    <mergeCell ref="S6:T6"/>
    <mergeCell ref="U6:AB6"/>
    <mergeCell ref="S2:Y2"/>
    <mergeCell ref="Z2:AB3"/>
    <mergeCell ref="K4:M4"/>
    <mergeCell ref="Z4:AB4"/>
    <mergeCell ref="K5:M5"/>
    <mergeCell ref="Z5:AB5"/>
    <mergeCell ref="K1:M1"/>
    <mergeCell ref="Z1:AB1"/>
    <mergeCell ref="A2:A3"/>
    <mergeCell ref="B2:B3"/>
    <mergeCell ref="C2:C3"/>
    <mergeCell ref="D2:J2"/>
    <mergeCell ref="K2:M3"/>
    <mergeCell ref="P2:P3"/>
    <mergeCell ref="Q2:Q3"/>
    <mergeCell ref="R2:R3"/>
  </mergeCells>
  <pageMargins left="0.11811023622047245" right="0.11811023622047245" top="0.15748031496062992" bottom="0.15748031496062992" header="0.31496062992125984" footer="0.31496062992125984"/>
  <pageSetup paperSize="9" scale="5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75"/>
  <sheetViews>
    <sheetView topLeftCell="B47" workbookViewId="0">
      <selection activeCell="M66" sqref="M66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1</v>
      </c>
      <c r="D3" s="962"/>
      <c r="E3" s="963"/>
      <c r="G3" s="957" t="s">
        <v>11956</v>
      </c>
      <c r="H3" s="958">
        <f>C3</f>
        <v>1</v>
      </c>
      <c r="I3" s="962"/>
      <c r="J3" s="963"/>
      <c r="L3" s="957" t="s">
        <v>11956</v>
      </c>
      <c r="M3" s="958">
        <f>C3</f>
        <v>1</v>
      </c>
      <c r="N3" s="961"/>
    </row>
    <row r="4" spans="1:14" x14ac:dyDescent="0.3">
      <c r="B4" s="957" t="s">
        <v>11957</v>
      </c>
      <c r="C4" s="959" t="s">
        <v>11970</v>
      </c>
      <c r="D4" s="961"/>
      <c r="G4" s="957" t="s">
        <v>11957</v>
      </c>
      <c r="H4" s="959" t="s">
        <v>11967</v>
      </c>
      <c r="I4" s="964"/>
      <c r="J4" s="965"/>
      <c r="L4" s="957" t="s">
        <v>11957</v>
      </c>
      <c r="M4" s="959" t="s">
        <v>1040</v>
      </c>
      <c r="N4" s="961"/>
    </row>
    <row r="5" spans="1:14" x14ac:dyDescent="0.3">
      <c r="B5" s="960" t="str">
        <f>'гр (1-4)'!C7</f>
        <v>КУРОЧКИН Егор</v>
      </c>
      <c r="C5" s="960" t="str">
        <f>'гр (1-4)'!C11</f>
        <v>АКИНьЩИКОВ Ярослав</v>
      </c>
      <c r="D5" s="961"/>
      <c r="E5" s="966"/>
      <c r="G5" s="960" t="str">
        <f>'гр (1-4)'!C5</f>
        <v>БОКОВ Максим Андреевич</v>
      </c>
      <c r="H5" s="960" t="str">
        <f>'гр (1-4)'!C13</f>
        <v>АНДРОНОВ Федор</v>
      </c>
      <c r="I5" s="961"/>
      <c r="J5" s="966"/>
      <c r="L5" s="960" t="str">
        <f>'гр (1-4)'!C9</f>
        <v>ДЯГЕЛЕВ Артем</v>
      </c>
      <c r="M5" s="960" t="str">
        <f>'гр (1-4)'!C15</f>
        <v>ГРИЦЕВИЧ Станислав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1</v>
      </c>
      <c r="D18" s="962"/>
      <c r="E18" s="963"/>
      <c r="G18" s="957" t="s">
        <v>11956</v>
      </c>
      <c r="H18" s="958">
        <f>C3</f>
        <v>1</v>
      </c>
      <c r="I18" s="962"/>
      <c r="J18" s="963"/>
      <c r="L18" s="957" t="s">
        <v>11956</v>
      </c>
      <c r="M18" s="958">
        <f>C3</f>
        <v>1</v>
      </c>
      <c r="N18" s="961"/>
    </row>
    <row r="19" spans="1:14" x14ac:dyDescent="0.3">
      <c r="B19" s="957" t="s">
        <v>11957</v>
      </c>
      <c r="C19" s="959" t="s">
        <v>11981</v>
      </c>
      <c r="D19" s="961"/>
      <c r="G19" s="957" t="s">
        <v>11957</v>
      </c>
      <c r="H19" s="959" t="s">
        <v>1100</v>
      </c>
      <c r="I19" s="964"/>
      <c r="J19" s="965"/>
      <c r="L19" s="957" t="s">
        <v>11957</v>
      </c>
      <c r="M19" s="959" t="s">
        <v>1099</v>
      </c>
      <c r="N19" s="961"/>
    </row>
    <row r="20" spans="1:14" x14ac:dyDescent="0.3">
      <c r="B20" s="960" t="str">
        <f>'гр (1-4)'!C11</f>
        <v>АКИНьЩИКОВ Ярослав</v>
      </c>
      <c r="C20" s="960" t="str">
        <f>'гр (1-4)'!C5</f>
        <v>БОКОВ Максим Андреевич</v>
      </c>
      <c r="D20" s="961"/>
      <c r="E20" s="966"/>
      <c r="G20" s="960" t="str">
        <f>'гр (1-4)'!C15</f>
        <v>ГРИЦЕВИЧ Станислав</v>
      </c>
      <c r="H20" s="960" t="str">
        <f>'гр (1-4)'!C7</f>
        <v>КУРОЧКИН Егор</v>
      </c>
      <c r="I20" s="961"/>
      <c r="J20" s="966"/>
      <c r="L20" s="960" t="str">
        <f>'гр (1-4)'!C13</f>
        <v>АНДРОНОВ Федор</v>
      </c>
      <c r="M20" s="960" t="str">
        <f>'гр (1-4)'!C9</f>
        <v>ДЯГЕЛЕВ Артем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1</v>
      </c>
      <c r="D33" s="962"/>
      <c r="E33" s="963"/>
      <c r="G33" s="957" t="s">
        <v>11956</v>
      </c>
      <c r="H33" s="958">
        <f>C3</f>
        <v>1</v>
      </c>
      <c r="I33" s="962"/>
      <c r="J33" s="963"/>
      <c r="L33" s="957" t="s">
        <v>11956</v>
      </c>
      <c r="M33" s="958">
        <f>C3</f>
        <v>1</v>
      </c>
      <c r="N33" s="961"/>
    </row>
    <row r="34" spans="1:14" x14ac:dyDescent="0.3">
      <c r="B34" s="957" t="s">
        <v>11957</v>
      </c>
      <c r="C34" s="959" t="s">
        <v>11971</v>
      </c>
      <c r="D34" s="961"/>
      <c r="G34" s="957" t="s">
        <v>11957</v>
      </c>
      <c r="H34" s="959" t="s">
        <v>1048</v>
      </c>
      <c r="I34" s="964"/>
      <c r="J34" s="965"/>
      <c r="L34" s="957" t="s">
        <v>11957</v>
      </c>
      <c r="M34" s="959" t="s">
        <v>11964</v>
      </c>
      <c r="N34" s="961"/>
    </row>
    <row r="35" spans="1:14" x14ac:dyDescent="0.3">
      <c r="B35" s="960" t="str">
        <f>'гр (1-4)'!C5</f>
        <v>БОКОВ Максим Андреевич</v>
      </c>
      <c r="C35" s="960" t="str">
        <f>'гр (1-4)'!C9</f>
        <v>ДЯГЕЛЕВ Артем</v>
      </c>
      <c r="D35" s="961"/>
      <c r="E35" s="966"/>
      <c r="G35" s="960" t="str">
        <f>'гр (1-4)'!C7</f>
        <v>КУРОЧКИН Егор</v>
      </c>
      <c r="H35" s="960" t="str">
        <f>'гр (1-4)'!C13</f>
        <v>АНДРОНОВ Федор</v>
      </c>
      <c r="I35" s="961"/>
      <c r="J35" s="966"/>
      <c r="L35" s="960" t="str">
        <f>'гр (1-4)'!C11</f>
        <v>АКИНьЩИКОВ Ярослав</v>
      </c>
      <c r="M35" s="960" t="str">
        <f>'гр (1-4)'!C15</f>
        <v>ГРИЦЕВИЧ Станислав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1</v>
      </c>
      <c r="D48" s="962"/>
      <c r="E48" s="963"/>
      <c r="G48" s="957" t="s">
        <v>11956</v>
      </c>
      <c r="H48" s="958">
        <f>C3</f>
        <v>1</v>
      </c>
      <c r="I48" s="962"/>
      <c r="J48" s="963"/>
      <c r="L48" s="957" t="s">
        <v>11956</v>
      </c>
      <c r="M48" s="958">
        <f>C3</f>
        <v>1</v>
      </c>
      <c r="N48" s="961"/>
    </row>
    <row r="49" spans="1:14" x14ac:dyDescent="0.3">
      <c r="B49" s="957" t="s">
        <v>11957</v>
      </c>
      <c r="C49" s="959" t="s">
        <v>11982</v>
      </c>
      <c r="D49" s="961"/>
      <c r="G49" s="957" t="s">
        <v>11957</v>
      </c>
      <c r="H49" s="959" t="s">
        <v>11974</v>
      </c>
      <c r="I49" s="964"/>
      <c r="J49" s="965"/>
      <c r="L49" s="957" t="s">
        <v>11957</v>
      </c>
      <c r="M49" s="959" t="s">
        <v>11978</v>
      </c>
      <c r="N49" s="961"/>
    </row>
    <row r="50" spans="1:14" x14ac:dyDescent="0.3">
      <c r="B50" s="960" t="str">
        <f>'гр (1-4)'!C9</f>
        <v>ДЯГЕЛЕВ Артем</v>
      </c>
      <c r="C50" s="960" t="str">
        <f>'гр (1-4)'!C7</f>
        <v>КУРОЧКИН Егор</v>
      </c>
      <c r="D50" s="961"/>
      <c r="E50" s="966"/>
      <c r="G50" s="960" t="str">
        <f>'гр (1-4)'!C15</f>
        <v>ГРИЦЕВИЧ Станислав</v>
      </c>
      <c r="H50" s="960" t="str">
        <f>'гр (1-4)'!C5</f>
        <v>БОКОВ Максим Андреевич</v>
      </c>
      <c r="I50" s="961"/>
      <c r="J50" s="966"/>
      <c r="L50" s="960" t="str">
        <f>'гр (1-4)'!C13</f>
        <v>АНДРОНОВ Федор</v>
      </c>
      <c r="M50" s="960" t="str">
        <f>'гр (1-4)'!C11</f>
        <v>АКИНьЩИКОВ Ярослав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1</v>
      </c>
      <c r="D63" s="962"/>
      <c r="E63" s="963"/>
      <c r="G63" s="957" t="s">
        <v>11956</v>
      </c>
      <c r="H63" s="958">
        <f>C3</f>
        <v>1</v>
      </c>
      <c r="I63" s="962"/>
      <c r="J63" s="963"/>
      <c r="L63" s="957" t="s">
        <v>11956</v>
      </c>
      <c r="M63" s="958">
        <f>C3</f>
        <v>1</v>
      </c>
      <c r="N63" s="961"/>
    </row>
    <row r="64" spans="1:14" x14ac:dyDescent="0.3">
      <c r="B64" s="957" t="s">
        <v>11957</v>
      </c>
      <c r="C64" s="959" t="s">
        <v>1114</v>
      </c>
      <c r="D64" s="961"/>
      <c r="G64" s="957" t="s">
        <v>11957</v>
      </c>
      <c r="H64" s="959" t="s">
        <v>1049</v>
      </c>
      <c r="I64" s="964"/>
      <c r="J64" s="965"/>
      <c r="L64" s="957" t="s">
        <v>11957</v>
      </c>
      <c r="M64" s="959" t="s">
        <v>1033</v>
      </c>
      <c r="N64" s="961"/>
    </row>
    <row r="65" spans="1:14" x14ac:dyDescent="0.3">
      <c r="B65" s="960" t="str">
        <f>'гр (1-4)'!C5</f>
        <v>БОКОВ Максим Андреевич</v>
      </c>
      <c r="C65" s="960" t="str">
        <f>'гр (1-4)'!C7</f>
        <v>КУРОЧКИН Егор</v>
      </c>
      <c r="D65" s="961"/>
      <c r="E65" s="966"/>
      <c r="G65" s="960" t="str">
        <f>'гр (1-4)'!C9</f>
        <v>ДЯГЕЛЕВ Артем</v>
      </c>
      <c r="H65" s="960" t="str">
        <f>'гр (1-4)'!C11</f>
        <v>АКИНьЩИКОВ Ярослав</v>
      </c>
      <c r="I65" s="961"/>
      <c r="J65" s="966"/>
      <c r="L65" s="960" t="str">
        <f>'гр (1-4)'!C13</f>
        <v>АНДРОНОВ Федор</v>
      </c>
      <c r="M65" s="960" t="str">
        <f>'гр (1-4)'!C15</f>
        <v>ГРИЦЕВИЧ Станислав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</sheetData>
  <mergeCells count="30"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A1:E1822"/>
  <sheetViews>
    <sheetView workbookViewId="0">
      <selection sqref="A1:E65536"/>
    </sheetView>
  </sheetViews>
  <sheetFormatPr defaultRowHeight="12.75" x14ac:dyDescent="0.2"/>
  <sheetData>
    <row r="1" spans="1:5" x14ac:dyDescent="0.2">
      <c r="A1" t="s">
        <v>100</v>
      </c>
      <c r="B1" t="s">
        <v>6</v>
      </c>
      <c r="C1" t="s">
        <v>101</v>
      </c>
      <c r="D1" t="s">
        <v>5</v>
      </c>
      <c r="E1" t="s">
        <v>44</v>
      </c>
    </row>
    <row r="2" spans="1:5" x14ac:dyDescent="0.2">
      <c r="A2">
        <v>3629</v>
      </c>
      <c r="B2">
        <v>0</v>
      </c>
      <c r="C2" t="s">
        <v>1150</v>
      </c>
      <c r="D2">
        <v>36984</v>
      </c>
      <c r="E2" t="s">
        <v>105</v>
      </c>
    </row>
    <row r="3" spans="1:5" x14ac:dyDescent="0.2">
      <c r="A3">
        <v>3631</v>
      </c>
      <c r="B3">
        <v>0</v>
      </c>
      <c r="C3" t="s">
        <v>1151</v>
      </c>
      <c r="D3">
        <v>37780</v>
      </c>
      <c r="E3" t="s">
        <v>105</v>
      </c>
    </row>
    <row r="4" spans="1:5" x14ac:dyDescent="0.2">
      <c r="A4">
        <v>3006</v>
      </c>
      <c r="B4">
        <v>4</v>
      </c>
      <c r="C4" t="s">
        <v>1152</v>
      </c>
      <c r="D4">
        <v>37780</v>
      </c>
      <c r="E4" t="s">
        <v>105</v>
      </c>
    </row>
    <row r="5" spans="1:5" x14ac:dyDescent="0.2">
      <c r="A5">
        <v>2628</v>
      </c>
      <c r="B5">
        <v>19</v>
      </c>
      <c r="C5" t="s">
        <v>1153</v>
      </c>
      <c r="D5">
        <v>37378</v>
      </c>
      <c r="E5" t="s">
        <v>105</v>
      </c>
    </row>
    <row r="6" spans="1:5" x14ac:dyDescent="0.2">
      <c r="A6">
        <v>3675</v>
      </c>
      <c r="B6">
        <v>0</v>
      </c>
      <c r="C6" t="s">
        <v>1154</v>
      </c>
      <c r="D6">
        <v>37273</v>
      </c>
      <c r="E6" t="s">
        <v>138</v>
      </c>
    </row>
    <row r="7" spans="1:5" x14ac:dyDescent="0.2">
      <c r="A7">
        <v>3101</v>
      </c>
      <c r="B7">
        <v>2</v>
      </c>
      <c r="C7" t="s">
        <v>1155</v>
      </c>
      <c r="D7">
        <v>36959</v>
      </c>
      <c r="E7" t="s">
        <v>1156</v>
      </c>
    </row>
    <row r="8" spans="1:5" x14ac:dyDescent="0.2">
      <c r="A8">
        <v>2984</v>
      </c>
      <c r="B8">
        <v>5</v>
      </c>
      <c r="C8" t="s">
        <v>1157</v>
      </c>
      <c r="D8">
        <v>36640</v>
      </c>
      <c r="E8" t="s">
        <v>1158</v>
      </c>
    </row>
    <row r="9" spans="1:5" x14ac:dyDescent="0.2">
      <c r="A9">
        <v>1911</v>
      </c>
      <c r="B9">
        <v>59</v>
      </c>
      <c r="C9" t="s">
        <v>1159</v>
      </c>
      <c r="D9">
        <v>36223</v>
      </c>
      <c r="E9" t="s">
        <v>1160</v>
      </c>
    </row>
    <row r="10" spans="1:5" x14ac:dyDescent="0.2">
      <c r="A10">
        <v>744</v>
      </c>
      <c r="B10">
        <v>320</v>
      </c>
      <c r="C10" t="s">
        <v>1161</v>
      </c>
      <c r="D10">
        <v>36306</v>
      </c>
      <c r="E10" t="s">
        <v>1162</v>
      </c>
    </row>
    <row r="11" spans="1:5" x14ac:dyDescent="0.2">
      <c r="A11">
        <v>3345</v>
      </c>
      <c r="B11">
        <v>0</v>
      </c>
      <c r="C11" t="s">
        <v>1163</v>
      </c>
      <c r="D11">
        <v>37189</v>
      </c>
      <c r="E11" t="s">
        <v>117</v>
      </c>
    </row>
    <row r="12" spans="1:5" x14ac:dyDescent="0.2">
      <c r="A12">
        <v>2685</v>
      </c>
      <c r="B12">
        <v>16</v>
      </c>
      <c r="C12" t="s">
        <v>1164</v>
      </c>
      <c r="D12">
        <v>36279</v>
      </c>
      <c r="E12" t="s">
        <v>118</v>
      </c>
    </row>
    <row r="13" spans="1:5" x14ac:dyDescent="0.2">
      <c r="A13">
        <v>3079</v>
      </c>
      <c r="B13">
        <v>3</v>
      </c>
      <c r="C13" t="s">
        <v>1165</v>
      </c>
      <c r="D13">
        <v>37837</v>
      </c>
      <c r="E13" t="s">
        <v>114</v>
      </c>
    </row>
    <row r="14" spans="1:5" x14ac:dyDescent="0.2">
      <c r="A14">
        <v>1757</v>
      </c>
      <c r="B14">
        <v>75</v>
      </c>
      <c r="C14" t="s">
        <v>421</v>
      </c>
      <c r="D14">
        <v>36392</v>
      </c>
      <c r="E14" t="s">
        <v>99</v>
      </c>
    </row>
    <row r="15" spans="1:5" x14ac:dyDescent="0.2">
      <c r="A15">
        <v>3280</v>
      </c>
      <c r="B15">
        <v>0</v>
      </c>
      <c r="C15" t="s">
        <v>1166</v>
      </c>
      <c r="D15">
        <v>37321</v>
      </c>
      <c r="E15" t="s">
        <v>99</v>
      </c>
    </row>
    <row r="16" spans="1:5" x14ac:dyDescent="0.2">
      <c r="A16">
        <v>1468</v>
      </c>
      <c r="B16">
        <v>117</v>
      </c>
      <c r="C16" t="s">
        <v>422</v>
      </c>
      <c r="D16">
        <v>37162</v>
      </c>
      <c r="E16" t="s">
        <v>72</v>
      </c>
    </row>
    <row r="17" spans="1:5" x14ac:dyDescent="0.2">
      <c r="A17">
        <v>3419</v>
      </c>
      <c r="B17">
        <v>0</v>
      </c>
      <c r="C17" t="s">
        <v>1167</v>
      </c>
      <c r="D17">
        <v>36862</v>
      </c>
      <c r="E17" t="s">
        <v>74</v>
      </c>
    </row>
    <row r="18" spans="1:5" x14ac:dyDescent="0.2">
      <c r="A18">
        <v>2414</v>
      </c>
      <c r="B18">
        <v>30</v>
      </c>
      <c r="C18" t="s">
        <v>797</v>
      </c>
      <c r="D18">
        <v>37105</v>
      </c>
      <c r="E18" t="s">
        <v>1169</v>
      </c>
    </row>
    <row r="19" spans="1:5" x14ac:dyDescent="0.2">
      <c r="A19">
        <v>2579</v>
      </c>
      <c r="B19">
        <v>21</v>
      </c>
      <c r="C19" t="s">
        <v>1172</v>
      </c>
      <c r="D19">
        <v>37403</v>
      </c>
      <c r="E19" t="s">
        <v>113</v>
      </c>
    </row>
    <row r="20" spans="1:5" x14ac:dyDescent="0.2">
      <c r="A20">
        <v>3531</v>
      </c>
      <c r="B20">
        <v>0</v>
      </c>
      <c r="C20" t="s">
        <v>1173</v>
      </c>
      <c r="D20">
        <v>36932</v>
      </c>
      <c r="E20" t="s">
        <v>105</v>
      </c>
    </row>
    <row r="21" spans="1:5" x14ac:dyDescent="0.2">
      <c r="A21">
        <v>3043</v>
      </c>
      <c r="B21">
        <v>4</v>
      </c>
      <c r="C21" t="s">
        <v>1174</v>
      </c>
      <c r="D21">
        <v>36451</v>
      </c>
      <c r="E21" t="s">
        <v>105</v>
      </c>
    </row>
    <row r="22" spans="1:5" x14ac:dyDescent="0.2">
      <c r="A22">
        <v>2265</v>
      </c>
      <c r="B22">
        <v>37</v>
      </c>
      <c r="C22" t="s">
        <v>423</v>
      </c>
      <c r="D22">
        <v>37007</v>
      </c>
      <c r="E22" t="s">
        <v>165</v>
      </c>
    </row>
    <row r="23" spans="1:5" x14ac:dyDescent="0.2">
      <c r="A23">
        <v>2661</v>
      </c>
      <c r="B23">
        <v>17</v>
      </c>
      <c r="C23" t="s">
        <v>1175</v>
      </c>
      <c r="D23">
        <v>36310</v>
      </c>
      <c r="E23" t="s">
        <v>1176</v>
      </c>
    </row>
    <row r="24" spans="1:5" x14ac:dyDescent="0.2">
      <c r="A24">
        <v>1896</v>
      </c>
      <c r="B24">
        <v>61</v>
      </c>
      <c r="C24" t="s">
        <v>1177</v>
      </c>
      <c r="D24">
        <v>37072</v>
      </c>
      <c r="E24" t="s">
        <v>120</v>
      </c>
    </row>
    <row r="25" spans="1:5" x14ac:dyDescent="0.2">
      <c r="A25">
        <v>2457</v>
      </c>
      <c r="B25">
        <v>27</v>
      </c>
      <c r="C25" t="s">
        <v>1178</v>
      </c>
      <c r="D25">
        <v>37232</v>
      </c>
      <c r="E25" t="s">
        <v>1179</v>
      </c>
    </row>
    <row r="26" spans="1:5" x14ac:dyDescent="0.2">
      <c r="A26">
        <v>3611</v>
      </c>
      <c r="B26">
        <v>0</v>
      </c>
      <c r="C26" t="s">
        <v>1180</v>
      </c>
      <c r="D26">
        <v>36959</v>
      </c>
      <c r="E26" t="s">
        <v>105</v>
      </c>
    </row>
    <row r="27" spans="1:5" x14ac:dyDescent="0.2">
      <c r="A27">
        <v>2595</v>
      </c>
      <c r="B27">
        <v>20</v>
      </c>
      <c r="C27" t="s">
        <v>1181</v>
      </c>
      <c r="D27">
        <v>37184</v>
      </c>
      <c r="E27" t="s">
        <v>1182</v>
      </c>
    </row>
    <row r="28" spans="1:5" x14ac:dyDescent="0.2">
      <c r="A28">
        <v>2931</v>
      </c>
      <c r="B28">
        <v>7</v>
      </c>
      <c r="C28" t="s">
        <v>1183</v>
      </c>
      <c r="D28">
        <v>37090</v>
      </c>
      <c r="E28" t="s">
        <v>120</v>
      </c>
    </row>
    <row r="29" spans="1:5" x14ac:dyDescent="0.2">
      <c r="A29">
        <v>1678</v>
      </c>
      <c r="B29">
        <v>86</v>
      </c>
      <c r="C29" t="s">
        <v>116</v>
      </c>
      <c r="D29">
        <v>36540</v>
      </c>
      <c r="E29" t="s">
        <v>1184</v>
      </c>
    </row>
    <row r="30" spans="1:5" x14ac:dyDescent="0.2">
      <c r="A30">
        <v>3326</v>
      </c>
      <c r="B30">
        <v>0</v>
      </c>
      <c r="C30" t="s">
        <v>1185</v>
      </c>
      <c r="D30">
        <v>37781</v>
      </c>
      <c r="E30" t="s">
        <v>120</v>
      </c>
    </row>
    <row r="31" spans="1:5" x14ac:dyDescent="0.2">
      <c r="A31">
        <v>1557</v>
      </c>
      <c r="B31">
        <v>101</v>
      </c>
      <c r="C31" t="s">
        <v>1186</v>
      </c>
      <c r="D31">
        <v>36166</v>
      </c>
      <c r="E31" t="s">
        <v>117</v>
      </c>
    </row>
    <row r="32" spans="1:5" x14ac:dyDescent="0.2">
      <c r="A32">
        <v>1933</v>
      </c>
      <c r="B32">
        <v>58</v>
      </c>
      <c r="C32" t="s">
        <v>1187</v>
      </c>
      <c r="D32">
        <v>36644</v>
      </c>
      <c r="E32" t="s">
        <v>105</v>
      </c>
    </row>
    <row r="33" spans="1:5" x14ac:dyDescent="0.2">
      <c r="A33">
        <v>2736</v>
      </c>
      <c r="B33">
        <v>13</v>
      </c>
      <c r="C33" t="s">
        <v>1188</v>
      </c>
      <c r="D33">
        <v>36689</v>
      </c>
      <c r="E33" t="s">
        <v>251</v>
      </c>
    </row>
    <row r="34" spans="1:5" x14ac:dyDescent="0.2">
      <c r="A34">
        <v>3571</v>
      </c>
      <c r="B34">
        <v>0</v>
      </c>
      <c r="C34" t="s">
        <v>1189</v>
      </c>
      <c r="D34">
        <v>37424</v>
      </c>
      <c r="E34" t="s">
        <v>1156</v>
      </c>
    </row>
    <row r="35" spans="1:5" x14ac:dyDescent="0.2">
      <c r="A35">
        <v>3144</v>
      </c>
      <c r="B35">
        <v>1</v>
      </c>
      <c r="C35" t="s">
        <v>1191</v>
      </c>
      <c r="D35">
        <v>36526</v>
      </c>
      <c r="E35" t="s">
        <v>1192</v>
      </c>
    </row>
    <row r="36" spans="1:5" x14ac:dyDescent="0.2">
      <c r="A36">
        <v>3308</v>
      </c>
      <c r="B36">
        <v>0</v>
      </c>
      <c r="C36" t="s">
        <v>1193</v>
      </c>
      <c r="D36">
        <v>37223</v>
      </c>
      <c r="E36" t="s">
        <v>231</v>
      </c>
    </row>
    <row r="37" spans="1:5" x14ac:dyDescent="0.2">
      <c r="A37">
        <v>3423</v>
      </c>
      <c r="B37">
        <v>0</v>
      </c>
      <c r="C37" t="s">
        <v>1194</v>
      </c>
      <c r="D37">
        <v>37142</v>
      </c>
      <c r="E37" t="s">
        <v>227</v>
      </c>
    </row>
    <row r="38" spans="1:5" x14ac:dyDescent="0.2">
      <c r="A38">
        <v>3687</v>
      </c>
      <c r="B38">
        <v>0</v>
      </c>
      <c r="C38" t="s">
        <v>1195</v>
      </c>
      <c r="D38">
        <v>37842</v>
      </c>
      <c r="E38" t="s">
        <v>105</v>
      </c>
    </row>
    <row r="39" spans="1:5" x14ac:dyDescent="0.2">
      <c r="A39">
        <v>3602</v>
      </c>
      <c r="B39">
        <v>0</v>
      </c>
      <c r="C39" t="s">
        <v>1196</v>
      </c>
      <c r="D39">
        <v>36182</v>
      </c>
      <c r="E39" t="s">
        <v>1197</v>
      </c>
    </row>
    <row r="40" spans="1:5" x14ac:dyDescent="0.2">
      <c r="A40">
        <v>2829</v>
      </c>
      <c r="B40">
        <v>10</v>
      </c>
      <c r="C40" t="s">
        <v>1199</v>
      </c>
      <c r="D40">
        <v>36946</v>
      </c>
      <c r="E40" t="s">
        <v>1200</v>
      </c>
    </row>
    <row r="41" spans="1:5" x14ac:dyDescent="0.2">
      <c r="A41">
        <v>1123</v>
      </c>
      <c r="B41">
        <v>185</v>
      </c>
      <c r="C41" t="s">
        <v>123</v>
      </c>
      <c r="D41">
        <v>36561</v>
      </c>
      <c r="E41" t="s">
        <v>124</v>
      </c>
    </row>
    <row r="42" spans="1:5" x14ac:dyDescent="0.2">
      <c r="A42">
        <v>2907</v>
      </c>
      <c r="B42">
        <v>7</v>
      </c>
      <c r="C42" t="s">
        <v>1201</v>
      </c>
      <c r="D42">
        <v>36355</v>
      </c>
      <c r="E42" t="s">
        <v>109</v>
      </c>
    </row>
    <row r="43" spans="1:5" x14ac:dyDescent="0.2">
      <c r="A43">
        <v>2943</v>
      </c>
      <c r="B43">
        <v>6</v>
      </c>
      <c r="C43" t="s">
        <v>1202</v>
      </c>
      <c r="D43">
        <v>37483</v>
      </c>
      <c r="E43" t="s">
        <v>120</v>
      </c>
    </row>
    <row r="44" spans="1:5" x14ac:dyDescent="0.2">
      <c r="A44">
        <v>2543</v>
      </c>
      <c r="B44">
        <v>23</v>
      </c>
      <c r="C44" t="s">
        <v>424</v>
      </c>
      <c r="D44">
        <v>36534</v>
      </c>
      <c r="E44" t="s">
        <v>113</v>
      </c>
    </row>
    <row r="45" spans="1:5" x14ac:dyDescent="0.2">
      <c r="A45">
        <v>3402</v>
      </c>
      <c r="B45">
        <v>0</v>
      </c>
      <c r="C45" t="s">
        <v>1203</v>
      </c>
      <c r="D45">
        <v>37372</v>
      </c>
      <c r="E45" t="s">
        <v>1204</v>
      </c>
    </row>
    <row r="46" spans="1:5" x14ac:dyDescent="0.2">
      <c r="A46">
        <v>871</v>
      </c>
      <c r="B46">
        <v>263</v>
      </c>
      <c r="C46" t="s">
        <v>125</v>
      </c>
      <c r="D46">
        <v>36274</v>
      </c>
      <c r="E46" t="s">
        <v>1171</v>
      </c>
    </row>
    <row r="47" spans="1:5" x14ac:dyDescent="0.2">
      <c r="A47">
        <v>1901</v>
      </c>
      <c r="B47">
        <v>60</v>
      </c>
      <c r="C47" t="s">
        <v>1205</v>
      </c>
      <c r="D47">
        <v>36649</v>
      </c>
      <c r="E47" t="s">
        <v>105</v>
      </c>
    </row>
    <row r="48" spans="1:5" x14ac:dyDescent="0.2">
      <c r="A48">
        <v>2518</v>
      </c>
      <c r="B48">
        <v>24</v>
      </c>
      <c r="C48" t="s">
        <v>425</v>
      </c>
      <c r="D48">
        <v>36775</v>
      </c>
      <c r="E48" t="s">
        <v>74</v>
      </c>
    </row>
    <row r="49" spans="1:5" x14ac:dyDescent="0.2">
      <c r="A49">
        <v>3041</v>
      </c>
      <c r="B49">
        <v>4</v>
      </c>
      <c r="C49" t="s">
        <v>1206</v>
      </c>
      <c r="D49">
        <v>37665</v>
      </c>
      <c r="E49" t="s">
        <v>105</v>
      </c>
    </row>
    <row r="50" spans="1:5" x14ac:dyDescent="0.2">
      <c r="A50">
        <v>1985</v>
      </c>
      <c r="B50">
        <v>53</v>
      </c>
      <c r="C50" t="s">
        <v>426</v>
      </c>
      <c r="D50">
        <v>36950</v>
      </c>
      <c r="E50" t="s">
        <v>105</v>
      </c>
    </row>
    <row r="51" spans="1:5" x14ac:dyDescent="0.2">
      <c r="A51">
        <v>3236</v>
      </c>
      <c r="B51">
        <v>0</v>
      </c>
      <c r="C51" t="s">
        <v>426</v>
      </c>
      <c r="D51">
        <v>36668</v>
      </c>
      <c r="E51" t="s">
        <v>132</v>
      </c>
    </row>
    <row r="52" spans="1:5" x14ac:dyDescent="0.2">
      <c r="A52">
        <v>3086</v>
      </c>
      <c r="B52">
        <v>3</v>
      </c>
      <c r="C52" t="s">
        <v>1207</v>
      </c>
      <c r="D52">
        <v>36234</v>
      </c>
      <c r="E52" t="s">
        <v>290</v>
      </c>
    </row>
    <row r="53" spans="1:5" x14ac:dyDescent="0.2">
      <c r="A53">
        <v>2940</v>
      </c>
      <c r="B53">
        <v>6</v>
      </c>
      <c r="C53" t="s">
        <v>1208</v>
      </c>
      <c r="D53">
        <v>36365</v>
      </c>
      <c r="E53" t="s">
        <v>129</v>
      </c>
    </row>
    <row r="54" spans="1:5" x14ac:dyDescent="0.2">
      <c r="A54">
        <v>3407</v>
      </c>
      <c r="B54">
        <v>0</v>
      </c>
      <c r="C54" t="s">
        <v>1209</v>
      </c>
      <c r="D54">
        <v>37050</v>
      </c>
      <c r="E54" t="s">
        <v>110</v>
      </c>
    </row>
    <row r="55" spans="1:5" x14ac:dyDescent="0.2">
      <c r="A55">
        <v>1979</v>
      </c>
      <c r="B55">
        <v>54</v>
      </c>
      <c r="C55" t="s">
        <v>1210</v>
      </c>
      <c r="D55">
        <v>36771</v>
      </c>
      <c r="E55" t="s">
        <v>113</v>
      </c>
    </row>
    <row r="56" spans="1:5" x14ac:dyDescent="0.2">
      <c r="A56">
        <v>3068</v>
      </c>
      <c r="B56">
        <v>3</v>
      </c>
      <c r="C56" t="s">
        <v>1212</v>
      </c>
      <c r="D56">
        <v>36653</v>
      </c>
      <c r="E56" t="s">
        <v>122</v>
      </c>
    </row>
    <row r="57" spans="1:5" x14ac:dyDescent="0.2">
      <c r="A57">
        <v>1865</v>
      </c>
      <c r="B57">
        <v>64</v>
      </c>
      <c r="C57" t="s">
        <v>1213</v>
      </c>
      <c r="D57">
        <v>37222</v>
      </c>
      <c r="E57" t="s">
        <v>1214</v>
      </c>
    </row>
    <row r="58" spans="1:5" x14ac:dyDescent="0.2">
      <c r="A58">
        <v>3356</v>
      </c>
      <c r="B58">
        <v>0</v>
      </c>
      <c r="C58" t="s">
        <v>1215</v>
      </c>
      <c r="D58">
        <v>37111</v>
      </c>
      <c r="E58" t="s">
        <v>118</v>
      </c>
    </row>
    <row r="59" spans="1:5" x14ac:dyDescent="0.2">
      <c r="A59">
        <v>1791</v>
      </c>
      <c r="B59">
        <v>73</v>
      </c>
      <c r="C59" t="s">
        <v>1216</v>
      </c>
      <c r="D59">
        <v>37758</v>
      </c>
      <c r="E59" t="s">
        <v>118</v>
      </c>
    </row>
    <row r="60" spans="1:5" x14ac:dyDescent="0.2">
      <c r="A60">
        <v>1272</v>
      </c>
      <c r="B60">
        <v>153</v>
      </c>
      <c r="C60" t="s">
        <v>1217</v>
      </c>
      <c r="D60">
        <v>36430</v>
      </c>
      <c r="E60" t="s">
        <v>113</v>
      </c>
    </row>
    <row r="61" spans="1:5" x14ac:dyDescent="0.2">
      <c r="A61">
        <v>2552</v>
      </c>
      <c r="B61">
        <v>23</v>
      </c>
      <c r="C61" t="s">
        <v>798</v>
      </c>
      <c r="D61">
        <v>36915</v>
      </c>
      <c r="E61" t="s">
        <v>163</v>
      </c>
    </row>
    <row r="62" spans="1:5" x14ac:dyDescent="0.2">
      <c r="A62">
        <v>3666</v>
      </c>
      <c r="B62">
        <v>0</v>
      </c>
      <c r="C62" t="s">
        <v>1218</v>
      </c>
      <c r="D62">
        <v>36526</v>
      </c>
      <c r="E62" t="s">
        <v>128</v>
      </c>
    </row>
    <row r="63" spans="1:5" x14ac:dyDescent="0.2">
      <c r="A63">
        <v>2111</v>
      </c>
      <c r="B63">
        <v>46</v>
      </c>
      <c r="C63" t="s">
        <v>1219</v>
      </c>
      <c r="D63">
        <v>37160</v>
      </c>
      <c r="E63" t="s">
        <v>105</v>
      </c>
    </row>
    <row r="64" spans="1:5" x14ac:dyDescent="0.2">
      <c r="A64">
        <v>2077</v>
      </c>
      <c r="B64">
        <v>47</v>
      </c>
      <c r="C64" t="s">
        <v>131</v>
      </c>
      <c r="D64">
        <v>36688</v>
      </c>
      <c r="E64" t="s">
        <v>128</v>
      </c>
    </row>
    <row r="65" spans="1:5" x14ac:dyDescent="0.2">
      <c r="A65">
        <v>2244</v>
      </c>
      <c r="B65">
        <v>38</v>
      </c>
      <c r="C65" t="s">
        <v>662</v>
      </c>
      <c r="D65">
        <v>36845</v>
      </c>
      <c r="E65" t="s">
        <v>139</v>
      </c>
    </row>
    <row r="66" spans="1:5" x14ac:dyDescent="0.2">
      <c r="A66">
        <v>1995</v>
      </c>
      <c r="B66">
        <v>53</v>
      </c>
      <c r="C66" t="s">
        <v>1220</v>
      </c>
      <c r="D66">
        <v>36787</v>
      </c>
      <c r="E66" t="s">
        <v>105</v>
      </c>
    </row>
    <row r="67" spans="1:5" x14ac:dyDescent="0.2">
      <c r="A67">
        <v>2128</v>
      </c>
      <c r="B67">
        <v>45</v>
      </c>
      <c r="C67" t="s">
        <v>799</v>
      </c>
      <c r="D67">
        <v>37437</v>
      </c>
      <c r="E67" t="s">
        <v>110</v>
      </c>
    </row>
    <row r="68" spans="1:5" x14ac:dyDescent="0.2">
      <c r="A68">
        <v>1699</v>
      </c>
      <c r="B68">
        <v>83</v>
      </c>
      <c r="C68" t="s">
        <v>663</v>
      </c>
      <c r="D68">
        <v>36713</v>
      </c>
      <c r="E68" t="s">
        <v>183</v>
      </c>
    </row>
    <row r="69" spans="1:5" x14ac:dyDescent="0.2">
      <c r="A69">
        <v>2965</v>
      </c>
      <c r="B69">
        <v>5</v>
      </c>
      <c r="C69" t="s">
        <v>1223</v>
      </c>
      <c r="D69">
        <v>36965</v>
      </c>
      <c r="E69" t="s">
        <v>105</v>
      </c>
    </row>
    <row r="70" spans="1:5" x14ac:dyDescent="0.2">
      <c r="A70">
        <v>826</v>
      </c>
      <c r="B70">
        <v>287</v>
      </c>
      <c r="C70" t="s">
        <v>428</v>
      </c>
      <c r="D70">
        <v>36268</v>
      </c>
      <c r="E70" t="s">
        <v>120</v>
      </c>
    </row>
    <row r="71" spans="1:5" x14ac:dyDescent="0.2">
      <c r="A71">
        <v>2219</v>
      </c>
      <c r="B71">
        <v>40</v>
      </c>
      <c r="C71" t="s">
        <v>378</v>
      </c>
      <c r="D71">
        <v>37257</v>
      </c>
      <c r="E71" t="s">
        <v>105</v>
      </c>
    </row>
    <row r="72" spans="1:5" x14ac:dyDescent="0.2">
      <c r="A72">
        <v>3688</v>
      </c>
      <c r="B72">
        <v>0</v>
      </c>
      <c r="C72" t="s">
        <v>1224</v>
      </c>
      <c r="D72">
        <v>36979</v>
      </c>
      <c r="E72" t="s">
        <v>105</v>
      </c>
    </row>
    <row r="73" spans="1:5" x14ac:dyDescent="0.2">
      <c r="A73">
        <v>1809</v>
      </c>
      <c r="B73">
        <v>71</v>
      </c>
      <c r="C73" t="s">
        <v>429</v>
      </c>
      <c r="D73">
        <v>37216</v>
      </c>
      <c r="E73" t="s">
        <v>105</v>
      </c>
    </row>
    <row r="74" spans="1:5" x14ac:dyDescent="0.2">
      <c r="A74">
        <v>2300</v>
      </c>
      <c r="B74">
        <v>35</v>
      </c>
      <c r="C74" t="s">
        <v>430</v>
      </c>
      <c r="D74">
        <v>36995</v>
      </c>
      <c r="E74" t="s">
        <v>1182</v>
      </c>
    </row>
    <row r="75" spans="1:5" x14ac:dyDescent="0.2">
      <c r="A75">
        <v>1903</v>
      </c>
      <c r="B75">
        <v>60</v>
      </c>
      <c r="C75" t="s">
        <v>431</v>
      </c>
      <c r="D75">
        <v>36689</v>
      </c>
      <c r="E75" t="s">
        <v>1214</v>
      </c>
    </row>
    <row r="76" spans="1:5" x14ac:dyDescent="0.2">
      <c r="A76">
        <v>2597</v>
      </c>
      <c r="B76">
        <v>20</v>
      </c>
      <c r="C76" t="s">
        <v>1226</v>
      </c>
      <c r="D76">
        <v>36271</v>
      </c>
      <c r="E76" t="s">
        <v>208</v>
      </c>
    </row>
    <row r="77" spans="1:5" x14ac:dyDescent="0.2">
      <c r="A77">
        <v>2135</v>
      </c>
      <c r="B77">
        <v>44</v>
      </c>
      <c r="C77" t="s">
        <v>134</v>
      </c>
      <c r="D77">
        <v>36622</v>
      </c>
      <c r="E77" t="s">
        <v>105</v>
      </c>
    </row>
    <row r="78" spans="1:5" x14ac:dyDescent="0.2">
      <c r="A78">
        <v>2995</v>
      </c>
      <c r="B78">
        <v>5</v>
      </c>
      <c r="C78" t="s">
        <v>1227</v>
      </c>
      <c r="D78">
        <v>37133</v>
      </c>
      <c r="E78" t="s">
        <v>118</v>
      </c>
    </row>
    <row r="79" spans="1:5" x14ac:dyDescent="0.2">
      <c r="A79">
        <v>2614</v>
      </c>
      <c r="B79">
        <v>19</v>
      </c>
      <c r="C79" t="s">
        <v>135</v>
      </c>
      <c r="D79">
        <v>36615</v>
      </c>
      <c r="E79" t="s">
        <v>110</v>
      </c>
    </row>
    <row r="80" spans="1:5" x14ac:dyDescent="0.2">
      <c r="A80">
        <v>2425</v>
      </c>
      <c r="B80">
        <v>29</v>
      </c>
      <c r="C80" t="s">
        <v>1228</v>
      </c>
      <c r="D80">
        <v>36892</v>
      </c>
      <c r="E80" t="s">
        <v>103</v>
      </c>
    </row>
    <row r="81" spans="1:5" x14ac:dyDescent="0.2">
      <c r="A81">
        <v>2101</v>
      </c>
      <c r="B81">
        <v>46</v>
      </c>
      <c r="C81" t="s">
        <v>664</v>
      </c>
      <c r="D81">
        <v>36355</v>
      </c>
      <c r="E81" t="s">
        <v>1229</v>
      </c>
    </row>
    <row r="82" spans="1:5" x14ac:dyDescent="0.2">
      <c r="A82">
        <v>3408</v>
      </c>
      <c r="B82">
        <v>0</v>
      </c>
      <c r="C82" t="s">
        <v>1230</v>
      </c>
      <c r="D82">
        <v>36526</v>
      </c>
      <c r="E82" t="s">
        <v>1222</v>
      </c>
    </row>
    <row r="83" spans="1:5" x14ac:dyDescent="0.2">
      <c r="A83">
        <v>2812</v>
      </c>
      <c r="B83">
        <v>11</v>
      </c>
      <c r="C83" t="s">
        <v>1231</v>
      </c>
      <c r="D83">
        <v>36616</v>
      </c>
      <c r="E83" t="s">
        <v>105</v>
      </c>
    </row>
    <row r="84" spans="1:5" x14ac:dyDescent="0.2">
      <c r="A84">
        <v>2051</v>
      </c>
      <c r="B84">
        <v>49</v>
      </c>
      <c r="C84" t="s">
        <v>1233</v>
      </c>
      <c r="D84">
        <v>37321</v>
      </c>
      <c r="E84" t="s">
        <v>227</v>
      </c>
    </row>
    <row r="85" spans="1:5" x14ac:dyDescent="0.2">
      <c r="A85">
        <v>1563</v>
      </c>
      <c r="B85">
        <v>101</v>
      </c>
      <c r="C85" t="s">
        <v>1234</v>
      </c>
      <c r="D85">
        <v>36647</v>
      </c>
      <c r="E85" t="s">
        <v>1235</v>
      </c>
    </row>
    <row r="86" spans="1:5" x14ac:dyDescent="0.2">
      <c r="A86">
        <v>3367</v>
      </c>
      <c r="B86">
        <v>0</v>
      </c>
      <c r="C86" t="s">
        <v>1237</v>
      </c>
      <c r="D86">
        <v>37134</v>
      </c>
      <c r="E86" t="s">
        <v>1238</v>
      </c>
    </row>
    <row r="87" spans="1:5" x14ac:dyDescent="0.2">
      <c r="A87">
        <v>1489</v>
      </c>
      <c r="B87">
        <v>114</v>
      </c>
      <c r="C87" t="s">
        <v>432</v>
      </c>
      <c r="D87">
        <v>36542</v>
      </c>
      <c r="E87" t="s">
        <v>99</v>
      </c>
    </row>
    <row r="88" spans="1:5" x14ac:dyDescent="0.2">
      <c r="A88">
        <v>2087</v>
      </c>
      <c r="B88">
        <v>47</v>
      </c>
      <c r="C88" t="s">
        <v>1239</v>
      </c>
      <c r="D88">
        <v>36911</v>
      </c>
      <c r="E88" t="s">
        <v>113</v>
      </c>
    </row>
    <row r="89" spans="1:5" x14ac:dyDescent="0.2">
      <c r="A89">
        <v>1680</v>
      </c>
      <c r="B89">
        <v>86</v>
      </c>
      <c r="C89" t="s">
        <v>433</v>
      </c>
      <c r="D89">
        <v>36321</v>
      </c>
      <c r="E89" t="s">
        <v>141</v>
      </c>
    </row>
    <row r="90" spans="1:5" x14ac:dyDescent="0.2">
      <c r="A90">
        <v>2353</v>
      </c>
      <c r="B90">
        <v>33</v>
      </c>
      <c r="C90" t="s">
        <v>1240</v>
      </c>
      <c r="D90">
        <v>36196</v>
      </c>
      <c r="E90" t="s">
        <v>1241</v>
      </c>
    </row>
    <row r="91" spans="1:5" x14ac:dyDescent="0.2">
      <c r="A91">
        <v>2388</v>
      </c>
      <c r="B91">
        <v>31</v>
      </c>
      <c r="C91" t="s">
        <v>1242</v>
      </c>
      <c r="D91">
        <v>37406</v>
      </c>
      <c r="E91" t="s">
        <v>1243</v>
      </c>
    </row>
    <row r="92" spans="1:5" x14ac:dyDescent="0.2">
      <c r="A92">
        <v>2991</v>
      </c>
      <c r="B92">
        <v>5</v>
      </c>
      <c r="C92" t="s">
        <v>1244</v>
      </c>
      <c r="D92">
        <v>36165</v>
      </c>
      <c r="E92" t="s">
        <v>120</v>
      </c>
    </row>
    <row r="93" spans="1:5" x14ac:dyDescent="0.2">
      <c r="A93">
        <v>1975</v>
      </c>
      <c r="B93">
        <v>54</v>
      </c>
      <c r="C93" t="s">
        <v>434</v>
      </c>
      <c r="D93">
        <v>36968</v>
      </c>
      <c r="E93" t="s">
        <v>115</v>
      </c>
    </row>
    <row r="94" spans="1:5" x14ac:dyDescent="0.2">
      <c r="A94">
        <v>2458</v>
      </c>
      <c r="B94">
        <v>27</v>
      </c>
      <c r="C94" t="s">
        <v>1245</v>
      </c>
      <c r="D94">
        <v>36888</v>
      </c>
      <c r="E94" t="s">
        <v>1246</v>
      </c>
    </row>
    <row r="95" spans="1:5" x14ac:dyDescent="0.2">
      <c r="A95">
        <v>2203</v>
      </c>
      <c r="B95">
        <v>41</v>
      </c>
      <c r="C95" t="s">
        <v>1247</v>
      </c>
      <c r="D95">
        <v>36985</v>
      </c>
      <c r="E95" t="s">
        <v>1248</v>
      </c>
    </row>
    <row r="96" spans="1:5" x14ac:dyDescent="0.2">
      <c r="A96">
        <v>1306</v>
      </c>
      <c r="B96">
        <v>147</v>
      </c>
      <c r="C96" t="s">
        <v>1249</v>
      </c>
      <c r="D96">
        <v>36237</v>
      </c>
      <c r="E96" t="s">
        <v>165</v>
      </c>
    </row>
    <row r="97" spans="1:5" x14ac:dyDescent="0.2">
      <c r="A97">
        <v>707</v>
      </c>
      <c r="B97">
        <v>336</v>
      </c>
      <c r="C97" t="s">
        <v>143</v>
      </c>
      <c r="D97">
        <v>36418</v>
      </c>
      <c r="E97" t="s">
        <v>144</v>
      </c>
    </row>
    <row r="98" spans="1:5" x14ac:dyDescent="0.2">
      <c r="A98">
        <v>3040</v>
      </c>
      <c r="B98">
        <v>4</v>
      </c>
      <c r="C98" t="s">
        <v>1250</v>
      </c>
      <c r="D98">
        <v>36466</v>
      </c>
      <c r="E98" t="s">
        <v>213</v>
      </c>
    </row>
    <row r="99" spans="1:5" x14ac:dyDescent="0.2">
      <c r="A99">
        <v>1413</v>
      </c>
      <c r="B99">
        <v>129</v>
      </c>
      <c r="C99" t="s">
        <v>146</v>
      </c>
      <c r="D99">
        <v>36492</v>
      </c>
      <c r="E99" t="s">
        <v>120</v>
      </c>
    </row>
    <row r="100" spans="1:5" x14ac:dyDescent="0.2">
      <c r="A100">
        <v>2182</v>
      </c>
      <c r="B100">
        <v>42</v>
      </c>
      <c r="C100" t="s">
        <v>435</v>
      </c>
      <c r="D100">
        <v>36183</v>
      </c>
      <c r="E100" t="s">
        <v>200</v>
      </c>
    </row>
    <row r="101" spans="1:5" x14ac:dyDescent="0.2">
      <c r="A101">
        <v>3364</v>
      </c>
      <c r="B101">
        <v>0</v>
      </c>
      <c r="C101" t="s">
        <v>1252</v>
      </c>
      <c r="D101">
        <v>37320</v>
      </c>
      <c r="E101" t="s">
        <v>117</v>
      </c>
    </row>
    <row r="102" spans="1:5" x14ac:dyDescent="0.2">
      <c r="A102">
        <v>2319</v>
      </c>
      <c r="B102">
        <v>34</v>
      </c>
      <c r="C102" t="s">
        <v>1253</v>
      </c>
      <c r="D102">
        <v>36306</v>
      </c>
      <c r="E102" t="s">
        <v>120</v>
      </c>
    </row>
    <row r="103" spans="1:5" x14ac:dyDescent="0.2">
      <c r="A103">
        <v>2728</v>
      </c>
      <c r="B103">
        <v>14</v>
      </c>
      <c r="C103" t="s">
        <v>1254</v>
      </c>
      <c r="D103">
        <v>37226</v>
      </c>
      <c r="E103" t="s">
        <v>1255</v>
      </c>
    </row>
    <row r="104" spans="1:5" x14ac:dyDescent="0.2">
      <c r="A104">
        <v>2564</v>
      </c>
      <c r="B104">
        <v>22</v>
      </c>
      <c r="C104" t="s">
        <v>1257</v>
      </c>
      <c r="D104">
        <v>36970</v>
      </c>
      <c r="E104" t="s">
        <v>1258</v>
      </c>
    </row>
    <row r="105" spans="1:5" x14ac:dyDescent="0.2">
      <c r="A105">
        <v>3201</v>
      </c>
      <c r="B105">
        <v>0</v>
      </c>
      <c r="C105" t="s">
        <v>1259</v>
      </c>
      <c r="D105">
        <v>37930</v>
      </c>
      <c r="E105" t="s">
        <v>72</v>
      </c>
    </row>
    <row r="106" spans="1:5" x14ac:dyDescent="0.2">
      <c r="A106">
        <v>2134</v>
      </c>
      <c r="B106">
        <v>45</v>
      </c>
      <c r="C106" t="s">
        <v>1260</v>
      </c>
      <c r="D106">
        <v>36663</v>
      </c>
      <c r="E106" t="s">
        <v>1261</v>
      </c>
    </row>
    <row r="107" spans="1:5" x14ac:dyDescent="0.2">
      <c r="A107">
        <v>2671</v>
      </c>
      <c r="B107">
        <v>16</v>
      </c>
      <c r="C107" t="s">
        <v>436</v>
      </c>
      <c r="D107">
        <v>36826</v>
      </c>
      <c r="E107" t="s">
        <v>120</v>
      </c>
    </row>
    <row r="108" spans="1:5" x14ac:dyDescent="0.2">
      <c r="A108">
        <v>2645</v>
      </c>
      <c r="B108">
        <v>18</v>
      </c>
      <c r="C108" t="s">
        <v>1262</v>
      </c>
      <c r="D108">
        <v>37313</v>
      </c>
      <c r="E108" t="s">
        <v>105</v>
      </c>
    </row>
    <row r="109" spans="1:5" x14ac:dyDescent="0.2">
      <c r="A109">
        <v>3483</v>
      </c>
      <c r="B109">
        <v>0</v>
      </c>
      <c r="C109" t="s">
        <v>1263</v>
      </c>
      <c r="D109">
        <v>36724</v>
      </c>
      <c r="E109" t="s">
        <v>1248</v>
      </c>
    </row>
    <row r="110" spans="1:5" x14ac:dyDescent="0.2">
      <c r="A110">
        <v>3427</v>
      </c>
      <c r="B110">
        <v>0</v>
      </c>
      <c r="C110" t="s">
        <v>1265</v>
      </c>
      <c r="D110">
        <v>37327</v>
      </c>
      <c r="E110" t="s">
        <v>1200</v>
      </c>
    </row>
    <row r="111" spans="1:5" x14ac:dyDescent="0.2">
      <c r="A111">
        <v>1883</v>
      </c>
      <c r="B111">
        <v>62</v>
      </c>
      <c r="C111" t="s">
        <v>1266</v>
      </c>
      <c r="D111">
        <v>37087</v>
      </c>
      <c r="E111" t="s">
        <v>1267</v>
      </c>
    </row>
    <row r="112" spans="1:5" x14ac:dyDescent="0.2">
      <c r="A112">
        <v>2775</v>
      </c>
      <c r="B112">
        <v>12</v>
      </c>
      <c r="C112" t="s">
        <v>1268</v>
      </c>
      <c r="D112">
        <v>36960</v>
      </c>
      <c r="E112" t="s">
        <v>120</v>
      </c>
    </row>
    <row r="113" spans="1:5" x14ac:dyDescent="0.2">
      <c r="A113">
        <v>1367</v>
      </c>
      <c r="B113">
        <v>137</v>
      </c>
      <c r="C113" t="s">
        <v>149</v>
      </c>
      <c r="D113">
        <v>36170</v>
      </c>
      <c r="E113" t="s">
        <v>1269</v>
      </c>
    </row>
    <row r="114" spans="1:5" x14ac:dyDescent="0.2">
      <c r="A114">
        <v>2069</v>
      </c>
      <c r="B114">
        <v>48</v>
      </c>
      <c r="C114" t="s">
        <v>1270</v>
      </c>
      <c r="D114">
        <v>36165</v>
      </c>
      <c r="E114" t="s">
        <v>115</v>
      </c>
    </row>
    <row r="115" spans="1:5" x14ac:dyDescent="0.2">
      <c r="A115">
        <v>3195</v>
      </c>
      <c r="B115">
        <v>0</v>
      </c>
      <c r="C115" t="s">
        <v>150</v>
      </c>
      <c r="D115">
        <v>36536</v>
      </c>
      <c r="E115" t="s">
        <v>105</v>
      </c>
    </row>
    <row r="116" spans="1:5" x14ac:dyDescent="0.2">
      <c r="A116">
        <v>1497</v>
      </c>
      <c r="B116">
        <v>112</v>
      </c>
      <c r="C116" t="s">
        <v>151</v>
      </c>
      <c r="D116">
        <v>36209</v>
      </c>
      <c r="E116" t="s">
        <v>128</v>
      </c>
    </row>
    <row r="117" spans="1:5" x14ac:dyDescent="0.2">
      <c r="A117">
        <v>2089</v>
      </c>
      <c r="B117">
        <v>46</v>
      </c>
      <c r="C117" t="s">
        <v>152</v>
      </c>
      <c r="D117">
        <v>36608</v>
      </c>
      <c r="E117" t="s">
        <v>105</v>
      </c>
    </row>
    <row r="118" spans="1:5" x14ac:dyDescent="0.2">
      <c r="A118">
        <v>2973</v>
      </c>
      <c r="B118">
        <v>5</v>
      </c>
      <c r="C118" t="s">
        <v>1272</v>
      </c>
      <c r="D118">
        <v>37763</v>
      </c>
      <c r="E118" t="s">
        <v>99</v>
      </c>
    </row>
    <row r="119" spans="1:5" x14ac:dyDescent="0.2">
      <c r="A119">
        <v>2733</v>
      </c>
      <c r="B119">
        <v>13</v>
      </c>
      <c r="C119" t="s">
        <v>153</v>
      </c>
      <c r="D119">
        <v>36652</v>
      </c>
      <c r="E119" t="s">
        <v>105</v>
      </c>
    </row>
    <row r="120" spans="1:5" x14ac:dyDescent="0.2">
      <c r="A120">
        <v>3155</v>
      </c>
      <c r="B120">
        <v>1</v>
      </c>
      <c r="C120" t="s">
        <v>1273</v>
      </c>
      <c r="D120">
        <v>37382</v>
      </c>
      <c r="E120" t="s">
        <v>126</v>
      </c>
    </row>
    <row r="121" spans="1:5" x14ac:dyDescent="0.2">
      <c r="A121">
        <v>2421</v>
      </c>
      <c r="B121">
        <v>29</v>
      </c>
      <c r="C121" t="s">
        <v>1274</v>
      </c>
      <c r="D121">
        <v>37328</v>
      </c>
      <c r="E121" t="s">
        <v>1171</v>
      </c>
    </row>
    <row r="122" spans="1:5" x14ac:dyDescent="0.2">
      <c r="A122">
        <v>2177</v>
      </c>
      <c r="B122">
        <v>42</v>
      </c>
      <c r="C122" t="s">
        <v>156</v>
      </c>
      <c r="D122">
        <v>36526</v>
      </c>
      <c r="E122" t="s">
        <v>165</v>
      </c>
    </row>
    <row r="123" spans="1:5" x14ac:dyDescent="0.2">
      <c r="A123">
        <v>1405</v>
      </c>
      <c r="B123">
        <v>131</v>
      </c>
      <c r="C123" t="s">
        <v>157</v>
      </c>
      <c r="D123">
        <v>36264</v>
      </c>
      <c r="E123" t="s">
        <v>1275</v>
      </c>
    </row>
    <row r="124" spans="1:5" x14ac:dyDescent="0.2">
      <c r="A124">
        <v>2789</v>
      </c>
      <c r="B124">
        <v>12</v>
      </c>
      <c r="C124" t="s">
        <v>1276</v>
      </c>
      <c r="D124">
        <v>37135</v>
      </c>
      <c r="E124" t="s">
        <v>1277</v>
      </c>
    </row>
    <row r="125" spans="1:5" x14ac:dyDescent="0.2">
      <c r="A125">
        <v>2369</v>
      </c>
      <c r="B125">
        <v>32</v>
      </c>
      <c r="C125" t="s">
        <v>1278</v>
      </c>
      <c r="D125">
        <v>37773</v>
      </c>
      <c r="E125" t="s">
        <v>99</v>
      </c>
    </row>
    <row r="126" spans="1:5" x14ac:dyDescent="0.2">
      <c r="A126">
        <v>2571</v>
      </c>
      <c r="B126">
        <v>21</v>
      </c>
      <c r="C126" t="s">
        <v>665</v>
      </c>
      <c r="D126">
        <v>36955</v>
      </c>
      <c r="E126" t="s">
        <v>99</v>
      </c>
    </row>
    <row r="127" spans="1:5" x14ac:dyDescent="0.2">
      <c r="A127">
        <v>1514</v>
      </c>
      <c r="B127">
        <v>109</v>
      </c>
      <c r="C127" t="s">
        <v>158</v>
      </c>
      <c r="D127">
        <v>36424</v>
      </c>
      <c r="E127" t="s">
        <v>1214</v>
      </c>
    </row>
    <row r="128" spans="1:5" x14ac:dyDescent="0.2">
      <c r="A128">
        <v>1204</v>
      </c>
      <c r="B128">
        <v>167</v>
      </c>
      <c r="C128" t="s">
        <v>159</v>
      </c>
      <c r="D128">
        <v>36412</v>
      </c>
      <c r="E128" t="s">
        <v>103</v>
      </c>
    </row>
    <row r="129" spans="1:5" x14ac:dyDescent="0.2">
      <c r="A129">
        <v>3189</v>
      </c>
      <c r="B129">
        <v>1</v>
      </c>
      <c r="C129" t="s">
        <v>1280</v>
      </c>
      <c r="D129">
        <v>36669</v>
      </c>
      <c r="E129" t="s">
        <v>103</v>
      </c>
    </row>
    <row r="130" spans="1:5" x14ac:dyDescent="0.2">
      <c r="A130">
        <v>3546</v>
      </c>
      <c r="B130">
        <v>0</v>
      </c>
      <c r="C130" t="s">
        <v>1281</v>
      </c>
      <c r="D130">
        <v>37090</v>
      </c>
      <c r="E130" t="s">
        <v>1156</v>
      </c>
    </row>
    <row r="131" spans="1:5" x14ac:dyDescent="0.2">
      <c r="A131">
        <v>1523</v>
      </c>
      <c r="B131">
        <v>107</v>
      </c>
      <c r="C131" t="s">
        <v>161</v>
      </c>
      <c r="D131">
        <v>36179</v>
      </c>
      <c r="E131" t="s">
        <v>105</v>
      </c>
    </row>
    <row r="132" spans="1:5" x14ac:dyDescent="0.2">
      <c r="A132">
        <v>2773</v>
      </c>
      <c r="B132">
        <v>12</v>
      </c>
      <c r="C132" t="s">
        <v>1283</v>
      </c>
      <c r="D132">
        <v>37690</v>
      </c>
      <c r="E132" t="s">
        <v>1284</v>
      </c>
    </row>
    <row r="133" spans="1:5" x14ac:dyDescent="0.2">
      <c r="A133">
        <v>2393</v>
      </c>
      <c r="B133">
        <v>30</v>
      </c>
      <c r="C133" t="s">
        <v>666</v>
      </c>
      <c r="D133">
        <v>36800</v>
      </c>
      <c r="E133" t="s">
        <v>105</v>
      </c>
    </row>
    <row r="134" spans="1:5" x14ac:dyDescent="0.2">
      <c r="A134">
        <v>3398</v>
      </c>
      <c r="B134">
        <v>0</v>
      </c>
      <c r="C134" t="s">
        <v>1287</v>
      </c>
      <c r="D134">
        <v>37726</v>
      </c>
      <c r="E134" t="s">
        <v>120</v>
      </c>
    </row>
    <row r="135" spans="1:5" x14ac:dyDescent="0.2">
      <c r="A135">
        <v>1159</v>
      </c>
      <c r="B135">
        <v>176</v>
      </c>
      <c r="C135" t="s">
        <v>162</v>
      </c>
      <c r="D135">
        <v>36544</v>
      </c>
      <c r="E135" t="s">
        <v>1190</v>
      </c>
    </row>
    <row r="136" spans="1:5" x14ac:dyDescent="0.2">
      <c r="A136">
        <v>1558</v>
      </c>
      <c r="B136">
        <v>101</v>
      </c>
      <c r="C136" t="s">
        <v>1288</v>
      </c>
      <c r="D136">
        <v>36872</v>
      </c>
      <c r="E136" t="s">
        <v>126</v>
      </c>
    </row>
    <row r="137" spans="1:5" x14ac:dyDescent="0.2">
      <c r="A137">
        <v>3052</v>
      </c>
      <c r="B137">
        <v>4</v>
      </c>
      <c r="C137" t="s">
        <v>1289</v>
      </c>
      <c r="D137">
        <v>37501</v>
      </c>
      <c r="E137" t="s">
        <v>1182</v>
      </c>
    </row>
    <row r="138" spans="1:5" x14ac:dyDescent="0.2">
      <c r="A138">
        <v>3274</v>
      </c>
      <c r="B138">
        <v>0</v>
      </c>
      <c r="C138" t="s">
        <v>1291</v>
      </c>
      <c r="D138">
        <v>37775</v>
      </c>
      <c r="E138" t="s">
        <v>1292</v>
      </c>
    </row>
    <row r="139" spans="1:5" x14ac:dyDescent="0.2">
      <c r="A139">
        <v>3446</v>
      </c>
      <c r="B139">
        <v>0</v>
      </c>
      <c r="C139" t="s">
        <v>1293</v>
      </c>
      <c r="D139">
        <v>37446</v>
      </c>
      <c r="E139" t="s">
        <v>105</v>
      </c>
    </row>
    <row r="140" spans="1:5" x14ac:dyDescent="0.2">
      <c r="A140">
        <v>3363</v>
      </c>
      <c r="B140">
        <v>0</v>
      </c>
      <c r="C140" t="s">
        <v>1294</v>
      </c>
      <c r="D140">
        <v>37773</v>
      </c>
      <c r="E140" t="s">
        <v>1295</v>
      </c>
    </row>
    <row r="141" spans="1:5" x14ac:dyDescent="0.2">
      <c r="A141">
        <v>1956</v>
      </c>
      <c r="B141">
        <v>55</v>
      </c>
      <c r="C141" t="s">
        <v>800</v>
      </c>
      <c r="D141">
        <v>36440</v>
      </c>
      <c r="E141" t="s">
        <v>113</v>
      </c>
    </row>
    <row r="142" spans="1:5" x14ac:dyDescent="0.2">
      <c r="A142">
        <v>1388</v>
      </c>
      <c r="B142">
        <v>133</v>
      </c>
      <c r="C142" t="s">
        <v>380</v>
      </c>
      <c r="D142">
        <v>36729</v>
      </c>
      <c r="E142" t="s">
        <v>120</v>
      </c>
    </row>
    <row r="143" spans="1:5" x14ac:dyDescent="0.2">
      <c r="A143">
        <v>1840</v>
      </c>
      <c r="B143">
        <v>68</v>
      </c>
      <c r="C143" t="s">
        <v>801</v>
      </c>
      <c r="D143">
        <v>37075</v>
      </c>
      <c r="E143" t="s">
        <v>109</v>
      </c>
    </row>
    <row r="144" spans="1:5" x14ac:dyDescent="0.2">
      <c r="A144">
        <v>3610</v>
      </c>
      <c r="B144">
        <v>0</v>
      </c>
      <c r="C144" t="s">
        <v>1296</v>
      </c>
      <c r="D144">
        <v>37629</v>
      </c>
      <c r="E144" t="s">
        <v>1297</v>
      </c>
    </row>
    <row r="145" spans="1:5" x14ac:dyDescent="0.2">
      <c r="A145">
        <v>2013</v>
      </c>
      <c r="B145">
        <v>51</v>
      </c>
      <c r="C145" t="s">
        <v>437</v>
      </c>
      <c r="D145">
        <v>36387</v>
      </c>
      <c r="E145" t="s">
        <v>165</v>
      </c>
    </row>
    <row r="146" spans="1:5" x14ac:dyDescent="0.2">
      <c r="A146">
        <v>2980</v>
      </c>
      <c r="B146">
        <v>5</v>
      </c>
      <c r="C146" t="s">
        <v>1298</v>
      </c>
      <c r="D146">
        <v>36596</v>
      </c>
      <c r="E146" t="s">
        <v>105</v>
      </c>
    </row>
    <row r="147" spans="1:5" x14ac:dyDescent="0.2">
      <c r="A147">
        <v>2233</v>
      </c>
      <c r="B147">
        <v>39</v>
      </c>
      <c r="C147" t="s">
        <v>1299</v>
      </c>
      <c r="D147">
        <v>36797</v>
      </c>
      <c r="E147" t="s">
        <v>614</v>
      </c>
    </row>
    <row r="148" spans="1:5" x14ac:dyDescent="0.2">
      <c r="A148">
        <v>2655</v>
      </c>
      <c r="B148">
        <v>18</v>
      </c>
      <c r="C148" t="s">
        <v>1300</v>
      </c>
      <c r="D148">
        <v>36190</v>
      </c>
      <c r="E148" t="s">
        <v>166</v>
      </c>
    </row>
    <row r="149" spans="1:5" x14ac:dyDescent="0.2">
      <c r="A149">
        <v>908</v>
      </c>
      <c r="B149">
        <v>251</v>
      </c>
      <c r="C149" t="s">
        <v>167</v>
      </c>
      <c r="D149">
        <v>36669</v>
      </c>
      <c r="E149" t="s">
        <v>103</v>
      </c>
    </row>
    <row r="150" spans="1:5" x14ac:dyDescent="0.2">
      <c r="A150">
        <v>2656</v>
      </c>
      <c r="B150">
        <v>17</v>
      </c>
      <c r="C150" t="s">
        <v>381</v>
      </c>
      <c r="D150">
        <v>36850</v>
      </c>
      <c r="E150" t="s">
        <v>1236</v>
      </c>
    </row>
    <row r="151" spans="1:5" x14ac:dyDescent="0.2">
      <c r="A151">
        <v>3674</v>
      </c>
      <c r="B151">
        <v>0</v>
      </c>
      <c r="C151" t="s">
        <v>1301</v>
      </c>
      <c r="D151">
        <v>37622</v>
      </c>
      <c r="E151" t="s">
        <v>136</v>
      </c>
    </row>
    <row r="152" spans="1:5" x14ac:dyDescent="0.2">
      <c r="A152">
        <v>945</v>
      </c>
      <c r="B152">
        <v>237</v>
      </c>
      <c r="C152" t="s">
        <v>169</v>
      </c>
      <c r="D152">
        <v>36188</v>
      </c>
      <c r="E152" t="s">
        <v>113</v>
      </c>
    </row>
    <row r="153" spans="1:5" x14ac:dyDescent="0.2">
      <c r="A153">
        <v>3232</v>
      </c>
      <c r="B153">
        <v>0</v>
      </c>
      <c r="C153" t="s">
        <v>1302</v>
      </c>
      <c r="D153">
        <v>37500</v>
      </c>
      <c r="E153" t="s">
        <v>133</v>
      </c>
    </row>
    <row r="154" spans="1:5" x14ac:dyDescent="0.2">
      <c r="A154">
        <v>3638</v>
      </c>
      <c r="B154">
        <v>0</v>
      </c>
      <c r="C154" t="s">
        <v>1303</v>
      </c>
      <c r="D154">
        <v>37244</v>
      </c>
      <c r="E154" t="s">
        <v>138</v>
      </c>
    </row>
    <row r="155" spans="1:5" x14ac:dyDescent="0.2">
      <c r="A155">
        <v>3636</v>
      </c>
      <c r="B155">
        <v>0</v>
      </c>
      <c r="C155" t="s">
        <v>1304</v>
      </c>
      <c r="D155">
        <v>37244</v>
      </c>
      <c r="E155" t="s">
        <v>138</v>
      </c>
    </row>
    <row r="156" spans="1:5" x14ac:dyDescent="0.2">
      <c r="A156">
        <v>2903</v>
      </c>
      <c r="B156">
        <v>8</v>
      </c>
      <c r="C156" t="s">
        <v>1305</v>
      </c>
      <c r="D156">
        <v>37194</v>
      </c>
      <c r="E156" t="s">
        <v>105</v>
      </c>
    </row>
    <row r="157" spans="1:5" x14ac:dyDescent="0.2">
      <c r="A157">
        <v>3336</v>
      </c>
      <c r="B157">
        <v>0</v>
      </c>
      <c r="C157" t="s">
        <v>1306</v>
      </c>
      <c r="D157">
        <v>36935</v>
      </c>
      <c r="E157" t="s">
        <v>1307</v>
      </c>
    </row>
    <row r="158" spans="1:5" x14ac:dyDescent="0.2">
      <c r="A158">
        <v>2459</v>
      </c>
      <c r="B158">
        <v>27</v>
      </c>
      <c r="C158" t="s">
        <v>802</v>
      </c>
      <c r="D158">
        <v>36201</v>
      </c>
      <c r="E158" t="s">
        <v>1156</v>
      </c>
    </row>
    <row r="159" spans="1:5" x14ac:dyDescent="0.2">
      <c r="A159">
        <v>1538</v>
      </c>
      <c r="B159">
        <v>104</v>
      </c>
      <c r="C159" t="s">
        <v>172</v>
      </c>
      <c r="D159">
        <v>36332</v>
      </c>
      <c r="E159" t="s">
        <v>128</v>
      </c>
    </row>
    <row r="160" spans="1:5" x14ac:dyDescent="0.2">
      <c r="A160">
        <v>2363</v>
      </c>
      <c r="B160">
        <v>32</v>
      </c>
      <c r="C160" t="s">
        <v>1308</v>
      </c>
      <c r="D160">
        <v>37278</v>
      </c>
      <c r="E160" t="s">
        <v>99</v>
      </c>
    </row>
    <row r="161" spans="1:5" x14ac:dyDescent="0.2">
      <c r="A161">
        <v>2348</v>
      </c>
      <c r="B161">
        <v>33</v>
      </c>
      <c r="C161" t="s">
        <v>1309</v>
      </c>
      <c r="D161">
        <v>36750</v>
      </c>
      <c r="E161" t="s">
        <v>72</v>
      </c>
    </row>
    <row r="162" spans="1:5" x14ac:dyDescent="0.2">
      <c r="A162">
        <v>3539</v>
      </c>
      <c r="B162">
        <v>0</v>
      </c>
      <c r="C162" t="s">
        <v>1310</v>
      </c>
      <c r="D162">
        <v>37162</v>
      </c>
      <c r="E162" t="s">
        <v>105</v>
      </c>
    </row>
    <row r="163" spans="1:5" x14ac:dyDescent="0.2">
      <c r="A163">
        <v>3661</v>
      </c>
      <c r="B163">
        <v>0</v>
      </c>
      <c r="C163" t="s">
        <v>1312</v>
      </c>
      <c r="D163">
        <v>37419</v>
      </c>
      <c r="E163" t="s">
        <v>120</v>
      </c>
    </row>
    <row r="164" spans="1:5" x14ac:dyDescent="0.2">
      <c r="A164">
        <v>2365</v>
      </c>
      <c r="B164">
        <v>32</v>
      </c>
      <c r="C164" t="s">
        <v>667</v>
      </c>
      <c r="D164">
        <v>37038</v>
      </c>
      <c r="E164" t="s">
        <v>1286</v>
      </c>
    </row>
    <row r="165" spans="1:5" x14ac:dyDescent="0.2">
      <c r="A165">
        <v>1899</v>
      </c>
      <c r="B165">
        <v>61</v>
      </c>
      <c r="C165" t="s">
        <v>1313</v>
      </c>
      <c r="D165">
        <v>37553</v>
      </c>
      <c r="E165" t="s">
        <v>213</v>
      </c>
    </row>
    <row r="166" spans="1:5" x14ac:dyDescent="0.2">
      <c r="A166">
        <v>3432</v>
      </c>
      <c r="B166">
        <v>0</v>
      </c>
      <c r="C166" t="s">
        <v>1314</v>
      </c>
      <c r="D166">
        <v>36977</v>
      </c>
      <c r="E166" t="s">
        <v>165</v>
      </c>
    </row>
    <row r="167" spans="1:5" x14ac:dyDescent="0.2">
      <c r="A167">
        <v>3430</v>
      </c>
      <c r="B167">
        <v>0</v>
      </c>
      <c r="C167" t="s">
        <v>1316</v>
      </c>
      <c r="D167">
        <v>36964</v>
      </c>
      <c r="E167" t="s">
        <v>1256</v>
      </c>
    </row>
    <row r="168" spans="1:5" x14ac:dyDescent="0.2">
      <c r="A168">
        <v>3487</v>
      </c>
      <c r="B168">
        <v>0</v>
      </c>
      <c r="C168" t="s">
        <v>1317</v>
      </c>
      <c r="D168">
        <v>37184</v>
      </c>
      <c r="E168" t="s">
        <v>1182</v>
      </c>
    </row>
    <row r="169" spans="1:5" x14ac:dyDescent="0.2">
      <c r="A169">
        <v>3000</v>
      </c>
      <c r="B169">
        <v>5</v>
      </c>
      <c r="C169" t="s">
        <v>1318</v>
      </c>
      <c r="D169">
        <v>37425</v>
      </c>
      <c r="E169" t="s">
        <v>1182</v>
      </c>
    </row>
    <row r="170" spans="1:5" x14ac:dyDescent="0.2">
      <c r="A170">
        <v>2381</v>
      </c>
      <c r="B170">
        <v>31</v>
      </c>
      <c r="C170" t="s">
        <v>382</v>
      </c>
      <c r="D170">
        <v>36979</v>
      </c>
      <c r="E170" t="s">
        <v>1236</v>
      </c>
    </row>
    <row r="171" spans="1:5" x14ac:dyDescent="0.2">
      <c r="A171">
        <v>3475</v>
      </c>
      <c r="B171">
        <v>0</v>
      </c>
      <c r="C171" t="s">
        <v>1319</v>
      </c>
      <c r="D171">
        <v>37257</v>
      </c>
      <c r="E171" t="s">
        <v>1320</v>
      </c>
    </row>
    <row r="172" spans="1:5" x14ac:dyDescent="0.2">
      <c r="A172">
        <v>3169</v>
      </c>
      <c r="B172">
        <v>1</v>
      </c>
      <c r="C172" t="s">
        <v>1321</v>
      </c>
      <c r="D172">
        <v>37196</v>
      </c>
      <c r="E172" t="s">
        <v>105</v>
      </c>
    </row>
    <row r="173" spans="1:5" x14ac:dyDescent="0.2">
      <c r="A173">
        <v>2526</v>
      </c>
      <c r="B173">
        <v>24</v>
      </c>
      <c r="C173" t="s">
        <v>1322</v>
      </c>
      <c r="D173">
        <v>36680</v>
      </c>
      <c r="E173" t="s">
        <v>113</v>
      </c>
    </row>
    <row r="174" spans="1:5" x14ac:dyDescent="0.2">
      <c r="A174">
        <v>2397</v>
      </c>
      <c r="B174">
        <v>30</v>
      </c>
      <c r="C174" t="s">
        <v>668</v>
      </c>
      <c r="D174">
        <v>37176</v>
      </c>
      <c r="E174" t="s">
        <v>99</v>
      </c>
    </row>
    <row r="175" spans="1:5" x14ac:dyDescent="0.2">
      <c r="A175">
        <v>1776</v>
      </c>
      <c r="B175">
        <v>74</v>
      </c>
      <c r="C175" t="s">
        <v>1323</v>
      </c>
      <c r="D175">
        <v>36335</v>
      </c>
      <c r="E175" t="s">
        <v>107</v>
      </c>
    </row>
    <row r="176" spans="1:5" x14ac:dyDescent="0.2">
      <c r="A176">
        <v>3167</v>
      </c>
      <c r="B176">
        <v>1</v>
      </c>
      <c r="C176" t="s">
        <v>1324</v>
      </c>
      <c r="D176">
        <v>36847</v>
      </c>
      <c r="E176" t="s">
        <v>120</v>
      </c>
    </row>
    <row r="177" spans="1:5" x14ac:dyDescent="0.2">
      <c r="A177">
        <v>2928</v>
      </c>
      <c r="B177">
        <v>7</v>
      </c>
      <c r="C177" t="s">
        <v>1325</v>
      </c>
      <c r="D177">
        <v>36707</v>
      </c>
      <c r="E177" t="s">
        <v>120</v>
      </c>
    </row>
    <row r="178" spans="1:5" x14ac:dyDescent="0.2">
      <c r="A178">
        <v>2453</v>
      </c>
      <c r="B178">
        <v>27</v>
      </c>
      <c r="C178" t="s">
        <v>669</v>
      </c>
      <c r="D178">
        <v>36820</v>
      </c>
      <c r="E178" t="s">
        <v>99</v>
      </c>
    </row>
    <row r="179" spans="1:5" x14ac:dyDescent="0.2">
      <c r="A179">
        <v>3650</v>
      </c>
      <c r="B179">
        <v>0</v>
      </c>
      <c r="C179" t="s">
        <v>1326</v>
      </c>
      <c r="D179">
        <v>36460</v>
      </c>
      <c r="E179" t="s">
        <v>1327</v>
      </c>
    </row>
    <row r="180" spans="1:5" x14ac:dyDescent="0.2">
      <c r="A180">
        <v>1967</v>
      </c>
      <c r="B180">
        <v>54</v>
      </c>
      <c r="C180" t="s">
        <v>439</v>
      </c>
      <c r="D180">
        <v>36369</v>
      </c>
      <c r="E180" t="s">
        <v>127</v>
      </c>
    </row>
    <row r="181" spans="1:5" x14ac:dyDescent="0.2">
      <c r="A181">
        <v>2686</v>
      </c>
      <c r="B181">
        <v>16</v>
      </c>
      <c r="C181" t="s">
        <v>1328</v>
      </c>
      <c r="D181">
        <v>36770</v>
      </c>
      <c r="E181" t="s">
        <v>127</v>
      </c>
    </row>
    <row r="182" spans="1:5" x14ac:dyDescent="0.2">
      <c r="A182">
        <v>3379</v>
      </c>
      <c r="B182">
        <v>0</v>
      </c>
      <c r="C182" t="s">
        <v>1329</v>
      </c>
      <c r="D182">
        <v>37235</v>
      </c>
      <c r="E182" t="s">
        <v>113</v>
      </c>
    </row>
    <row r="183" spans="1:5" x14ac:dyDescent="0.2">
      <c r="A183">
        <v>2537</v>
      </c>
      <c r="B183">
        <v>24</v>
      </c>
      <c r="C183" t="s">
        <v>803</v>
      </c>
      <c r="D183">
        <v>38308</v>
      </c>
      <c r="E183" t="s">
        <v>110</v>
      </c>
    </row>
    <row r="184" spans="1:5" x14ac:dyDescent="0.2">
      <c r="A184">
        <v>3689</v>
      </c>
      <c r="B184">
        <v>0</v>
      </c>
      <c r="C184" t="s">
        <v>1331</v>
      </c>
      <c r="D184">
        <v>37474</v>
      </c>
      <c r="E184" t="s">
        <v>105</v>
      </c>
    </row>
    <row r="185" spans="1:5" x14ac:dyDescent="0.2">
      <c r="A185">
        <v>1229</v>
      </c>
      <c r="B185">
        <v>161</v>
      </c>
      <c r="C185" t="s">
        <v>670</v>
      </c>
      <c r="D185">
        <v>36579</v>
      </c>
      <c r="E185" t="s">
        <v>111</v>
      </c>
    </row>
    <row r="186" spans="1:5" x14ac:dyDescent="0.2">
      <c r="A186">
        <v>1646</v>
      </c>
      <c r="B186">
        <v>90</v>
      </c>
      <c r="C186" t="s">
        <v>174</v>
      </c>
      <c r="D186">
        <v>36337</v>
      </c>
      <c r="E186" t="s">
        <v>1332</v>
      </c>
    </row>
    <row r="187" spans="1:5" x14ac:dyDescent="0.2">
      <c r="A187">
        <v>1820</v>
      </c>
      <c r="B187">
        <v>70</v>
      </c>
      <c r="C187" t="s">
        <v>804</v>
      </c>
      <c r="D187">
        <v>36495</v>
      </c>
      <c r="E187" t="s">
        <v>1255</v>
      </c>
    </row>
    <row r="188" spans="1:5" x14ac:dyDescent="0.2">
      <c r="A188">
        <v>2144</v>
      </c>
      <c r="B188">
        <v>44</v>
      </c>
      <c r="C188" t="s">
        <v>440</v>
      </c>
      <c r="D188">
        <v>36584</v>
      </c>
      <c r="E188" t="s">
        <v>1236</v>
      </c>
    </row>
    <row r="189" spans="1:5" x14ac:dyDescent="0.2">
      <c r="A189">
        <v>3409</v>
      </c>
      <c r="B189">
        <v>0</v>
      </c>
      <c r="C189" t="s">
        <v>1333</v>
      </c>
      <c r="D189">
        <v>36798</v>
      </c>
      <c r="E189" t="s">
        <v>365</v>
      </c>
    </row>
    <row r="190" spans="1:5" x14ac:dyDescent="0.2">
      <c r="A190">
        <v>2148</v>
      </c>
      <c r="B190">
        <v>44</v>
      </c>
      <c r="C190" t="s">
        <v>1334</v>
      </c>
      <c r="D190">
        <v>36650</v>
      </c>
      <c r="E190" t="s">
        <v>376</v>
      </c>
    </row>
    <row r="191" spans="1:5" x14ac:dyDescent="0.2">
      <c r="A191">
        <v>2918</v>
      </c>
      <c r="B191">
        <v>7</v>
      </c>
      <c r="C191" t="s">
        <v>1335</v>
      </c>
      <c r="D191">
        <v>37091</v>
      </c>
      <c r="E191" t="s">
        <v>1248</v>
      </c>
    </row>
    <row r="192" spans="1:5" x14ac:dyDescent="0.2">
      <c r="A192">
        <v>2225</v>
      </c>
      <c r="B192">
        <v>39</v>
      </c>
      <c r="C192" t="s">
        <v>671</v>
      </c>
      <c r="D192">
        <v>37060</v>
      </c>
      <c r="E192" t="s">
        <v>1297</v>
      </c>
    </row>
    <row r="193" spans="1:5" x14ac:dyDescent="0.2">
      <c r="A193">
        <v>3365</v>
      </c>
      <c r="B193">
        <v>0</v>
      </c>
      <c r="C193" t="s">
        <v>1336</v>
      </c>
      <c r="D193">
        <v>36605</v>
      </c>
      <c r="E193" t="s">
        <v>164</v>
      </c>
    </row>
    <row r="194" spans="1:5" x14ac:dyDescent="0.2">
      <c r="A194">
        <v>3612</v>
      </c>
      <c r="B194">
        <v>0</v>
      </c>
      <c r="C194" t="s">
        <v>1337</v>
      </c>
      <c r="D194">
        <v>37622</v>
      </c>
      <c r="E194" t="s">
        <v>105</v>
      </c>
    </row>
    <row r="195" spans="1:5" x14ac:dyDescent="0.2">
      <c r="A195">
        <v>2935</v>
      </c>
      <c r="B195">
        <v>7</v>
      </c>
      <c r="C195" t="s">
        <v>1338</v>
      </c>
      <c r="D195">
        <v>36926</v>
      </c>
      <c r="E195" t="s">
        <v>208</v>
      </c>
    </row>
    <row r="196" spans="1:5" x14ac:dyDescent="0.2">
      <c r="A196">
        <v>2947</v>
      </c>
      <c r="B196">
        <v>6</v>
      </c>
      <c r="C196" t="s">
        <v>1339</v>
      </c>
      <c r="D196">
        <v>37573</v>
      </c>
      <c r="E196" t="s">
        <v>282</v>
      </c>
    </row>
    <row r="197" spans="1:5" x14ac:dyDescent="0.2">
      <c r="A197">
        <v>1512</v>
      </c>
      <c r="B197">
        <v>110</v>
      </c>
      <c r="C197" t="s">
        <v>383</v>
      </c>
      <c r="D197">
        <v>36725</v>
      </c>
      <c r="E197" t="s">
        <v>1340</v>
      </c>
    </row>
    <row r="198" spans="1:5" x14ac:dyDescent="0.2">
      <c r="A198">
        <v>1788</v>
      </c>
      <c r="B198">
        <v>73</v>
      </c>
      <c r="C198" t="s">
        <v>441</v>
      </c>
      <c r="D198">
        <v>36613</v>
      </c>
      <c r="E198" t="s">
        <v>72</v>
      </c>
    </row>
    <row r="199" spans="1:5" x14ac:dyDescent="0.2">
      <c r="A199">
        <v>2342</v>
      </c>
      <c r="B199">
        <v>33</v>
      </c>
      <c r="C199" t="s">
        <v>672</v>
      </c>
      <c r="D199">
        <v>36775</v>
      </c>
      <c r="E199" t="s">
        <v>1341</v>
      </c>
    </row>
    <row r="200" spans="1:5" x14ac:dyDescent="0.2">
      <c r="A200">
        <v>3063</v>
      </c>
      <c r="B200">
        <v>3</v>
      </c>
      <c r="C200" t="s">
        <v>1342</v>
      </c>
      <c r="D200">
        <v>36810</v>
      </c>
      <c r="E200" t="s">
        <v>120</v>
      </c>
    </row>
    <row r="201" spans="1:5" x14ac:dyDescent="0.2">
      <c r="A201">
        <v>2495</v>
      </c>
      <c r="B201">
        <v>25</v>
      </c>
      <c r="C201" t="s">
        <v>442</v>
      </c>
      <c r="D201">
        <v>36561</v>
      </c>
      <c r="E201" t="s">
        <v>72</v>
      </c>
    </row>
    <row r="202" spans="1:5" x14ac:dyDescent="0.2">
      <c r="A202">
        <v>2298</v>
      </c>
      <c r="B202">
        <v>35</v>
      </c>
      <c r="C202" t="s">
        <v>443</v>
      </c>
      <c r="D202">
        <v>36561</v>
      </c>
      <c r="E202" t="s">
        <v>72</v>
      </c>
    </row>
    <row r="203" spans="1:5" x14ac:dyDescent="0.2">
      <c r="A203">
        <v>3619</v>
      </c>
      <c r="B203">
        <v>0</v>
      </c>
      <c r="C203" t="s">
        <v>1344</v>
      </c>
      <c r="D203">
        <v>37684</v>
      </c>
      <c r="E203" t="s">
        <v>120</v>
      </c>
    </row>
    <row r="204" spans="1:5" x14ac:dyDescent="0.2">
      <c r="A204">
        <v>1912</v>
      </c>
      <c r="B204">
        <v>59</v>
      </c>
      <c r="C204" t="s">
        <v>1345</v>
      </c>
      <c r="D204">
        <v>36419</v>
      </c>
      <c r="E204" t="s">
        <v>113</v>
      </c>
    </row>
    <row r="205" spans="1:5" x14ac:dyDescent="0.2">
      <c r="A205">
        <v>1599</v>
      </c>
      <c r="B205">
        <v>96</v>
      </c>
      <c r="C205" t="s">
        <v>1346</v>
      </c>
      <c r="D205">
        <v>37298</v>
      </c>
      <c r="E205" t="s">
        <v>132</v>
      </c>
    </row>
    <row r="206" spans="1:5" x14ac:dyDescent="0.2">
      <c r="A206">
        <v>2110</v>
      </c>
      <c r="B206">
        <v>46</v>
      </c>
      <c r="C206" t="s">
        <v>1347</v>
      </c>
      <c r="D206">
        <v>36526</v>
      </c>
      <c r="E206" t="s">
        <v>1348</v>
      </c>
    </row>
    <row r="207" spans="1:5" x14ac:dyDescent="0.2">
      <c r="A207">
        <v>2660</v>
      </c>
      <c r="B207">
        <v>17</v>
      </c>
      <c r="C207" t="s">
        <v>1349</v>
      </c>
      <c r="D207">
        <v>37065</v>
      </c>
      <c r="E207" t="s">
        <v>614</v>
      </c>
    </row>
    <row r="208" spans="1:5" x14ac:dyDescent="0.2">
      <c r="A208">
        <v>3599</v>
      </c>
      <c r="B208">
        <v>0</v>
      </c>
      <c r="C208" t="s">
        <v>1350</v>
      </c>
      <c r="D208">
        <v>36476</v>
      </c>
      <c r="E208" t="s">
        <v>120</v>
      </c>
    </row>
    <row r="209" spans="1:5" x14ac:dyDescent="0.2">
      <c r="A209">
        <v>2625</v>
      </c>
      <c r="B209">
        <v>19</v>
      </c>
      <c r="C209" t="s">
        <v>1351</v>
      </c>
      <c r="D209">
        <v>36473</v>
      </c>
      <c r="E209" t="s">
        <v>115</v>
      </c>
    </row>
    <row r="210" spans="1:5" x14ac:dyDescent="0.2">
      <c r="A210">
        <v>2029</v>
      </c>
      <c r="B210">
        <v>50</v>
      </c>
      <c r="C210" t="s">
        <v>805</v>
      </c>
      <c r="D210">
        <v>37090</v>
      </c>
      <c r="E210" t="s">
        <v>109</v>
      </c>
    </row>
    <row r="211" spans="1:5" x14ac:dyDescent="0.2">
      <c r="A211">
        <v>2493</v>
      </c>
      <c r="B211">
        <v>25</v>
      </c>
      <c r="C211" t="s">
        <v>673</v>
      </c>
      <c r="D211">
        <v>36888</v>
      </c>
      <c r="E211" t="s">
        <v>120</v>
      </c>
    </row>
    <row r="212" spans="1:5" x14ac:dyDescent="0.2">
      <c r="A212">
        <v>1590</v>
      </c>
      <c r="B212">
        <v>97</v>
      </c>
      <c r="C212" t="s">
        <v>674</v>
      </c>
      <c r="D212">
        <v>37148</v>
      </c>
      <c r="E212" t="s">
        <v>99</v>
      </c>
    </row>
    <row r="213" spans="1:5" x14ac:dyDescent="0.2">
      <c r="A213">
        <v>3395</v>
      </c>
      <c r="B213">
        <v>0</v>
      </c>
      <c r="C213" t="s">
        <v>1352</v>
      </c>
      <c r="D213">
        <v>36526</v>
      </c>
      <c r="E213" t="s">
        <v>137</v>
      </c>
    </row>
    <row r="214" spans="1:5" x14ac:dyDescent="0.2">
      <c r="A214">
        <v>3114</v>
      </c>
      <c r="B214">
        <v>2</v>
      </c>
      <c r="C214" t="s">
        <v>1353</v>
      </c>
      <c r="D214">
        <v>36594</v>
      </c>
      <c r="E214" t="s">
        <v>1222</v>
      </c>
    </row>
    <row r="215" spans="1:5" x14ac:dyDescent="0.2">
      <c r="A215">
        <v>2295</v>
      </c>
      <c r="B215">
        <v>36</v>
      </c>
      <c r="C215" t="s">
        <v>1354</v>
      </c>
      <c r="D215">
        <v>37539</v>
      </c>
      <c r="E215" t="s">
        <v>105</v>
      </c>
    </row>
    <row r="216" spans="1:5" x14ac:dyDescent="0.2">
      <c r="A216">
        <v>2034</v>
      </c>
      <c r="B216">
        <v>50</v>
      </c>
      <c r="C216" t="s">
        <v>1355</v>
      </c>
      <c r="D216">
        <v>37099</v>
      </c>
      <c r="E216" t="s">
        <v>1356</v>
      </c>
    </row>
    <row r="217" spans="1:5" x14ac:dyDescent="0.2">
      <c r="A217">
        <v>3358</v>
      </c>
      <c r="B217">
        <v>0</v>
      </c>
      <c r="C217" t="s">
        <v>1357</v>
      </c>
      <c r="D217">
        <v>37046</v>
      </c>
      <c r="E217" t="s">
        <v>1358</v>
      </c>
    </row>
    <row r="218" spans="1:5" x14ac:dyDescent="0.2">
      <c r="A218">
        <v>2469</v>
      </c>
      <c r="B218">
        <v>26</v>
      </c>
      <c r="C218" t="s">
        <v>444</v>
      </c>
      <c r="D218">
        <v>36675</v>
      </c>
      <c r="E218" t="s">
        <v>117</v>
      </c>
    </row>
    <row r="219" spans="1:5" x14ac:dyDescent="0.2">
      <c r="A219">
        <v>2297</v>
      </c>
      <c r="B219">
        <v>35</v>
      </c>
      <c r="C219" t="s">
        <v>445</v>
      </c>
      <c r="D219">
        <v>36833</v>
      </c>
      <c r="E219" t="s">
        <v>446</v>
      </c>
    </row>
    <row r="220" spans="1:5" x14ac:dyDescent="0.2">
      <c r="A220">
        <v>3400</v>
      </c>
      <c r="B220">
        <v>0</v>
      </c>
      <c r="C220" t="s">
        <v>1359</v>
      </c>
      <c r="D220">
        <v>36517</v>
      </c>
      <c r="E220" t="s">
        <v>365</v>
      </c>
    </row>
    <row r="221" spans="1:5" x14ac:dyDescent="0.2">
      <c r="A221">
        <v>3233</v>
      </c>
      <c r="B221">
        <v>0</v>
      </c>
      <c r="C221" t="s">
        <v>1360</v>
      </c>
      <c r="D221">
        <v>36593</v>
      </c>
      <c r="E221" t="s">
        <v>1343</v>
      </c>
    </row>
    <row r="222" spans="1:5" x14ac:dyDescent="0.2">
      <c r="A222">
        <v>2637</v>
      </c>
      <c r="B222">
        <v>19</v>
      </c>
      <c r="C222" t="s">
        <v>806</v>
      </c>
      <c r="D222">
        <v>37362</v>
      </c>
      <c r="E222" t="s">
        <v>120</v>
      </c>
    </row>
    <row r="223" spans="1:5" x14ac:dyDescent="0.2">
      <c r="A223">
        <v>2696</v>
      </c>
      <c r="B223">
        <v>16</v>
      </c>
      <c r="C223" t="s">
        <v>806</v>
      </c>
      <c r="D223">
        <v>36407</v>
      </c>
      <c r="E223" t="s">
        <v>127</v>
      </c>
    </row>
    <row r="224" spans="1:5" x14ac:dyDescent="0.2">
      <c r="A224">
        <v>2629</v>
      </c>
      <c r="B224">
        <v>19</v>
      </c>
      <c r="C224" t="s">
        <v>1361</v>
      </c>
      <c r="D224">
        <v>36488</v>
      </c>
      <c r="E224" t="s">
        <v>145</v>
      </c>
    </row>
    <row r="225" spans="1:5" x14ac:dyDescent="0.2">
      <c r="A225">
        <v>1601</v>
      </c>
      <c r="B225">
        <v>95</v>
      </c>
      <c r="C225" t="s">
        <v>447</v>
      </c>
      <c r="D225">
        <v>36727</v>
      </c>
      <c r="E225" t="s">
        <v>73</v>
      </c>
    </row>
    <row r="226" spans="1:5" x14ac:dyDescent="0.2">
      <c r="A226">
        <v>2774</v>
      </c>
      <c r="B226">
        <v>12</v>
      </c>
      <c r="C226" t="s">
        <v>447</v>
      </c>
      <c r="D226">
        <v>36578</v>
      </c>
      <c r="E226" t="s">
        <v>120</v>
      </c>
    </row>
    <row r="227" spans="1:5" x14ac:dyDescent="0.2">
      <c r="A227">
        <v>2434</v>
      </c>
      <c r="B227">
        <v>28</v>
      </c>
      <c r="C227" t="s">
        <v>448</v>
      </c>
      <c r="D227">
        <v>36928</v>
      </c>
      <c r="E227" t="s">
        <v>72</v>
      </c>
    </row>
    <row r="228" spans="1:5" x14ac:dyDescent="0.2">
      <c r="A228">
        <v>1774</v>
      </c>
      <c r="B228">
        <v>74</v>
      </c>
      <c r="C228" t="s">
        <v>675</v>
      </c>
      <c r="D228">
        <v>36726</v>
      </c>
      <c r="E228" t="s">
        <v>170</v>
      </c>
    </row>
    <row r="229" spans="1:5" x14ac:dyDescent="0.2">
      <c r="A229">
        <v>2301</v>
      </c>
      <c r="B229">
        <v>35</v>
      </c>
      <c r="C229" t="s">
        <v>675</v>
      </c>
      <c r="D229">
        <v>36957</v>
      </c>
      <c r="E229" t="s">
        <v>120</v>
      </c>
    </row>
    <row r="230" spans="1:5" x14ac:dyDescent="0.2">
      <c r="A230">
        <v>2721</v>
      </c>
      <c r="B230">
        <v>14</v>
      </c>
      <c r="C230" t="s">
        <v>675</v>
      </c>
      <c r="D230">
        <v>36683</v>
      </c>
      <c r="E230" t="s">
        <v>1363</v>
      </c>
    </row>
    <row r="231" spans="1:5" x14ac:dyDescent="0.2">
      <c r="A231">
        <v>2588</v>
      </c>
      <c r="B231">
        <v>20</v>
      </c>
      <c r="C231" t="s">
        <v>177</v>
      </c>
      <c r="D231">
        <v>36804</v>
      </c>
      <c r="E231" t="s">
        <v>1363</v>
      </c>
    </row>
    <row r="232" spans="1:5" x14ac:dyDescent="0.2">
      <c r="A232">
        <v>2073</v>
      </c>
      <c r="B232">
        <v>47</v>
      </c>
      <c r="C232" t="s">
        <v>449</v>
      </c>
      <c r="D232">
        <v>37089</v>
      </c>
      <c r="E232" t="s">
        <v>1364</v>
      </c>
    </row>
    <row r="233" spans="1:5" x14ac:dyDescent="0.2">
      <c r="A233">
        <v>3534</v>
      </c>
      <c r="B233">
        <v>0</v>
      </c>
      <c r="C233" t="s">
        <v>1365</v>
      </c>
      <c r="D233">
        <v>36753</v>
      </c>
      <c r="E233" t="s">
        <v>105</v>
      </c>
    </row>
    <row r="234" spans="1:5" x14ac:dyDescent="0.2">
      <c r="A234">
        <v>2108</v>
      </c>
      <c r="B234">
        <v>46</v>
      </c>
      <c r="C234" t="s">
        <v>676</v>
      </c>
      <c r="D234">
        <v>36244</v>
      </c>
      <c r="E234" t="s">
        <v>164</v>
      </c>
    </row>
    <row r="235" spans="1:5" x14ac:dyDescent="0.2">
      <c r="A235">
        <v>3652</v>
      </c>
      <c r="B235">
        <v>0</v>
      </c>
      <c r="C235" t="s">
        <v>1366</v>
      </c>
      <c r="D235">
        <v>37584</v>
      </c>
      <c r="E235" t="s">
        <v>99</v>
      </c>
    </row>
    <row r="236" spans="1:5" x14ac:dyDescent="0.2">
      <c r="A236">
        <v>2706</v>
      </c>
      <c r="B236">
        <v>15</v>
      </c>
      <c r="C236" t="s">
        <v>1367</v>
      </c>
      <c r="D236">
        <v>37529</v>
      </c>
      <c r="E236" t="s">
        <v>113</v>
      </c>
    </row>
    <row r="237" spans="1:5" x14ac:dyDescent="0.2">
      <c r="A237">
        <v>2874</v>
      </c>
      <c r="B237">
        <v>8</v>
      </c>
      <c r="C237" t="s">
        <v>178</v>
      </c>
      <c r="D237">
        <v>36450</v>
      </c>
      <c r="E237" t="s">
        <v>105</v>
      </c>
    </row>
    <row r="238" spans="1:5" x14ac:dyDescent="0.2">
      <c r="A238">
        <v>3334</v>
      </c>
      <c r="B238">
        <v>0</v>
      </c>
      <c r="C238" t="s">
        <v>1368</v>
      </c>
      <c r="D238">
        <v>37117</v>
      </c>
      <c r="E238" t="s">
        <v>119</v>
      </c>
    </row>
    <row r="239" spans="1:5" x14ac:dyDescent="0.2">
      <c r="A239">
        <v>2489</v>
      </c>
      <c r="B239">
        <v>26</v>
      </c>
      <c r="C239" t="s">
        <v>1369</v>
      </c>
      <c r="D239">
        <v>37115</v>
      </c>
      <c r="E239" t="s">
        <v>1162</v>
      </c>
    </row>
    <row r="240" spans="1:5" x14ac:dyDescent="0.2">
      <c r="A240">
        <v>2238</v>
      </c>
      <c r="B240">
        <v>39</v>
      </c>
      <c r="C240" t="s">
        <v>1370</v>
      </c>
      <c r="D240">
        <v>36854</v>
      </c>
      <c r="E240" t="s">
        <v>120</v>
      </c>
    </row>
    <row r="241" spans="1:5" x14ac:dyDescent="0.2">
      <c r="A241">
        <v>1717</v>
      </c>
      <c r="B241">
        <v>82</v>
      </c>
      <c r="C241" t="s">
        <v>1371</v>
      </c>
      <c r="D241">
        <v>37267</v>
      </c>
      <c r="E241" t="s">
        <v>1200</v>
      </c>
    </row>
    <row r="242" spans="1:5" x14ac:dyDescent="0.2">
      <c r="A242">
        <v>2398</v>
      </c>
      <c r="B242">
        <v>30</v>
      </c>
      <c r="C242" t="s">
        <v>181</v>
      </c>
      <c r="D242">
        <v>36697</v>
      </c>
      <c r="E242" t="s">
        <v>110</v>
      </c>
    </row>
    <row r="243" spans="1:5" x14ac:dyDescent="0.2">
      <c r="A243">
        <v>1815</v>
      </c>
      <c r="B243">
        <v>70</v>
      </c>
      <c r="C243" t="s">
        <v>182</v>
      </c>
      <c r="D243">
        <v>36232</v>
      </c>
      <c r="E243" t="s">
        <v>1236</v>
      </c>
    </row>
    <row r="244" spans="1:5" x14ac:dyDescent="0.2">
      <c r="A244">
        <v>2047</v>
      </c>
      <c r="B244">
        <v>49</v>
      </c>
      <c r="C244" t="s">
        <v>1373</v>
      </c>
      <c r="D244">
        <v>36818</v>
      </c>
      <c r="E244" t="s">
        <v>1374</v>
      </c>
    </row>
    <row r="245" spans="1:5" x14ac:dyDescent="0.2">
      <c r="A245">
        <v>3017</v>
      </c>
      <c r="B245">
        <v>4</v>
      </c>
      <c r="C245" t="s">
        <v>1375</v>
      </c>
      <c r="D245">
        <v>37091</v>
      </c>
      <c r="E245" t="s">
        <v>138</v>
      </c>
    </row>
    <row r="246" spans="1:5" x14ac:dyDescent="0.2">
      <c r="A246">
        <v>2172</v>
      </c>
      <c r="B246">
        <v>43</v>
      </c>
      <c r="C246" t="s">
        <v>677</v>
      </c>
      <c r="D246">
        <v>36777</v>
      </c>
      <c r="E246" t="s">
        <v>164</v>
      </c>
    </row>
    <row r="247" spans="1:5" x14ac:dyDescent="0.2">
      <c r="A247">
        <v>3332</v>
      </c>
      <c r="B247">
        <v>0</v>
      </c>
      <c r="C247" t="s">
        <v>1376</v>
      </c>
      <c r="D247">
        <v>36908</v>
      </c>
      <c r="E247" t="s">
        <v>99</v>
      </c>
    </row>
    <row r="248" spans="1:5" x14ac:dyDescent="0.2">
      <c r="A248">
        <v>2410</v>
      </c>
      <c r="B248">
        <v>30</v>
      </c>
      <c r="C248" t="s">
        <v>1377</v>
      </c>
      <c r="D248">
        <v>37132</v>
      </c>
      <c r="E248" t="s">
        <v>75</v>
      </c>
    </row>
    <row r="249" spans="1:5" x14ac:dyDescent="0.2">
      <c r="A249">
        <v>3051</v>
      </c>
      <c r="B249">
        <v>4</v>
      </c>
      <c r="C249" t="s">
        <v>1378</v>
      </c>
      <c r="D249">
        <v>36351</v>
      </c>
      <c r="E249" t="s">
        <v>1379</v>
      </c>
    </row>
    <row r="250" spans="1:5" x14ac:dyDescent="0.2">
      <c r="A250">
        <v>3126</v>
      </c>
      <c r="B250">
        <v>2</v>
      </c>
      <c r="C250" t="s">
        <v>1380</v>
      </c>
      <c r="D250">
        <v>37498</v>
      </c>
      <c r="E250" t="s">
        <v>128</v>
      </c>
    </row>
    <row r="251" spans="1:5" x14ac:dyDescent="0.2">
      <c r="A251">
        <v>3685</v>
      </c>
      <c r="B251">
        <v>0</v>
      </c>
      <c r="C251" t="s">
        <v>1381</v>
      </c>
      <c r="D251">
        <v>36848</v>
      </c>
      <c r="E251" t="s">
        <v>1214</v>
      </c>
    </row>
    <row r="252" spans="1:5" x14ac:dyDescent="0.2">
      <c r="A252">
        <v>1572</v>
      </c>
      <c r="B252">
        <v>100</v>
      </c>
      <c r="C252" t="s">
        <v>1382</v>
      </c>
      <c r="D252">
        <v>36678</v>
      </c>
      <c r="E252" t="s">
        <v>179</v>
      </c>
    </row>
    <row r="253" spans="1:5" x14ac:dyDescent="0.2">
      <c r="A253">
        <v>2286</v>
      </c>
      <c r="B253">
        <v>36</v>
      </c>
      <c r="C253" t="s">
        <v>678</v>
      </c>
      <c r="D253">
        <v>36992</v>
      </c>
      <c r="E253" t="s">
        <v>74</v>
      </c>
    </row>
    <row r="254" spans="1:5" x14ac:dyDescent="0.2">
      <c r="A254">
        <v>3029</v>
      </c>
      <c r="B254">
        <v>4</v>
      </c>
      <c r="C254" t="s">
        <v>807</v>
      </c>
      <c r="D254">
        <v>36965</v>
      </c>
      <c r="E254" t="s">
        <v>163</v>
      </c>
    </row>
    <row r="255" spans="1:5" x14ac:dyDescent="0.2">
      <c r="A255">
        <v>3329</v>
      </c>
      <c r="B255">
        <v>0</v>
      </c>
      <c r="C255" t="s">
        <v>807</v>
      </c>
      <c r="D255">
        <v>37305</v>
      </c>
      <c r="E255" t="s">
        <v>290</v>
      </c>
    </row>
    <row r="256" spans="1:5" x14ac:dyDescent="0.2">
      <c r="A256">
        <v>1946</v>
      </c>
      <c r="B256">
        <v>56</v>
      </c>
      <c r="C256" t="s">
        <v>1383</v>
      </c>
      <c r="D256">
        <v>37507</v>
      </c>
      <c r="E256" t="s">
        <v>120</v>
      </c>
    </row>
    <row r="257" spans="1:5" x14ac:dyDescent="0.2">
      <c r="A257">
        <v>1880</v>
      </c>
      <c r="B257">
        <v>62</v>
      </c>
      <c r="C257" t="s">
        <v>808</v>
      </c>
      <c r="D257">
        <v>37171</v>
      </c>
      <c r="E257" t="s">
        <v>110</v>
      </c>
    </row>
    <row r="258" spans="1:5" x14ac:dyDescent="0.2">
      <c r="A258">
        <v>2210</v>
      </c>
      <c r="B258">
        <v>40</v>
      </c>
      <c r="C258" t="s">
        <v>450</v>
      </c>
      <c r="D258">
        <v>36626</v>
      </c>
      <c r="E258" t="s">
        <v>1214</v>
      </c>
    </row>
    <row r="259" spans="1:5" x14ac:dyDescent="0.2">
      <c r="A259">
        <v>2833</v>
      </c>
      <c r="B259">
        <v>10</v>
      </c>
      <c r="C259" t="s">
        <v>1385</v>
      </c>
      <c r="D259">
        <v>36714</v>
      </c>
      <c r="E259" t="s">
        <v>1386</v>
      </c>
    </row>
    <row r="260" spans="1:5" x14ac:dyDescent="0.2">
      <c r="A260">
        <v>2114</v>
      </c>
      <c r="B260">
        <v>45</v>
      </c>
      <c r="C260" t="s">
        <v>451</v>
      </c>
      <c r="D260">
        <v>36787</v>
      </c>
      <c r="E260" t="s">
        <v>73</v>
      </c>
    </row>
    <row r="261" spans="1:5" x14ac:dyDescent="0.2">
      <c r="A261">
        <v>2752</v>
      </c>
      <c r="B261">
        <v>13</v>
      </c>
      <c r="C261" t="s">
        <v>1387</v>
      </c>
      <c r="D261">
        <v>37507</v>
      </c>
      <c r="E261" t="s">
        <v>120</v>
      </c>
    </row>
    <row r="262" spans="1:5" x14ac:dyDescent="0.2">
      <c r="A262">
        <v>2208</v>
      </c>
      <c r="B262">
        <v>40</v>
      </c>
      <c r="C262" t="s">
        <v>679</v>
      </c>
      <c r="D262">
        <v>36596</v>
      </c>
      <c r="E262" t="s">
        <v>120</v>
      </c>
    </row>
    <row r="263" spans="1:5" x14ac:dyDescent="0.2">
      <c r="A263">
        <v>3128</v>
      </c>
      <c r="B263">
        <v>2</v>
      </c>
      <c r="C263" t="s">
        <v>1388</v>
      </c>
      <c r="D263">
        <v>37650</v>
      </c>
      <c r="E263" t="s">
        <v>1200</v>
      </c>
    </row>
    <row r="264" spans="1:5" x14ac:dyDescent="0.2">
      <c r="A264">
        <v>3094</v>
      </c>
      <c r="B264">
        <v>3</v>
      </c>
      <c r="C264" t="s">
        <v>1389</v>
      </c>
      <c r="D264">
        <v>36758</v>
      </c>
      <c r="E264" t="s">
        <v>1200</v>
      </c>
    </row>
    <row r="265" spans="1:5" x14ac:dyDescent="0.2">
      <c r="A265">
        <v>2452</v>
      </c>
      <c r="B265">
        <v>27</v>
      </c>
      <c r="C265" t="s">
        <v>680</v>
      </c>
      <c r="D265">
        <v>37026</v>
      </c>
      <c r="E265" t="s">
        <v>105</v>
      </c>
    </row>
    <row r="266" spans="1:5" x14ac:dyDescent="0.2">
      <c r="A266">
        <v>2119</v>
      </c>
      <c r="B266">
        <v>45</v>
      </c>
      <c r="C266" t="s">
        <v>184</v>
      </c>
      <c r="D266">
        <v>36806</v>
      </c>
      <c r="E266" t="s">
        <v>1236</v>
      </c>
    </row>
    <row r="267" spans="1:5" x14ac:dyDescent="0.2">
      <c r="A267">
        <v>3272</v>
      </c>
      <c r="B267">
        <v>0</v>
      </c>
      <c r="C267" t="s">
        <v>1390</v>
      </c>
      <c r="D267">
        <v>37439</v>
      </c>
      <c r="E267" t="s">
        <v>136</v>
      </c>
    </row>
    <row r="268" spans="1:5" x14ac:dyDescent="0.2">
      <c r="A268">
        <v>2763</v>
      </c>
      <c r="B268">
        <v>12</v>
      </c>
      <c r="C268" t="s">
        <v>452</v>
      </c>
      <c r="D268">
        <v>36307</v>
      </c>
      <c r="E268" t="s">
        <v>83</v>
      </c>
    </row>
    <row r="269" spans="1:5" x14ac:dyDescent="0.2">
      <c r="A269">
        <v>1552</v>
      </c>
      <c r="B269">
        <v>102</v>
      </c>
      <c r="C269" t="s">
        <v>453</v>
      </c>
      <c r="D269">
        <v>36497</v>
      </c>
      <c r="E269" t="s">
        <v>120</v>
      </c>
    </row>
    <row r="270" spans="1:5" x14ac:dyDescent="0.2">
      <c r="A270">
        <v>2468</v>
      </c>
      <c r="B270">
        <v>26</v>
      </c>
      <c r="C270" t="s">
        <v>681</v>
      </c>
      <c r="D270">
        <v>36390</v>
      </c>
      <c r="E270" t="s">
        <v>139</v>
      </c>
    </row>
    <row r="271" spans="1:5" x14ac:dyDescent="0.2">
      <c r="A271">
        <v>2310</v>
      </c>
      <c r="B271">
        <v>35</v>
      </c>
      <c r="C271" t="s">
        <v>1391</v>
      </c>
      <c r="D271">
        <v>37328</v>
      </c>
      <c r="E271" t="s">
        <v>122</v>
      </c>
    </row>
    <row r="272" spans="1:5" x14ac:dyDescent="0.2">
      <c r="A272">
        <v>1856</v>
      </c>
      <c r="B272">
        <v>65</v>
      </c>
      <c r="C272" t="s">
        <v>185</v>
      </c>
      <c r="D272">
        <v>36737</v>
      </c>
      <c r="E272" t="s">
        <v>186</v>
      </c>
    </row>
    <row r="273" spans="1:5" x14ac:dyDescent="0.2">
      <c r="A273">
        <v>3231</v>
      </c>
      <c r="B273">
        <v>0</v>
      </c>
      <c r="C273" t="s">
        <v>1392</v>
      </c>
      <c r="D273">
        <v>37028</v>
      </c>
      <c r="E273" t="s">
        <v>173</v>
      </c>
    </row>
    <row r="274" spans="1:5" x14ac:dyDescent="0.2">
      <c r="A274">
        <v>3018</v>
      </c>
      <c r="B274">
        <v>4</v>
      </c>
      <c r="C274" t="s">
        <v>1393</v>
      </c>
      <c r="D274">
        <v>37327</v>
      </c>
      <c r="E274" t="s">
        <v>1156</v>
      </c>
    </row>
    <row r="275" spans="1:5" x14ac:dyDescent="0.2">
      <c r="A275">
        <v>2476</v>
      </c>
      <c r="B275">
        <v>26</v>
      </c>
      <c r="C275" t="s">
        <v>1394</v>
      </c>
      <c r="D275">
        <v>36526</v>
      </c>
      <c r="E275" t="s">
        <v>1340</v>
      </c>
    </row>
    <row r="276" spans="1:5" x14ac:dyDescent="0.2">
      <c r="A276">
        <v>1088</v>
      </c>
      <c r="B276">
        <v>195</v>
      </c>
      <c r="C276" t="s">
        <v>187</v>
      </c>
      <c r="D276">
        <v>36299</v>
      </c>
      <c r="E276" t="s">
        <v>72</v>
      </c>
    </row>
    <row r="277" spans="1:5" x14ac:dyDescent="0.2">
      <c r="A277">
        <v>3137</v>
      </c>
      <c r="B277">
        <v>2</v>
      </c>
      <c r="C277" t="s">
        <v>1395</v>
      </c>
      <c r="D277">
        <v>36631</v>
      </c>
      <c r="E277" t="s">
        <v>120</v>
      </c>
    </row>
    <row r="278" spans="1:5" x14ac:dyDescent="0.2">
      <c r="A278">
        <v>1551</v>
      </c>
      <c r="B278">
        <v>102</v>
      </c>
      <c r="C278" t="s">
        <v>1396</v>
      </c>
      <c r="D278">
        <v>36969</v>
      </c>
      <c r="E278" t="s">
        <v>105</v>
      </c>
    </row>
    <row r="279" spans="1:5" x14ac:dyDescent="0.2">
      <c r="A279">
        <v>2847</v>
      </c>
      <c r="B279">
        <v>9</v>
      </c>
      <c r="C279" t="s">
        <v>1397</v>
      </c>
      <c r="D279">
        <v>37760</v>
      </c>
      <c r="E279" t="s">
        <v>72</v>
      </c>
    </row>
    <row r="280" spans="1:5" x14ac:dyDescent="0.2">
      <c r="A280">
        <v>3399</v>
      </c>
      <c r="B280">
        <v>0</v>
      </c>
      <c r="C280" t="s">
        <v>1398</v>
      </c>
      <c r="D280">
        <v>37269</v>
      </c>
      <c r="E280" t="s">
        <v>74</v>
      </c>
    </row>
    <row r="281" spans="1:5" x14ac:dyDescent="0.2">
      <c r="A281">
        <v>2504</v>
      </c>
      <c r="B281">
        <v>25</v>
      </c>
      <c r="C281" t="s">
        <v>1399</v>
      </c>
      <c r="D281">
        <v>36249</v>
      </c>
      <c r="E281" t="s">
        <v>113</v>
      </c>
    </row>
    <row r="282" spans="1:5" x14ac:dyDescent="0.2">
      <c r="A282">
        <v>2098</v>
      </c>
      <c r="B282">
        <v>46</v>
      </c>
      <c r="C282" t="s">
        <v>454</v>
      </c>
      <c r="D282">
        <v>36364</v>
      </c>
      <c r="E282" t="s">
        <v>120</v>
      </c>
    </row>
    <row r="283" spans="1:5" x14ac:dyDescent="0.2">
      <c r="A283">
        <v>1519</v>
      </c>
      <c r="B283">
        <v>108</v>
      </c>
      <c r="C283" t="s">
        <v>682</v>
      </c>
      <c r="D283">
        <v>36840</v>
      </c>
      <c r="E283" t="s">
        <v>1282</v>
      </c>
    </row>
    <row r="284" spans="1:5" x14ac:dyDescent="0.2">
      <c r="A284">
        <v>2396</v>
      </c>
      <c r="B284">
        <v>30</v>
      </c>
      <c r="C284" t="s">
        <v>455</v>
      </c>
      <c r="D284">
        <v>36735</v>
      </c>
      <c r="E284" t="s">
        <v>73</v>
      </c>
    </row>
    <row r="285" spans="1:5" x14ac:dyDescent="0.2">
      <c r="A285">
        <v>2831</v>
      </c>
      <c r="B285">
        <v>10</v>
      </c>
      <c r="C285" t="s">
        <v>1400</v>
      </c>
      <c r="D285">
        <v>36351</v>
      </c>
      <c r="E285" t="s">
        <v>120</v>
      </c>
    </row>
    <row r="286" spans="1:5" x14ac:dyDescent="0.2">
      <c r="A286">
        <v>1686</v>
      </c>
      <c r="B286">
        <v>85</v>
      </c>
      <c r="C286" t="s">
        <v>1401</v>
      </c>
      <c r="D286">
        <v>37061</v>
      </c>
      <c r="E286" t="s">
        <v>1214</v>
      </c>
    </row>
    <row r="287" spans="1:5" x14ac:dyDescent="0.2">
      <c r="A287">
        <v>3035</v>
      </c>
      <c r="B287">
        <v>4</v>
      </c>
      <c r="C287" t="s">
        <v>1402</v>
      </c>
      <c r="D287">
        <v>36542</v>
      </c>
      <c r="E287" t="s">
        <v>200</v>
      </c>
    </row>
    <row r="288" spans="1:5" x14ac:dyDescent="0.2">
      <c r="A288">
        <v>3264</v>
      </c>
      <c r="B288">
        <v>0</v>
      </c>
      <c r="C288" t="s">
        <v>1403</v>
      </c>
      <c r="D288">
        <v>36656</v>
      </c>
      <c r="E288" t="s">
        <v>171</v>
      </c>
    </row>
    <row r="289" spans="1:5" x14ac:dyDescent="0.2">
      <c r="A289">
        <v>2326</v>
      </c>
      <c r="B289">
        <v>34</v>
      </c>
      <c r="C289" t="s">
        <v>1404</v>
      </c>
      <c r="D289">
        <v>37369</v>
      </c>
      <c r="E289" t="s">
        <v>164</v>
      </c>
    </row>
    <row r="290" spans="1:5" x14ac:dyDescent="0.2">
      <c r="A290">
        <v>3412</v>
      </c>
      <c r="B290">
        <v>0</v>
      </c>
      <c r="C290" t="s">
        <v>1405</v>
      </c>
      <c r="D290">
        <v>36526</v>
      </c>
      <c r="E290" t="s">
        <v>661</v>
      </c>
    </row>
    <row r="291" spans="1:5" x14ac:dyDescent="0.2">
      <c r="A291">
        <v>3099</v>
      </c>
      <c r="B291">
        <v>2</v>
      </c>
      <c r="C291" t="s">
        <v>1406</v>
      </c>
      <c r="D291">
        <v>36892</v>
      </c>
      <c r="E291" t="s">
        <v>105</v>
      </c>
    </row>
    <row r="292" spans="1:5" x14ac:dyDescent="0.2">
      <c r="A292">
        <v>2849</v>
      </c>
      <c r="B292">
        <v>9</v>
      </c>
      <c r="C292" t="s">
        <v>1407</v>
      </c>
      <c r="D292">
        <v>37034</v>
      </c>
      <c r="E292" t="s">
        <v>1408</v>
      </c>
    </row>
    <row r="293" spans="1:5" x14ac:dyDescent="0.2">
      <c r="A293">
        <v>2882</v>
      </c>
      <c r="B293">
        <v>8</v>
      </c>
      <c r="C293" t="s">
        <v>1409</v>
      </c>
      <c r="D293">
        <v>36748</v>
      </c>
      <c r="E293" t="s">
        <v>74</v>
      </c>
    </row>
    <row r="294" spans="1:5" x14ac:dyDescent="0.2">
      <c r="A294">
        <v>2670</v>
      </c>
      <c r="B294">
        <v>17</v>
      </c>
      <c r="C294" t="s">
        <v>1410</v>
      </c>
      <c r="D294">
        <v>36395</v>
      </c>
      <c r="E294" t="s">
        <v>1411</v>
      </c>
    </row>
    <row r="295" spans="1:5" x14ac:dyDescent="0.2">
      <c r="A295">
        <v>2934</v>
      </c>
      <c r="B295">
        <v>7</v>
      </c>
      <c r="C295" t="s">
        <v>1412</v>
      </c>
      <c r="D295">
        <v>36479</v>
      </c>
      <c r="E295" t="s">
        <v>1411</v>
      </c>
    </row>
    <row r="296" spans="1:5" x14ac:dyDescent="0.2">
      <c r="A296">
        <v>2836</v>
      </c>
      <c r="B296">
        <v>10</v>
      </c>
      <c r="C296" t="s">
        <v>1413</v>
      </c>
      <c r="D296">
        <v>36976</v>
      </c>
      <c r="E296" t="s">
        <v>1214</v>
      </c>
    </row>
    <row r="297" spans="1:5" x14ac:dyDescent="0.2">
      <c r="A297">
        <v>3659</v>
      </c>
      <c r="B297">
        <v>0</v>
      </c>
      <c r="C297" t="s">
        <v>1414</v>
      </c>
      <c r="D297">
        <v>36699</v>
      </c>
      <c r="E297" t="s">
        <v>183</v>
      </c>
    </row>
    <row r="298" spans="1:5" x14ac:dyDescent="0.2">
      <c r="A298">
        <v>1733</v>
      </c>
      <c r="B298">
        <v>79</v>
      </c>
      <c r="C298" t="s">
        <v>1415</v>
      </c>
      <c r="D298">
        <v>36466</v>
      </c>
      <c r="E298" t="s">
        <v>121</v>
      </c>
    </row>
    <row r="299" spans="1:5" x14ac:dyDescent="0.2">
      <c r="A299">
        <v>3347</v>
      </c>
      <c r="B299">
        <v>0</v>
      </c>
      <c r="C299" t="s">
        <v>1416</v>
      </c>
      <c r="D299">
        <v>36892</v>
      </c>
      <c r="E299" t="s">
        <v>290</v>
      </c>
    </row>
    <row r="300" spans="1:5" x14ac:dyDescent="0.2">
      <c r="A300">
        <v>1900</v>
      </c>
      <c r="B300">
        <v>61</v>
      </c>
      <c r="C300" t="s">
        <v>1417</v>
      </c>
      <c r="D300">
        <v>36981</v>
      </c>
      <c r="E300" t="s">
        <v>113</v>
      </c>
    </row>
    <row r="301" spans="1:5" x14ac:dyDescent="0.2">
      <c r="A301">
        <v>2529</v>
      </c>
      <c r="B301">
        <v>24</v>
      </c>
      <c r="C301" t="s">
        <v>1418</v>
      </c>
      <c r="D301">
        <v>36261</v>
      </c>
      <c r="E301" t="s">
        <v>163</v>
      </c>
    </row>
    <row r="302" spans="1:5" x14ac:dyDescent="0.2">
      <c r="A302">
        <v>1750</v>
      </c>
      <c r="B302">
        <v>76</v>
      </c>
      <c r="C302" t="s">
        <v>189</v>
      </c>
      <c r="D302">
        <v>36859</v>
      </c>
      <c r="E302" t="s">
        <v>1327</v>
      </c>
    </row>
    <row r="303" spans="1:5" x14ac:dyDescent="0.2">
      <c r="A303">
        <v>2158</v>
      </c>
      <c r="B303">
        <v>43</v>
      </c>
      <c r="C303" t="s">
        <v>384</v>
      </c>
      <c r="D303">
        <v>36567</v>
      </c>
      <c r="E303" t="s">
        <v>1419</v>
      </c>
    </row>
    <row r="304" spans="1:5" x14ac:dyDescent="0.2">
      <c r="A304">
        <v>3044</v>
      </c>
      <c r="B304">
        <v>4</v>
      </c>
      <c r="C304" t="s">
        <v>1420</v>
      </c>
      <c r="D304">
        <v>36927</v>
      </c>
      <c r="E304" t="s">
        <v>105</v>
      </c>
    </row>
    <row r="305" spans="1:5" x14ac:dyDescent="0.2">
      <c r="A305">
        <v>2420</v>
      </c>
      <c r="B305">
        <v>29</v>
      </c>
      <c r="C305" t="s">
        <v>190</v>
      </c>
      <c r="D305">
        <v>36172</v>
      </c>
      <c r="E305" t="s">
        <v>84</v>
      </c>
    </row>
    <row r="306" spans="1:5" x14ac:dyDescent="0.2">
      <c r="A306">
        <v>2488</v>
      </c>
      <c r="B306">
        <v>26</v>
      </c>
      <c r="C306" t="s">
        <v>809</v>
      </c>
      <c r="D306">
        <v>37062</v>
      </c>
      <c r="E306" t="s">
        <v>110</v>
      </c>
    </row>
    <row r="307" spans="1:5" x14ac:dyDescent="0.2">
      <c r="A307">
        <v>3413</v>
      </c>
      <c r="B307">
        <v>0</v>
      </c>
      <c r="C307" t="s">
        <v>1421</v>
      </c>
      <c r="D307">
        <v>36892</v>
      </c>
      <c r="E307" t="s">
        <v>661</v>
      </c>
    </row>
    <row r="308" spans="1:5" x14ac:dyDescent="0.2">
      <c r="A308">
        <v>2743</v>
      </c>
      <c r="B308">
        <v>13</v>
      </c>
      <c r="C308" t="s">
        <v>1422</v>
      </c>
      <c r="D308">
        <v>37111</v>
      </c>
      <c r="E308" t="s">
        <v>1423</v>
      </c>
    </row>
    <row r="309" spans="1:5" x14ac:dyDescent="0.2">
      <c r="A309">
        <v>1711</v>
      </c>
      <c r="B309">
        <v>82</v>
      </c>
      <c r="C309" t="s">
        <v>191</v>
      </c>
      <c r="D309">
        <v>36368</v>
      </c>
      <c r="E309" t="s">
        <v>120</v>
      </c>
    </row>
    <row r="310" spans="1:5" x14ac:dyDescent="0.2">
      <c r="A310">
        <v>2283</v>
      </c>
      <c r="B310">
        <v>36</v>
      </c>
      <c r="C310" t="s">
        <v>456</v>
      </c>
      <c r="D310">
        <v>37146</v>
      </c>
      <c r="E310" t="s">
        <v>105</v>
      </c>
    </row>
    <row r="311" spans="1:5" x14ac:dyDescent="0.2">
      <c r="A311">
        <v>2224</v>
      </c>
      <c r="B311">
        <v>39</v>
      </c>
      <c r="C311" t="s">
        <v>457</v>
      </c>
      <c r="D311">
        <v>36961</v>
      </c>
      <c r="E311" t="s">
        <v>99</v>
      </c>
    </row>
    <row r="312" spans="1:5" x14ac:dyDescent="0.2">
      <c r="A312">
        <v>2864</v>
      </c>
      <c r="B312">
        <v>9</v>
      </c>
      <c r="C312" t="s">
        <v>1424</v>
      </c>
      <c r="D312">
        <v>36607</v>
      </c>
      <c r="E312" t="s">
        <v>120</v>
      </c>
    </row>
    <row r="313" spans="1:5" x14ac:dyDescent="0.2">
      <c r="A313">
        <v>1806</v>
      </c>
      <c r="B313">
        <v>71</v>
      </c>
      <c r="C313" t="s">
        <v>192</v>
      </c>
      <c r="D313">
        <v>36917</v>
      </c>
      <c r="E313" t="s">
        <v>1264</v>
      </c>
    </row>
    <row r="314" spans="1:5" x14ac:dyDescent="0.2">
      <c r="A314">
        <v>1253</v>
      </c>
      <c r="B314">
        <v>158</v>
      </c>
      <c r="C314" t="s">
        <v>1426</v>
      </c>
      <c r="D314">
        <v>36600</v>
      </c>
      <c r="E314" t="s">
        <v>1427</v>
      </c>
    </row>
    <row r="315" spans="1:5" x14ac:dyDescent="0.2">
      <c r="A315">
        <v>2568</v>
      </c>
      <c r="B315">
        <v>22</v>
      </c>
      <c r="C315" t="s">
        <v>1428</v>
      </c>
      <c r="D315">
        <v>36953</v>
      </c>
      <c r="E315" t="s">
        <v>1429</v>
      </c>
    </row>
    <row r="316" spans="1:5" x14ac:dyDescent="0.2">
      <c r="A316">
        <v>2368</v>
      </c>
      <c r="B316">
        <v>32</v>
      </c>
      <c r="C316" t="s">
        <v>810</v>
      </c>
      <c r="D316">
        <v>37354</v>
      </c>
      <c r="E316" t="s">
        <v>105</v>
      </c>
    </row>
    <row r="317" spans="1:5" x14ac:dyDescent="0.2">
      <c r="A317">
        <v>1636</v>
      </c>
      <c r="B317">
        <v>91</v>
      </c>
      <c r="C317" t="s">
        <v>683</v>
      </c>
      <c r="D317">
        <v>36569</v>
      </c>
      <c r="E317" t="s">
        <v>105</v>
      </c>
    </row>
    <row r="318" spans="1:5" x14ac:dyDescent="0.2">
      <c r="A318">
        <v>1364</v>
      </c>
      <c r="B318">
        <v>137</v>
      </c>
      <c r="C318" t="s">
        <v>193</v>
      </c>
      <c r="D318">
        <v>36695</v>
      </c>
      <c r="E318" t="s">
        <v>1214</v>
      </c>
    </row>
    <row r="319" spans="1:5" x14ac:dyDescent="0.2">
      <c r="A319">
        <v>2480</v>
      </c>
      <c r="B319">
        <v>26</v>
      </c>
      <c r="C319" t="s">
        <v>1430</v>
      </c>
      <c r="D319">
        <v>36241</v>
      </c>
      <c r="E319" t="s">
        <v>163</v>
      </c>
    </row>
    <row r="320" spans="1:5" x14ac:dyDescent="0.2">
      <c r="A320">
        <v>2911</v>
      </c>
      <c r="B320">
        <v>7</v>
      </c>
      <c r="C320" t="s">
        <v>1431</v>
      </c>
      <c r="D320">
        <v>36667</v>
      </c>
      <c r="E320" t="s">
        <v>1236</v>
      </c>
    </row>
    <row r="321" spans="1:5" x14ac:dyDescent="0.2">
      <c r="A321">
        <v>3120</v>
      </c>
      <c r="B321">
        <v>2</v>
      </c>
      <c r="C321" t="s">
        <v>1432</v>
      </c>
      <c r="D321">
        <v>37190</v>
      </c>
      <c r="E321" t="s">
        <v>165</v>
      </c>
    </row>
    <row r="322" spans="1:5" x14ac:dyDescent="0.2">
      <c r="A322">
        <v>1660</v>
      </c>
      <c r="B322">
        <v>88</v>
      </c>
      <c r="C322" t="s">
        <v>194</v>
      </c>
      <c r="D322">
        <v>36803</v>
      </c>
      <c r="E322" t="s">
        <v>105</v>
      </c>
    </row>
    <row r="323" spans="1:5" x14ac:dyDescent="0.2">
      <c r="A323">
        <v>3415</v>
      </c>
      <c r="B323">
        <v>0</v>
      </c>
      <c r="C323" t="s">
        <v>1433</v>
      </c>
      <c r="D323">
        <v>36718</v>
      </c>
      <c r="E323" t="s">
        <v>142</v>
      </c>
    </row>
    <row r="324" spans="1:5" x14ac:dyDescent="0.2">
      <c r="A324">
        <v>2327</v>
      </c>
      <c r="B324">
        <v>34</v>
      </c>
      <c r="C324" t="s">
        <v>1434</v>
      </c>
      <c r="D324">
        <v>36907</v>
      </c>
      <c r="E324" t="s">
        <v>1236</v>
      </c>
    </row>
    <row r="325" spans="1:5" x14ac:dyDescent="0.2">
      <c r="A325">
        <v>1476</v>
      </c>
      <c r="B325">
        <v>116</v>
      </c>
      <c r="C325" t="s">
        <v>684</v>
      </c>
      <c r="D325">
        <v>36411</v>
      </c>
      <c r="E325" t="s">
        <v>105</v>
      </c>
    </row>
    <row r="326" spans="1:5" x14ac:dyDescent="0.2">
      <c r="A326">
        <v>3480</v>
      </c>
      <c r="B326">
        <v>0</v>
      </c>
      <c r="C326" t="s">
        <v>1437</v>
      </c>
      <c r="D326">
        <v>37257</v>
      </c>
      <c r="E326" t="s">
        <v>74</v>
      </c>
    </row>
    <row r="327" spans="1:5" x14ac:dyDescent="0.2">
      <c r="A327">
        <v>1550</v>
      </c>
      <c r="B327">
        <v>102</v>
      </c>
      <c r="C327" t="s">
        <v>685</v>
      </c>
      <c r="D327">
        <v>36946</v>
      </c>
      <c r="E327" t="s">
        <v>74</v>
      </c>
    </row>
    <row r="328" spans="1:5" x14ac:dyDescent="0.2">
      <c r="A328">
        <v>2921</v>
      </c>
      <c r="B328">
        <v>7</v>
      </c>
      <c r="C328" t="s">
        <v>1438</v>
      </c>
      <c r="D328">
        <v>37294</v>
      </c>
      <c r="E328" t="s">
        <v>74</v>
      </c>
    </row>
    <row r="329" spans="1:5" x14ac:dyDescent="0.2">
      <c r="A329">
        <v>2937</v>
      </c>
      <c r="B329">
        <v>6</v>
      </c>
      <c r="C329" t="s">
        <v>1439</v>
      </c>
      <c r="D329">
        <v>36677</v>
      </c>
      <c r="E329" t="s">
        <v>1214</v>
      </c>
    </row>
    <row r="330" spans="1:5" x14ac:dyDescent="0.2">
      <c r="A330">
        <v>3338</v>
      </c>
      <c r="B330">
        <v>0</v>
      </c>
      <c r="C330" t="s">
        <v>1440</v>
      </c>
      <c r="D330">
        <v>37973</v>
      </c>
      <c r="E330" t="s">
        <v>120</v>
      </c>
    </row>
    <row r="331" spans="1:5" x14ac:dyDescent="0.2">
      <c r="A331">
        <v>1930</v>
      </c>
      <c r="B331">
        <v>58</v>
      </c>
      <c r="C331" t="s">
        <v>811</v>
      </c>
      <c r="D331">
        <v>36595</v>
      </c>
      <c r="E331" t="s">
        <v>109</v>
      </c>
    </row>
    <row r="332" spans="1:5" x14ac:dyDescent="0.2">
      <c r="A332">
        <v>1923</v>
      </c>
      <c r="B332">
        <v>58</v>
      </c>
      <c r="C332" t="s">
        <v>195</v>
      </c>
      <c r="D332">
        <v>36864</v>
      </c>
      <c r="E332" t="s">
        <v>105</v>
      </c>
    </row>
    <row r="333" spans="1:5" x14ac:dyDescent="0.2">
      <c r="A333">
        <v>1862</v>
      </c>
      <c r="B333">
        <v>64</v>
      </c>
      <c r="C333" t="s">
        <v>458</v>
      </c>
      <c r="D333">
        <v>37188</v>
      </c>
      <c r="E333" t="s">
        <v>1222</v>
      </c>
    </row>
    <row r="334" spans="1:5" x14ac:dyDescent="0.2">
      <c r="A334">
        <v>2335</v>
      </c>
      <c r="B334">
        <v>33</v>
      </c>
      <c r="C334" t="s">
        <v>196</v>
      </c>
      <c r="D334">
        <v>36904</v>
      </c>
      <c r="E334" t="s">
        <v>128</v>
      </c>
    </row>
    <row r="335" spans="1:5" x14ac:dyDescent="0.2">
      <c r="A335">
        <v>1959</v>
      </c>
      <c r="B335">
        <v>55</v>
      </c>
      <c r="C335" t="s">
        <v>197</v>
      </c>
      <c r="D335">
        <v>36209</v>
      </c>
      <c r="E335" t="s">
        <v>1256</v>
      </c>
    </row>
    <row r="336" spans="1:5" x14ac:dyDescent="0.2">
      <c r="A336">
        <v>2028</v>
      </c>
      <c r="B336">
        <v>50</v>
      </c>
      <c r="C336" t="s">
        <v>1441</v>
      </c>
      <c r="D336">
        <v>36677</v>
      </c>
      <c r="E336" t="s">
        <v>1169</v>
      </c>
    </row>
    <row r="337" spans="1:5" x14ac:dyDescent="0.2">
      <c r="A337">
        <v>2572</v>
      </c>
      <c r="B337">
        <v>21</v>
      </c>
      <c r="C337" t="s">
        <v>459</v>
      </c>
      <c r="D337">
        <v>37003</v>
      </c>
      <c r="E337" t="s">
        <v>231</v>
      </c>
    </row>
    <row r="338" spans="1:5" x14ac:dyDescent="0.2">
      <c r="A338">
        <v>2431</v>
      </c>
      <c r="B338">
        <v>29</v>
      </c>
      <c r="C338" t="s">
        <v>686</v>
      </c>
      <c r="D338">
        <v>36952</v>
      </c>
      <c r="E338" t="s">
        <v>227</v>
      </c>
    </row>
    <row r="339" spans="1:5" x14ac:dyDescent="0.2">
      <c r="A339">
        <v>2901</v>
      </c>
      <c r="B339">
        <v>8</v>
      </c>
      <c r="C339" t="s">
        <v>1442</v>
      </c>
      <c r="D339">
        <v>36742</v>
      </c>
      <c r="E339" t="s">
        <v>127</v>
      </c>
    </row>
    <row r="340" spans="1:5" x14ac:dyDescent="0.2">
      <c r="A340">
        <v>2212</v>
      </c>
      <c r="B340">
        <v>40</v>
      </c>
      <c r="C340" t="s">
        <v>385</v>
      </c>
      <c r="D340">
        <v>37261</v>
      </c>
      <c r="E340" t="s">
        <v>1435</v>
      </c>
    </row>
    <row r="341" spans="1:5" x14ac:dyDescent="0.2">
      <c r="A341">
        <v>2704</v>
      </c>
      <c r="B341">
        <v>15</v>
      </c>
      <c r="C341" t="s">
        <v>1443</v>
      </c>
      <c r="D341">
        <v>37075</v>
      </c>
      <c r="E341" t="s">
        <v>1248</v>
      </c>
    </row>
    <row r="342" spans="1:5" x14ac:dyDescent="0.2">
      <c r="A342">
        <v>1232</v>
      </c>
      <c r="B342">
        <v>161</v>
      </c>
      <c r="C342" t="s">
        <v>812</v>
      </c>
      <c r="D342">
        <v>36326</v>
      </c>
      <c r="E342" t="s">
        <v>118</v>
      </c>
    </row>
    <row r="343" spans="1:5" x14ac:dyDescent="0.2">
      <c r="A343">
        <v>2816</v>
      </c>
      <c r="B343">
        <v>10</v>
      </c>
      <c r="C343" t="s">
        <v>1444</v>
      </c>
      <c r="D343">
        <v>36394</v>
      </c>
      <c r="E343" t="s">
        <v>1243</v>
      </c>
    </row>
    <row r="344" spans="1:5" x14ac:dyDescent="0.2">
      <c r="A344">
        <v>2100</v>
      </c>
      <c r="B344">
        <v>46</v>
      </c>
      <c r="C344" t="s">
        <v>1445</v>
      </c>
      <c r="D344">
        <v>36685</v>
      </c>
      <c r="E344" t="s">
        <v>1343</v>
      </c>
    </row>
    <row r="345" spans="1:5" x14ac:dyDescent="0.2">
      <c r="A345">
        <v>2530</v>
      </c>
      <c r="B345">
        <v>24</v>
      </c>
      <c r="C345" t="s">
        <v>1446</v>
      </c>
      <c r="D345">
        <v>36680</v>
      </c>
      <c r="E345" t="s">
        <v>1447</v>
      </c>
    </row>
    <row r="346" spans="1:5" x14ac:dyDescent="0.2">
      <c r="A346">
        <v>3433</v>
      </c>
      <c r="B346">
        <v>0</v>
      </c>
      <c r="C346" t="s">
        <v>1448</v>
      </c>
      <c r="D346">
        <v>37370</v>
      </c>
      <c r="E346" t="s">
        <v>120</v>
      </c>
    </row>
    <row r="347" spans="1:5" x14ac:dyDescent="0.2">
      <c r="A347">
        <v>3694</v>
      </c>
      <c r="B347">
        <v>0</v>
      </c>
      <c r="C347" t="s">
        <v>1449</v>
      </c>
      <c r="D347">
        <v>37755</v>
      </c>
      <c r="E347" t="s">
        <v>105</v>
      </c>
    </row>
    <row r="348" spans="1:5" x14ac:dyDescent="0.2">
      <c r="A348">
        <v>3194</v>
      </c>
      <c r="B348">
        <v>0</v>
      </c>
      <c r="C348" t="s">
        <v>198</v>
      </c>
      <c r="D348">
        <v>36562</v>
      </c>
      <c r="E348" t="s">
        <v>105</v>
      </c>
    </row>
    <row r="349" spans="1:5" x14ac:dyDescent="0.2">
      <c r="A349">
        <v>2757</v>
      </c>
      <c r="B349">
        <v>13</v>
      </c>
      <c r="C349" t="s">
        <v>1450</v>
      </c>
      <c r="D349">
        <v>36229</v>
      </c>
      <c r="E349" t="s">
        <v>120</v>
      </c>
    </row>
    <row r="350" spans="1:5" x14ac:dyDescent="0.2">
      <c r="A350">
        <v>2354</v>
      </c>
      <c r="B350">
        <v>33</v>
      </c>
      <c r="C350" t="s">
        <v>1451</v>
      </c>
      <c r="D350">
        <v>36455</v>
      </c>
      <c r="E350" t="s">
        <v>147</v>
      </c>
    </row>
    <row r="351" spans="1:5" x14ac:dyDescent="0.2">
      <c r="A351">
        <v>3042</v>
      </c>
      <c r="B351">
        <v>4</v>
      </c>
      <c r="C351" t="s">
        <v>1452</v>
      </c>
      <c r="D351">
        <v>36247</v>
      </c>
      <c r="E351" t="s">
        <v>1214</v>
      </c>
    </row>
    <row r="352" spans="1:5" x14ac:dyDescent="0.2">
      <c r="A352">
        <v>1352</v>
      </c>
      <c r="B352">
        <v>139</v>
      </c>
      <c r="C352" t="s">
        <v>199</v>
      </c>
      <c r="D352">
        <v>36212</v>
      </c>
      <c r="E352" t="s">
        <v>105</v>
      </c>
    </row>
    <row r="353" spans="1:5" x14ac:dyDescent="0.2">
      <c r="A353">
        <v>3470</v>
      </c>
      <c r="B353">
        <v>0</v>
      </c>
      <c r="C353" t="s">
        <v>1453</v>
      </c>
      <c r="D353">
        <v>36543</v>
      </c>
      <c r="E353" t="s">
        <v>120</v>
      </c>
    </row>
    <row r="354" spans="1:5" x14ac:dyDescent="0.2">
      <c r="A354">
        <v>1566</v>
      </c>
      <c r="B354">
        <v>100</v>
      </c>
      <c r="C354" t="s">
        <v>460</v>
      </c>
      <c r="D354">
        <v>36907</v>
      </c>
      <c r="E354" t="s">
        <v>1182</v>
      </c>
    </row>
    <row r="355" spans="1:5" x14ac:dyDescent="0.2">
      <c r="A355">
        <v>3579</v>
      </c>
      <c r="B355">
        <v>0</v>
      </c>
      <c r="C355" t="s">
        <v>1454</v>
      </c>
      <c r="D355">
        <v>36325</v>
      </c>
      <c r="E355" t="s">
        <v>105</v>
      </c>
    </row>
    <row r="356" spans="1:5" x14ac:dyDescent="0.2">
      <c r="A356">
        <v>3206</v>
      </c>
      <c r="B356">
        <v>0</v>
      </c>
      <c r="C356" t="s">
        <v>1455</v>
      </c>
      <c r="D356">
        <v>36356</v>
      </c>
      <c r="E356" t="s">
        <v>1456</v>
      </c>
    </row>
    <row r="357" spans="1:5" x14ac:dyDescent="0.2">
      <c r="A357">
        <v>3315</v>
      </c>
      <c r="B357">
        <v>0</v>
      </c>
      <c r="C357" t="s">
        <v>1458</v>
      </c>
      <c r="D357">
        <v>36805</v>
      </c>
      <c r="E357" t="s">
        <v>290</v>
      </c>
    </row>
    <row r="358" spans="1:5" x14ac:dyDescent="0.2">
      <c r="A358">
        <v>2484</v>
      </c>
      <c r="B358">
        <v>26</v>
      </c>
      <c r="C358" t="s">
        <v>1459</v>
      </c>
      <c r="D358">
        <v>36946</v>
      </c>
      <c r="E358" t="s">
        <v>1460</v>
      </c>
    </row>
    <row r="359" spans="1:5" x14ac:dyDescent="0.2">
      <c r="A359">
        <v>2988</v>
      </c>
      <c r="B359">
        <v>5</v>
      </c>
      <c r="C359" t="s">
        <v>1461</v>
      </c>
      <c r="D359">
        <v>37052</v>
      </c>
      <c r="E359" t="s">
        <v>120</v>
      </c>
    </row>
    <row r="360" spans="1:5" x14ac:dyDescent="0.2">
      <c r="A360">
        <v>2019</v>
      </c>
      <c r="B360">
        <v>51</v>
      </c>
      <c r="C360" t="s">
        <v>1462</v>
      </c>
      <c r="D360">
        <v>37125</v>
      </c>
      <c r="E360" t="s">
        <v>99</v>
      </c>
    </row>
    <row r="361" spans="1:5" x14ac:dyDescent="0.2">
      <c r="A361">
        <v>2157</v>
      </c>
      <c r="B361">
        <v>43</v>
      </c>
      <c r="C361" t="s">
        <v>461</v>
      </c>
      <c r="D361">
        <v>36569</v>
      </c>
      <c r="E361" t="s">
        <v>290</v>
      </c>
    </row>
    <row r="362" spans="1:5" x14ac:dyDescent="0.2">
      <c r="A362">
        <v>3538</v>
      </c>
      <c r="B362">
        <v>0</v>
      </c>
      <c r="C362" t="s">
        <v>1463</v>
      </c>
      <c r="D362">
        <v>37152</v>
      </c>
      <c r="E362" t="s">
        <v>105</v>
      </c>
    </row>
    <row r="363" spans="1:5" x14ac:dyDescent="0.2">
      <c r="A363">
        <v>2855</v>
      </c>
      <c r="B363">
        <v>9</v>
      </c>
      <c r="C363" t="s">
        <v>1464</v>
      </c>
      <c r="D363">
        <v>36210</v>
      </c>
      <c r="E363" t="s">
        <v>120</v>
      </c>
    </row>
    <row r="364" spans="1:5" x14ac:dyDescent="0.2">
      <c r="A364">
        <v>2477</v>
      </c>
      <c r="B364">
        <v>26</v>
      </c>
      <c r="C364" t="s">
        <v>1465</v>
      </c>
      <c r="D364">
        <v>36705</v>
      </c>
      <c r="E364" t="s">
        <v>120</v>
      </c>
    </row>
    <row r="365" spans="1:5" x14ac:dyDescent="0.2">
      <c r="A365">
        <v>2145</v>
      </c>
      <c r="B365">
        <v>44</v>
      </c>
      <c r="C365" t="s">
        <v>201</v>
      </c>
      <c r="D365">
        <v>36789</v>
      </c>
      <c r="E365" t="s">
        <v>1460</v>
      </c>
    </row>
    <row r="366" spans="1:5" x14ac:dyDescent="0.2">
      <c r="A366">
        <v>3330</v>
      </c>
      <c r="B366">
        <v>0</v>
      </c>
      <c r="C366" t="s">
        <v>1466</v>
      </c>
      <c r="D366">
        <v>37614</v>
      </c>
      <c r="E366" t="s">
        <v>120</v>
      </c>
    </row>
    <row r="367" spans="1:5" x14ac:dyDescent="0.2">
      <c r="A367">
        <v>2235</v>
      </c>
      <c r="B367">
        <v>39</v>
      </c>
      <c r="C367" t="s">
        <v>687</v>
      </c>
      <c r="D367">
        <v>36534</v>
      </c>
      <c r="E367" t="s">
        <v>1467</v>
      </c>
    </row>
    <row r="368" spans="1:5" x14ac:dyDescent="0.2">
      <c r="A368">
        <v>2908</v>
      </c>
      <c r="B368">
        <v>7</v>
      </c>
      <c r="C368" t="s">
        <v>1468</v>
      </c>
      <c r="D368">
        <v>36904</v>
      </c>
      <c r="E368" t="s">
        <v>113</v>
      </c>
    </row>
    <row r="369" spans="1:5" x14ac:dyDescent="0.2">
      <c r="A369">
        <v>1712</v>
      </c>
      <c r="B369">
        <v>82</v>
      </c>
      <c r="C369" t="s">
        <v>462</v>
      </c>
      <c r="D369">
        <v>36748</v>
      </c>
      <c r="E369" t="s">
        <v>99</v>
      </c>
    </row>
    <row r="370" spans="1:5" x14ac:dyDescent="0.2">
      <c r="A370">
        <v>2835</v>
      </c>
      <c r="B370">
        <v>10</v>
      </c>
      <c r="C370" t="s">
        <v>462</v>
      </c>
      <c r="D370">
        <v>36937</v>
      </c>
      <c r="E370" t="s">
        <v>105</v>
      </c>
    </row>
    <row r="371" spans="1:5" x14ac:dyDescent="0.2">
      <c r="A371">
        <v>1377</v>
      </c>
      <c r="B371">
        <v>136</v>
      </c>
      <c r="C371" t="s">
        <v>688</v>
      </c>
      <c r="D371">
        <v>37265</v>
      </c>
      <c r="E371" t="s">
        <v>186</v>
      </c>
    </row>
    <row r="372" spans="1:5" x14ac:dyDescent="0.2">
      <c r="A372">
        <v>2611</v>
      </c>
      <c r="B372">
        <v>19</v>
      </c>
      <c r="C372" t="s">
        <v>386</v>
      </c>
      <c r="D372">
        <v>36674</v>
      </c>
      <c r="E372" t="s">
        <v>99</v>
      </c>
    </row>
    <row r="373" spans="1:5" x14ac:dyDescent="0.2">
      <c r="A373">
        <v>3494</v>
      </c>
      <c r="B373">
        <v>0</v>
      </c>
      <c r="C373" t="s">
        <v>1469</v>
      </c>
      <c r="D373">
        <v>37104</v>
      </c>
      <c r="E373" t="s">
        <v>1236</v>
      </c>
    </row>
    <row r="374" spans="1:5" x14ac:dyDescent="0.2">
      <c r="A374">
        <v>3668</v>
      </c>
      <c r="B374">
        <v>0</v>
      </c>
      <c r="C374" t="s">
        <v>1470</v>
      </c>
      <c r="D374">
        <v>37355</v>
      </c>
      <c r="E374" t="s">
        <v>183</v>
      </c>
    </row>
    <row r="375" spans="1:5" x14ac:dyDescent="0.2">
      <c r="A375">
        <v>3105</v>
      </c>
      <c r="B375">
        <v>2</v>
      </c>
      <c r="C375" t="s">
        <v>1471</v>
      </c>
      <c r="D375">
        <v>37269</v>
      </c>
      <c r="E375" t="s">
        <v>227</v>
      </c>
    </row>
    <row r="376" spans="1:5" x14ac:dyDescent="0.2">
      <c r="A376">
        <v>3603</v>
      </c>
      <c r="B376">
        <v>0</v>
      </c>
      <c r="C376" t="s">
        <v>1472</v>
      </c>
      <c r="D376">
        <v>36615</v>
      </c>
      <c r="E376" t="s">
        <v>120</v>
      </c>
    </row>
    <row r="377" spans="1:5" x14ac:dyDescent="0.2">
      <c r="A377">
        <v>3182</v>
      </c>
      <c r="B377">
        <v>1</v>
      </c>
      <c r="C377" t="s">
        <v>1473</v>
      </c>
      <c r="D377">
        <v>37539</v>
      </c>
      <c r="E377" t="s">
        <v>120</v>
      </c>
    </row>
    <row r="378" spans="1:5" x14ac:dyDescent="0.2">
      <c r="A378">
        <v>2200</v>
      </c>
      <c r="B378">
        <v>41</v>
      </c>
      <c r="C378" t="s">
        <v>1474</v>
      </c>
      <c r="D378">
        <v>37077</v>
      </c>
      <c r="E378" t="s">
        <v>120</v>
      </c>
    </row>
    <row r="379" spans="1:5" x14ac:dyDescent="0.2">
      <c r="A379">
        <v>3503</v>
      </c>
      <c r="B379">
        <v>0</v>
      </c>
      <c r="C379" t="s">
        <v>1476</v>
      </c>
      <c r="D379">
        <v>37071</v>
      </c>
      <c r="E379" t="s">
        <v>105</v>
      </c>
    </row>
    <row r="380" spans="1:5" x14ac:dyDescent="0.2">
      <c r="A380">
        <v>3325</v>
      </c>
      <c r="B380">
        <v>0</v>
      </c>
      <c r="C380" t="s">
        <v>1477</v>
      </c>
      <c r="D380">
        <v>36771</v>
      </c>
      <c r="E380" t="s">
        <v>183</v>
      </c>
    </row>
    <row r="381" spans="1:5" x14ac:dyDescent="0.2">
      <c r="A381">
        <v>3355</v>
      </c>
      <c r="B381">
        <v>0</v>
      </c>
      <c r="C381" t="s">
        <v>1478</v>
      </c>
      <c r="D381">
        <v>37393</v>
      </c>
      <c r="E381" t="s">
        <v>107</v>
      </c>
    </row>
    <row r="382" spans="1:5" x14ac:dyDescent="0.2">
      <c r="A382">
        <v>3291</v>
      </c>
      <c r="B382">
        <v>0</v>
      </c>
      <c r="C382" t="s">
        <v>1479</v>
      </c>
      <c r="D382">
        <v>37344</v>
      </c>
      <c r="E382" t="s">
        <v>1162</v>
      </c>
    </row>
    <row r="383" spans="1:5" x14ac:dyDescent="0.2">
      <c r="A383">
        <v>3049</v>
      </c>
      <c r="B383">
        <v>4</v>
      </c>
      <c r="C383" t="s">
        <v>85</v>
      </c>
      <c r="D383">
        <v>37250</v>
      </c>
      <c r="E383" t="s">
        <v>105</v>
      </c>
    </row>
    <row r="384" spans="1:5" x14ac:dyDescent="0.2">
      <c r="A384">
        <v>3161</v>
      </c>
      <c r="B384">
        <v>1</v>
      </c>
      <c r="C384" t="s">
        <v>1480</v>
      </c>
      <c r="D384">
        <v>36905</v>
      </c>
      <c r="E384" t="s">
        <v>99</v>
      </c>
    </row>
    <row r="385" spans="1:5" x14ac:dyDescent="0.2">
      <c r="A385">
        <v>2960</v>
      </c>
      <c r="B385">
        <v>6</v>
      </c>
      <c r="C385" t="s">
        <v>1481</v>
      </c>
      <c r="D385">
        <v>36497</v>
      </c>
      <c r="E385" t="s">
        <v>166</v>
      </c>
    </row>
    <row r="386" spans="1:5" x14ac:dyDescent="0.2">
      <c r="A386">
        <v>2149</v>
      </c>
      <c r="B386">
        <v>44</v>
      </c>
      <c r="C386" t="s">
        <v>1482</v>
      </c>
      <c r="D386">
        <v>36450</v>
      </c>
      <c r="E386" t="s">
        <v>1311</v>
      </c>
    </row>
    <row r="387" spans="1:5" x14ac:dyDescent="0.2">
      <c r="A387">
        <v>1697</v>
      </c>
      <c r="B387">
        <v>83</v>
      </c>
      <c r="C387" t="s">
        <v>1484</v>
      </c>
      <c r="D387">
        <v>36460</v>
      </c>
      <c r="E387" t="s">
        <v>105</v>
      </c>
    </row>
    <row r="388" spans="1:5" x14ac:dyDescent="0.2">
      <c r="A388">
        <v>3212</v>
      </c>
      <c r="B388">
        <v>0</v>
      </c>
      <c r="C388" t="s">
        <v>1485</v>
      </c>
      <c r="D388">
        <v>37371</v>
      </c>
      <c r="E388" t="s">
        <v>117</v>
      </c>
    </row>
    <row r="389" spans="1:5" x14ac:dyDescent="0.2">
      <c r="A389">
        <v>2589</v>
      </c>
      <c r="B389">
        <v>20</v>
      </c>
      <c r="C389" t="s">
        <v>463</v>
      </c>
      <c r="D389">
        <v>36583</v>
      </c>
      <c r="E389" t="s">
        <v>112</v>
      </c>
    </row>
    <row r="390" spans="1:5" x14ac:dyDescent="0.2">
      <c r="A390">
        <v>3215</v>
      </c>
      <c r="B390">
        <v>0</v>
      </c>
      <c r="C390" t="s">
        <v>1486</v>
      </c>
      <c r="D390">
        <v>36578</v>
      </c>
      <c r="E390" t="s">
        <v>1487</v>
      </c>
    </row>
    <row r="391" spans="1:5" x14ac:dyDescent="0.2">
      <c r="A391">
        <v>1409</v>
      </c>
      <c r="B391">
        <v>130</v>
      </c>
      <c r="C391" t="s">
        <v>203</v>
      </c>
      <c r="D391">
        <v>36242</v>
      </c>
      <c r="E391" t="s">
        <v>105</v>
      </c>
    </row>
    <row r="392" spans="1:5" x14ac:dyDescent="0.2">
      <c r="A392">
        <v>1929</v>
      </c>
      <c r="B392">
        <v>58</v>
      </c>
      <c r="C392" t="s">
        <v>1488</v>
      </c>
      <c r="D392">
        <v>36391</v>
      </c>
      <c r="E392" t="s">
        <v>1255</v>
      </c>
    </row>
    <row r="393" spans="1:5" x14ac:dyDescent="0.2">
      <c r="A393">
        <v>1972</v>
      </c>
      <c r="B393">
        <v>54</v>
      </c>
      <c r="C393" t="s">
        <v>204</v>
      </c>
      <c r="D393">
        <v>36892</v>
      </c>
      <c r="E393" t="s">
        <v>163</v>
      </c>
    </row>
    <row r="394" spans="1:5" x14ac:dyDescent="0.2">
      <c r="A394">
        <v>2467</v>
      </c>
      <c r="B394">
        <v>26</v>
      </c>
      <c r="C394" t="s">
        <v>464</v>
      </c>
      <c r="D394">
        <v>37060</v>
      </c>
      <c r="E394" t="s">
        <v>165</v>
      </c>
    </row>
    <row r="395" spans="1:5" x14ac:dyDescent="0.2">
      <c r="A395">
        <v>3641</v>
      </c>
      <c r="B395">
        <v>0</v>
      </c>
      <c r="C395" t="s">
        <v>1489</v>
      </c>
      <c r="D395">
        <v>37159</v>
      </c>
      <c r="E395" t="s">
        <v>365</v>
      </c>
    </row>
    <row r="396" spans="1:5" x14ac:dyDescent="0.2">
      <c r="A396">
        <v>2485</v>
      </c>
      <c r="B396">
        <v>26</v>
      </c>
      <c r="C396" t="s">
        <v>1490</v>
      </c>
      <c r="D396">
        <v>36363</v>
      </c>
      <c r="E396" t="s">
        <v>165</v>
      </c>
    </row>
    <row r="397" spans="1:5" x14ac:dyDescent="0.2">
      <c r="A397">
        <v>3378</v>
      </c>
      <c r="B397">
        <v>0</v>
      </c>
      <c r="C397" t="s">
        <v>1492</v>
      </c>
      <c r="D397">
        <v>37276</v>
      </c>
      <c r="E397" t="s">
        <v>165</v>
      </c>
    </row>
    <row r="398" spans="1:5" x14ac:dyDescent="0.2">
      <c r="A398">
        <v>3005</v>
      </c>
      <c r="B398">
        <v>4</v>
      </c>
      <c r="C398" t="s">
        <v>1494</v>
      </c>
      <c r="D398">
        <v>36417</v>
      </c>
      <c r="E398" t="s">
        <v>120</v>
      </c>
    </row>
    <row r="399" spans="1:5" x14ac:dyDescent="0.2">
      <c r="A399">
        <v>2853</v>
      </c>
      <c r="B399">
        <v>9</v>
      </c>
      <c r="C399" t="s">
        <v>1495</v>
      </c>
      <c r="D399">
        <v>37488</v>
      </c>
      <c r="E399" t="s">
        <v>120</v>
      </c>
    </row>
    <row r="400" spans="1:5" x14ac:dyDescent="0.2">
      <c r="A400">
        <v>2168</v>
      </c>
      <c r="B400">
        <v>43</v>
      </c>
      <c r="C400" t="s">
        <v>813</v>
      </c>
      <c r="D400">
        <v>36543</v>
      </c>
      <c r="E400" t="s">
        <v>1460</v>
      </c>
    </row>
    <row r="401" spans="1:5" x14ac:dyDescent="0.2">
      <c r="A401">
        <v>3431</v>
      </c>
      <c r="B401">
        <v>0</v>
      </c>
      <c r="C401" t="s">
        <v>1496</v>
      </c>
      <c r="D401">
        <v>36651</v>
      </c>
      <c r="E401" t="s">
        <v>165</v>
      </c>
    </row>
    <row r="402" spans="1:5" x14ac:dyDescent="0.2">
      <c r="A402">
        <v>3122</v>
      </c>
      <c r="B402">
        <v>2</v>
      </c>
      <c r="C402" t="s">
        <v>1497</v>
      </c>
      <c r="D402">
        <v>37009</v>
      </c>
      <c r="E402" t="s">
        <v>120</v>
      </c>
    </row>
    <row r="403" spans="1:5" x14ac:dyDescent="0.2">
      <c r="A403">
        <v>1945</v>
      </c>
      <c r="B403">
        <v>56</v>
      </c>
      <c r="C403" t="s">
        <v>1498</v>
      </c>
      <c r="D403">
        <v>36487</v>
      </c>
      <c r="E403" t="s">
        <v>1214</v>
      </c>
    </row>
    <row r="404" spans="1:5" x14ac:dyDescent="0.2">
      <c r="A404">
        <v>2764</v>
      </c>
      <c r="B404">
        <v>12</v>
      </c>
      <c r="C404" t="s">
        <v>205</v>
      </c>
      <c r="D404">
        <v>36849</v>
      </c>
      <c r="E404" t="s">
        <v>1236</v>
      </c>
    </row>
    <row r="405" spans="1:5" x14ac:dyDescent="0.2">
      <c r="A405">
        <v>3207</v>
      </c>
      <c r="B405">
        <v>0</v>
      </c>
      <c r="C405" t="s">
        <v>1499</v>
      </c>
      <c r="D405">
        <v>37715</v>
      </c>
      <c r="E405" t="s">
        <v>117</v>
      </c>
    </row>
    <row r="406" spans="1:5" x14ac:dyDescent="0.2">
      <c r="A406">
        <v>2086</v>
      </c>
      <c r="B406">
        <v>47</v>
      </c>
      <c r="C406" t="s">
        <v>814</v>
      </c>
      <c r="D406">
        <v>37390</v>
      </c>
      <c r="E406" t="s">
        <v>179</v>
      </c>
    </row>
    <row r="407" spans="1:5" x14ac:dyDescent="0.2">
      <c r="A407">
        <v>1950</v>
      </c>
      <c r="B407">
        <v>56</v>
      </c>
      <c r="C407" t="s">
        <v>1500</v>
      </c>
      <c r="D407">
        <v>36854</v>
      </c>
      <c r="E407" t="s">
        <v>122</v>
      </c>
    </row>
    <row r="408" spans="1:5" x14ac:dyDescent="0.2">
      <c r="A408">
        <v>3237</v>
      </c>
      <c r="B408">
        <v>0</v>
      </c>
      <c r="C408" t="s">
        <v>1501</v>
      </c>
      <c r="D408">
        <v>36800</v>
      </c>
      <c r="E408" t="s">
        <v>133</v>
      </c>
    </row>
    <row r="409" spans="1:5" x14ac:dyDescent="0.2">
      <c r="A409">
        <v>3208</v>
      </c>
      <c r="B409">
        <v>0</v>
      </c>
      <c r="C409" t="s">
        <v>1502</v>
      </c>
      <c r="D409">
        <v>37380</v>
      </c>
      <c r="E409" t="s">
        <v>117</v>
      </c>
    </row>
    <row r="410" spans="1:5" x14ac:dyDescent="0.2">
      <c r="A410">
        <v>1696</v>
      </c>
      <c r="B410">
        <v>84</v>
      </c>
      <c r="C410" t="s">
        <v>1503</v>
      </c>
      <c r="D410">
        <v>36380</v>
      </c>
      <c r="E410" t="s">
        <v>74</v>
      </c>
    </row>
    <row r="411" spans="1:5" x14ac:dyDescent="0.2">
      <c r="A411">
        <v>3657</v>
      </c>
      <c r="B411">
        <v>0</v>
      </c>
      <c r="C411" t="s">
        <v>1504</v>
      </c>
      <c r="D411">
        <v>36786</v>
      </c>
      <c r="E411" t="s">
        <v>1182</v>
      </c>
    </row>
    <row r="412" spans="1:5" x14ac:dyDescent="0.2">
      <c r="A412">
        <v>1297</v>
      </c>
      <c r="B412">
        <v>148</v>
      </c>
      <c r="C412" t="s">
        <v>206</v>
      </c>
      <c r="D412">
        <v>36323</v>
      </c>
      <c r="E412" t="s">
        <v>74</v>
      </c>
    </row>
    <row r="413" spans="1:5" x14ac:dyDescent="0.2">
      <c r="A413">
        <v>2687</v>
      </c>
      <c r="B413">
        <v>16</v>
      </c>
      <c r="C413" t="s">
        <v>1505</v>
      </c>
      <c r="D413">
        <v>37094</v>
      </c>
      <c r="E413" t="s">
        <v>1307</v>
      </c>
    </row>
    <row r="414" spans="1:5" x14ac:dyDescent="0.2">
      <c r="A414">
        <v>3380</v>
      </c>
      <c r="B414">
        <v>0</v>
      </c>
      <c r="C414" t="s">
        <v>1506</v>
      </c>
      <c r="D414">
        <v>37341</v>
      </c>
      <c r="E414" t="s">
        <v>165</v>
      </c>
    </row>
    <row r="415" spans="1:5" x14ac:dyDescent="0.2">
      <c r="A415">
        <v>2723</v>
      </c>
      <c r="B415">
        <v>14</v>
      </c>
      <c r="C415" t="s">
        <v>1508</v>
      </c>
      <c r="D415">
        <v>36219</v>
      </c>
      <c r="E415" t="s">
        <v>111</v>
      </c>
    </row>
    <row r="416" spans="1:5" x14ac:dyDescent="0.2">
      <c r="A416">
        <v>2796</v>
      </c>
      <c r="B416">
        <v>11</v>
      </c>
      <c r="C416" t="s">
        <v>1509</v>
      </c>
      <c r="D416">
        <v>36716</v>
      </c>
      <c r="E416" t="s">
        <v>1271</v>
      </c>
    </row>
    <row r="417" spans="1:5" x14ac:dyDescent="0.2">
      <c r="A417">
        <v>3027</v>
      </c>
      <c r="B417">
        <v>4</v>
      </c>
      <c r="C417" t="s">
        <v>1510</v>
      </c>
      <c r="D417">
        <v>37470</v>
      </c>
      <c r="E417" t="s">
        <v>165</v>
      </c>
    </row>
    <row r="418" spans="1:5" x14ac:dyDescent="0.2">
      <c r="A418">
        <v>2343</v>
      </c>
      <c r="B418">
        <v>33</v>
      </c>
      <c r="C418" t="s">
        <v>1511</v>
      </c>
      <c r="D418">
        <v>36593</v>
      </c>
      <c r="E418" t="s">
        <v>1512</v>
      </c>
    </row>
    <row r="419" spans="1:5" x14ac:dyDescent="0.2">
      <c r="A419">
        <v>585</v>
      </c>
      <c r="B419">
        <v>417</v>
      </c>
      <c r="C419" t="s">
        <v>207</v>
      </c>
      <c r="D419">
        <v>36561</v>
      </c>
      <c r="E419" t="s">
        <v>863</v>
      </c>
    </row>
    <row r="420" spans="1:5" x14ac:dyDescent="0.2">
      <c r="A420">
        <v>2953</v>
      </c>
      <c r="B420">
        <v>6</v>
      </c>
      <c r="C420" t="s">
        <v>1513</v>
      </c>
      <c r="D420">
        <v>36191</v>
      </c>
      <c r="E420" t="s">
        <v>105</v>
      </c>
    </row>
    <row r="421" spans="1:5" x14ac:dyDescent="0.2">
      <c r="A421">
        <v>3482</v>
      </c>
      <c r="B421">
        <v>0</v>
      </c>
      <c r="C421" t="s">
        <v>1514</v>
      </c>
      <c r="D421">
        <v>36640</v>
      </c>
      <c r="E421" t="s">
        <v>105</v>
      </c>
    </row>
    <row r="422" spans="1:5" x14ac:dyDescent="0.2">
      <c r="A422">
        <v>3442</v>
      </c>
      <c r="B422">
        <v>0</v>
      </c>
      <c r="C422" t="s">
        <v>1515</v>
      </c>
      <c r="D422">
        <v>36526</v>
      </c>
      <c r="E422" t="s">
        <v>105</v>
      </c>
    </row>
    <row r="423" spans="1:5" x14ac:dyDescent="0.2">
      <c r="A423">
        <v>2553</v>
      </c>
      <c r="B423">
        <v>23</v>
      </c>
      <c r="C423" t="s">
        <v>1516</v>
      </c>
      <c r="D423">
        <v>36724</v>
      </c>
      <c r="E423" t="s">
        <v>103</v>
      </c>
    </row>
    <row r="424" spans="1:5" x14ac:dyDescent="0.2">
      <c r="A424">
        <v>1858</v>
      </c>
      <c r="B424">
        <v>65</v>
      </c>
      <c r="C424" t="s">
        <v>1517</v>
      </c>
      <c r="D424">
        <v>36563</v>
      </c>
      <c r="E424" t="s">
        <v>147</v>
      </c>
    </row>
    <row r="425" spans="1:5" x14ac:dyDescent="0.2">
      <c r="A425">
        <v>2017</v>
      </c>
      <c r="B425">
        <v>51</v>
      </c>
      <c r="C425" t="s">
        <v>1518</v>
      </c>
      <c r="D425">
        <v>36638</v>
      </c>
      <c r="E425" t="s">
        <v>128</v>
      </c>
    </row>
    <row r="426" spans="1:5" x14ac:dyDescent="0.2">
      <c r="A426">
        <v>3642</v>
      </c>
      <c r="B426">
        <v>0</v>
      </c>
      <c r="C426" t="s">
        <v>1519</v>
      </c>
      <c r="D426">
        <v>37070</v>
      </c>
      <c r="E426" t="s">
        <v>179</v>
      </c>
    </row>
    <row r="427" spans="1:5" x14ac:dyDescent="0.2">
      <c r="A427">
        <v>2273</v>
      </c>
      <c r="B427">
        <v>37</v>
      </c>
      <c r="C427" t="s">
        <v>1520</v>
      </c>
      <c r="D427">
        <v>36892</v>
      </c>
      <c r="E427" t="s">
        <v>1168</v>
      </c>
    </row>
    <row r="428" spans="1:5" x14ac:dyDescent="0.2">
      <c r="A428">
        <v>2807</v>
      </c>
      <c r="B428">
        <v>11</v>
      </c>
      <c r="C428" t="s">
        <v>1521</v>
      </c>
      <c r="D428">
        <v>36189</v>
      </c>
      <c r="E428" t="s">
        <v>1522</v>
      </c>
    </row>
    <row r="429" spans="1:5" x14ac:dyDescent="0.2">
      <c r="A429">
        <v>2748</v>
      </c>
      <c r="B429">
        <v>13</v>
      </c>
      <c r="C429" t="s">
        <v>1523</v>
      </c>
      <c r="D429">
        <v>37303</v>
      </c>
      <c r="E429" t="s">
        <v>113</v>
      </c>
    </row>
    <row r="430" spans="1:5" x14ac:dyDescent="0.2">
      <c r="A430">
        <v>1974</v>
      </c>
      <c r="B430">
        <v>54</v>
      </c>
      <c r="C430" t="s">
        <v>209</v>
      </c>
      <c r="D430">
        <v>37023</v>
      </c>
      <c r="E430" t="s">
        <v>105</v>
      </c>
    </row>
    <row r="431" spans="1:5" x14ac:dyDescent="0.2">
      <c r="A431">
        <v>1515</v>
      </c>
      <c r="B431">
        <v>109</v>
      </c>
      <c r="C431" t="s">
        <v>387</v>
      </c>
      <c r="D431">
        <v>36563</v>
      </c>
      <c r="E431" t="s">
        <v>120</v>
      </c>
    </row>
    <row r="432" spans="1:5" x14ac:dyDescent="0.2">
      <c r="A432">
        <v>1677</v>
      </c>
      <c r="B432">
        <v>86</v>
      </c>
      <c r="C432" t="s">
        <v>210</v>
      </c>
      <c r="D432">
        <v>36563</v>
      </c>
      <c r="E432" t="s">
        <v>105</v>
      </c>
    </row>
    <row r="433" spans="1:5" x14ac:dyDescent="0.2">
      <c r="A433">
        <v>3197</v>
      </c>
      <c r="B433">
        <v>0</v>
      </c>
      <c r="C433" t="s">
        <v>211</v>
      </c>
      <c r="D433">
        <v>36629</v>
      </c>
      <c r="E433" t="s">
        <v>110</v>
      </c>
    </row>
    <row r="434" spans="1:5" x14ac:dyDescent="0.2">
      <c r="A434">
        <v>3540</v>
      </c>
      <c r="B434">
        <v>0</v>
      </c>
      <c r="C434" t="s">
        <v>1525</v>
      </c>
      <c r="D434">
        <v>37111</v>
      </c>
      <c r="E434" t="s">
        <v>105</v>
      </c>
    </row>
    <row r="435" spans="1:5" x14ac:dyDescent="0.2">
      <c r="A435">
        <v>1829</v>
      </c>
      <c r="B435">
        <v>69</v>
      </c>
      <c r="C435" t="s">
        <v>689</v>
      </c>
      <c r="D435">
        <v>37407</v>
      </c>
      <c r="E435" t="s">
        <v>105</v>
      </c>
    </row>
    <row r="436" spans="1:5" x14ac:dyDescent="0.2">
      <c r="A436">
        <v>2103</v>
      </c>
      <c r="B436">
        <v>46</v>
      </c>
      <c r="C436" t="s">
        <v>1527</v>
      </c>
      <c r="D436">
        <v>36916</v>
      </c>
      <c r="E436" t="s">
        <v>1214</v>
      </c>
    </row>
    <row r="437" spans="1:5" x14ac:dyDescent="0.2">
      <c r="A437">
        <v>2061</v>
      </c>
      <c r="B437">
        <v>48</v>
      </c>
      <c r="C437" t="s">
        <v>1528</v>
      </c>
      <c r="D437">
        <v>36335</v>
      </c>
      <c r="E437" t="s">
        <v>1507</v>
      </c>
    </row>
    <row r="438" spans="1:5" x14ac:dyDescent="0.2">
      <c r="A438">
        <v>2662</v>
      </c>
      <c r="B438">
        <v>17</v>
      </c>
      <c r="C438" t="s">
        <v>1529</v>
      </c>
      <c r="D438">
        <v>36526</v>
      </c>
      <c r="E438" t="s">
        <v>137</v>
      </c>
    </row>
    <row r="439" spans="1:5" x14ac:dyDescent="0.2">
      <c r="A439">
        <v>3078</v>
      </c>
      <c r="B439">
        <v>3</v>
      </c>
      <c r="C439" t="s">
        <v>1530</v>
      </c>
      <c r="D439">
        <v>36219</v>
      </c>
      <c r="E439" t="s">
        <v>1258</v>
      </c>
    </row>
    <row r="440" spans="1:5" x14ac:dyDescent="0.2">
      <c r="A440">
        <v>2497</v>
      </c>
      <c r="B440">
        <v>25</v>
      </c>
      <c r="C440" t="s">
        <v>1531</v>
      </c>
      <c r="D440">
        <v>36280</v>
      </c>
      <c r="E440" t="s">
        <v>614</v>
      </c>
    </row>
    <row r="441" spans="1:5" x14ac:dyDescent="0.2">
      <c r="A441">
        <v>2341</v>
      </c>
      <c r="B441">
        <v>33</v>
      </c>
      <c r="C441" t="s">
        <v>465</v>
      </c>
      <c r="D441">
        <v>36934</v>
      </c>
      <c r="E441" t="s">
        <v>105</v>
      </c>
    </row>
    <row r="442" spans="1:5" x14ac:dyDescent="0.2">
      <c r="A442">
        <v>2217</v>
      </c>
      <c r="B442">
        <v>40</v>
      </c>
      <c r="C442" t="s">
        <v>1532</v>
      </c>
      <c r="D442">
        <v>36589</v>
      </c>
      <c r="E442" t="s">
        <v>257</v>
      </c>
    </row>
    <row r="443" spans="1:5" x14ac:dyDescent="0.2">
      <c r="A443">
        <v>3391</v>
      </c>
      <c r="B443">
        <v>0</v>
      </c>
      <c r="C443" t="s">
        <v>1533</v>
      </c>
      <c r="D443">
        <v>37173</v>
      </c>
      <c r="E443" t="s">
        <v>145</v>
      </c>
    </row>
    <row r="444" spans="1:5" x14ac:dyDescent="0.2">
      <c r="A444">
        <v>2809</v>
      </c>
      <c r="B444">
        <v>11</v>
      </c>
      <c r="C444" t="s">
        <v>1534</v>
      </c>
      <c r="D444">
        <v>37608</v>
      </c>
      <c r="E444" t="s">
        <v>105</v>
      </c>
    </row>
    <row r="445" spans="1:5" x14ac:dyDescent="0.2">
      <c r="A445">
        <v>2520</v>
      </c>
      <c r="B445">
        <v>24</v>
      </c>
      <c r="C445" t="s">
        <v>1535</v>
      </c>
      <c r="D445">
        <v>36729</v>
      </c>
      <c r="E445" t="s">
        <v>1222</v>
      </c>
    </row>
    <row r="446" spans="1:5" x14ac:dyDescent="0.2">
      <c r="A446">
        <v>2845</v>
      </c>
      <c r="B446">
        <v>9</v>
      </c>
      <c r="C446" t="s">
        <v>1536</v>
      </c>
      <c r="D446">
        <v>37066</v>
      </c>
      <c r="E446" t="s">
        <v>1222</v>
      </c>
    </row>
    <row r="447" spans="1:5" x14ac:dyDescent="0.2">
      <c r="A447">
        <v>3357</v>
      </c>
      <c r="B447">
        <v>0</v>
      </c>
      <c r="C447" t="s">
        <v>1537</v>
      </c>
      <c r="D447">
        <v>37163</v>
      </c>
      <c r="E447" t="s">
        <v>72</v>
      </c>
    </row>
    <row r="448" spans="1:5" x14ac:dyDescent="0.2">
      <c r="A448">
        <v>939</v>
      </c>
      <c r="B448">
        <v>238</v>
      </c>
      <c r="C448" t="s">
        <v>212</v>
      </c>
      <c r="D448">
        <v>36464</v>
      </c>
      <c r="E448" t="s">
        <v>99</v>
      </c>
    </row>
    <row r="449" spans="1:5" x14ac:dyDescent="0.2">
      <c r="A449">
        <v>1980</v>
      </c>
      <c r="B449">
        <v>54</v>
      </c>
      <c r="C449" t="s">
        <v>1538</v>
      </c>
      <c r="D449">
        <v>36676</v>
      </c>
      <c r="E449" t="s">
        <v>120</v>
      </c>
    </row>
    <row r="450" spans="1:5" x14ac:dyDescent="0.2">
      <c r="A450">
        <v>1928</v>
      </c>
      <c r="B450">
        <v>58</v>
      </c>
      <c r="C450" t="s">
        <v>1539</v>
      </c>
      <c r="D450">
        <v>37035</v>
      </c>
      <c r="E450" t="s">
        <v>176</v>
      </c>
    </row>
    <row r="451" spans="1:5" x14ac:dyDescent="0.2">
      <c r="A451">
        <v>2142</v>
      </c>
      <c r="B451">
        <v>44</v>
      </c>
      <c r="C451" t="s">
        <v>466</v>
      </c>
      <c r="D451">
        <v>36542</v>
      </c>
      <c r="E451" t="s">
        <v>1277</v>
      </c>
    </row>
    <row r="452" spans="1:5" x14ac:dyDescent="0.2">
      <c r="A452">
        <v>3289</v>
      </c>
      <c r="B452">
        <v>0</v>
      </c>
      <c r="C452" t="s">
        <v>1540</v>
      </c>
      <c r="D452">
        <v>37391</v>
      </c>
      <c r="E452" t="s">
        <v>99</v>
      </c>
    </row>
    <row r="453" spans="1:5" x14ac:dyDescent="0.2">
      <c r="A453">
        <v>3288</v>
      </c>
      <c r="B453">
        <v>0</v>
      </c>
      <c r="C453" t="s">
        <v>1541</v>
      </c>
      <c r="D453">
        <v>37391</v>
      </c>
      <c r="E453" t="s">
        <v>99</v>
      </c>
    </row>
    <row r="454" spans="1:5" x14ac:dyDescent="0.2">
      <c r="A454">
        <v>1310</v>
      </c>
      <c r="B454">
        <v>146</v>
      </c>
      <c r="C454" t="s">
        <v>1542</v>
      </c>
      <c r="D454">
        <v>36627</v>
      </c>
      <c r="E454" t="s">
        <v>1427</v>
      </c>
    </row>
    <row r="455" spans="1:5" x14ac:dyDescent="0.2">
      <c r="A455">
        <v>1804</v>
      </c>
      <c r="B455">
        <v>72</v>
      </c>
      <c r="C455" t="s">
        <v>1543</v>
      </c>
      <c r="D455">
        <v>36839</v>
      </c>
      <c r="E455" t="s">
        <v>1544</v>
      </c>
    </row>
    <row r="456" spans="1:5" x14ac:dyDescent="0.2">
      <c r="A456">
        <v>3513</v>
      </c>
      <c r="B456">
        <v>0</v>
      </c>
      <c r="C456" t="s">
        <v>1545</v>
      </c>
      <c r="D456">
        <v>36259</v>
      </c>
      <c r="E456" t="s">
        <v>105</v>
      </c>
    </row>
    <row r="457" spans="1:5" x14ac:dyDescent="0.2">
      <c r="A457">
        <v>1183</v>
      </c>
      <c r="B457">
        <v>170</v>
      </c>
      <c r="C457" t="s">
        <v>214</v>
      </c>
      <c r="D457">
        <v>36708</v>
      </c>
      <c r="E457" t="s">
        <v>1162</v>
      </c>
    </row>
    <row r="458" spans="1:5" x14ac:dyDescent="0.2">
      <c r="A458">
        <v>3248</v>
      </c>
      <c r="B458">
        <v>0</v>
      </c>
      <c r="C458" t="s">
        <v>1546</v>
      </c>
      <c r="D458">
        <v>36661</v>
      </c>
      <c r="E458" t="s">
        <v>175</v>
      </c>
    </row>
    <row r="459" spans="1:5" x14ac:dyDescent="0.2">
      <c r="A459">
        <v>1366</v>
      </c>
      <c r="B459">
        <v>137</v>
      </c>
      <c r="C459" t="s">
        <v>467</v>
      </c>
      <c r="D459">
        <v>36693</v>
      </c>
      <c r="E459" t="s">
        <v>74</v>
      </c>
    </row>
    <row r="460" spans="1:5" x14ac:dyDescent="0.2">
      <c r="A460">
        <v>2072</v>
      </c>
      <c r="B460">
        <v>47</v>
      </c>
      <c r="C460" t="s">
        <v>690</v>
      </c>
      <c r="D460">
        <v>36306</v>
      </c>
      <c r="E460" t="s">
        <v>1315</v>
      </c>
    </row>
    <row r="461" spans="1:5" x14ac:dyDescent="0.2">
      <c r="A461">
        <v>3294</v>
      </c>
      <c r="B461">
        <v>0</v>
      </c>
      <c r="C461" t="s">
        <v>1547</v>
      </c>
      <c r="D461">
        <v>37095</v>
      </c>
      <c r="E461" t="s">
        <v>99</v>
      </c>
    </row>
    <row r="462" spans="1:5" x14ac:dyDescent="0.2">
      <c r="A462">
        <v>3284</v>
      </c>
      <c r="B462">
        <v>0</v>
      </c>
      <c r="C462" t="s">
        <v>1548</v>
      </c>
      <c r="D462">
        <v>37506</v>
      </c>
      <c r="E462" t="s">
        <v>99</v>
      </c>
    </row>
    <row r="463" spans="1:5" x14ac:dyDescent="0.2">
      <c r="A463">
        <v>3090</v>
      </c>
      <c r="B463">
        <v>3</v>
      </c>
      <c r="C463" t="s">
        <v>1549</v>
      </c>
      <c r="D463">
        <v>37041</v>
      </c>
      <c r="E463" t="s">
        <v>120</v>
      </c>
    </row>
    <row r="464" spans="1:5" x14ac:dyDescent="0.2">
      <c r="A464">
        <v>2132</v>
      </c>
      <c r="B464">
        <v>45</v>
      </c>
      <c r="C464" t="s">
        <v>1550</v>
      </c>
      <c r="D464">
        <v>37696</v>
      </c>
      <c r="E464" t="s">
        <v>105</v>
      </c>
    </row>
    <row r="465" spans="1:5" x14ac:dyDescent="0.2">
      <c r="A465">
        <v>3160</v>
      </c>
      <c r="B465">
        <v>1</v>
      </c>
      <c r="C465" t="s">
        <v>1551</v>
      </c>
      <c r="D465">
        <v>37458</v>
      </c>
      <c r="E465" t="s">
        <v>139</v>
      </c>
    </row>
    <row r="466" spans="1:5" x14ac:dyDescent="0.2">
      <c r="A466">
        <v>1193</v>
      </c>
      <c r="B466">
        <v>169</v>
      </c>
      <c r="C466" t="s">
        <v>215</v>
      </c>
      <c r="D466">
        <v>36187</v>
      </c>
      <c r="E466" t="s">
        <v>1284</v>
      </c>
    </row>
    <row r="467" spans="1:5" x14ac:dyDescent="0.2">
      <c r="A467">
        <v>2435</v>
      </c>
      <c r="B467">
        <v>28</v>
      </c>
      <c r="C467" t="s">
        <v>468</v>
      </c>
      <c r="D467">
        <v>36674</v>
      </c>
      <c r="E467" t="s">
        <v>105</v>
      </c>
    </row>
    <row r="468" spans="1:5" x14ac:dyDescent="0.2">
      <c r="A468">
        <v>2821</v>
      </c>
      <c r="B468">
        <v>10</v>
      </c>
      <c r="C468" t="s">
        <v>1552</v>
      </c>
      <c r="D468">
        <v>36861</v>
      </c>
      <c r="E468" t="s">
        <v>170</v>
      </c>
    </row>
    <row r="469" spans="1:5" x14ac:dyDescent="0.2">
      <c r="A469">
        <v>2870</v>
      </c>
      <c r="B469">
        <v>9</v>
      </c>
      <c r="C469" t="s">
        <v>1553</v>
      </c>
      <c r="D469">
        <v>37345</v>
      </c>
      <c r="E469" t="s">
        <v>1279</v>
      </c>
    </row>
    <row r="470" spans="1:5" x14ac:dyDescent="0.2">
      <c r="A470">
        <v>2373</v>
      </c>
      <c r="B470">
        <v>32</v>
      </c>
      <c r="C470" t="s">
        <v>1554</v>
      </c>
      <c r="D470">
        <v>36952</v>
      </c>
      <c r="E470" t="s">
        <v>115</v>
      </c>
    </row>
    <row r="471" spans="1:5" x14ac:dyDescent="0.2">
      <c r="A471">
        <v>3614</v>
      </c>
      <c r="B471">
        <v>0</v>
      </c>
      <c r="C471" t="s">
        <v>1555</v>
      </c>
      <c r="D471">
        <v>37566</v>
      </c>
      <c r="E471" t="s">
        <v>1236</v>
      </c>
    </row>
    <row r="472" spans="1:5" x14ac:dyDescent="0.2">
      <c r="A472">
        <v>3186</v>
      </c>
      <c r="B472">
        <v>1</v>
      </c>
      <c r="C472" t="s">
        <v>1556</v>
      </c>
      <c r="D472">
        <v>37552</v>
      </c>
      <c r="E472" t="s">
        <v>105</v>
      </c>
    </row>
    <row r="473" spans="1:5" x14ac:dyDescent="0.2">
      <c r="A473">
        <v>2426</v>
      </c>
      <c r="B473">
        <v>29</v>
      </c>
      <c r="C473" t="s">
        <v>1557</v>
      </c>
      <c r="D473">
        <v>37562</v>
      </c>
      <c r="E473" t="s">
        <v>1162</v>
      </c>
    </row>
    <row r="474" spans="1:5" x14ac:dyDescent="0.2">
      <c r="A474">
        <v>2270</v>
      </c>
      <c r="B474">
        <v>37</v>
      </c>
      <c r="C474" t="s">
        <v>691</v>
      </c>
      <c r="D474">
        <v>36580</v>
      </c>
      <c r="E474" t="s">
        <v>1467</v>
      </c>
    </row>
    <row r="475" spans="1:5" x14ac:dyDescent="0.2">
      <c r="A475">
        <v>3421</v>
      </c>
      <c r="B475">
        <v>0</v>
      </c>
      <c r="C475" t="s">
        <v>1558</v>
      </c>
      <c r="D475">
        <v>36921</v>
      </c>
      <c r="E475" t="s">
        <v>119</v>
      </c>
    </row>
    <row r="476" spans="1:5" x14ac:dyDescent="0.2">
      <c r="A476">
        <v>1803</v>
      </c>
      <c r="B476">
        <v>72</v>
      </c>
      <c r="C476" t="s">
        <v>1559</v>
      </c>
      <c r="D476">
        <v>36589</v>
      </c>
      <c r="E476" t="s">
        <v>160</v>
      </c>
    </row>
    <row r="477" spans="1:5" x14ac:dyDescent="0.2">
      <c r="A477">
        <v>2565</v>
      </c>
      <c r="B477">
        <v>22</v>
      </c>
      <c r="C477" t="s">
        <v>1559</v>
      </c>
      <c r="D477">
        <v>37629</v>
      </c>
      <c r="E477" t="s">
        <v>109</v>
      </c>
    </row>
    <row r="478" spans="1:5" x14ac:dyDescent="0.2">
      <c r="A478">
        <v>2258</v>
      </c>
      <c r="B478">
        <v>38</v>
      </c>
      <c r="C478" t="s">
        <v>692</v>
      </c>
      <c r="D478">
        <v>36801</v>
      </c>
      <c r="E478" t="s">
        <v>1467</v>
      </c>
    </row>
    <row r="479" spans="1:5" x14ac:dyDescent="0.2">
      <c r="A479">
        <v>3604</v>
      </c>
      <c r="B479">
        <v>0</v>
      </c>
      <c r="C479" t="s">
        <v>1560</v>
      </c>
      <c r="D479">
        <v>37040</v>
      </c>
      <c r="E479" t="s">
        <v>120</v>
      </c>
    </row>
    <row r="480" spans="1:5" x14ac:dyDescent="0.2">
      <c r="A480">
        <v>1715</v>
      </c>
      <c r="B480">
        <v>82</v>
      </c>
      <c r="C480" t="s">
        <v>216</v>
      </c>
      <c r="D480">
        <v>36413</v>
      </c>
      <c r="E480" t="s">
        <v>469</v>
      </c>
    </row>
    <row r="481" spans="1:5" x14ac:dyDescent="0.2">
      <c r="A481">
        <v>2107</v>
      </c>
      <c r="B481">
        <v>46</v>
      </c>
      <c r="C481" t="s">
        <v>1561</v>
      </c>
      <c r="D481">
        <v>37215</v>
      </c>
      <c r="E481" t="s">
        <v>120</v>
      </c>
    </row>
    <row r="482" spans="1:5" x14ac:dyDescent="0.2">
      <c r="A482">
        <v>1752</v>
      </c>
      <c r="B482">
        <v>76</v>
      </c>
      <c r="C482" t="s">
        <v>1562</v>
      </c>
      <c r="D482">
        <v>37213</v>
      </c>
      <c r="E482" t="s">
        <v>120</v>
      </c>
    </row>
    <row r="483" spans="1:5" x14ac:dyDescent="0.2">
      <c r="A483">
        <v>3146</v>
      </c>
      <c r="B483">
        <v>1</v>
      </c>
      <c r="C483" t="s">
        <v>1563</v>
      </c>
      <c r="D483">
        <v>37189</v>
      </c>
      <c r="E483" t="s">
        <v>1232</v>
      </c>
    </row>
    <row r="484" spans="1:5" x14ac:dyDescent="0.2">
      <c r="A484">
        <v>1169</v>
      </c>
      <c r="B484">
        <v>174</v>
      </c>
      <c r="C484" t="s">
        <v>217</v>
      </c>
      <c r="D484">
        <v>36796</v>
      </c>
      <c r="E484" t="s">
        <v>105</v>
      </c>
    </row>
    <row r="485" spans="1:5" x14ac:dyDescent="0.2">
      <c r="A485">
        <v>3311</v>
      </c>
      <c r="B485">
        <v>0</v>
      </c>
      <c r="C485" t="s">
        <v>1564</v>
      </c>
      <c r="D485">
        <v>37426</v>
      </c>
      <c r="E485" t="s">
        <v>120</v>
      </c>
    </row>
    <row r="486" spans="1:5" x14ac:dyDescent="0.2">
      <c r="A486">
        <v>1631</v>
      </c>
      <c r="B486">
        <v>92</v>
      </c>
      <c r="C486" t="s">
        <v>815</v>
      </c>
      <c r="D486">
        <v>37191</v>
      </c>
      <c r="E486" t="s">
        <v>1460</v>
      </c>
    </row>
    <row r="487" spans="1:5" x14ac:dyDescent="0.2">
      <c r="A487">
        <v>1961</v>
      </c>
      <c r="B487">
        <v>55</v>
      </c>
      <c r="C487" t="s">
        <v>470</v>
      </c>
      <c r="D487">
        <v>36610</v>
      </c>
      <c r="E487" t="s">
        <v>105</v>
      </c>
    </row>
    <row r="488" spans="1:5" x14ac:dyDescent="0.2">
      <c r="A488">
        <v>2133</v>
      </c>
      <c r="B488">
        <v>45</v>
      </c>
      <c r="C488" t="s">
        <v>1565</v>
      </c>
      <c r="D488">
        <v>36826</v>
      </c>
      <c r="E488" t="s">
        <v>113</v>
      </c>
    </row>
    <row r="489" spans="1:5" x14ac:dyDescent="0.2">
      <c r="A489">
        <v>2367</v>
      </c>
      <c r="B489">
        <v>32</v>
      </c>
      <c r="C489" t="s">
        <v>1566</v>
      </c>
      <c r="D489">
        <v>36526</v>
      </c>
      <c r="E489" t="s">
        <v>251</v>
      </c>
    </row>
    <row r="490" spans="1:5" x14ac:dyDescent="0.2">
      <c r="A490">
        <v>2593</v>
      </c>
      <c r="B490">
        <v>20</v>
      </c>
      <c r="C490" t="s">
        <v>471</v>
      </c>
      <c r="D490">
        <v>36526</v>
      </c>
      <c r="E490" t="s">
        <v>1192</v>
      </c>
    </row>
    <row r="491" spans="1:5" x14ac:dyDescent="0.2">
      <c r="A491">
        <v>2933</v>
      </c>
      <c r="B491">
        <v>7</v>
      </c>
      <c r="C491" t="s">
        <v>471</v>
      </c>
      <c r="D491">
        <v>37444</v>
      </c>
      <c r="E491" t="s">
        <v>1200</v>
      </c>
    </row>
    <row r="492" spans="1:5" x14ac:dyDescent="0.2">
      <c r="A492">
        <v>1934</v>
      </c>
      <c r="B492">
        <v>57</v>
      </c>
      <c r="C492" t="s">
        <v>472</v>
      </c>
      <c r="D492">
        <v>36604</v>
      </c>
      <c r="E492" t="s">
        <v>110</v>
      </c>
    </row>
    <row r="493" spans="1:5" x14ac:dyDescent="0.2">
      <c r="A493">
        <v>2430</v>
      </c>
      <c r="B493">
        <v>29</v>
      </c>
      <c r="C493" t="s">
        <v>693</v>
      </c>
      <c r="D493">
        <v>37291</v>
      </c>
      <c r="E493" t="s">
        <v>1467</v>
      </c>
    </row>
    <row r="494" spans="1:5" x14ac:dyDescent="0.2">
      <c r="A494">
        <v>2092</v>
      </c>
      <c r="B494">
        <v>46</v>
      </c>
      <c r="C494" t="s">
        <v>388</v>
      </c>
      <c r="D494">
        <v>36341</v>
      </c>
      <c r="E494" t="s">
        <v>138</v>
      </c>
    </row>
    <row r="495" spans="1:5" x14ac:dyDescent="0.2">
      <c r="A495">
        <v>2412</v>
      </c>
      <c r="B495">
        <v>30</v>
      </c>
      <c r="C495" t="s">
        <v>1567</v>
      </c>
      <c r="D495">
        <v>37272</v>
      </c>
      <c r="E495" t="s">
        <v>1423</v>
      </c>
    </row>
    <row r="496" spans="1:5" x14ac:dyDescent="0.2">
      <c r="A496">
        <v>2169</v>
      </c>
      <c r="B496">
        <v>43</v>
      </c>
      <c r="C496" t="s">
        <v>1568</v>
      </c>
      <c r="D496">
        <v>37040</v>
      </c>
      <c r="E496" t="s">
        <v>120</v>
      </c>
    </row>
    <row r="497" spans="1:5" x14ac:dyDescent="0.2">
      <c r="A497">
        <v>670</v>
      </c>
      <c r="B497">
        <v>356</v>
      </c>
      <c r="C497" t="s">
        <v>218</v>
      </c>
      <c r="D497">
        <v>36336</v>
      </c>
      <c r="E497" t="s">
        <v>105</v>
      </c>
    </row>
    <row r="498" spans="1:5" x14ac:dyDescent="0.2">
      <c r="A498">
        <v>3691</v>
      </c>
      <c r="B498">
        <v>0</v>
      </c>
      <c r="C498" t="s">
        <v>1569</v>
      </c>
      <c r="D498">
        <v>37226</v>
      </c>
      <c r="E498" t="s">
        <v>105</v>
      </c>
    </row>
    <row r="499" spans="1:5" x14ac:dyDescent="0.2">
      <c r="A499">
        <v>2433</v>
      </c>
      <c r="B499">
        <v>29</v>
      </c>
      <c r="C499" t="s">
        <v>1570</v>
      </c>
      <c r="D499">
        <v>37307</v>
      </c>
      <c r="E499" t="s">
        <v>1171</v>
      </c>
    </row>
    <row r="500" spans="1:5" x14ac:dyDescent="0.2">
      <c r="A500">
        <v>3613</v>
      </c>
      <c r="B500">
        <v>0</v>
      </c>
      <c r="C500" t="s">
        <v>1571</v>
      </c>
      <c r="D500">
        <v>36586</v>
      </c>
      <c r="E500" t="s">
        <v>105</v>
      </c>
    </row>
    <row r="501" spans="1:5" x14ac:dyDescent="0.2">
      <c r="A501">
        <v>2832</v>
      </c>
      <c r="B501">
        <v>10</v>
      </c>
      <c r="C501" t="s">
        <v>1572</v>
      </c>
      <c r="D501">
        <v>36869</v>
      </c>
      <c r="E501" t="s">
        <v>111</v>
      </c>
    </row>
    <row r="502" spans="1:5" x14ac:dyDescent="0.2">
      <c r="A502">
        <v>2760</v>
      </c>
      <c r="B502">
        <v>12</v>
      </c>
      <c r="C502" t="s">
        <v>389</v>
      </c>
      <c r="D502">
        <v>37474</v>
      </c>
      <c r="E502" t="s">
        <v>1236</v>
      </c>
    </row>
    <row r="503" spans="1:5" x14ac:dyDescent="0.2">
      <c r="A503">
        <v>2386</v>
      </c>
      <c r="B503">
        <v>31</v>
      </c>
      <c r="C503" t="s">
        <v>1573</v>
      </c>
      <c r="D503">
        <v>36863</v>
      </c>
      <c r="E503" t="s">
        <v>105</v>
      </c>
    </row>
    <row r="504" spans="1:5" x14ac:dyDescent="0.2">
      <c r="A504">
        <v>2424</v>
      </c>
      <c r="B504">
        <v>29</v>
      </c>
      <c r="C504" t="s">
        <v>1574</v>
      </c>
      <c r="D504">
        <v>37011</v>
      </c>
      <c r="E504" t="s">
        <v>227</v>
      </c>
    </row>
    <row r="505" spans="1:5" x14ac:dyDescent="0.2">
      <c r="A505">
        <v>1684</v>
      </c>
      <c r="B505">
        <v>86</v>
      </c>
      <c r="C505" t="s">
        <v>1575</v>
      </c>
      <c r="D505">
        <v>36813</v>
      </c>
      <c r="E505" t="s">
        <v>227</v>
      </c>
    </row>
    <row r="506" spans="1:5" x14ac:dyDescent="0.2">
      <c r="A506">
        <v>2237</v>
      </c>
      <c r="B506">
        <v>39</v>
      </c>
      <c r="C506" t="s">
        <v>1576</v>
      </c>
      <c r="D506">
        <v>36651</v>
      </c>
      <c r="E506" t="s">
        <v>105</v>
      </c>
    </row>
    <row r="507" spans="1:5" x14ac:dyDescent="0.2">
      <c r="A507">
        <v>2556</v>
      </c>
      <c r="B507">
        <v>22</v>
      </c>
      <c r="C507" t="s">
        <v>219</v>
      </c>
      <c r="D507">
        <v>36833</v>
      </c>
      <c r="E507" t="s">
        <v>128</v>
      </c>
    </row>
    <row r="508" spans="1:5" x14ac:dyDescent="0.2">
      <c r="A508">
        <v>2542</v>
      </c>
      <c r="B508">
        <v>23</v>
      </c>
      <c r="C508" t="s">
        <v>221</v>
      </c>
      <c r="D508">
        <v>36566</v>
      </c>
      <c r="E508" t="s">
        <v>120</v>
      </c>
    </row>
    <row r="509" spans="1:5" x14ac:dyDescent="0.2">
      <c r="A509">
        <v>2978</v>
      </c>
      <c r="B509">
        <v>5</v>
      </c>
      <c r="C509" t="s">
        <v>1577</v>
      </c>
      <c r="D509">
        <v>37107</v>
      </c>
      <c r="E509" t="s">
        <v>1578</v>
      </c>
    </row>
    <row r="510" spans="1:5" x14ac:dyDescent="0.2">
      <c r="A510">
        <v>1292</v>
      </c>
      <c r="B510">
        <v>149</v>
      </c>
      <c r="C510" t="s">
        <v>223</v>
      </c>
      <c r="D510">
        <v>36174</v>
      </c>
      <c r="E510" t="s">
        <v>105</v>
      </c>
    </row>
    <row r="511" spans="1:5" x14ac:dyDescent="0.2">
      <c r="A511">
        <v>2739</v>
      </c>
      <c r="B511">
        <v>13</v>
      </c>
      <c r="C511" t="s">
        <v>1579</v>
      </c>
      <c r="D511">
        <v>37529</v>
      </c>
      <c r="E511" t="s">
        <v>104</v>
      </c>
    </row>
    <row r="512" spans="1:5" x14ac:dyDescent="0.2">
      <c r="A512">
        <v>3418</v>
      </c>
      <c r="B512">
        <v>0</v>
      </c>
      <c r="C512" t="s">
        <v>1580</v>
      </c>
      <c r="D512">
        <v>37257</v>
      </c>
      <c r="E512" t="s">
        <v>74</v>
      </c>
    </row>
    <row r="513" spans="1:5" x14ac:dyDescent="0.2">
      <c r="A513">
        <v>1986</v>
      </c>
      <c r="B513">
        <v>53</v>
      </c>
      <c r="C513" t="s">
        <v>224</v>
      </c>
      <c r="D513">
        <v>36402</v>
      </c>
      <c r="E513" t="s">
        <v>1236</v>
      </c>
    </row>
    <row r="514" spans="1:5" x14ac:dyDescent="0.2">
      <c r="A514">
        <v>2765</v>
      </c>
      <c r="B514">
        <v>12</v>
      </c>
      <c r="C514" t="s">
        <v>225</v>
      </c>
      <c r="D514">
        <v>36833</v>
      </c>
      <c r="E514" t="s">
        <v>128</v>
      </c>
    </row>
    <row r="515" spans="1:5" x14ac:dyDescent="0.2">
      <c r="A515">
        <v>2288</v>
      </c>
      <c r="B515">
        <v>36</v>
      </c>
      <c r="C515" t="s">
        <v>1581</v>
      </c>
      <c r="D515">
        <v>37140</v>
      </c>
      <c r="E515" t="s">
        <v>1311</v>
      </c>
    </row>
    <row r="516" spans="1:5" x14ac:dyDescent="0.2">
      <c r="A516">
        <v>812</v>
      </c>
      <c r="B516">
        <v>292</v>
      </c>
      <c r="C516" t="s">
        <v>226</v>
      </c>
      <c r="D516">
        <v>36294</v>
      </c>
      <c r="E516" t="s">
        <v>72</v>
      </c>
    </row>
    <row r="517" spans="1:5" x14ac:dyDescent="0.2">
      <c r="A517">
        <v>1426</v>
      </c>
      <c r="B517">
        <v>128</v>
      </c>
      <c r="C517" t="s">
        <v>473</v>
      </c>
      <c r="D517">
        <v>36538</v>
      </c>
      <c r="E517" t="s">
        <v>113</v>
      </c>
    </row>
    <row r="518" spans="1:5" x14ac:dyDescent="0.2">
      <c r="A518">
        <v>3488</v>
      </c>
      <c r="B518">
        <v>0</v>
      </c>
      <c r="C518" t="s">
        <v>1582</v>
      </c>
      <c r="D518">
        <v>37279</v>
      </c>
      <c r="E518" t="s">
        <v>183</v>
      </c>
    </row>
    <row r="519" spans="1:5" x14ac:dyDescent="0.2">
      <c r="A519">
        <v>2031</v>
      </c>
      <c r="B519">
        <v>50</v>
      </c>
      <c r="C519" t="s">
        <v>1583</v>
      </c>
      <c r="D519">
        <v>36491</v>
      </c>
      <c r="E519" t="s">
        <v>1584</v>
      </c>
    </row>
    <row r="520" spans="1:5" x14ac:dyDescent="0.2">
      <c r="A520">
        <v>2682</v>
      </c>
      <c r="B520">
        <v>16</v>
      </c>
      <c r="C520" t="s">
        <v>1585</v>
      </c>
      <c r="D520">
        <v>37056</v>
      </c>
      <c r="E520" t="s">
        <v>1332</v>
      </c>
    </row>
    <row r="521" spans="1:5" x14ac:dyDescent="0.2">
      <c r="A521">
        <v>2729</v>
      </c>
      <c r="B521">
        <v>14</v>
      </c>
      <c r="C521" t="s">
        <v>1586</v>
      </c>
      <c r="D521">
        <v>36729</v>
      </c>
      <c r="E521" t="s">
        <v>1587</v>
      </c>
    </row>
    <row r="522" spans="1:5" x14ac:dyDescent="0.2">
      <c r="A522">
        <v>2185</v>
      </c>
      <c r="B522">
        <v>42</v>
      </c>
      <c r="C522" t="s">
        <v>474</v>
      </c>
      <c r="D522">
        <v>36567</v>
      </c>
      <c r="E522" t="s">
        <v>1162</v>
      </c>
    </row>
    <row r="523" spans="1:5" x14ac:dyDescent="0.2">
      <c r="A523">
        <v>2012</v>
      </c>
      <c r="B523">
        <v>51</v>
      </c>
      <c r="C523" t="s">
        <v>475</v>
      </c>
      <c r="D523">
        <v>36722</v>
      </c>
      <c r="E523" t="s">
        <v>1214</v>
      </c>
    </row>
    <row r="524" spans="1:5" x14ac:dyDescent="0.2">
      <c r="A524">
        <v>2527</v>
      </c>
      <c r="B524">
        <v>24</v>
      </c>
      <c r="C524" t="s">
        <v>1588</v>
      </c>
      <c r="D524">
        <v>36734</v>
      </c>
      <c r="E524" t="s">
        <v>1241</v>
      </c>
    </row>
    <row r="525" spans="1:5" x14ac:dyDescent="0.2">
      <c r="A525">
        <v>2642</v>
      </c>
      <c r="B525">
        <v>18</v>
      </c>
      <c r="C525" t="s">
        <v>1589</v>
      </c>
      <c r="D525">
        <v>36526</v>
      </c>
      <c r="E525" t="s">
        <v>1590</v>
      </c>
    </row>
    <row r="526" spans="1:5" x14ac:dyDescent="0.2">
      <c r="A526">
        <v>3055</v>
      </c>
      <c r="B526">
        <v>4</v>
      </c>
      <c r="C526" t="s">
        <v>1591</v>
      </c>
      <c r="D526">
        <v>37415</v>
      </c>
      <c r="E526" t="s">
        <v>105</v>
      </c>
    </row>
    <row r="527" spans="1:5" x14ac:dyDescent="0.2">
      <c r="A527">
        <v>3464</v>
      </c>
      <c r="B527">
        <v>0</v>
      </c>
      <c r="C527" t="s">
        <v>1592</v>
      </c>
      <c r="D527">
        <v>37011</v>
      </c>
      <c r="E527" t="s">
        <v>105</v>
      </c>
    </row>
    <row r="528" spans="1:5" x14ac:dyDescent="0.2">
      <c r="A528">
        <v>3109</v>
      </c>
      <c r="B528">
        <v>2</v>
      </c>
      <c r="C528" t="s">
        <v>1593</v>
      </c>
      <c r="D528">
        <v>37185</v>
      </c>
      <c r="E528" t="s">
        <v>165</v>
      </c>
    </row>
    <row r="529" spans="1:5" x14ac:dyDescent="0.2">
      <c r="A529">
        <v>3251</v>
      </c>
      <c r="B529">
        <v>0</v>
      </c>
      <c r="C529" t="s">
        <v>1594</v>
      </c>
      <c r="D529">
        <v>37436</v>
      </c>
      <c r="E529" t="s">
        <v>1595</v>
      </c>
    </row>
    <row r="530" spans="1:5" x14ac:dyDescent="0.2">
      <c r="A530">
        <v>3275</v>
      </c>
      <c r="B530">
        <v>0</v>
      </c>
      <c r="C530" t="s">
        <v>1596</v>
      </c>
      <c r="D530">
        <v>37021</v>
      </c>
      <c r="E530" t="s">
        <v>133</v>
      </c>
    </row>
    <row r="531" spans="1:5" x14ac:dyDescent="0.2">
      <c r="A531">
        <v>3401</v>
      </c>
      <c r="B531">
        <v>0</v>
      </c>
      <c r="C531" t="s">
        <v>1597</v>
      </c>
      <c r="D531">
        <v>36653</v>
      </c>
      <c r="E531" t="s">
        <v>120</v>
      </c>
    </row>
    <row r="532" spans="1:5" x14ac:dyDescent="0.2">
      <c r="A532">
        <v>2550</v>
      </c>
      <c r="B532">
        <v>23</v>
      </c>
      <c r="C532" t="s">
        <v>1598</v>
      </c>
      <c r="D532">
        <v>37209</v>
      </c>
      <c r="E532" t="s">
        <v>1599</v>
      </c>
    </row>
    <row r="533" spans="1:5" x14ac:dyDescent="0.2">
      <c r="A533">
        <v>3290</v>
      </c>
      <c r="B533">
        <v>0</v>
      </c>
      <c r="C533" t="s">
        <v>1600</v>
      </c>
      <c r="D533">
        <v>36349</v>
      </c>
      <c r="E533" t="s">
        <v>120</v>
      </c>
    </row>
    <row r="534" spans="1:5" x14ac:dyDescent="0.2">
      <c r="A534">
        <v>2263</v>
      </c>
      <c r="B534">
        <v>37</v>
      </c>
      <c r="C534" t="s">
        <v>476</v>
      </c>
      <c r="D534">
        <v>36882</v>
      </c>
      <c r="E534" t="s">
        <v>105</v>
      </c>
    </row>
    <row r="535" spans="1:5" x14ac:dyDescent="0.2">
      <c r="A535">
        <v>2649</v>
      </c>
      <c r="B535">
        <v>18</v>
      </c>
      <c r="C535" t="s">
        <v>1601</v>
      </c>
      <c r="D535">
        <v>36615</v>
      </c>
      <c r="E535" t="s">
        <v>138</v>
      </c>
    </row>
    <row r="536" spans="1:5" x14ac:dyDescent="0.2">
      <c r="A536">
        <v>2120</v>
      </c>
      <c r="B536">
        <v>45</v>
      </c>
      <c r="C536" t="s">
        <v>228</v>
      </c>
      <c r="D536">
        <v>36540</v>
      </c>
      <c r="E536" t="s">
        <v>183</v>
      </c>
    </row>
    <row r="537" spans="1:5" x14ac:dyDescent="0.2">
      <c r="A537">
        <v>3110</v>
      </c>
      <c r="B537">
        <v>2</v>
      </c>
      <c r="C537" t="s">
        <v>1602</v>
      </c>
      <c r="D537">
        <v>36209</v>
      </c>
      <c r="E537" t="s">
        <v>1447</v>
      </c>
    </row>
    <row r="538" spans="1:5" x14ac:dyDescent="0.2">
      <c r="A538">
        <v>2214</v>
      </c>
      <c r="B538">
        <v>40</v>
      </c>
      <c r="C538" t="s">
        <v>1603</v>
      </c>
      <c r="D538">
        <v>36321</v>
      </c>
      <c r="E538" t="s">
        <v>107</v>
      </c>
    </row>
    <row r="539" spans="1:5" x14ac:dyDescent="0.2">
      <c r="A539">
        <v>1828</v>
      </c>
      <c r="B539">
        <v>69</v>
      </c>
      <c r="C539" t="s">
        <v>229</v>
      </c>
      <c r="D539">
        <v>36275</v>
      </c>
      <c r="E539" t="s">
        <v>1214</v>
      </c>
    </row>
    <row r="540" spans="1:5" x14ac:dyDescent="0.2">
      <c r="A540">
        <v>2737</v>
      </c>
      <c r="B540">
        <v>13</v>
      </c>
      <c r="C540" t="s">
        <v>1604</v>
      </c>
      <c r="D540">
        <v>36607</v>
      </c>
      <c r="E540" t="s">
        <v>105</v>
      </c>
    </row>
    <row r="541" spans="1:5" x14ac:dyDescent="0.2">
      <c r="A541">
        <v>2710</v>
      </c>
      <c r="B541">
        <v>15</v>
      </c>
      <c r="C541" t="s">
        <v>1605</v>
      </c>
      <c r="D541">
        <v>36233</v>
      </c>
      <c r="E541" t="s">
        <v>1362</v>
      </c>
    </row>
    <row r="542" spans="1:5" x14ac:dyDescent="0.2">
      <c r="A542">
        <v>3526</v>
      </c>
      <c r="B542">
        <v>0</v>
      </c>
      <c r="C542" t="s">
        <v>1606</v>
      </c>
      <c r="D542">
        <v>36526</v>
      </c>
      <c r="E542" t="s">
        <v>128</v>
      </c>
    </row>
    <row r="543" spans="1:5" x14ac:dyDescent="0.2">
      <c r="A543">
        <v>2190</v>
      </c>
      <c r="B543">
        <v>42</v>
      </c>
      <c r="C543" t="s">
        <v>1607</v>
      </c>
      <c r="D543">
        <v>36464</v>
      </c>
      <c r="E543" t="s">
        <v>1608</v>
      </c>
    </row>
    <row r="544" spans="1:5" x14ac:dyDescent="0.2">
      <c r="A544">
        <v>3119</v>
      </c>
      <c r="B544">
        <v>2</v>
      </c>
      <c r="C544" t="s">
        <v>1610</v>
      </c>
      <c r="D544">
        <v>37562</v>
      </c>
      <c r="E544" t="s">
        <v>1279</v>
      </c>
    </row>
    <row r="545" spans="1:5" x14ac:dyDescent="0.2">
      <c r="A545">
        <v>2176</v>
      </c>
      <c r="B545">
        <v>43</v>
      </c>
      <c r="C545" t="s">
        <v>816</v>
      </c>
      <c r="D545">
        <v>36854</v>
      </c>
      <c r="E545" t="s">
        <v>110</v>
      </c>
    </row>
    <row r="546" spans="1:5" x14ac:dyDescent="0.2">
      <c r="A546">
        <v>3615</v>
      </c>
      <c r="B546">
        <v>0</v>
      </c>
      <c r="C546" t="s">
        <v>1611</v>
      </c>
      <c r="D546">
        <v>37087</v>
      </c>
      <c r="E546" t="s">
        <v>1248</v>
      </c>
    </row>
    <row r="547" spans="1:5" x14ac:dyDescent="0.2">
      <c r="A547">
        <v>1890</v>
      </c>
      <c r="B547">
        <v>61</v>
      </c>
      <c r="C547" t="s">
        <v>390</v>
      </c>
      <c r="D547">
        <v>36582</v>
      </c>
      <c r="E547" t="s">
        <v>1200</v>
      </c>
    </row>
    <row r="548" spans="1:5" x14ac:dyDescent="0.2">
      <c r="A548">
        <v>2007</v>
      </c>
      <c r="B548">
        <v>52</v>
      </c>
      <c r="C548" t="s">
        <v>817</v>
      </c>
      <c r="D548">
        <v>36696</v>
      </c>
      <c r="E548" t="s">
        <v>118</v>
      </c>
    </row>
    <row r="549" spans="1:5" x14ac:dyDescent="0.2">
      <c r="A549">
        <v>2785</v>
      </c>
      <c r="B549">
        <v>12</v>
      </c>
      <c r="C549" t="s">
        <v>1613</v>
      </c>
      <c r="D549">
        <v>36509</v>
      </c>
      <c r="E549" t="s">
        <v>1214</v>
      </c>
    </row>
    <row r="550" spans="1:5" x14ac:dyDescent="0.2">
      <c r="A550">
        <v>1134</v>
      </c>
      <c r="B550">
        <v>183</v>
      </c>
      <c r="C550" t="s">
        <v>230</v>
      </c>
      <c r="D550">
        <v>36709</v>
      </c>
      <c r="E550" t="s">
        <v>231</v>
      </c>
    </row>
    <row r="551" spans="1:5" x14ac:dyDescent="0.2">
      <c r="A551">
        <v>2545</v>
      </c>
      <c r="B551">
        <v>23</v>
      </c>
      <c r="C551" t="s">
        <v>694</v>
      </c>
      <c r="D551">
        <v>36908</v>
      </c>
      <c r="E551" t="s">
        <v>1467</v>
      </c>
    </row>
    <row r="552" spans="1:5" x14ac:dyDescent="0.2">
      <c r="A552">
        <v>2248</v>
      </c>
      <c r="B552">
        <v>38</v>
      </c>
      <c r="C552" t="s">
        <v>477</v>
      </c>
      <c r="D552">
        <v>36551</v>
      </c>
      <c r="E552" t="s">
        <v>73</v>
      </c>
    </row>
    <row r="553" spans="1:5" x14ac:dyDescent="0.2">
      <c r="A553">
        <v>2371</v>
      </c>
      <c r="B553">
        <v>32</v>
      </c>
      <c r="C553" t="s">
        <v>695</v>
      </c>
      <c r="D553">
        <v>36954</v>
      </c>
      <c r="E553" t="s">
        <v>241</v>
      </c>
    </row>
    <row r="554" spans="1:5" x14ac:dyDescent="0.2">
      <c r="A554">
        <v>3271</v>
      </c>
      <c r="B554">
        <v>0</v>
      </c>
      <c r="C554" t="s">
        <v>1614</v>
      </c>
      <c r="D554">
        <v>36950</v>
      </c>
      <c r="E554" t="s">
        <v>133</v>
      </c>
    </row>
    <row r="555" spans="1:5" x14ac:dyDescent="0.2">
      <c r="A555">
        <v>2159</v>
      </c>
      <c r="B555">
        <v>43</v>
      </c>
      <c r="C555" t="s">
        <v>478</v>
      </c>
      <c r="D555">
        <v>37257</v>
      </c>
      <c r="E555" t="s">
        <v>120</v>
      </c>
    </row>
    <row r="556" spans="1:5" x14ac:dyDescent="0.2">
      <c r="A556">
        <v>3037</v>
      </c>
      <c r="B556">
        <v>4</v>
      </c>
      <c r="C556" t="s">
        <v>1615</v>
      </c>
      <c r="D556">
        <v>36711</v>
      </c>
      <c r="E556" t="s">
        <v>1184</v>
      </c>
    </row>
    <row r="557" spans="1:5" x14ac:dyDescent="0.2">
      <c r="A557">
        <v>1419</v>
      </c>
      <c r="B557">
        <v>129</v>
      </c>
      <c r="C557" t="s">
        <v>818</v>
      </c>
      <c r="D557">
        <v>36660</v>
      </c>
      <c r="E557" t="s">
        <v>365</v>
      </c>
    </row>
    <row r="558" spans="1:5" x14ac:dyDescent="0.2">
      <c r="A558">
        <v>2834</v>
      </c>
      <c r="B558">
        <v>10</v>
      </c>
      <c r="C558" t="s">
        <v>1616</v>
      </c>
      <c r="D558">
        <v>37043</v>
      </c>
      <c r="E558" t="s">
        <v>365</v>
      </c>
    </row>
    <row r="559" spans="1:5" x14ac:dyDescent="0.2">
      <c r="A559">
        <v>3333</v>
      </c>
      <c r="B559">
        <v>0</v>
      </c>
      <c r="C559" t="s">
        <v>1617</v>
      </c>
      <c r="D559">
        <v>38010</v>
      </c>
      <c r="E559" t="s">
        <v>469</v>
      </c>
    </row>
    <row r="560" spans="1:5" x14ac:dyDescent="0.2">
      <c r="A560">
        <v>2271</v>
      </c>
      <c r="B560">
        <v>37</v>
      </c>
      <c r="C560" t="s">
        <v>1618</v>
      </c>
      <c r="D560">
        <v>36215</v>
      </c>
      <c r="E560" t="s">
        <v>120</v>
      </c>
    </row>
    <row r="561" spans="1:5" x14ac:dyDescent="0.2">
      <c r="A561">
        <v>3645</v>
      </c>
      <c r="B561">
        <v>0</v>
      </c>
      <c r="C561" t="s">
        <v>1619</v>
      </c>
      <c r="D561">
        <v>36760</v>
      </c>
      <c r="E561" t="s">
        <v>105</v>
      </c>
    </row>
    <row r="562" spans="1:5" x14ac:dyDescent="0.2">
      <c r="A562">
        <v>2280</v>
      </c>
      <c r="B562">
        <v>36</v>
      </c>
      <c r="C562" t="s">
        <v>232</v>
      </c>
      <c r="D562">
        <v>36650</v>
      </c>
      <c r="E562" t="s">
        <v>105</v>
      </c>
    </row>
    <row r="563" spans="1:5" x14ac:dyDescent="0.2">
      <c r="A563">
        <v>2561</v>
      </c>
      <c r="B563">
        <v>22</v>
      </c>
      <c r="C563" t="s">
        <v>696</v>
      </c>
      <c r="D563">
        <v>37309</v>
      </c>
      <c r="E563" t="s">
        <v>1286</v>
      </c>
    </row>
    <row r="564" spans="1:5" x14ac:dyDescent="0.2">
      <c r="A564">
        <v>2986</v>
      </c>
      <c r="B564">
        <v>5</v>
      </c>
      <c r="C564" t="s">
        <v>1620</v>
      </c>
      <c r="D564">
        <v>36892</v>
      </c>
      <c r="E564" t="s">
        <v>1578</v>
      </c>
    </row>
    <row r="565" spans="1:5" x14ac:dyDescent="0.2">
      <c r="A565">
        <v>1584</v>
      </c>
      <c r="B565">
        <v>98</v>
      </c>
      <c r="C565" t="s">
        <v>479</v>
      </c>
      <c r="D565">
        <v>36479</v>
      </c>
      <c r="E565" t="s">
        <v>105</v>
      </c>
    </row>
    <row r="566" spans="1:5" x14ac:dyDescent="0.2">
      <c r="A566">
        <v>3530</v>
      </c>
      <c r="B566">
        <v>0</v>
      </c>
      <c r="C566" t="s">
        <v>1621</v>
      </c>
      <c r="D566">
        <v>37158</v>
      </c>
      <c r="E566" t="s">
        <v>200</v>
      </c>
    </row>
    <row r="567" spans="1:5" x14ac:dyDescent="0.2">
      <c r="A567">
        <v>2044</v>
      </c>
      <c r="B567">
        <v>49</v>
      </c>
      <c r="C567" t="s">
        <v>819</v>
      </c>
      <c r="D567">
        <v>36587</v>
      </c>
      <c r="E567" t="s">
        <v>132</v>
      </c>
    </row>
    <row r="568" spans="1:5" x14ac:dyDescent="0.2">
      <c r="A568">
        <v>2994</v>
      </c>
      <c r="B568">
        <v>5</v>
      </c>
      <c r="C568" t="s">
        <v>1622</v>
      </c>
      <c r="D568">
        <v>36588</v>
      </c>
      <c r="E568" t="s">
        <v>74</v>
      </c>
    </row>
    <row r="569" spans="1:5" x14ac:dyDescent="0.2">
      <c r="A569">
        <v>1207</v>
      </c>
      <c r="B569">
        <v>167</v>
      </c>
      <c r="C569" t="s">
        <v>233</v>
      </c>
      <c r="D569">
        <v>36732</v>
      </c>
      <c r="E569" t="s">
        <v>99</v>
      </c>
    </row>
    <row r="570" spans="1:5" x14ac:dyDescent="0.2">
      <c r="A570">
        <v>2490</v>
      </c>
      <c r="B570">
        <v>26</v>
      </c>
      <c r="C570" t="s">
        <v>1623</v>
      </c>
      <c r="D570">
        <v>36846</v>
      </c>
      <c r="E570" t="s">
        <v>105</v>
      </c>
    </row>
    <row r="571" spans="1:5" x14ac:dyDescent="0.2">
      <c r="A571">
        <v>2731</v>
      </c>
      <c r="B571">
        <v>14</v>
      </c>
      <c r="C571" t="s">
        <v>1624</v>
      </c>
      <c r="D571">
        <v>36720</v>
      </c>
      <c r="E571" t="s">
        <v>105</v>
      </c>
    </row>
    <row r="572" spans="1:5" x14ac:dyDescent="0.2">
      <c r="A572">
        <v>1506</v>
      </c>
      <c r="B572">
        <v>111</v>
      </c>
      <c r="C572" t="s">
        <v>480</v>
      </c>
      <c r="D572">
        <v>36749</v>
      </c>
      <c r="E572" t="s">
        <v>120</v>
      </c>
    </row>
    <row r="573" spans="1:5" x14ac:dyDescent="0.2">
      <c r="A573">
        <v>2375</v>
      </c>
      <c r="B573">
        <v>31</v>
      </c>
      <c r="C573" t="s">
        <v>234</v>
      </c>
      <c r="D573">
        <v>36707</v>
      </c>
      <c r="E573" t="s">
        <v>105</v>
      </c>
    </row>
    <row r="574" spans="1:5" x14ac:dyDescent="0.2">
      <c r="A574">
        <v>2337</v>
      </c>
      <c r="B574">
        <v>33</v>
      </c>
      <c r="C574" t="s">
        <v>697</v>
      </c>
      <c r="D574">
        <v>36940</v>
      </c>
      <c r="E574" t="s">
        <v>120</v>
      </c>
    </row>
    <row r="575" spans="1:5" x14ac:dyDescent="0.2">
      <c r="A575">
        <v>1438</v>
      </c>
      <c r="B575">
        <v>124</v>
      </c>
      <c r="C575" t="s">
        <v>481</v>
      </c>
      <c r="D575">
        <v>36694</v>
      </c>
      <c r="E575" t="s">
        <v>74</v>
      </c>
    </row>
    <row r="576" spans="1:5" x14ac:dyDescent="0.2">
      <c r="A576">
        <v>1537</v>
      </c>
      <c r="B576">
        <v>104</v>
      </c>
      <c r="C576" t="s">
        <v>235</v>
      </c>
      <c r="D576">
        <v>36779</v>
      </c>
      <c r="E576" t="s">
        <v>74</v>
      </c>
    </row>
    <row r="577" spans="1:5" x14ac:dyDescent="0.2">
      <c r="A577">
        <v>3093</v>
      </c>
      <c r="B577">
        <v>3</v>
      </c>
      <c r="C577" t="s">
        <v>1625</v>
      </c>
      <c r="D577">
        <v>36549</v>
      </c>
      <c r="E577" t="s">
        <v>1587</v>
      </c>
    </row>
    <row r="578" spans="1:5" x14ac:dyDescent="0.2">
      <c r="A578">
        <v>1533</v>
      </c>
      <c r="B578">
        <v>105</v>
      </c>
      <c r="C578" t="s">
        <v>236</v>
      </c>
      <c r="D578">
        <v>36388</v>
      </c>
      <c r="E578" t="s">
        <v>83</v>
      </c>
    </row>
    <row r="579" spans="1:5" x14ac:dyDescent="0.2">
      <c r="A579">
        <v>3032</v>
      </c>
      <c r="B579">
        <v>4</v>
      </c>
      <c r="C579" t="s">
        <v>1626</v>
      </c>
      <c r="D579">
        <v>36595</v>
      </c>
      <c r="E579" t="s">
        <v>1356</v>
      </c>
    </row>
    <row r="580" spans="1:5" x14ac:dyDescent="0.2">
      <c r="A580">
        <v>2255</v>
      </c>
      <c r="B580">
        <v>38</v>
      </c>
      <c r="C580" t="s">
        <v>1627</v>
      </c>
      <c r="D580">
        <v>36851</v>
      </c>
      <c r="E580" t="s">
        <v>1214</v>
      </c>
    </row>
    <row r="581" spans="1:5" x14ac:dyDescent="0.2">
      <c r="A581">
        <v>2339</v>
      </c>
      <c r="B581">
        <v>33</v>
      </c>
      <c r="C581" t="s">
        <v>698</v>
      </c>
      <c r="D581">
        <v>37026</v>
      </c>
      <c r="E581" t="s">
        <v>105</v>
      </c>
    </row>
    <row r="582" spans="1:5" x14ac:dyDescent="0.2">
      <c r="A582">
        <v>3064</v>
      </c>
      <c r="B582">
        <v>3</v>
      </c>
      <c r="C582" t="s">
        <v>698</v>
      </c>
      <c r="D582">
        <v>36614</v>
      </c>
      <c r="E582" t="s">
        <v>1628</v>
      </c>
    </row>
    <row r="583" spans="1:5" x14ac:dyDescent="0.2">
      <c r="A583">
        <v>3617</v>
      </c>
      <c r="B583">
        <v>0</v>
      </c>
      <c r="C583" t="s">
        <v>1629</v>
      </c>
      <c r="D583">
        <v>37501</v>
      </c>
      <c r="E583" t="s">
        <v>1236</v>
      </c>
    </row>
    <row r="584" spans="1:5" x14ac:dyDescent="0.2">
      <c r="A584">
        <v>3437</v>
      </c>
      <c r="B584">
        <v>0</v>
      </c>
      <c r="C584" t="s">
        <v>1630</v>
      </c>
      <c r="D584">
        <v>36859</v>
      </c>
      <c r="E584" t="s">
        <v>99</v>
      </c>
    </row>
    <row r="585" spans="1:5" x14ac:dyDescent="0.2">
      <c r="A585">
        <v>2084</v>
      </c>
      <c r="B585">
        <v>47</v>
      </c>
      <c r="C585" t="s">
        <v>1631</v>
      </c>
      <c r="D585">
        <v>36749</v>
      </c>
      <c r="E585" t="s">
        <v>111</v>
      </c>
    </row>
    <row r="586" spans="1:5" x14ac:dyDescent="0.2">
      <c r="A586">
        <v>3123</v>
      </c>
      <c r="B586">
        <v>2</v>
      </c>
      <c r="C586" t="s">
        <v>1632</v>
      </c>
      <c r="D586">
        <v>37224</v>
      </c>
      <c r="E586" t="s">
        <v>1182</v>
      </c>
    </row>
    <row r="587" spans="1:5" x14ac:dyDescent="0.2">
      <c r="A587">
        <v>3517</v>
      </c>
      <c r="B587">
        <v>0</v>
      </c>
      <c r="C587" t="s">
        <v>1633</v>
      </c>
      <c r="D587">
        <v>36543</v>
      </c>
      <c r="E587" t="s">
        <v>105</v>
      </c>
    </row>
    <row r="588" spans="1:5" x14ac:dyDescent="0.2">
      <c r="A588">
        <v>3568</v>
      </c>
      <c r="B588">
        <v>0</v>
      </c>
      <c r="C588" t="s">
        <v>1634</v>
      </c>
      <c r="D588">
        <v>37538</v>
      </c>
      <c r="E588" t="s">
        <v>166</v>
      </c>
    </row>
    <row r="589" spans="1:5" x14ac:dyDescent="0.2">
      <c r="A589">
        <v>2612</v>
      </c>
      <c r="B589">
        <v>19</v>
      </c>
      <c r="C589" t="s">
        <v>237</v>
      </c>
      <c r="D589">
        <v>36768</v>
      </c>
      <c r="E589" t="s">
        <v>163</v>
      </c>
    </row>
    <row r="590" spans="1:5" x14ac:dyDescent="0.2">
      <c r="A590">
        <v>1822</v>
      </c>
      <c r="B590">
        <v>70</v>
      </c>
      <c r="C590" t="s">
        <v>1635</v>
      </c>
      <c r="D590">
        <v>36242</v>
      </c>
      <c r="E590" t="s">
        <v>120</v>
      </c>
    </row>
    <row r="591" spans="1:5" x14ac:dyDescent="0.2">
      <c r="A591">
        <v>2827</v>
      </c>
      <c r="B591">
        <v>10</v>
      </c>
      <c r="C591" t="s">
        <v>1636</v>
      </c>
      <c r="D591">
        <v>36734</v>
      </c>
      <c r="E591" t="s">
        <v>105</v>
      </c>
    </row>
    <row r="592" spans="1:5" x14ac:dyDescent="0.2">
      <c r="A592">
        <v>1291</v>
      </c>
      <c r="B592">
        <v>149</v>
      </c>
      <c r="C592" t="s">
        <v>238</v>
      </c>
      <c r="D592">
        <v>36337</v>
      </c>
      <c r="E592" t="s">
        <v>163</v>
      </c>
    </row>
    <row r="593" spans="1:5" x14ac:dyDescent="0.2">
      <c r="A593">
        <v>1884</v>
      </c>
      <c r="B593">
        <v>62</v>
      </c>
      <c r="C593" t="s">
        <v>238</v>
      </c>
      <c r="D593">
        <v>36283</v>
      </c>
      <c r="E593" t="s">
        <v>377</v>
      </c>
    </row>
    <row r="594" spans="1:5" x14ac:dyDescent="0.2">
      <c r="A594">
        <v>2699</v>
      </c>
      <c r="B594">
        <v>15</v>
      </c>
      <c r="C594" t="s">
        <v>239</v>
      </c>
      <c r="D594">
        <v>36219</v>
      </c>
      <c r="E594" t="s">
        <v>1232</v>
      </c>
    </row>
    <row r="595" spans="1:5" x14ac:dyDescent="0.2">
      <c r="A595">
        <v>3058</v>
      </c>
      <c r="B595">
        <v>4</v>
      </c>
      <c r="C595" t="s">
        <v>239</v>
      </c>
      <c r="D595">
        <v>37158</v>
      </c>
      <c r="E595" t="s">
        <v>122</v>
      </c>
    </row>
    <row r="596" spans="1:5" x14ac:dyDescent="0.2">
      <c r="A596">
        <v>3654</v>
      </c>
      <c r="B596">
        <v>0</v>
      </c>
      <c r="C596" t="s">
        <v>1637</v>
      </c>
      <c r="D596">
        <v>36578</v>
      </c>
      <c r="E596" t="s">
        <v>1638</v>
      </c>
    </row>
    <row r="597" spans="1:5" x14ac:dyDescent="0.2">
      <c r="A597">
        <v>3574</v>
      </c>
      <c r="B597">
        <v>0</v>
      </c>
      <c r="C597" t="s">
        <v>1639</v>
      </c>
      <c r="D597">
        <v>36527</v>
      </c>
      <c r="E597" t="s">
        <v>154</v>
      </c>
    </row>
    <row r="598" spans="1:5" x14ac:dyDescent="0.2">
      <c r="A598">
        <v>2558</v>
      </c>
      <c r="B598">
        <v>22</v>
      </c>
      <c r="C598" t="s">
        <v>240</v>
      </c>
      <c r="D598">
        <v>36539</v>
      </c>
      <c r="E598" t="s">
        <v>128</v>
      </c>
    </row>
    <row r="599" spans="1:5" x14ac:dyDescent="0.2">
      <c r="A599">
        <v>2867</v>
      </c>
      <c r="B599">
        <v>9</v>
      </c>
      <c r="C599" t="s">
        <v>1640</v>
      </c>
      <c r="D599">
        <v>36903</v>
      </c>
      <c r="E599" t="s">
        <v>105</v>
      </c>
    </row>
    <row r="600" spans="1:5" x14ac:dyDescent="0.2">
      <c r="A600">
        <v>2361</v>
      </c>
      <c r="B600">
        <v>32</v>
      </c>
      <c r="C600" t="s">
        <v>391</v>
      </c>
      <c r="D600">
        <v>36855</v>
      </c>
      <c r="E600" t="s">
        <v>105</v>
      </c>
    </row>
    <row r="601" spans="1:5" x14ac:dyDescent="0.2">
      <c r="A601">
        <v>2819</v>
      </c>
      <c r="B601">
        <v>10</v>
      </c>
      <c r="C601" t="s">
        <v>1642</v>
      </c>
      <c r="D601">
        <v>36375</v>
      </c>
      <c r="E601" t="s">
        <v>105</v>
      </c>
    </row>
    <row r="602" spans="1:5" x14ac:dyDescent="0.2">
      <c r="A602">
        <v>2740</v>
      </c>
      <c r="B602">
        <v>13</v>
      </c>
      <c r="C602" t="s">
        <v>1643</v>
      </c>
      <c r="D602">
        <v>36687</v>
      </c>
      <c r="E602" t="s">
        <v>170</v>
      </c>
    </row>
    <row r="603" spans="1:5" x14ac:dyDescent="0.2">
      <c r="A603">
        <v>1325</v>
      </c>
      <c r="B603">
        <v>144</v>
      </c>
      <c r="C603" t="s">
        <v>482</v>
      </c>
      <c r="D603">
        <v>36700</v>
      </c>
      <c r="E603" t="s">
        <v>83</v>
      </c>
    </row>
    <row r="604" spans="1:5" x14ac:dyDescent="0.2">
      <c r="A604">
        <v>3002</v>
      </c>
      <c r="B604">
        <v>4</v>
      </c>
      <c r="C604" t="s">
        <v>699</v>
      </c>
      <c r="D604">
        <v>37350</v>
      </c>
      <c r="E604" t="s">
        <v>120</v>
      </c>
    </row>
    <row r="605" spans="1:5" x14ac:dyDescent="0.2">
      <c r="A605">
        <v>2256</v>
      </c>
      <c r="B605">
        <v>38</v>
      </c>
      <c r="C605" t="s">
        <v>1644</v>
      </c>
      <c r="D605">
        <v>36305</v>
      </c>
      <c r="E605" t="s">
        <v>136</v>
      </c>
    </row>
    <row r="606" spans="1:5" x14ac:dyDescent="0.2">
      <c r="A606">
        <v>3061</v>
      </c>
      <c r="B606">
        <v>3</v>
      </c>
      <c r="C606" t="s">
        <v>1645</v>
      </c>
      <c r="D606">
        <v>37302</v>
      </c>
      <c r="E606" t="s">
        <v>1236</v>
      </c>
    </row>
    <row r="607" spans="1:5" x14ac:dyDescent="0.2">
      <c r="A607">
        <v>3218</v>
      </c>
      <c r="B607">
        <v>0</v>
      </c>
      <c r="C607" t="s">
        <v>1646</v>
      </c>
      <c r="D607">
        <v>37213</v>
      </c>
      <c r="E607" t="s">
        <v>117</v>
      </c>
    </row>
    <row r="608" spans="1:5" x14ac:dyDescent="0.2">
      <c r="A608">
        <v>569</v>
      </c>
      <c r="B608">
        <v>428</v>
      </c>
      <c r="C608" t="s">
        <v>71</v>
      </c>
      <c r="D608">
        <v>36268</v>
      </c>
      <c r="E608" t="s">
        <v>1162</v>
      </c>
    </row>
    <row r="609" spans="1:5" x14ac:dyDescent="0.2">
      <c r="A609">
        <v>2462</v>
      </c>
      <c r="B609">
        <v>27</v>
      </c>
      <c r="C609" t="s">
        <v>1647</v>
      </c>
      <c r="D609">
        <v>37257</v>
      </c>
      <c r="E609" t="s">
        <v>251</v>
      </c>
    </row>
    <row r="610" spans="1:5" x14ac:dyDescent="0.2">
      <c r="A610">
        <v>2817</v>
      </c>
      <c r="B610">
        <v>10</v>
      </c>
      <c r="C610" t="s">
        <v>1648</v>
      </c>
      <c r="D610">
        <v>37844</v>
      </c>
      <c r="E610" t="s">
        <v>105</v>
      </c>
    </row>
    <row r="611" spans="1:5" x14ac:dyDescent="0.2">
      <c r="A611">
        <v>2788</v>
      </c>
      <c r="B611">
        <v>12</v>
      </c>
      <c r="C611" t="s">
        <v>1649</v>
      </c>
      <c r="D611">
        <v>36555</v>
      </c>
      <c r="E611" t="s">
        <v>1214</v>
      </c>
    </row>
    <row r="612" spans="1:5" x14ac:dyDescent="0.2">
      <c r="A612">
        <v>2942</v>
      </c>
      <c r="B612">
        <v>6</v>
      </c>
      <c r="C612" t="s">
        <v>1650</v>
      </c>
      <c r="D612">
        <v>36641</v>
      </c>
      <c r="E612" t="s">
        <v>164</v>
      </c>
    </row>
    <row r="613" spans="1:5" x14ac:dyDescent="0.2">
      <c r="A613">
        <v>2187</v>
      </c>
      <c r="B613">
        <v>42</v>
      </c>
      <c r="C613" t="s">
        <v>1651</v>
      </c>
      <c r="D613">
        <v>37464</v>
      </c>
      <c r="E613" t="s">
        <v>1200</v>
      </c>
    </row>
    <row r="614" spans="1:5" x14ac:dyDescent="0.2">
      <c r="A614">
        <v>2909</v>
      </c>
      <c r="B614">
        <v>7</v>
      </c>
      <c r="C614" t="s">
        <v>1652</v>
      </c>
      <c r="D614">
        <v>37177</v>
      </c>
      <c r="E614" t="s">
        <v>145</v>
      </c>
    </row>
    <row r="615" spans="1:5" x14ac:dyDescent="0.2">
      <c r="A615">
        <v>2761</v>
      </c>
      <c r="B615">
        <v>12</v>
      </c>
      <c r="C615" t="s">
        <v>483</v>
      </c>
      <c r="D615">
        <v>37215</v>
      </c>
      <c r="E615" t="s">
        <v>1236</v>
      </c>
    </row>
    <row r="616" spans="1:5" x14ac:dyDescent="0.2">
      <c r="A616">
        <v>1583</v>
      </c>
      <c r="B616">
        <v>98</v>
      </c>
      <c r="C616" t="s">
        <v>484</v>
      </c>
      <c r="D616">
        <v>36238</v>
      </c>
      <c r="E616" t="s">
        <v>120</v>
      </c>
    </row>
    <row r="617" spans="1:5" x14ac:dyDescent="0.2">
      <c r="A617">
        <v>2406</v>
      </c>
      <c r="B617">
        <v>30</v>
      </c>
      <c r="C617" t="s">
        <v>1653</v>
      </c>
      <c r="D617">
        <v>36432</v>
      </c>
      <c r="E617" t="s">
        <v>1211</v>
      </c>
    </row>
    <row r="618" spans="1:5" x14ac:dyDescent="0.2">
      <c r="A618">
        <v>3561</v>
      </c>
      <c r="B618">
        <v>0</v>
      </c>
      <c r="C618" t="s">
        <v>1654</v>
      </c>
      <c r="D618">
        <v>36371</v>
      </c>
      <c r="E618" t="s">
        <v>139</v>
      </c>
    </row>
    <row r="619" spans="1:5" x14ac:dyDescent="0.2">
      <c r="A619">
        <v>2315</v>
      </c>
      <c r="B619">
        <v>34</v>
      </c>
      <c r="C619" t="s">
        <v>485</v>
      </c>
      <c r="D619">
        <v>36559</v>
      </c>
      <c r="E619" t="s">
        <v>105</v>
      </c>
    </row>
    <row r="620" spans="1:5" x14ac:dyDescent="0.2">
      <c r="A620">
        <v>2570</v>
      </c>
      <c r="B620">
        <v>21</v>
      </c>
      <c r="C620" t="s">
        <v>486</v>
      </c>
      <c r="D620">
        <v>36191</v>
      </c>
      <c r="E620" t="s">
        <v>120</v>
      </c>
    </row>
    <row r="621" spans="1:5" x14ac:dyDescent="0.2">
      <c r="A621">
        <v>2989</v>
      </c>
      <c r="B621">
        <v>5</v>
      </c>
      <c r="C621" t="s">
        <v>1656</v>
      </c>
      <c r="D621">
        <v>36900</v>
      </c>
      <c r="E621" t="s">
        <v>105</v>
      </c>
    </row>
    <row r="622" spans="1:5" x14ac:dyDescent="0.2">
      <c r="A622">
        <v>2663</v>
      </c>
      <c r="B622">
        <v>17</v>
      </c>
      <c r="C622" t="s">
        <v>1657</v>
      </c>
      <c r="D622">
        <v>36526</v>
      </c>
      <c r="E622" t="s">
        <v>1590</v>
      </c>
    </row>
    <row r="623" spans="1:5" x14ac:dyDescent="0.2">
      <c r="A623">
        <v>3176</v>
      </c>
      <c r="B623">
        <v>1</v>
      </c>
      <c r="C623" t="s">
        <v>1658</v>
      </c>
      <c r="D623">
        <v>36697</v>
      </c>
      <c r="E623" t="s">
        <v>118</v>
      </c>
    </row>
    <row r="624" spans="1:5" x14ac:dyDescent="0.2">
      <c r="A624">
        <v>2153</v>
      </c>
      <c r="B624">
        <v>44</v>
      </c>
      <c r="C624" t="s">
        <v>820</v>
      </c>
      <c r="D624">
        <v>36574</v>
      </c>
      <c r="E624" t="s">
        <v>105</v>
      </c>
    </row>
    <row r="625" spans="1:5" x14ac:dyDescent="0.2">
      <c r="A625">
        <v>2268</v>
      </c>
      <c r="B625">
        <v>37</v>
      </c>
      <c r="C625" t="s">
        <v>392</v>
      </c>
      <c r="D625">
        <v>37239</v>
      </c>
      <c r="E625" t="s">
        <v>1659</v>
      </c>
    </row>
    <row r="626" spans="1:5" x14ac:dyDescent="0.2">
      <c r="A626">
        <v>623</v>
      </c>
      <c r="B626">
        <v>393</v>
      </c>
      <c r="C626" t="s">
        <v>242</v>
      </c>
      <c r="D626">
        <v>36400</v>
      </c>
      <c r="E626" t="s">
        <v>111</v>
      </c>
    </row>
    <row r="627" spans="1:5" x14ac:dyDescent="0.2">
      <c r="A627">
        <v>3438</v>
      </c>
      <c r="B627">
        <v>0</v>
      </c>
      <c r="C627" t="s">
        <v>1660</v>
      </c>
      <c r="D627">
        <v>37321</v>
      </c>
      <c r="E627" t="s">
        <v>74</v>
      </c>
    </row>
    <row r="628" spans="1:5" x14ac:dyDescent="0.2">
      <c r="A628">
        <v>3343</v>
      </c>
      <c r="B628">
        <v>0</v>
      </c>
      <c r="C628" t="s">
        <v>1661</v>
      </c>
      <c r="D628">
        <v>37461</v>
      </c>
      <c r="E628" t="s">
        <v>74</v>
      </c>
    </row>
    <row r="629" spans="1:5" x14ac:dyDescent="0.2">
      <c r="A629">
        <v>2848</v>
      </c>
      <c r="B629">
        <v>9</v>
      </c>
      <c r="C629" t="s">
        <v>1662</v>
      </c>
      <c r="D629">
        <v>36673</v>
      </c>
      <c r="E629" t="s">
        <v>74</v>
      </c>
    </row>
    <row r="630" spans="1:5" x14ac:dyDescent="0.2">
      <c r="A630">
        <v>1323</v>
      </c>
      <c r="B630">
        <v>144</v>
      </c>
      <c r="C630" t="s">
        <v>244</v>
      </c>
      <c r="D630">
        <v>36431</v>
      </c>
      <c r="E630" t="s">
        <v>163</v>
      </c>
    </row>
    <row r="631" spans="1:5" x14ac:dyDescent="0.2">
      <c r="A631">
        <v>1916</v>
      </c>
      <c r="B631">
        <v>58</v>
      </c>
      <c r="C631" t="s">
        <v>487</v>
      </c>
      <c r="D631">
        <v>36575</v>
      </c>
      <c r="E631" t="s">
        <v>160</v>
      </c>
    </row>
    <row r="632" spans="1:5" x14ac:dyDescent="0.2">
      <c r="A632">
        <v>2892</v>
      </c>
      <c r="B632">
        <v>8</v>
      </c>
      <c r="C632" t="s">
        <v>1663</v>
      </c>
      <c r="D632">
        <v>36903</v>
      </c>
      <c r="E632" t="s">
        <v>120</v>
      </c>
    </row>
    <row r="633" spans="1:5" x14ac:dyDescent="0.2">
      <c r="A633">
        <v>2719</v>
      </c>
      <c r="B633">
        <v>14</v>
      </c>
      <c r="C633" t="s">
        <v>1664</v>
      </c>
      <c r="D633">
        <v>36553</v>
      </c>
      <c r="E633" t="s">
        <v>103</v>
      </c>
    </row>
    <row r="634" spans="1:5" x14ac:dyDescent="0.2">
      <c r="A634">
        <v>3466</v>
      </c>
      <c r="B634">
        <v>0</v>
      </c>
      <c r="C634" t="s">
        <v>1665</v>
      </c>
      <c r="D634">
        <v>37622</v>
      </c>
      <c r="E634" t="s">
        <v>73</v>
      </c>
    </row>
    <row r="635" spans="1:5" x14ac:dyDescent="0.2">
      <c r="A635">
        <v>2138</v>
      </c>
      <c r="B635">
        <v>44</v>
      </c>
      <c r="C635" t="s">
        <v>488</v>
      </c>
      <c r="D635">
        <v>36526</v>
      </c>
      <c r="E635" t="s">
        <v>137</v>
      </c>
    </row>
    <row r="636" spans="1:5" x14ac:dyDescent="0.2">
      <c r="A636">
        <v>2624</v>
      </c>
      <c r="B636">
        <v>19</v>
      </c>
      <c r="C636" t="s">
        <v>701</v>
      </c>
      <c r="D636">
        <v>36197</v>
      </c>
      <c r="E636" t="s">
        <v>120</v>
      </c>
    </row>
    <row r="637" spans="1:5" x14ac:dyDescent="0.2">
      <c r="A637">
        <v>2563</v>
      </c>
      <c r="B637">
        <v>22</v>
      </c>
      <c r="C637" t="s">
        <v>1666</v>
      </c>
      <c r="D637">
        <v>36572</v>
      </c>
      <c r="E637" t="s">
        <v>1379</v>
      </c>
    </row>
    <row r="638" spans="1:5" x14ac:dyDescent="0.2">
      <c r="A638">
        <v>1784</v>
      </c>
      <c r="B638">
        <v>73</v>
      </c>
      <c r="C638" t="s">
        <v>489</v>
      </c>
      <c r="D638">
        <v>36241</v>
      </c>
      <c r="E638" t="s">
        <v>1436</v>
      </c>
    </row>
    <row r="639" spans="1:5" x14ac:dyDescent="0.2">
      <c r="A639">
        <v>2442</v>
      </c>
      <c r="B639">
        <v>28</v>
      </c>
      <c r="C639" t="s">
        <v>1667</v>
      </c>
      <c r="D639">
        <v>36895</v>
      </c>
      <c r="E639" t="s">
        <v>1425</v>
      </c>
    </row>
    <row r="640" spans="1:5" x14ac:dyDescent="0.2">
      <c r="A640">
        <v>3220</v>
      </c>
      <c r="B640">
        <v>0</v>
      </c>
      <c r="C640" t="s">
        <v>1668</v>
      </c>
      <c r="D640">
        <v>38078</v>
      </c>
      <c r="E640" t="s">
        <v>1584</v>
      </c>
    </row>
    <row r="641" spans="1:5" x14ac:dyDescent="0.2">
      <c r="A641">
        <v>1768</v>
      </c>
      <c r="B641">
        <v>74</v>
      </c>
      <c r="C641" t="s">
        <v>490</v>
      </c>
      <c r="D641">
        <v>36561</v>
      </c>
      <c r="E641" t="s">
        <v>115</v>
      </c>
    </row>
    <row r="642" spans="1:5" x14ac:dyDescent="0.2">
      <c r="A642">
        <v>3683</v>
      </c>
      <c r="B642">
        <v>0</v>
      </c>
      <c r="C642" t="s">
        <v>1669</v>
      </c>
      <c r="D642">
        <v>37624</v>
      </c>
      <c r="E642" t="s">
        <v>115</v>
      </c>
    </row>
    <row r="643" spans="1:5" x14ac:dyDescent="0.2">
      <c r="A643">
        <v>3335</v>
      </c>
      <c r="B643">
        <v>0</v>
      </c>
      <c r="C643" t="s">
        <v>1670</v>
      </c>
      <c r="D643">
        <v>36580</v>
      </c>
      <c r="E643" t="s">
        <v>99</v>
      </c>
    </row>
    <row r="644" spans="1:5" x14ac:dyDescent="0.2">
      <c r="A644">
        <v>2262</v>
      </c>
      <c r="B644">
        <v>37</v>
      </c>
      <c r="C644" t="s">
        <v>491</v>
      </c>
      <c r="D644">
        <v>37090</v>
      </c>
      <c r="E644" t="s">
        <v>105</v>
      </c>
    </row>
    <row r="645" spans="1:5" x14ac:dyDescent="0.2">
      <c r="A645">
        <v>2618</v>
      </c>
      <c r="B645">
        <v>19</v>
      </c>
      <c r="C645" t="s">
        <v>1671</v>
      </c>
      <c r="D645">
        <v>36178</v>
      </c>
      <c r="E645" t="s">
        <v>119</v>
      </c>
    </row>
    <row r="646" spans="1:5" x14ac:dyDescent="0.2">
      <c r="A646">
        <v>3125</v>
      </c>
      <c r="B646">
        <v>2</v>
      </c>
      <c r="C646" t="s">
        <v>1672</v>
      </c>
      <c r="D646">
        <v>36892</v>
      </c>
      <c r="E646" t="s">
        <v>105</v>
      </c>
    </row>
    <row r="647" spans="1:5" x14ac:dyDescent="0.2">
      <c r="A647">
        <v>3024</v>
      </c>
      <c r="B647">
        <v>4</v>
      </c>
      <c r="C647" t="s">
        <v>1674</v>
      </c>
      <c r="D647">
        <v>38063</v>
      </c>
      <c r="E647" t="s">
        <v>1675</v>
      </c>
    </row>
    <row r="648" spans="1:5" x14ac:dyDescent="0.2">
      <c r="A648">
        <v>2744</v>
      </c>
      <c r="B648">
        <v>13</v>
      </c>
      <c r="C648" t="s">
        <v>1676</v>
      </c>
      <c r="D648">
        <v>37615</v>
      </c>
      <c r="E648" t="s">
        <v>105</v>
      </c>
    </row>
    <row r="649" spans="1:5" x14ac:dyDescent="0.2">
      <c r="A649">
        <v>3507</v>
      </c>
      <c r="B649">
        <v>0</v>
      </c>
      <c r="C649" t="s">
        <v>1677</v>
      </c>
      <c r="D649">
        <v>37730</v>
      </c>
      <c r="E649" t="s">
        <v>105</v>
      </c>
    </row>
    <row r="650" spans="1:5" x14ac:dyDescent="0.2">
      <c r="A650">
        <v>1212</v>
      </c>
      <c r="B650">
        <v>165</v>
      </c>
      <c r="C650" t="s">
        <v>245</v>
      </c>
      <c r="D650">
        <v>36210</v>
      </c>
      <c r="E650" t="s">
        <v>1236</v>
      </c>
    </row>
    <row r="651" spans="1:5" x14ac:dyDescent="0.2">
      <c r="A651">
        <v>2127</v>
      </c>
      <c r="B651">
        <v>45</v>
      </c>
      <c r="C651" t="s">
        <v>1678</v>
      </c>
      <c r="D651">
        <v>36844</v>
      </c>
      <c r="E651" t="s">
        <v>99</v>
      </c>
    </row>
    <row r="652" spans="1:5" x14ac:dyDescent="0.2">
      <c r="A652">
        <v>2385</v>
      </c>
      <c r="B652">
        <v>31</v>
      </c>
      <c r="C652" t="s">
        <v>1679</v>
      </c>
      <c r="D652">
        <v>36242</v>
      </c>
      <c r="E652" t="s">
        <v>99</v>
      </c>
    </row>
    <row r="653" spans="1:5" x14ac:dyDescent="0.2">
      <c r="A653">
        <v>3088</v>
      </c>
      <c r="B653">
        <v>3</v>
      </c>
      <c r="C653" t="s">
        <v>1680</v>
      </c>
      <c r="D653">
        <v>37348</v>
      </c>
      <c r="E653" t="s">
        <v>1182</v>
      </c>
    </row>
    <row r="654" spans="1:5" x14ac:dyDescent="0.2">
      <c r="A654">
        <v>3580</v>
      </c>
      <c r="B654">
        <v>0</v>
      </c>
      <c r="C654" t="s">
        <v>1681</v>
      </c>
      <c r="D654">
        <v>36272</v>
      </c>
      <c r="E654" t="s">
        <v>105</v>
      </c>
    </row>
    <row r="655" spans="1:5" x14ac:dyDescent="0.2">
      <c r="A655">
        <v>2955</v>
      </c>
      <c r="B655">
        <v>6</v>
      </c>
      <c r="C655" t="s">
        <v>1682</v>
      </c>
      <c r="D655">
        <v>37221</v>
      </c>
      <c r="E655" t="s">
        <v>1221</v>
      </c>
    </row>
    <row r="656" spans="1:5" x14ac:dyDescent="0.2">
      <c r="A656">
        <v>3429</v>
      </c>
      <c r="B656">
        <v>0</v>
      </c>
      <c r="C656" t="s">
        <v>1683</v>
      </c>
      <c r="D656">
        <v>36892</v>
      </c>
      <c r="E656" t="s">
        <v>165</v>
      </c>
    </row>
    <row r="657" spans="1:5" x14ac:dyDescent="0.2">
      <c r="A657">
        <v>2536</v>
      </c>
      <c r="B657">
        <v>24</v>
      </c>
      <c r="C657" t="s">
        <v>1684</v>
      </c>
      <c r="D657">
        <v>36280</v>
      </c>
      <c r="E657" t="s">
        <v>105</v>
      </c>
    </row>
    <row r="658" spans="1:5" x14ac:dyDescent="0.2">
      <c r="A658">
        <v>2768</v>
      </c>
      <c r="B658">
        <v>12</v>
      </c>
      <c r="C658" t="s">
        <v>1685</v>
      </c>
      <c r="D658">
        <v>36973</v>
      </c>
      <c r="E658" t="s">
        <v>200</v>
      </c>
    </row>
    <row r="659" spans="1:5" x14ac:dyDescent="0.2">
      <c r="A659">
        <v>2251</v>
      </c>
      <c r="B659">
        <v>38</v>
      </c>
      <c r="C659" t="s">
        <v>821</v>
      </c>
      <c r="D659">
        <v>36187</v>
      </c>
      <c r="E659" t="s">
        <v>1156</v>
      </c>
    </row>
    <row r="660" spans="1:5" x14ac:dyDescent="0.2">
      <c r="A660">
        <v>1871</v>
      </c>
      <c r="B660">
        <v>63</v>
      </c>
      <c r="C660" t="s">
        <v>1686</v>
      </c>
      <c r="D660">
        <v>36956</v>
      </c>
      <c r="E660" t="s">
        <v>138</v>
      </c>
    </row>
    <row r="661" spans="1:5" x14ac:dyDescent="0.2">
      <c r="A661">
        <v>2099</v>
      </c>
      <c r="B661">
        <v>46</v>
      </c>
      <c r="C661" t="s">
        <v>1687</v>
      </c>
      <c r="D661">
        <v>37388</v>
      </c>
      <c r="E661" t="s">
        <v>138</v>
      </c>
    </row>
    <row r="662" spans="1:5" x14ac:dyDescent="0.2">
      <c r="A662">
        <v>1068</v>
      </c>
      <c r="B662">
        <v>201</v>
      </c>
      <c r="C662" t="s">
        <v>492</v>
      </c>
      <c r="D662">
        <v>37057</v>
      </c>
      <c r="E662" t="s">
        <v>99</v>
      </c>
    </row>
    <row r="663" spans="1:5" x14ac:dyDescent="0.2">
      <c r="A663">
        <v>3673</v>
      </c>
      <c r="B663">
        <v>0</v>
      </c>
      <c r="C663" t="s">
        <v>1688</v>
      </c>
      <c r="D663">
        <v>37067</v>
      </c>
      <c r="E663" t="s">
        <v>120</v>
      </c>
    </row>
    <row r="664" spans="1:5" x14ac:dyDescent="0.2">
      <c r="A664">
        <v>1751</v>
      </c>
      <c r="B664">
        <v>76</v>
      </c>
      <c r="C664" t="s">
        <v>822</v>
      </c>
      <c r="D664">
        <v>36198</v>
      </c>
      <c r="E664" t="s">
        <v>109</v>
      </c>
    </row>
    <row r="665" spans="1:5" x14ac:dyDescent="0.2">
      <c r="A665">
        <v>2313</v>
      </c>
      <c r="B665">
        <v>35</v>
      </c>
      <c r="C665" t="s">
        <v>1689</v>
      </c>
      <c r="D665">
        <v>36720</v>
      </c>
      <c r="E665" t="s">
        <v>105</v>
      </c>
    </row>
    <row r="666" spans="1:5" x14ac:dyDescent="0.2">
      <c r="A666">
        <v>1496</v>
      </c>
      <c r="B666">
        <v>112</v>
      </c>
      <c r="C666" t="s">
        <v>1690</v>
      </c>
      <c r="D666">
        <v>36279</v>
      </c>
      <c r="E666" t="s">
        <v>1282</v>
      </c>
    </row>
    <row r="667" spans="1:5" x14ac:dyDescent="0.2">
      <c r="A667">
        <v>1701</v>
      </c>
      <c r="B667">
        <v>83</v>
      </c>
      <c r="C667" t="s">
        <v>1691</v>
      </c>
      <c r="D667">
        <v>37098</v>
      </c>
      <c r="E667" t="s">
        <v>1427</v>
      </c>
    </row>
    <row r="668" spans="1:5" x14ac:dyDescent="0.2">
      <c r="A668">
        <v>2021</v>
      </c>
      <c r="B668">
        <v>51</v>
      </c>
      <c r="C668" t="s">
        <v>823</v>
      </c>
      <c r="D668">
        <v>36744</v>
      </c>
      <c r="E668" t="s">
        <v>175</v>
      </c>
    </row>
    <row r="669" spans="1:5" x14ac:dyDescent="0.2">
      <c r="A669">
        <v>3516</v>
      </c>
      <c r="B669">
        <v>0</v>
      </c>
      <c r="C669" t="s">
        <v>1692</v>
      </c>
      <c r="D669">
        <v>36372</v>
      </c>
      <c r="E669" t="s">
        <v>1659</v>
      </c>
    </row>
    <row r="670" spans="1:5" x14ac:dyDescent="0.2">
      <c r="A670">
        <v>2211</v>
      </c>
      <c r="B670">
        <v>40</v>
      </c>
      <c r="C670" t="s">
        <v>493</v>
      </c>
      <c r="D670">
        <v>36464</v>
      </c>
      <c r="E670" t="s">
        <v>1214</v>
      </c>
    </row>
    <row r="671" spans="1:5" x14ac:dyDescent="0.2">
      <c r="A671">
        <v>2725</v>
      </c>
      <c r="B671">
        <v>14</v>
      </c>
      <c r="C671" t="s">
        <v>1694</v>
      </c>
      <c r="D671">
        <v>36699</v>
      </c>
      <c r="E671" t="s">
        <v>231</v>
      </c>
    </row>
    <row r="672" spans="1:5" x14ac:dyDescent="0.2">
      <c r="A672">
        <v>3269</v>
      </c>
      <c r="B672">
        <v>0</v>
      </c>
      <c r="C672" t="s">
        <v>1695</v>
      </c>
      <c r="D672">
        <v>37371</v>
      </c>
      <c r="E672" t="s">
        <v>1696</v>
      </c>
    </row>
    <row r="673" spans="1:5" x14ac:dyDescent="0.2">
      <c r="A673">
        <v>3039</v>
      </c>
      <c r="B673">
        <v>4</v>
      </c>
      <c r="C673" t="s">
        <v>1697</v>
      </c>
      <c r="D673">
        <v>36690</v>
      </c>
      <c r="E673" t="s">
        <v>105</v>
      </c>
    </row>
    <row r="674" spans="1:5" x14ac:dyDescent="0.2">
      <c r="A674">
        <v>1823</v>
      </c>
      <c r="B674">
        <v>70</v>
      </c>
      <c r="C674" t="s">
        <v>1698</v>
      </c>
      <c r="D674">
        <v>36981</v>
      </c>
      <c r="E674" t="s">
        <v>121</v>
      </c>
    </row>
    <row r="675" spans="1:5" x14ac:dyDescent="0.2">
      <c r="A675">
        <v>1478</v>
      </c>
      <c r="B675">
        <v>115</v>
      </c>
      <c r="C675" t="s">
        <v>247</v>
      </c>
      <c r="D675">
        <v>36340</v>
      </c>
      <c r="E675" t="s">
        <v>1214</v>
      </c>
    </row>
    <row r="676" spans="1:5" x14ac:dyDescent="0.2">
      <c r="A676">
        <v>2194</v>
      </c>
      <c r="B676">
        <v>41</v>
      </c>
      <c r="C676" t="s">
        <v>393</v>
      </c>
      <c r="D676">
        <v>36547</v>
      </c>
      <c r="E676" t="s">
        <v>120</v>
      </c>
    </row>
    <row r="677" spans="1:5" x14ac:dyDescent="0.2">
      <c r="A677">
        <v>3414</v>
      </c>
      <c r="B677">
        <v>0</v>
      </c>
      <c r="C677" t="s">
        <v>1699</v>
      </c>
      <c r="D677">
        <v>36922</v>
      </c>
      <c r="E677" t="s">
        <v>1700</v>
      </c>
    </row>
    <row r="678" spans="1:5" x14ac:dyDescent="0.2">
      <c r="A678">
        <v>1318</v>
      </c>
      <c r="B678">
        <v>145</v>
      </c>
      <c r="C678" t="s">
        <v>248</v>
      </c>
      <c r="D678">
        <v>36762</v>
      </c>
      <c r="E678" t="s">
        <v>120</v>
      </c>
    </row>
    <row r="679" spans="1:5" x14ac:dyDescent="0.2">
      <c r="A679">
        <v>3346</v>
      </c>
      <c r="B679">
        <v>0</v>
      </c>
      <c r="C679" t="s">
        <v>1701</v>
      </c>
      <c r="D679">
        <v>37075</v>
      </c>
      <c r="E679" t="s">
        <v>1702</v>
      </c>
    </row>
    <row r="680" spans="1:5" x14ac:dyDescent="0.2">
      <c r="A680">
        <v>1404</v>
      </c>
      <c r="B680">
        <v>131</v>
      </c>
      <c r="C680" t="s">
        <v>1703</v>
      </c>
      <c r="D680">
        <v>36395</v>
      </c>
      <c r="E680" t="s">
        <v>120</v>
      </c>
    </row>
    <row r="681" spans="1:5" x14ac:dyDescent="0.2">
      <c r="A681">
        <v>2531</v>
      </c>
      <c r="B681">
        <v>24</v>
      </c>
      <c r="C681" t="s">
        <v>824</v>
      </c>
      <c r="D681">
        <v>37119</v>
      </c>
      <c r="E681" t="s">
        <v>163</v>
      </c>
    </row>
    <row r="682" spans="1:5" x14ac:dyDescent="0.2">
      <c r="A682">
        <v>1889</v>
      </c>
      <c r="B682">
        <v>61</v>
      </c>
      <c r="C682" t="s">
        <v>394</v>
      </c>
      <c r="D682">
        <v>36565</v>
      </c>
      <c r="E682" t="s">
        <v>120</v>
      </c>
    </row>
    <row r="683" spans="1:5" x14ac:dyDescent="0.2">
      <c r="A683">
        <v>2090</v>
      </c>
      <c r="B683">
        <v>46</v>
      </c>
      <c r="C683" t="s">
        <v>494</v>
      </c>
      <c r="D683">
        <v>36916</v>
      </c>
      <c r="E683" t="s">
        <v>120</v>
      </c>
    </row>
    <row r="684" spans="1:5" x14ac:dyDescent="0.2">
      <c r="A684">
        <v>1375</v>
      </c>
      <c r="B684">
        <v>136</v>
      </c>
      <c r="C684" t="s">
        <v>495</v>
      </c>
      <c r="D684">
        <v>36539</v>
      </c>
      <c r="E684" t="s">
        <v>1269</v>
      </c>
    </row>
    <row r="685" spans="1:5" x14ac:dyDescent="0.2">
      <c r="A685">
        <v>3566</v>
      </c>
      <c r="B685">
        <v>0</v>
      </c>
      <c r="C685" t="s">
        <v>1704</v>
      </c>
      <c r="D685">
        <v>36399</v>
      </c>
      <c r="E685" t="s">
        <v>1705</v>
      </c>
    </row>
    <row r="686" spans="1:5" x14ac:dyDescent="0.2">
      <c r="A686">
        <v>2770</v>
      </c>
      <c r="B686">
        <v>12</v>
      </c>
      <c r="C686" t="s">
        <v>1706</v>
      </c>
      <c r="D686">
        <v>36399</v>
      </c>
      <c r="E686" t="s">
        <v>1275</v>
      </c>
    </row>
    <row r="687" spans="1:5" x14ac:dyDescent="0.2">
      <c r="A687">
        <v>2482</v>
      </c>
      <c r="B687">
        <v>26</v>
      </c>
      <c r="C687" t="s">
        <v>702</v>
      </c>
      <c r="D687">
        <v>36586</v>
      </c>
      <c r="E687" t="s">
        <v>120</v>
      </c>
    </row>
    <row r="688" spans="1:5" x14ac:dyDescent="0.2">
      <c r="A688">
        <v>3633</v>
      </c>
      <c r="B688">
        <v>0</v>
      </c>
      <c r="C688" t="s">
        <v>1707</v>
      </c>
      <c r="D688">
        <v>36270</v>
      </c>
      <c r="E688" t="s">
        <v>376</v>
      </c>
    </row>
    <row r="689" spans="1:5" x14ac:dyDescent="0.2">
      <c r="A689">
        <v>3252</v>
      </c>
      <c r="B689">
        <v>0</v>
      </c>
      <c r="C689" t="s">
        <v>1708</v>
      </c>
      <c r="D689">
        <v>36931</v>
      </c>
      <c r="E689" t="s">
        <v>133</v>
      </c>
    </row>
    <row r="690" spans="1:5" x14ac:dyDescent="0.2">
      <c r="A690">
        <v>3076</v>
      </c>
      <c r="B690">
        <v>3</v>
      </c>
      <c r="C690" t="s">
        <v>1709</v>
      </c>
      <c r="D690">
        <v>36627</v>
      </c>
      <c r="E690" t="s">
        <v>120</v>
      </c>
    </row>
    <row r="691" spans="1:5" x14ac:dyDescent="0.2">
      <c r="A691">
        <v>1385</v>
      </c>
      <c r="B691">
        <v>134</v>
      </c>
      <c r="C691" t="s">
        <v>703</v>
      </c>
      <c r="D691">
        <v>36671</v>
      </c>
      <c r="E691" t="s">
        <v>105</v>
      </c>
    </row>
    <row r="692" spans="1:5" x14ac:dyDescent="0.2">
      <c r="A692">
        <v>2307</v>
      </c>
      <c r="B692">
        <v>35</v>
      </c>
      <c r="C692" t="s">
        <v>1710</v>
      </c>
      <c r="D692">
        <v>36392</v>
      </c>
      <c r="E692" t="s">
        <v>118</v>
      </c>
    </row>
    <row r="693" spans="1:5" x14ac:dyDescent="0.2">
      <c r="A693">
        <v>2580</v>
      </c>
      <c r="B693">
        <v>21</v>
      </c>
      <c r="C693" t="s">
        <v>825</v>
      </c>
      <c r="D693">
        <v>36988</v>
      </c>
      <c r="E693" t="s">
        <v>1343</v>
      </c>
    </row>
    <row r="694" spans="1:5" x14ac:dyDescent="0.2">
      <c r="A694">
        <v>2085</v>
      </c>
      <c r="B694">
        <v>47</v>
      </c>
      <c r="C694" t="s">
        <v>1711</v>
      </c>
      <c r="D694">
        <v>36759</v>
      </c>
      <c r="E694" t="s">
        <v>128</v>
      </c>
    </row>
    <row r="695" spans="1:5" x14ac:dyDescent="0.2">
      <c r="A695">
        <v>1981</v>
      </c>
      <c r="B695">
        <v>54</v>
      </c>
      <c r="C695" t="s">
        <v>1712</v>
      </c>
      <c r="D695">
        <v>37591</v>
      </c>
      <c r="E695" t="s">
        <v>99</v>
      </c>
    </row>
    <row r="696" spans="1:5" x14ac:dyDescent="0.2">
      <c r="A696">
        <v>3020</v>
      </c>
      <c r="B696">
        <v>4</v>
      </c>
      <c r="C696" t="s">
        <v>1713</v>
      </c>
      <c r="D696">
        <v>37291</v>
      </c>
      <c r="E696" t="s">
        <v>105</v>
      </c>
    </row>
    <row r="697" spans="1:5" x14ac:dyDescent="0.2">
      <c r="A697">
        <v>3150</v>
      </c>
      <c r="B697">
        <v>1</v>
      </c>
      <c r="C697" t="s">
        <v>1714</v>
      </c>
      <c r="D697">
        <v>36511</v>
      </c>
      <c r="E697" t="s">
        <v>1238</v>
      </c>
    </row>
    <row r="698" spans="1:5" x14ac:dyDescent="0.2">
      <c r="A698">
        <v>2075</v>
      </c>
      <c r="B698">
        <v>47</v>
      </c>
      <c r="C698" t="s">
        <v>496</v>
      </c>
      <c r="D698">
        <v>37033</v>
      </c>
      <c r="E698" t="s">
        <v>427</v>
      </c>
    </row>
    <row r="699" spans="1:5" x14ac:dyDescent="0.2">
      <c r="A699">
        <v>2206</v>
      </c>
      <c r="B699">
        <v>41</v>
      </c>
      <c r="C699" t="s">
        <v>1715</v>
      </c>
      <c r="D699">
        <v>36645</v>
      </c>
      <c r="E699" t="s">
        <v>1457</v>
      </c>
    </row>
    <row r="700" spans="1:5" x14ac:dyDescent="0.2">
      <c r="A700">
        <v>1852</v>
      </c>
      <c r="B700">
        <v>66</v>
      </c>
      <c r="C700" t="s">
        <v>1716</v>
      </c>
      <c r="D700">
        <v>36941</v>
      </c>
      <c r="E700" t="s">
        <v>1460</v>
      </c>
    </row>
    <row r="701" spans="1:5" x14ac:dyDescent="0.2">
      <c r="A701">
        <v>3166</v>
      </c>
      <c r="B701">
        <v>1</v>
      </c>
      <c r="C701" t="s">
        <v>1717</v>
      </c>
      <c r="D701">
        <v>36531</v>
      </c>
      <c r="E701" t="s">
        <v>120</v>
      </c>
    </row>
    <row r="702" spans="1:5" x14ac:dyDescent="0.2">
      <c r="A702">
        <v>3392</v>
      </c>
      <c r="B702">
        <v>0</v>
      </c>
      <c r="C702" t="s">
        <v>1718</v>
      </c>
      <c r="D702">
        <v>37406</v>
      </c>
      <c r="E702" t="s">
        <v>120</v>
      </c>
    </row>
    <row r="703" spans="1:5" x14ac:dyDescent="0.2">
      <c r="A703">
        <v>3403</v>
      </c>
      <c r="B703">
        <v>0</v>
      </c>
      <c r="C703" t="s">
        <v>1719</v>
      </c>
      <c r="D703">
        <v>36924</v>
      </c>
      <c r="E703" t="s">
        <v>109</v>
      </c>
    </row>
    <row r="704" spans="1:5" x14ac:dyDescent="0.2">
      <c r="A704">
        <v>3262</v>
      </c>
      <c r="B704">
        <v>0</v>
      </c>
      <c r="C704" t="s">
        <v>1720</v>
      </c>
      <c r="D704">
        <v>36654</v>
      </c>
      <c r="E704" t="s">
        <v>133</v>
      </c>
    </row>
    <row r="705" spans="1:5" x14ac:dyDescent="0.2">
      <c r="A705">
        <v>1587</v>
      </c>
      <c r="B705">
        <v>98</v>
      </c>
      <c r="C705" t="s">
        <v>249</v>
      </c>
      <c r="D705">
        <v>36754</v>
      </c>
      <c r="E705" t="s">
        <v>111</v>
      </c>
    </row>
    <row r="706" spans="1:5" x14ac:dyDescent="0.2">
      <c r="A706">
        <v>1452</v>
      </c>
      <c r="B706">
        <v>120</v>
      </c>
      <c r="C706" t="s">
        <v>497</v>
      </c>
      <c r="D706">
        <v>37190</v>
      </c>
      <c r="E706" t="s">
        <v>120</v>
      </c>
    </row>
    <row r="707" spans="1:5" x14ac:dyDescent="0.2">
      <c r="A707">
        <v>3443</v>
      </c>
      <c r="B707">
        <v>0</v>
      </c>
      <c r="C707" t="s">
        <v>1721</v>
      </c>
      <c r="D707">
        <v>36963</v>
      </c>
      <c r="E707" t="s">
        <v>1460</v>
      </c>
    </row>
    <row r="708" spans="1:5" x14ac:dyDescent="0.2">
      <c r="A708">
        <v>2475</v>
      </c>
      <c r="B708">
        <v>26</v>
      </c>
      <c r="C708" t="s">
        <v>250</v>
      </c>
      <c r="D708">
        <v>36173</v>
      </c>
      <c r="E708" t="s">
        <v>120</v>
      </c>
    </row>
    <row r="709" spans="1:5" x14ac:dyDescent="0.2">
      <c r="A709">
        <v>3164</v>
      </c>
      <c r="B709">
        <v>1</v>
      </c>
      <c r="C709" t="s">
        <v>1722</v>
      </c>
      <c r="D709">
        <v>36892</v>
      </c>
      <c r="E709" t="s">
        <v>1723</v>
      </c>
    </row>
    <row r="710" spans="1:5" x14ac:dyDescent="0.2">
      <c r="A710">
        <v>3397</v>
      </c>
      <c r="B710">
        <v>0</v>
      </c>
      <c r="C710" t="s">
        <v>1724</v>
      </c>
      <c r="D710">
        <v>36526</v>
      </c>
      <c r="E710" t="s">
        <v>128</v>
      </c>
    </row>
    <row r="711" spans="1:5" x14ac:dyDescent="0.2">
      <c r="A711">
        <v>3066</v>
      </c>
      <c r="B711">
        <v>3</v>
      </c>
      <c r="C711" t="s">
        <v>1725</v>
      </c>
      <c r="D711">
        <v>36785</v>
      </c>
      <c r="E711" t="s">
        <v>115</v>
      </c>
    </row>
    <row r="712" spans="1:5" x14ac:dyDescent="0.2">
      <c r="A712">
        <v>3312</v>
      </c>
      <c r="B712">
        <v>0</v>
      </c>
      <c r="C712" t="s">
        <v>1726</v>
      </c>
      <c r="D712">
        <v>37811</v>
      </c>
      <c r="E712" t="s">
        <v>120</v>
      </c>
    </row>
    <row r="713" spans="1:5" x14ac:dyDescent="0.2">
      <c r="A713">
        <v>2392</v>
      </c>
      <c r="B713">
        <v>31</v>
      </c>
      <c r="C713" t="s">
        <v>1727</v>
      </c>
      <c r="D713">
        <v>36874</v>
      </c>
      <c r="E713" t="s">
        <v>377</v>
      </c>
    </row>
    <row r="714" spans="1:5" x14ac:dyDescent="0.2">
      <c r="A714">
        <v>3007</v>
      </c>
      <c r="B714">
        <v>4</v>
      </c>
      <c r="C714" t="s">
        <v>1728</v>
      </c>
      <c r="D714">
        <v>36785</v>
      </c>
      <c r="E714" t="s">
        <v>290</v>
      </c>
    </row>
    <row r="715" spans="1:5" x14ac:dyDescent="0.2">
      <c r="A715">
        <v>2246</v>
      </c>
      <c r="B715">
        <v>38</v>
      </c>
      <c r="C715" t="s">
        <v>498</v>
      </c>
      <c r="D715">
        <v>36298</v>
      </c>
      <c r="E715" t="s">
        <v>122</v>
      </c>
    </row>
    <row r="716" spans="1:5" x14ac:dyDescent="0.2">
      <c r="A716">
        <v>3238</v>
      </c>
      <c r="B716">
        <v>0</v>
      </c>
      <c r="C716" t="s">
        <v>1729</v>
      </c>
      <c r="D716">
        <v>36871</v>
      </c>
      <c r="E716" t="s">
        <v>365</v>
      </c>
    </row>
    <row r="717" spans="1:5" x14ac:dyDescent="0.2">
      <c r="A717">
        <v>2122</v>
      </c>
      <c r="B717">
        <v>45</v>
      </c>
      <c r="C717" t="s">
        <v>395</v>
      </c>
      <c r="D717">
        <v>36526</v>
      </c>
      <c r="E717" t="s">
        <v>133</v>
      </c>
    </row>
    <row r="718" spans="1:5" x14ac:dyDescent="0.2">
      <c r="A718">
        <v>3069</v>
      </c>
      <c r="B718">
        <v>3</v>
      </c>
      <c r="C718" t="s">
        <v>1730</v>
      </c>
      <c r="D718">
        <v>36788</v>
      </c>
      <c r="E718" t="s">
        <v>99</v>
      </c>
    </row>
    <row r="719" spans="1:5" x14ac:dyDescent="0.2">
      <c r="A719">
        <v>2439</v>
      </c>
      <c r="B719">
        <v>28</v>
      </c>
      <c r="C719" t="s">
        <v>499</v>
      </c>
      <c r="D719">
        <v>36761</v>
      </c>
      <c r="E719" t="s">
        <v>74</v>
      </c>
    </row>
    <row r="720" spans="1:5" x14ac:dyDescent="0.2">
      <c r="A720">
        <v>3692</v>
      </c>
      <c r="B720">
        <v>0</v>
      </c>
      <c r="C720" t="s">
        <v>1731</v>
      </c>
      <c r="D720">
        <v>37187</v>
      </c>
      <c r="E720" t="s">
        <v>105</v>
      </c>
    </row>
    <row r="721" spans="1:5" x14ac:dyDescent="0.2">
      <c r="A721">
        <v>1868</v>
      </c>
      <c r="B721">
        <v>63</v>
      </c>
      <c r="C721" t="s">
        <v>500</v>
      </c>
      <c r="D721">
        <v>36476</v>
      </c>
      <c r="E721" t="s">
        <v>73</v>
      </c>
    </row>
    <row r="722" spans="1:5" x14ac:dyDescent="0.2">
      <c r="A722">
        <v>1186</v>
      </c>
      <c r="B722">
        <v>170</v>
      </c>
      <c r="C722" t="s">
        <v>501</v>
      </c>
      <c r="D722">
        <v>36355</v>
      </c>
      <c r="E722" t="s">
        <v>164</v>
      </c>
    </row>
    <row r="723" spans="1:5" x14ac:dyDescent="0.2">
      <c r="A723">
        <v>3677</v>
      </c>
      <c r="B723">
        <v>0</v>
      </c>
      <c r="C723" t="s">
        <v>1732</v>
      </c>
      <c r="D723">
        <v>37464</v>
      </c>
      <c r="E723" t="s">
        <v>1275</v>
      </c>
    </row>
    <row r="724" spans="1:5" x14ac:dyDescent="0.2">
      <c r="A724">
        <v>3253</v>
      </c>
      <c r="B724">
        <v>0</v>
      </c>
      <c r="C724" t="s">
        <v>1733</v>
      </c>
      <c r="D724">
        <v>36429</v>
      </c>
      <c r="E724" t="s">
        <v>1460</v>
      </c>
    </row>
    <row r="725" spans="1:5" x14ac:dyDescent="0.2">
      <c r="A725">
        <v>2070</v>
      </c>
      <c r="B725">
        <v>48</v>
      </c>
      <c r="C725" t="s">
        <v>1734</v>
      </c>
      <c r="D725">
        <v>37518</v>
      </c>
      <c r="E725" t="s">
        <v>1460</v>
      </c>
    </row>
    <row r="726" spans="1:5" x14ac:dyDescent="0.2">
      <c r="A726">
        <v>2859</v>
      </c>
      <c r="B726">
        <v>9</v>
      </c>
      <c r="C726" t="s">
        <v>1735</v>
      </c>
      <c r="D726">
        <v>36226</v>
      </c>
      <c r="E726" t="s">
        <v>127</v>
      </c>
    </row>
    <row r="727" spans="1:5" x14ac:dyDescent="0.2">
      <c r="A727">
        <v>1568</v>
      </c>
      <c r="B727">
        <v>100</v>
      </c>
      <c r="C727" t="s">
        <v>502</v>
      </c>
      <c r="D727">
        <v>36212</v>
      </c>
      <c r="E727" t="s">
        <v>180</v>
      </c>
    </row>
    <row r="728" spans="1:5" x14ac:dyDescent="0.2">
      <c r="A728">
        <v>3187</v>
      </c>
      <c r="B728">
        <v>1</v>
      </c>
      <c r="C728" t="s">
        <v>1736</v>
      </c>
      <c r="D728">
        <v>36892</v>
      </c>
      <c r="E728" t="s">
        <v>1290</v>
      </c>
    </row>
    <row r="729" spans="1:5" x14ac:dyDescent="0.2">
      <c r="A729">
        <v>3219</v>
      </c>
      <c r="B729">
        <v>0</v>
      </c>
      <c r="C729" t="s">
        <v>1737</v>
      </c>
      <c r="D729">
        <v>36535</v>
      </c>
      <c r="E729" t="s">
        <v>72</v>
      </c>
    </row>
    <row r="730" spans="1:5" x14ac:dyDescent="0.2">
      <c r="A730">
        <v>2569</v>
      </c>
      <c r="B730">
        <v>21</v>
      </c>
      <c r="C730" t="s">
        <v>252</v>
      </c>
      <c r="D730">
        <v>36766</v>
      </c>
      <c r="E730" t="s">
        <v>105</v>
      </c>
    </row>
    <row r="731" spans="1:5" x14ac:dyDescent="0.2">
      <c r="A731">
        <v>3660</v>
      </c>
      <c r="B731">
        <v>0</v>
      </c>
      <c r="C731" t="s">
        <v>1738</v>
      </c>
      <c r="D731">
        <v>36619</v>
      </c>
      <c r="E731" t="s">
        <v>74</v>
      </c>
    </row>
    <row r="732" spans="1:5" x14ac:dyDescent="0.2">
      <c r="A732">
        <v>3200</v>
      </c>
      <c r="B732">
        <v>0</v>
      </c>
      <c r="C732" t="s">
        <v>1739</v>
      </c>
      <c r="D732">
        <v>37242</v>
      </c>
      <c r="E732" t="s">
        <v>107</v>
      </c>
    </row>
    <row r="733" spans="1:5" x14ac:dyDescent="0.2">
      <c r="A733">
        <v>2022</v>
      </c>
      <c r="B733">
        <v>51</v>
      </c>
      <c r="C733" t="s">
        <v>1740</v>
      </c>
      <c r="D733">
        <v>36634</v>
      </c>
      <c r="E733" t="s">
        <v>1741</v>
      </c>
    </row>
    <row r="734" spans="1:5" x14ac:dyDescent="0.2">
      <c r="A734">
        <v>3152</v>
      </c>
      <c r="B734">
        <v>1</v>
      </c>
      <c r="C734" t="s">
        <v>1742</v>
      </c>
      <c r="D734">
        <v>36892</v>
      </c>
      <c r="E734" t="s">
        <v>136</v>
      </c>
    </row>
    <row r="735" spans="1:5" x14ac:dyDescent="0.2">
      <c r="A735">
        <v>1022</v>
      </c>
      <c r="B735">
        <v>213</v>
      </c>
      <c r="C735" t="s">
        <v>503</v>
      </c>
      <c r="D735">
        <v>36840</v>
      </c>
      <c r="E735" t="s">
        <v>1162</v>
      </c>
    </row>
    <row r="736" spans="1:5" x14ac:dyDescent="0.2">
      <c r="A736">
        <v>2876</v>
      </c>
      <c r="B736">
        <v>8</v>
      </c>
      <c r="C736" t="s">
        <v>504</v>
      </c>
      <c r="D736">
        <v>36699</v>
      </c>
      <c r="E736" t="s">
        <v>183</v>
      </c>
    </row>
    <row r="737" spans="1:5" x14ac:dyDescent="0.2">
      <c r="A737">
        <v>2712</v>
      </c>
      <c r="B737">
        <v>14</v>
      </c>
      <c r="C737" t="s">
        <v>505</v>
      </c>
      <c r="D737">
        <v>36535</v>
      </c>
      <c r="E737" t="s">
        <v>1236</v>
      </c>
    </row>
    <row r="738" spans="1:5" x14ac:dyDescent="0.2">
      <c r="A738">
        <v>3009</v>
      </c>
      <c r="B738">
        <v>4</v>
      </c>
      <c r="C738" t="s">
        <v>1743</v>
      </c>
      <c r="D738">
        <v>36980</v>
      </c>
      <c r="E738" t="s">
        <v>1236</v>
      </c>
    </row>
    <row r="739" spans="1:5" x14ac:dyDescent="0.2">
      <c r="A739">
        <v>3134</v>
      </c>
      <c r="B739">
        <v>2</v>
      </c>
      <c r="C739" t="s">
        <v>1744</v>
      </c>
      <c r="D739">
        <v>36626</v>
      </c>
      <c r="E739" t="s">
        <v>1221</v>
      </c>
    </row>
    <row r="740" spans="1:5" x14ac:dyDescent="0.2">
      <c r="A740">
        <v>3314</v>
      </c>
      <c r="B740">
        <v>0</v>
      </c>
      <c r="C740" t="s">
        <v>1745</v>
      </c>
      <c r="D740">
        <v>37534</v>
      </c>
      <c r="E740" t="s">
        <v>120</v>
      </c>
    </row>
    <row r="741" spans="1:5" x14ac:dyDescent="0.2">
      <c r="A741">
        <v>2050</v>
      </c>
      <c r="B741">
        <v>49</v>
      </c>
      <c r="C741" t="s">
        <v>826</v>
      </c>
      <c r="D741">
        <v>36844</v>
      </c>
      <c r="E741" t="s">
        <v>105</v>
      </c>
    </row>
    <row r="742" spans="1:5" x14ac:dyDescent="0.2">
      <c r="A742">
        <v>2357</v>
      </c>
      <c r="B742">
        <v>32</v>
      </c>
      <c r="C742" t="s">
        <v>506</v>
      </c>
      <c r="D742">
        <v>37103</v>
      </c>
      <c r="E742" t="s">
        <v>200</v>
      </c>
    </row>
    <row r="743" spans="1:5" x14ac:dyDescent="0.2">
      <c r="A743">
        <v>2171</v>
      </c>
      <c r="B743">
        <v>43</v>
      </c>
      <c r="C743" t="s">
        <v>827</v>
      </c>
      <c r="D743">
        <v>36526</v>
      </c>
      <c r="E743" t="s">
        <v>164</v>
      </c>
    </row>
    <row r="744" spans="1:5" x14ac:dyDescent="0.2">
      <c r="A744">
        <v>947</v>
      </c>
      <c r="B744">
        <v>237</v>
      </c>
      <c r="C744" t="s">
        <v>253</v>
      </c>
      <c r="D744">
        <v>36217</v>
      </c>
      <c r="E744" t="s">
        <v>144</v>
      </c>
    </row>
    <row r="745" spans="1:5" x14ac:dyDescent="0.2">
      <c r="A745">
        <v>2841</v>
      </c>
      <c r="B745">
        <v>10</v>
      </c>
      <c r="C745" t="s">
        <v>1746</v>
      </c>
      <c r="D745">
        <v>37043</v>
      </c>
      <c r="E745" t="s">
        <v>1358</v>
      </c>
    </row>
    <row r="746" spans="1:5" x14ac:dyDescent="0.2">
      <c r="A746">
        <v>2451</v>
      </c>
      <c r="B746">
        <v>27</v>
      </c>
      <c r="C746" t="s">
        <v>507</v>
      </c>
      <c r="D746">
        <v>36493</v>
      </c>
      <c r="E746" t="s">
        <v>200</v>
      </c>
    </row>
    <row r="747" spans="1:5" x14ac:dyDescent="0.2">
      <c r="A747">
        <v>3062</v>
      </c>
      <c r="B747">
        <v>3</v>
      </c>
      <c r="C747" t="s">
        <v>1747</v>
      </c>
      <c r="D747">
        <v>36554</v>
      </c>
      <c r="E747" t="s">
        <v>120</v>
      </c>
    </row>
    <row r="748" spans="1:5" x14ac:dyDescent="0.2">
      <c r="A748">
        <v>2338</v>
      </c>
      <c r="B748">
        <v>33</v>
      </c>
      <c r="C748" t="s">
        <v>254</v>
      </c>
      <c r="D748">
        <v>36625</v>
      </c>
      <c r="E748" t="s">
        <v>105</v>
      </c>
    </row>
    <row r="749" spans="1:5" x14ac:dyDescent="0.2">
      <c r="A749">
        <v>2741</v>
      </c>
      <c r="B749">
        <v>13</v>
      </c>
      <c r="C749" t="s">
        <v>1748</v>
      </c>
      <c r="D749">
        <v>36918</v>
      </c>
      <c r="E749" t="s">
        <v>171</v>
      </c>
    </row>
    <row r="750" spans="1:5" x14ac:dyDescent="0.2">
      <c r="A750">
        <v>3213</v>
      </c>
      <c r="B750">
        <v>0</v>
      </c>
      <c r="C750" t="s">
        <v>1749</v>
      </c>
      <c r="D750">
        <v>36971</v>
      </c>
      <c r="E750" t="s">
        <v>222</v>
      </c>
    </row>
    <row r="751" spans="1:5" x14ac:dyDescent="0.2">
      <c r="A751">
        <v>3647</v>
      </c>
      <c r="B751">
        <v>0</v>
      </c>
      <c r="C751" t="s">
        <v>1750</v>
      </c>
      <c r="D751">
        <v>36866</v>
      </c>
      <c r="E751" t="s">
        <v>120</v>
      </c>
    </row>
    <row r="752" spans="1:5" x14ac:dyDescent="0.2">
      <c r="A752">
        <v>2222</v>
      </c>
      <c r="B752">
        <v>40</v>
      </c>
      <c r="C752" t="s">
        <v>828</v>
      </c>
      <c r="D752">
        <v>36854</v>
      </c>
      <c r="E752" t="s">
        <v>188</v>
      </c>
    </row>
    <row r="753" spans="1:5" x14ac:dyDescent="0.2">
      <c r="A753">
        <v>2175</v>
      </c>
      <c r="B753">
        <v>43</v>
      </c>
      <c r="C753" t="s">
        <v>1751</v>
      </c>
      <c r="D753">
        <v>37097</v>
      </c>
      <c r="E753" t="s">
        <v>137</v>
      </c>
    </row>
    <row r="754" spans="1:5" x14ac:dyDescent="0.2">
      <c r="A754">
        <v>3684</v>
      </c>
      <c r="B754">
        <v>0</v>
      </c>
      <c r="C754" t="s">
        <v>1752</v>
      </c>
      <c r="D754">
        <v>37404</v>
      </c>
      <c r="E754" t="s">
        <v>115</v>
      </c>
    </row>
    <row r="755" spans="1:5" x14ac:dyDescent="0.2">
      <c r="A755">
        <v>2693</v>
      </c>
      <c r="B755">
        <v>16</v>
      </c>
      <c r="C755" t="s">
        <v>1753</v>
      </c>
      <c r="D755">
        <v>36260</v>
      </c>
      <c r="E755" t="s">
        <v>1754</v>
      </c>
    </row>
    <row r="756" spans="1:5" x14ac:dyDescent="0.2">
      <c r="A756">
        <v>3087</v>
      </c>
      <c r="B756">
        <v>3</v>
      </c>
      <c r="C756" t="s">
        <v>1755</v>
      </c>
      <c r="D756">
        <v>37033</v>
      </c>
      <c r="E756" t="s">
        <v>1595</v>
      </c>
    </row>
    <row r="757" spans="1:5" x14ac:dyDescent="0.2">
      <c r="A757">
        <v>1997</v>
      </c>
      <c r="B757">
        <v>52</v>
      </c>
      <c r="C757" t="s">
        <v>1756</v>
      </c>
      <c r="D757">
        <v>36526</v>
      </c>
      <c r="E757" t="s">
        <v>704</v>
      </c>
    </row>
    <row r="758" spans="1:5" x14ac:dyDescent="0.2">
      <c r="A758">
        <v>3396</v>
      </c>
      <c r="B758">
        <v>0</v>
      </c>
      <c r="C758" t="s">
        <v>1757</v>
      </c>
      <c r="D758">
        <v>37015</v>
      </c>
      <c r="E758" t="s">
        <v>120</v>
      </c>
    </row>
    <row r="759" spans="1:5" x14ac:dyDescent="0.2">
      <c r="A759">
        <v>3625</v>
      </c>
      <c r="B759">
        <v>0</v>
      </c>
      <c r="C759" t="s">
        <v>1758</v>
      </c>
      <c r="D759">
        <v>37488</v>
      </c>
      <c r="E759" t="s">
        <v>1236</v>
      </c>
    </row>
    <row r="760" spans="1:5" x14ac:dyDescent="0.2">
      <c r="A760">
        <v>2465</v>
      </c>
      <c r="B760">
        <v>27</v>
      </c>
      <c r="C760" t="s">
        <v>829</v>
      </c>
      <c r="D760">
        <v>36954</v>
      </c>
      <c r="E760" t="s">
        <v>1204</v>
      </c>
    </row>
    <row r="761" spans="1:5" x14ac:dyDescent="0.2">
      <c r="A761">
        <v>2199</v>
      </c>
      <c r="B761">
        <v>41</v>
      </c>
      <c r="C761" t="s">
        <v>705</v>
      </c>
      <c r="D761">
        <v>36781</v>
      </c>
      <c r="E761" t="s">
        <v>74</v>
      </c>
    </row>
    <row r="762" spans="1:5" x14ac:dyDescent="0.2">
      <c r="A762">
        <v>1921</v>
      </c>
      <c r="B762">
        <v>58</v>
      </c>
      <c r="C762" t="s">
        <v>508</v>
      </c>
      <c r="D762">
        <v>36568</v>
      </c>
      <c r="E762" t="s">
        <v>102</v>
      </c>
    </row>
    <row r="763" spans="1:5" x14ac:dyDescent="0.2">
      <c r="A763">
        <v>3319</v>
      </c>
      <c r="B763">
        <v>0</v>
      </c>
      <c r="C763" t="s">
        <v>1759</v>
      </c>
      <c r="D763">
        <v>37614</v>
      </c>
      <c r="E763" t="s">
        <v>120</v>
      </c>
    </row>
    <row r="764" spans="1:5" x14ac:dyDescent="0.2">
      <c r="A764">
        <v>2411</v>
      </c>
      <c r="B764">
        <v>30</v>
      </c>
      <c r="C764" t="s">
        <v>1760</v>
      </c>
      <c r="D764">
        <v>36745</v>
      </c>
      <c r="E764" t="s">
        <v>113</v>
      </c>
    </row>
    <row r="765" spans="1:5" x14ac:dyDescent="0.2">
      <c r="A765">
        <v>2216</v>
      </c>
      <c r="B765">
        <v>40</v>
      </c>
      <c r="C765" t="s">
        <v>830</v>
      </c>
      <c r="D765">
        <v>37433</v>
      </c>
      <c r="E765" t="s">
        <v>105</v>
      </c>
    </row>
    <row r="766" spans="1:5" x14ac:dyDescent="0.2">
      <c r="A766">
        <v>3656</v>
      </c>
      <c r="B766">
        <v>0</v>
      </c>
      <c r="C766" t="s">
        <v>1761</v>
      </c>
      <c r="D766">
        <v>37289</v>
      </c>
      <c r="E766" t="s">
        <v>1236</v>
      </c>
    </row>
    <row r="767" spans="1:5" x14ac:dyDescent="0.2">
      <c r="A767">
        <v>2843</v>
      </c>
      <c r="B767">
        <v>9</v>
      </c>
      <c r="C767" t="s">
        <v>706</v>
      </c>
      <c r="D767">
        <v>36532</v>
      </c>
      <c r="E767" t="s">
        <v>99</v>
      </c>
    </row>
    <row r="768" spans="1:5" x14ac:dyDescent="0.2">
      <c r="A768">
        <v>2889</v>
      </c>
      <c r="B768">
        <v>8</v>
      </c>
      <c r="C768" t="s">
        <v>1762</v>
      </c>
      <c r="D768">
        <v>36892</v>
      </c>
      <c r="E768" t="s">
        <v>282</v>
      </c>
    </row>
    <row r="769" spans="1:5" x14ac:dyDescent="0.2">
      <c r="A769">
        <v>2998</v>
      </c>
      <c r="B769">
        <v>5</v>
      </c>
      <c r="C769" t="s">
        <v>1763</v>
      </c>
      <c r="D769">
        <v>36308</v>
      </c>
      <c r="E769" t="s">
        <v>1609</v>
      </c>
    </row>
    <row r="770" spans="1:5" x14ac:dyDescent="0.2">
      <c r="A770">
        <v>2683</v>
      </c>
      <c r="B770">
        <v>16</v>
      </c>
      <c r="C770" t="s">
        <v>1764</v>
      </c>
      <c r="D770">
        <v>36854</v>
      </c>
      <c r="E770" t="s">
        <v>1358</v>
      </c>
    </row>
    <row r="771" spans="1:5" x14ac:dyDescent="0.2">
      <c r="A771">
        <v>2879</v>
      </c>
      <c r="B771">
        <v>8</v>
      </c>
      <c r="C771" t="s">
        <v>1765</v>
      </c>
      <c r="D771">
        <v>36600</v>
      </c>
      <c r="E771" t="s">
        <v>1271</v>
      </c>
    </row>
    <row r="772" spans="1:5" x14ac:dyDescent="0.2">
      <c r="A772">
        <v>3569</v>
      </c>
      <c r="B772">
        <v>0</v>
      </c>
      <c r="C772" t="s">
        <v>1766</v>
      </c>
      <c r="D772">
        <v>36259</v>
      </c>
      <c r="E772" t="s">
        <v>1628</v>
      </c>
    </row>
    <row r="773" spans="1:5" x14ac:dyDescent="0.2">
      <c r="A773">
        <v>2852</v>
      </c>
      <c r="B773">
        <v>9</v>
      </c>
      <c r="C773" t="s">
        <v>1767</v>
      </c>
      <c r="D773">
        <v>37027</v>
      </c>
      <c r="E773" t="s">
        <v>122</v>
      </c>
    </row>
    <row r="774" spans="1:5" x14ac:dyDescent="0.2">
      <c r="A774">
        <v>2066</v>
      </c>
      <c r="B774">
        <v>48</v>
      </c>
      <c r="C774" t="s">
        <v>1768</v>
      </c>
      <c r="D774">
        <v>37138</v>
      </c>
      <c r="E774" t="s">
        <v>166</v>
      </c>
    </row>
    <row r="775" spans="1:5" x14ac:dyDescent="0.2">
      <c r="A775">
        <v>2513</v>
      </c>
      <c r="B775">
        <v>24</v>
      </c>
      <c r="C775" t="s">
        <v>707</v>
      </c>
      <c r="D775">
        <v>36936</v>
      </c>
      <c r="E775" t="s">
        <v>105</v>
      </c>
    </row>
    <row r="776" spans="1:5" x14ac:dyDescent="0.2">
      <c r="A776">
        <v>2160</v>
      </c>
      <c r="B776">
        <v>43</v>
      </c>
      <c r="C776" t="s">
        <v>255</v>
      </c>
      <c r="D776">
        <v>36755</v>
      </c>
      <c r="E776" t="s">
        <v>163</v>
      </c>
    </row>
    <row r="777" spans="1:5" x14ac:dyDescent="0.2">
      <c r="A777">
        <v>1996</v>
      </c>
      <c r="B777">
        <v>53</v>
      </c>
      <c r="C777" t="s">
        <v>1769</v>
      </c>
      <c r="D777">
        <v>37098</v>
      </c>
      <c r="E777" t="s">
        <v>1427</v>
      </c>
    </row>
    <row r="778" spans="1:5" x14ac:dyDescent="0.2">
      <c r="A778">
        <v>3266</v>
      </c>
      <c r="B778">
        <v>0</v>
      </c>
      <c r="C778" t="s">
        <v>1770</v>
      </c>
      <c r="D778">
        <v>36749</v>
      </c>
      <c r="E778" t="s">
        <v>171</v>
      </c>
    </row>
    <row r="779" spans="1:5" x14ac:dyDescent="0.2">
      <c r="A779">
        <v>1940</v>
      </c>
      <c r="B779">
        <v>56</v>
      </c>
      <c r="C779" t="s">
        <v>256</v>
      </c>
      <c r="D779">
        <v>36994</v>
      </c>
      <c r="E779" t="s">
        <v>1343</v>
      </c>
    </row>
    <row r="780" spans="1:5" x14ac:dyDescent="0.2">
      <c r="A780">
        <v>3124</v>
      </c>
      <c r="B780">
        <v>2</v>
      </c>
      <c r="C780" t="s">
        <v>1771</v>
      </c>
      <c r="D780">
        <v>37448</v>
      </c>
      <c r="E780" t="s">
        <v>120</v>
      </c>
    </row>
    <row r="781" spans="1:5" x14ac:dyDescent="0.2">
      <c r="A781">
        <v>3048</v>
      </c>
      <c r="B781">
        <v>4</v>
      </c>
      <c r="C781" t="s">
        <v>1772</v>
      </c>
      <c r="D781">
        <v>37171</v>
      </c>
      <c r="E781" t="s">
        <v>120</v>
      </c>
    </row>
    <row r="782" spans="1:5" x14ac:dyDescent="0.2">
      <c r="A782">
        <v>3225</v>
      </c>
      <c r="B782">
        <v>0</v>
      </c>
      <c r="C782" t="s">
        <v>1773</v>
      </c>
      <c r="D782">
        <v>36906</v>
      </c>
      <c r="E782" t="s">
        <v>1170</v>
      </c>
    </row>
    <row r="783" spans="1:5" x14ac:dyDescent="0.2">
      <c r="A783">
        <v>2592</v>
      </c>
      <c r="B783">
        <v>20</v>
      </c>
      <c r="C783" t="s">
        <v>509</v>
      </c>
      <c r="D783">
        <v>36299</v>
      </c>
      <c r="E783" t="s">
        <v>113</v>
      </c>
    </row>
    <row r="784" spans="1:5" x14ac:dyDescent="0.2">
      <c r="A784">
        <v>2854</v>
      </c>
      <c r="B784">
        <v>9</v>
      </c>
      <c r="C784" t="s">
        <v>1774</v>
      </c>
      <c r="D784">
        <v>36859</v>
      </c>
      <c r="E784" t="s">
        <v>120</v>
      </c>
    </row>
    <row r="785" spans="1:5" x14ac:dyDescent="0.2">
      <c r="A785">
        <v>1843</v>
      </c>
      <c r="B785">
        <v>67</v>
      </c>
      <c r="C785" t="s">
        <v>831</v>
      </c>
      <c r="D785">
        <v>36600</v>
      </c>
      <c r="E785" t="s">
        <v>105</v>
      </c>
    </row>
    <row r="786" spans="1:5" x14ac:dyDescent="0.2">
      <c r="A786">
        <v>1867</v>
      </c>
      <c r="B786">
        <v>64</v>
      </c>
      <c r="C786" t="s">
        <v>1775</v>
      </c>
      <c r="D786">
        <v>36677</v>
      </c>
      <c r="E786" t="s">
        <v>107</v>
      </c>
    </row>
    <row r="787" spans="1:5" x14ac:dyDescent="0.2">
      <c r="A787">
        <v>3565</v>
      </c>
      <c r="B787">
        <v>0</v>
      </c>
      <c r="C787" t="s">
        <v>1776</v>
      </c>
      <c r="D787">
        <v>36647</v>
      </c>
      <c r="E787" t="s">
        <v>1705</v>
      </c>
    </row>
    <row r="788" spans="1:5" x14ac:dyDescent="0.2">
      <c r="A788">
        <v>2801</v>
      </c>
      <c r="B788">
        <v>11</v>
      </c>
      <c r="C788" t="s">
        <v>1777</v>
      </c>
      <c r="D788">
        <v>36549</v>
      </c>
      <c r="E788" t="s">
        <v>165</v>
      </c>
    </row>
    <row r="789" spans="1:5" x14ac:dyDescent="0.2">
      <c r="A789">
        <v>532</v>
      </c>
      <c r="B789">
        <v>453</v>
      </c>
      <c r="C789" t="s">
        <v>258</v>
      </c>
      <c r="D789">
        <v>36332</v>
      </c>
      <c r="E789" t="s">
        <v>103</v>
      </c>
    </row>
    <row r="790" spans="1:5" x14ac:dyDescent="0.2">
      <c r="A790">
        <v>2601</v>
      </c>
      <c r="B790">
        <v>20</v>
      </c>
      <c r="C790" t="s">
        <v>1778</v>
      </c>
      <c r="D790">
        <v>36623</v>
      </c>
      <c r="E790" t="s">
        <v>120</v>
      </c>
    </row>
    <row r="791" spans="1:5" x14ac:dyDescent="0.2">
      <c r="A791">
        <v>1924</v>
      </c>
      <c r="B791">
        <v>58</v>
      </c>
      <c r="C791" t="s">
        <v>510</v>
      </c>
      <c r="D791">
        <v>36762</v>
      </c>
      <c r="E791" t="s">
        <v>136</v>
      </c>
    </row>
    <row r="792" spans="1:5" x14ac:dyDescent="0.2">
      <c r="A792">
        <v>2228</v>
      </c>
      <c r="B792">
        <v>39</v>
      </c>
      <c r="C792" t="s">
        <v>708</v>
      </c>
      <c r="D792">
        <v>37060</v>
      </c>
      <c r="E792" t="s">
        <v>99</v>
      </c>
    </row>
    <row r="793" spans="1:5" x14ac:dyDescent="0.2">
      <c r="A793">
        <v>1732</v>
      </c>
      <c r="B793">
        <v>79</v>
      </c>
      <c r="C793" t="s">
        <v>259</v>
      </c>
      <c r="D793">
        <v>36263</v>
      </c>
      <c r="E793" t="s">
        <v>111</v>
      </c>
    </row>
    <row r="794" spans="1:5" x14ac:dyDescent="0.2">
      <c r="A794">
        <v>2813</v>
      </c>
      <c r="B794">
        <v>10</v>
      </c>
      <c r="C794" t="s">
        <v>1779</v>
      </c>
      <c r="D794">
        <v>36839</v>
      </c>
      <c r="E794" t="s">
        <v>99</v>
      </c>
    </row>
    <row r="795" spans="1:5" x14ac:dyDescent="0.2">
      <c r="A795">
        <v>3113</v>
      </c>
      <c r="B795">
        <v>2</v>
      </c>
      <c r="C795" t="s">
        <v>1780</v>
      </c>
      <c r="D795">
        <v>36166</v>
      </c>
      <c r="E795" t="s">
        <v>107</v>
      </c>
    </row>
    <row r="796" spans="1:5" x14ac:dyDescent="0.2">
      <c r="A796">
        <v>3626</v>
      </c>
      <c r="B796">
        <v>0</v>
      </c>
      <c r="C796" t="s">
        <v>1781</v>
      </c>
      <c r="D796">
        <v>37257</v>
      </c>
      <c r="E796" t="s">
        <v>103</v>
      </c>
    </row>
    <row r="797" spans="1:5" x14ac:dyDescent="0.2">
      <c r="A797">
        <v>2858</v>
      </c>
      <c r="B797">
        <v>9</v>
      </c>
      <c r="C797" t="s">
        <v>1782</v>
      </c>
      <c r="D797">
        <v>37036</v>
      </c>
      <c r="E797" t="s">
        <v>1248</v>
      </c>
    </row>
    <row r="798" spans="1:5" x14ac:dyDescent="0.2">
      <c r="A798">
        <v>1927</v>
      </c>
      <c r="B798">
        <v>58</v>
      </c>
      <c r="C798" t="s">
        <v>832</v>
      </c>
      <c r="D798">
        <v>36778</v>
      </c>
      <c r="E798" t="s">
        <v>208</v>
      </c>
    </row>
    <row r="799" spans="1:5" x14ac:dyDescent="0.2">
      <c r="A799">
        <v>3165</v>
      </c>
      <c r="B799">
        <v>1</v>
      </c>
      <c r="C799" t="s">
        <v>1783</v>
      </c>
      <c r="D799">
        <v>36293</v>
      </c>
      <c r="E799" t="s">
        <v>1447</v>
      </c>
    </row>
    <row r="800" spans="1:5" x14ac:dyDescent="0.2">
      <c r="A800">
        <v>2724</v>
      </c>
      <c r="B800">
        <v>14</v>
      </c>
      <c r="C800" t="s">
        <v>1784</v>
      </c>
      <c r="D800">
        <v>36162</v>
      </c>
      <c r="E800" t="s">
        <v>168</v>
      </c>
    </row>
    <row r="801" spans="1:5" x14ac:dyDescent="0.2">
      <c r="A801">
        <v>2261</v>
      </c>
      <c r="B801">
        <v>37</v>
      </c>
      <c r="C801" t="s">
        <v>260</v>
      </c>
      <c r="D801">
        <v>36712</v>
      </c>
      <c r="E801" t="s">
        <v>105</v>
      </c>
    </row>
    <row r="802" spans="1:5" x14ac:dyDescent="0.2">
      <c r="A802">
        <v>2797</v>
      </c>
      <c r="B802">
        <v>11</v>
      </c>
      <c r="C802" t="s">
        <v>1785</v>
      </c>
      <c r="D802">
        <v>36775</v>
      </c>
      <c r="E802" t="s">
        <v>160</v>
      </c>
    </row>
    <row r="803" spans="1:5" x14ac:dyDescent="0.2">
      <c r="A803">
        <v>2675</v>
      </c>
      <c r="B803">
        <v>16</v>
      </c>
      <c r="C803" t="s">
        <v>1786</v>
      </c>
      <c r="D803">
        <v>36892</v>
      </c>
      <c r="E803" t="s">
        <v>120</v>
      </c>
    </row>
    <row r="804" spans="1:5" x14ac:dyDescent="0.2">
      <c r="A804">
        <v>3283</v>
      </c>
      <c r="B804">
        <v>0</v>
      </c>
      <c r="C804" t="s">
        <v>1787</v>
      </c>
      <c r="D804">
        <v>37400</v>
      </c>
      <c r="E804" t="s">
        <v>99</v>
      </c>
    </row>
    <row r="805" spans="1:5" x14ac:dyDescent="0.2">
      <c r="A805">
        <v>1462</v>
      </c>
      <c r="B805">
        <v>118</v>
      </c>
      <c r="C805" t="s">
        <v>261</v>
      </c>
      <c r="D805">
        <v>36311</v>
      </c>
      <c r="E805" t="s">
        <v>1214</v>
      </c>
    </row>
    <row r="806" spans="1:5" x14ac:dyDescent="0.2">
      <c r="A806">
        <v>3107</v>
      </c>
      <c r="B806">
        <v>2</v>
      </c>
      <c r="C806" t="s">
        <v>1788</v>
      </c>
      <c r="D806">
        <v>37339</v>
      </c>
      <c r="E806" t="s">
        <v>1236</v>
      </c>
    </row>
    <row r="807" spans="1:5" x14ac:dyDescent="0.2">
      <c r="A807">
        <v>3172</v>
      </c>
      <c r="B807">
        <v>1</v>
      </c>
      <c r="C807" t="s">
        <v>1789</v>
      </c>
      <c r="D807">
        <v>37174</v>
      </c>
      <c r="E807" t="s">
        <v>175</v>
      </c>
    </row>
    <row r="808" spans="1:5" x14ac:dyDescent="0.2">
      <c r="A808">
        <v>2605</v>
      </c>
      <c r="B808">
        <v>20</v>
      </c>
      <c r="C808" t="s">
        <v>709</v>
      </c>
      <c r="D808">
        <v>36976</v>
      </c>
      <c r="E808" t="s">
        <v>110</v>
      </c>
    </row>
    <row r="809" spans="1:5" x14ac:dyDescent="0.2">
      <c r="A809">
        <v>1850</v>
      </c>
      <c r="B809">
        <v>66</v>
      </c>
      <c r="C809" t="s">
        <v>1790</v>
      </c>
      <c r="D809">
        <v>36614</v>
      </c>
      <c r="E809" t="s">
        <v>120</v>
      </c>
    </row>
    <row r="810" spans="1:5" x14ac:dyDescent="0.2">
      <c r="A810">
        <v>3116</v>
      </c>
      <c r="B810">
        <v>2</v>
      </c>
      <c r="C810" t="s">
        <v>1791</v>
      </c>
      <c r="D810">
        <v>36914</v>
      </c>
      <c r="E810" t="s">
        <v>105</v>
      </c>
    </row>
    <row r="811" spans="1:5" x14ac:dyDescent="0.2">
      <c r="A811">
        <v>3436</v>
      </c>
      <c r="B811">
        <v>0</v>
      </c>
      <c r="C811" t="s">
        <v>1792</v>
      </c>
      <c r="D811">
        <v>36783</v>
      </c>
      <c r="E811" t="s">
        <v>1256</v>
      </c>
    </row>
    <row r="812" spans="1:5" x14ac:dyDescent="0.2">
      <c r="A812">
        <v>3226</v>
      </c>
      <c r="B812">
        <v>0</v>
      </c>
      <c r="C812" t="s">
        <v>1793</v>
      </c>
      <c r="D812">
        <v>37289</v>
      </c>
      <c r="E812" t="s">
        <v>379</v>
      </c>
    </row>
    <row r="813" spans="1:5" x14ac:dyDescent="0.2">
      <c r="A813">
        <v>2358</v>
      </c>
      <c r="B813">
        <v>32</v>
      </c>
      <c r="C813" t="s">
        <v>511</v>
      </c>
      <c r="D813">
        <v>36526</v>
      </c>
      <c r="E813" t="s">
        <v>105</v>
      </c>
    </row>
    <row r="814" spans="1:5" x14ac:dyDescent="0.2">
      <c r="A814">
        <v>2377</v>
      </c>
      <c r="B814">
        <v>31</v>
      </c>
      <c r="C814" t="s">
        <v>512</v>
      </c>
      <c r="D814">
        <v>37286</v>
      </c>
      <c r="E814" t="s">
        <v>105</v>
      </c>
    </row>
    <row r="815" spans="1:5" x14ac:dyDescent="0.2">
      <c r="A815">
        <v>1755</v>
      </c>
      <c r="B815">
        <v>75</v>
      </c>
      <c r="C815" t="s">
        <v>262</v>
      </c>
      <c r="D815">
        <v>36447</v>
      </c>
      <c r="E815" t="s">
        <v>105</v>
      </c>
    </row>
    <row r="816" spans="1:5" x14ac:dyDescent="0.2">
      <c r="A816">
        <v>3008</v>
      </c>
      <c r="B816">
        <v>4</v>
      </c>
      <c r="C816" t="s">
        <v>1794</v>
      </c>
      <c r="D816">
        <v>36195</v>
      </c>
      <c r="E816" t="s">
        <v>231</v>
      </c>
    </row>
    <row r="817" spans="1:5" x14ac:dyDescent="0.2">
      <c r="A817">
        <v>3080</v>
      </c>
      <c r="B817">
        <v>3</v>
      </c>
      <c r="C817" t="s">
        <v>1795</v>
      </c>
      <c r="D817">
        <v>37351</v>
      </c>
      <c r="E817" t="s">
        <v>1427</v>
      </c>
    </row>
    <row r="818" spans="1:5" x14ac:dyDescent="0.2">
      <c r="A818">
        <v>2896</v>
      </c>
      <c r="B818">
        <v>8</v>
      </c>
      <c r="C818" t="s">
        <v>1796</v>
      </c>
      <c r="D818">
        <v>36383</v>
      </c>
      <c r="E818" t="s">
        <v>120</v>
      </c>
    </row>
    <row r="819" spans="1:5" x14ac:dyDescent="0.2">
      <c r="A819">
        <v>2317</v>
      </c>
      <c r="B819">
        <v>34</v>
      </c>
      <c r="C819" t="s">
        <v>263</v>
      </c>
      <c r="D819">
        <v>36620</v>
      </c>
      <c r="E819" t="s">
        <v>1460</v>
      </c>
    </row>
    <row r="820" spans="1:5" x14ac:dyDescent="0.2">
      <c r="A820">
        <v>3686</v>
      </c>
      <c r="B820">
        <v>0</v>
      </c>
      <c r="C820" t="s">
        <v>1797</v>
      </c>
      <c r="D820">
        <v>36911</v>
      </c>
      <c r="E820" t="s">
        <v>365</v>
      </c>
    </row>
    <row r="821" spans="1:5" x14ac:dyDescent="0.2">
      <c r="A821">
        <v>2220</v>
      </c>
      <c r="B821">
        <v>40</v>
      </c>
      <c r="C821" t="s">
        <v>1798</v>
      </c>
      <c r="D821">
        <v>36163</v>
      </c>
      <c r="E821" t="s">
        <v>1641</v>
      </c>
    </row>
    <row r="822" spans="1:5" x14ac:dyDescent="0.2">
      <c r="A822">
        <v>1062</v>
      </c>
      <c r="B822">
        <v>203</v>
      </c>
      <c r="C822" t="s">
        <v>264</v>
      </c>
      <c r="D822">
        <v>36167</v>
      </c>
      <c r="E822" t="s">
        <v>74</v>
      </c>
    </row>
    <row r="823" spans="1:5" x14ac:dyDescent="0.2">
      <c r="A823">
        <v>2613</v>
      </c>
      <c r="B823">
        <v>19</v>
      </c>
      <c r="C823" t="s">
        <v>513</v>
      </c>
      <c r="D823">
        <v>36804</v>
      </c>
      <c r="E823" t="s">
        <v>1198</v>
      </c>
    </row>
    <row r="824" spans="1:5" x14ac:dyDescent="0.2">
      <c r="A824">
        <v>2511</v>
      </c>
      <c r="B824">
        <v>25</v>
      </c>
      <c r="C824" t="s">
        <v>1799</v>
      </c>
      <c r="D824">
        <v>36238</v>
      </c>
      <c r="E824" t="s">
        <v>1241</v>
      </c>
    </row>
    <row r="825" spans="1:5" x14ac:dyDescent="0.2">
      <c r="A825">
        <v>3627</v>
      </c>
      <c r="B825">
        <v>0</v>
      </c>
      <c r="C825" t="s">
        <v>1800</v>
      </c>
      <c r="D825">
        <v>37574</v>
      </c>
      <c r="E825" t="s">
        <v>1236</v>
      </c>
    </row>
    <row r="826" spans="1:5" x14ac:dyDescent="0.2">
      <c r="A826">
        <v>2567</v>
      </c>
      <c r="B826">
        <v>22</v>
      </c>
      <c r="C826" t="s">
        <v>833</v>
      </c>
      <c r="D826">
        <v>37314</v>
      </c>
      <c r="E826" t="s">
        <v>110</v>
      </c>
    </row>
    <row r="827" spans="1:5" x14ac:dyDescent="0.2">
      <c r="A827">
        <v>3581</v>
      </c>
      <c r="B827">
        <v>0</v>
      </c>
      <c r="C827" t="s">
        <v>1801</v>
      </c>
      <c r="D827">
        <v>36548</v>
      </c>
      <c r="E827" t="s">
        <v>105</v>
      </c>
    </row>
    <row r="828" spans="1:5" x14ac:dyDescent="0.2">
      <c r="A828">
        <v>2863</v>
      </c>
      <c r="B828">
        <v>9</v>
      </c>
      <c r="C828" t="s">
        <v>1802</v>
      </c>
      <c r="D828">
        <v>37489</v>
      </c>
      <c r="E828" t="s">
        <v>1803</v>
      </c>
    </row>
    <row r="829" spans="1:5" x14ac:dyDescent="0.2">
      <c r="A829">
        <v>2778</v>
      </c>
      <c r="B829">
        <v>12</v>
      </c>
      <c r="C829" t="s">
        <v>1804</v>
      </c>
      <c r="D829">
        <v>36868</v>
      </c>
      <c r="E829" t="s">
        <v>290</v>
      </c>
    </row>
    <row r="830" spans="1:5" x14ac:dyDescent="0.2">
      <c r="A830">
        <v>3453</v>
      </c>
      <c r="B830">
        <v>0</v>
      </c>
      <c r="C830" t="s">
        <v>1805</v>
      </c>
      <c r="D830">
        <v>37211</v>
      </c>
      <c r="E830" t="s">
        <v>105</v>
      </c>
    </row>
    <row r="831" spans="1:5" x14ac:dyDescent="0.2">
      <c r="A831">
        <v>3445</v>
      </c>
      <c r="B831">
        <v>0</v>
      </c>
      <c r="C831" t="s">
        <v>1806</v>
      </c>
      <c r="D831">
        <v>37686</v>
      </c>
      <c r="E831" t="s">
        <v>105</v>
      </c>
    </row>
    <row r="832" spans="1:5" x14ac:dyDescent="0.2">
      <c r="A832">
        <v>3485</v>
      </c>
      <c r="B832">
        <v>0</v>
      </c>
      <c r="C832" t="s">
        <v>1807</v>
      </c>
      <c r="D832">
        <v>36544</v>
      </c>
      <c r="E832" t="s">
        <v>110</v>
      </c>
    </row>
    <row r="833" spans="1:5" x14ac:dyDescent="0.2">
      <c r="A833">
        <v>2071</v>
      </c>
      <c r="B833">
        <v>48</v>
      </c>
      <c r="C833" t="s">
        <v>834</v>
      </c>
      <c r="D833">
        <v>36544</v>
      </c>
      <c r="E833" t="s">
        <v>110</v>
      </c>
    </row>
    <row r="834" spans="1:5" x14ac:dyDescent="0.2">
      <c r="A834">
        <v>1713</v>
      </c>
      <c r="B834">
        <v>82</v>
      </c>
      <c r="C834" t="s">
        <v>710</v>
      </c>
      <c r="D834">
        <v>36691</v>
      </c>
      <c r="E834" t="s">
        <v>120</v>
      </c>
    </row>
    <row r="835" spans="1:5" x14ac:dyDescent="0.2">
      <c r="A835">
        <v>3191</v>
      </c>
      <c r="B835">
        <v>0</v>
      </c>
      <c r="C835" t="s">
        <v>514</v>
      </c>
      <c r="D835">
        <v>36759</v>
      </c>
      <c r="E835" t="s">
        <v>105</v>
      </c>
    </row>
    <row r="836" spans="1:5" x14ac:dyDescent="0.2">
      <c r="A836">
        <v>2030</v>
      </c>
      <c r="B836">
        <v>50</v>
      </c>
      <c r="C836" t="s">
        <v>1808</v>
      </c>
      <c r="D836">
        <v>36541</v>
      </c>
      <c r="E836" t="s">
        <v>105</v>
      </c>
    </row>
    <row r="837" spans="1:5" x14ac:dyDescent="0.2">
      <c r="A837">
        <v>2657</v>
      </c>
      <c r="B837">
        <v>17</v>
      </c>
      <c r="C837" t="s">
        <v>396</v>
      </c>
      <c r="D837">
        <v>37567</v>
      </c>
      <c r="E837" t="s">
        <v>105</v>
      </c>
    </row>
    <row r="838" spans="1:5" x14ac:dyDescent="0.2">
      <c r="A838">
        <v>3117</v>
      </c>
      <c r="B838">
        <v>2</v>
      </c>
      <c r="C838" t="s">
        <v>396</v>
      </c>
      <c r="D838">
        <v>38117</v>
      </c>
      <c r="E838" t="s">
        <v>1584</v>
      </c>
    </row>
    <row r="839" spans="1:5" x14ac:dyDescent="0.2">
      <c r="A839">
        <v>2762</v>
      </c>
      <c r="B839">
        <v>12</v>
      </c>
      <c r="C839" t="s">
        <v>711</v>
      </c>
      <c r="D839">
        <v>36820</v>
      </c>
      <c r="E839" t="s">
        <v>99</v>
      </c>
    </row>
    <row r="840" spans="1:5" x14ac:dyDescent="0.2">
      <c r="A840">
        <v>3030</v>
      </c>
      <c r="B840">
        <v>4</v>
      </c>
      <c r="C840" t="s">
        <v>711</v>
      </c>
      <c r="D840">
        <v>37457</v>
      </c>
      <c r="E840" t="s">
        <v>1279</v>
      </c>
    </row>
    <row r="841" spans="1:5" x14ac:dyDescent="0.2">
      <c r="A841">
        <v>3535</v>
      </c>
      <c r="B841">
        <v>0</v>
      </c>
      <c r="C841" t="s">
        <v>1809</v>
      </c>
      <c r="D841">
        <v>37820</v>
      </c>
      <c r="E841" t="s">
        <v>105</v>
      </c>
    </row>
    <row r="842" spans="1:5" x14ac:dyDescent="0.2">
      <c r="A842">
        <v>1754</v>
      </c>
      <c r="B842">
        <v>76</v>
      </c>
      <c r="C842" t="s">
        <v>835</v>
      </c>
      <c r="D842">
        <v>36192</v>
      </c>
      <c r="E842" t="s">
        <v>105</v>
      </c>
    </row>
    <row r="843" spans="1:5" x14ac:dyDescent="0.2">
      <c r="A843">
        <v>3053</v>
      </c>
      <c r="B843">
        <v>4</v>
      </c>
      <c r="C843" t="s">
        <v>1810</v>
      </c>
      <c r="D843">
        <v>36886</v>
      </c>
      <c r="E843" t="s">
        <v>105</v>
      </c>
    </row>
    <row r="844" spans="1:5" x14ac:dyDescent="0.2">
      <c r="A844">
        <v>1904</v>
      </c>
      <c r="B844">
        <v>60</v>
      </c>
      <c r="C844" t="s">
        <v>515</v>
      </c>
      <c r="D844">
        <v>36178</v>
      </c>
      <c r="E844" t="s">
        <v>105</v>
      </c>
    </row>
    <row r="845" spans="1:5" x14ac:dyDescent="0.2">
      <c r="A845">
        <v>2039</v>
      </c>
      <c r="B845">
        <v>49</v>
      </c>
      <c r="C845" t="s">
        <v>1811</v>
      </c>
      <c r="D845">
        <v>36961</v>
      </c>
      <c r="E845" t="s">
        <v>180</v>
      </c>
    </row>
    <row r="846" spans="1:5" x14ac:dyDescent="0.2">
      <c r="A846">
        <v>2528</v>
      </c>
      <c r="B846">
        <v>24</v>
      </c>
      <c r="C846" t="s">
        <v>1812</v>
      </c>
      <c r="D846">
        <v>36596</v>
      </c>
      <c r="E846" t="s">
        <v>170</v>
      </c>
    </row>
    <row r="847" spans="1:5" x14ac:dyDescent="0.2">
      <c r="A847">
        <v>2082</v>
      </c>
      <c r="B847">
        <v>47</v>
      </c>
      <c r="C847" t="s">
        <v>836</v>
      </c>
      <c r="D847">
        <v>36498</v>
      </c>
      <c r="E847" t="s">
        <v>164</v>
      </c>
    </row>
    <row r="848" spans="1:5" x14ac:dyDescent="0.2">
      <c r="A848">
        <v>1293</v>
      </c>
      <c r="B848">
        <v>149</v>
      </c>
      <c r="C848" t="s">
        <v>1813</v>
      </c>
      <c r="D848">
        <v>36579</v>
      </c>
      <c r="E848" t="s">
        <v>1214</v>
      </c>
    </row>
    <row r="849" spans="1:5" x14ac:dyDescent="0.2">
      <c r="A849">
        <v>3678</v>
      </c>
      <c r="B849">
        <v>0</v>
      </c>
      <c r="C849" t="s">
        <v>1814</v>
      </c>
      <c r="D849">
        <v>38042</v>
      </c>
      <c r="E849" t="s">
        <v>1524</v>
      </c>
    </row>
    <row r="850" spans="1:5" x14ac:dyDescent="0.2">
      <c r="A850">
        <v>1849</v>
      </c>
      <c r="B850">
        <v>66</v>
      </c>
      <c r="C850" t="s">
        <v>837</v>
      </c>
      <c r="D850">
        <v>36733</v>
      </c>
      <c r="E850" t="s">
        <v>163</v>
      </c>
    </row>
    <row r="851" spans="1:5" x14ac:dyDescent="0.2">
      <c r="A851">
        <v>2814</v>
      </c>
      <c r="B851">
        <v>10</v>
      </c>
      <c r="C851" t="s">
        <v>265</v>
      </c>
      <c r="D851">
        <v>36722</v>
      </c>
      <c r="E851" t="s">
        <v>105</v>
      </c>
    </row>
    <row r="852" spans="1:5" x14ac:dyDescent="0.2">
      <c r="A852">
        <v>1922</v>
      </c>
      <c r="B852">
        <v>58</v>
      </c>
      <c r="C852" t="s">
        <v>516</v>
      </c>
      <c r="D852">
        <v>36318</v>
      </c>
      <c r="E852" t="s">
        <v>126</v>
      </c>
    </row>
    <row r="853" spans="1:5" x14ac:dyDescent="0.2">
      <c r="A853">
        <v>3065</v>
      </c>
      <c r="B853">
        <v>3</v>
      </c>
      <c r="C853" t="s">
        <v>1815</v>
      </c>
      <c r="D853">
        <v>36994</v>
      </c>
      <c r="E853" t="s">
        <v>117</v>
      </c>
    </row>
    <row r="854" spans="1:5" x14ac:dyDescent="0.2">
      <c r="A854">
        <v>2842</v>
      </c>
      <c r="B854">
        <v>9</v>
      </c>
      <c r="C854" t="s">
        <v>266</v>
      </c>
      <c r="D854">
        <v>36784</v>
      </c>
      <c r="E854" t="s">
        <v>1236</v>
      </c>
    </row>
    <row r="855" spans="1:5" x14ac:dyDescent="0.2">
      <c r="A855">
        <v>1773</v>
      </c>
      <c r="B855">
        <v>74</v>
      </c>
      <c r="C855" t="s">
        <v>1816</v>
      </c>
      <c r="D855">
        <v>36253</v>
      </c>
      <c r="E855" t="s">
        <v>1612</v>
      </c>
    </row>
    <row r="856" spans="1:5" x14ac:dyDescent="0.2">
      <c r="A856">
        <v>2837</v>
      </c>
      <c r="B856">
        <v>10</v>
      </c>
      <c r="C856" t="s">
        <v>1817</v>
      </c>
      <c r="D856">
        <v>37173</v>
      </c>
      <c r="E856" t="s">
        <v>1483</v>
      </c>
    </row>
    <row r="857" spans="1:5" x14ac:dyDescent="0.2">
      <c r="A857">
        <v>1168</v>
      </c>
      <c r="B857">
        <v>174</v>
      </c>
      <c r="C857" t="s">
        <v>267</v>
      </c>
      <c r="D857">
        <v>37018</v>
      </c>
      <c r="E857" t="s">
        <v>179</v>
      </c>
    </row>
    <row r="858" spans="1:5" x14ac:dyDescent="0.2">
      <c r="A858">
        <v>3468</v>
      </c>
      <c r="B858">
        <v>0</v>
      </c>
      <c r="C858" t="s">
        <v>1818</v>
      </c>
      <c r="D858">
        <v>37048</v>
      </c>
      <c r="E858" t="s">
        <v>120</v>
      </c>
    </row>
    <row r="859" spans="1:5" x14ac:dyDescent="0.2">
      <c r="A859">
        <v>2802</v>
      </c>
      <c r="B859">
        <v>11</v>
      </c>
      <c r="C859" t="s">
        <v>1819</v>
      </c>
      <c r="D859">
        <v>37374</v>
      </c>
      <c r="E859" t="s">
        <v>118</v>
      </c>
    </row>
    <row r="860" spans="1:5" x14ac:dyDescent="0.2">
      <c r="A860">
        <v>1645</v>
      </c>
      <c r="B860">
        <v>90</v>
      </c>
      <c r="C860" t="s">
        <v>397</v>
      </c>
      <c r="D860">
        <v>36326</v>
      </c>
      <c r="E860" t="s">
        <v>105</v>
      </c>
    </row>
    <row r="861" spans="1:5" x14ac:dyDescent="0.2">
      <c r="A861">
        <v>2917</v>
      </c>
      <c r="B861">
        <v>7</v>
      </c>
      <c r="C861" t="s">
        <v>1821</v>
      </c>
      <c r="D861">
        <v>37165</v>
      </c>
      <c r="E861" t="s">
        <v>1820</v>
      </c>
    </row>
    <row r="862" spans="1:5" x14ac:dyDescent="0.2">
      <c r="A862">
        <v>2755</v>
      </c>
      <c r="B862">
        <v>13</v>
      </c>
      <c r="C862" t="s">
        <v>1822</v>
      </c>
      <c r="D862">
        <v>36770</v>
      </c>
      <c r="E862" t="s">
        <v>213</v>
      </c>
    </row>
    <row r="863" spans="1:5" x14ac:dyDescent="0.2">
      <c r="A863">
        <v>2946</v>
      </c>
      <c r="B863">
        <v>6</v>
      </c>
      <c r="C863" t="s">
        <v>1823</v>
      </c>
      <c r="D863">
        <v>36526</v>
      </c>
      <c r="E863" t="s">
        <v>165</v>
      </c>
    </row>
    <row r="864" spans="1:5" x14ac:dyDescent="0.2">
      <c r="A864">
        <v>1571</v>
      </c>
      <c r="B864">
        <v>100</v>
      </c>
      <c r="C864" t="s">
        <v>838</v>
      </c>
      <c r="D864">
        <v>36696</v>
      </c>
      <c r="E864" t="s">
        <v>160</v>
      </c>
    </row>
    <row r="865" spans="1:5" x14ac:dyDescent="0.2">
      <c r="A865">
        <v>3025</v>
      </c>
      <c r="B865">
        <v>4</v>
      </c>
      <c r="C865" t="s">
        <v>1824</v>
      </c>
      <c r="D865">
        <v>37422</v>
      </c>
      <c r="E865" t="s">
        <v>105</v>
      </c>
    </row>
    <row r="866" spans="1:5" x14ac:dyDescent="0.2">
      <c r="A866">
        <v>2810</v>
      </c>
      <c r="B866">
        <v>11</v>
      </c>
      <c r="C866" t="s">
        <v>1825</v>
      </c>
      <c r="D866">
        <v>37505</v>
      </c>
      <c r="E866" t="s">
        <v>1284</v>
      </c>
    </row>
    <row r="867" spans="1:5" x14ac:dyDescent="0.2">
      <c r="A867">
        <v>3596</v>
      </c>
      <c r="B867">
        <v>0</v>
      </c>
      <c r="C867" t="s">
        <v>1826</v>
      </c>
      <c r="D867">
        <v>37925</v>
      </c>
      <c r="E867" t="s">
        <v>1279</v>
      </c>
    </row>
    <row r="868" spans="1:5" x14ac:dyDescent="0.2">
      <c r="A868">
        <v>3148</v>
      </c>
      <c r="B868">
        <v>1</v>
      </c>
      <c r="C868" t="s">
        <v>1827</v>
      </c>
      <c r="D868">
        <v>37636</v>
      </c>
      <c r="E868" t="s">
        <v>105</v>
      </c>
    </row>
    <row r="869" spans="1:5" x14ac:dyDescent="0.2">
      <c r="A869">
        <v>3190</v>
      </c>
      <c r="B869">
        <v>1</v>
      </c>
      <c r="C869" t="s">
        <v>1828</v>
      </c>
      <c r="D869">
        <v>36614</v>
      </c>
      <c r="E869" t="s">
        <v>74</v>
      </c>
    </row>
    <row r="870" spans="1:5" x14ac:dyDescent="0.2">
      <c r="A870">
        <v>3241</v>
      </c>
      <c r="B870">
        <v>0</v>
      </c>
      <c r="C870" t="s">
        <v>1829</v>
      </c>
      <c r="D870">
        <v>37166</v>
      </c>
      <c r="E870" t="s">
        <v>170</v>
      </c>
    </row>
    <row r="871" spans="1:5" x14ac:dyDescent="0.2">
      <c r="A871">
        <v>3522</v>
      </c>
      <c r="B871">
        <v>0</v>
      </c>
      <c r="C871" t="s">
        <v>1830</v>
      </c>
      <c r="D871">
        <v>37057</v>
      </c>
      <c r="E871" t="s">
        <v>1311</v>
      </c>
    </row>
    <row r="872" spans="1:5" x14ac:dyDescent="0.2">
      <c r="A872">
        <v>3322</v>
      </c>
      <c r="B872">
        <v>0</v>
      </c>
      <c r="C872" t="s">
        <v>1831</v>
      </c>
      <c r="D872">
        <v>36288</v>
      </c>
      <c r="E872" t="s">
        <v>290</v>
      </c>
    </row>
    <row r="873" spans="1:5" x14ac:dyDescent="0.2">
      <c r="A873">
        <v>2418</v>
      </c>
      <c r="B873">
        <v>29</v>
      </c>
      <c r="C873" t="s">
        <v>517</v>
      </c>
      <c r="D873">
        <v>37107</v>
      </c>
      <c r="E873" t="s">
        <v>72</v>
      </c>
    </row>
    <row r="874" spans="1:5" x14ac:dyDescent="0.2">
      <c r="A874">
        <v>2540</v>
      </c>
      <c r="B874">
        <v>24</v>
      </c>
      <c r="C874" t="s">
        <v>1832</v>
      </c>
      <c r="D874">
        <v>36759</v>
      </c>
      <c r="E874" t="s">
        <v>105</v>
      </c>
    </row>
    <row r="875" spans="1:5" x14ac:dyDescent="0.2">
      <c r="A875">
        <v>3536</v>
      </c>
      <c r="B875">
        <v>0</v>
      </c>
      <c r="C875" t="s">
        <v>1833</v>
      </c>
      <c r="D875">
        <v>37181</v>
      </c>
      <c r="E875" t="s">
        <v>105</v>
      </c>
    </row>
    <row r="876" spans="1:5" x14ac:dyDescent="0.2">
      <c r="A876">
        <v>2742</v>
      </c>
      <c r="B876">
        <v>13</v>
      </c>
      <c r="C876" t="s">
        <v>1834</v>
      </c>
      <c r="D876">
        <v>37726</v>
      </c>
      <c r="E876" t="s">
        <v>105</v>
      </c>
    </row>
    <row r="877" spans="1:5" x14ac:dyDescent="0.2">
      <c r="A877">
        <v>2555</v>
      </c>
      <c r="B877">
        <v>22</v>
      </c>
      <c r="C877" t="s">
        <v>1835</v>
      </c>
      <c r="D877">
        <v>36818</v>
      </c>
      <c r="E877" t="s">
        <v>105</v>
      </c>
    </row>
    <row r="878" spans="1:5" x14ac:dyDescent="0.2">
      <c r="A878">
        <v>3103</v>
      </c>
      <c r="B878">
        <v>2</v>
      </c>
      <c r="C878" t="s">
        <v>1836</v>
      </c>
      <c r="D878">
        <v>36526</v>
      </c>
      <c r="E878" t="s">
        <v>105</v>
      </c>
    </row>
    <row r="879" spans="1:5" x14ac:dyDescent="0.2">
      <c r="A879">
        <v>2979</v>
      </c>
      <c r="B879">
        <v>5</v>
      </c>
      <c r="C879" t="s">
        <v>1837</v>
      </c>
      <c r="D879">
        <v>37279</v>
      </c>
      <c r="E879" t="s">
        <v>120</v>
      </c>
    </row>
    <row r="880" spans="1:5" x14ac:dyDescent="0.2">
      <c r="A880">
        <v>2861</v>
      </c>
      <c r="B880">
        <v>9</v>
      </c>
      <c r="C880" t="s">
        <v>1838</v>
      </c>
      <c r="D880">
        <v>36900</v>
      </c>
      <c r="E880" t="s">
        <v>160</v>
      </c>
    </row>
    <row r="881" spans="1:5" x14ac:dyDescent="0.2">
      <c r="A881">
        <v>1581</v>
      </c>
      <c r="B881">
        <v>99</v>
      </c>
      <c r="C881" t="s">
        <v>1839</v>
      </c>
      <c r="D881">
        <v>36676</v>
      </c>
      <c r="E881" t="s">
        <v>105</v>
      </c>
    </row>
    <row r="882" spans="1:5" x14ac:dyDescent="0.2">
      <c r="A882">
        <v>3552</v>
      </c>
      <c r="B882">
        <v>0</v>
      </c>
      <c r="C882" t="s">
        <v>1840</v>
      </c>
      <c r="D882">
        <v>36860</v>
      </c>
      <c r="E882" t="s">
        <v>120</v>
      </c>
    </row>
    <row r="883" spans="1:5" x14ac:dyDescent="0.2">
      <c r="A883">
        <v>2102</v>
      </c>
      <c r="B883">
        <v>46</v>
      </c>
      <c r="C883" t="s">
        <v>1841</v>
      </c>
      <c r="D883">
        <v>37070</v>
      </c>
      <c r="E883" t="s">
        <v>120</v>
      </c>
    </row>
    <row r="884" spans="1:5" x14ac:dyDescent="0.2">
      <c r="A884">
        <v>2644</v>
      </c>
      <c r="B884">
        <v>18</v>
      </c>
      <c r="C884" t="s">
        <v>1842</v>
      </c>
      <c r="D884">
        <v>37086</v>
      </c>
      <c r="E884" t="s">
        <v>99</v>
      </c>
    </row>
    <row r="885" spans="1:5" x14ac:dyDescent="0.2">
      <c r="A885">
        <v>1908</v>
      </c>
      <c r="B885">
        <v>59</v>
      </c>
      <c r="C885" t="s">
        <v>268</v>
      </c>
      <c r="D885">
        <v>36269</v>
      </c>
      <c r="E885" t="s">
        <v>105</v>
      </c>
    </row>
    <row r="886" spans="1:5" x14ac:dyDescent="0.2">
      <c r="A886">
        <v>2798</v>
      </c>
      <c r="B886">
        <v>11</v>
      </c>
      <c r="C886" t="s">
        <v>1843</v>
      </c>
      <c r="D886">
        <v>36526</v>
      </c>
      <c r="E886" t="s">
        <v>1222</v>
      </c>
    </row>
    <row r="887" spans="1:5" x14ac:dyDescent="0.2">
      <c r="A887">
        <v>2516</v>
      </c>
      <c r="B887">
        <v>24</v>
      </c>
      <c r="C887" t="s">
        <v>398</v>
      </c>
      <c r="D887">
        <v>36646</v>
      </c>
      <c r="E887" t="s">
        <v>1236</v>
      </c>
    </row>
    <row r="888" spans="1:5" x14ac:dyDescent="0.2">
      <c r="A888">
        <v>3537</v>
      </c>
      <c r="B888">
        <v>0</v>
      </c>
      <c r="C888" t="s">
        <v>1845</v>
      </c>
      <c r="D888">
        <v>36722</v>
      </c>
      <c r="E888" t="s">
        <v>105</v>
      </c>
    </row>
    <row r="889" spans="1:5" x14ac:dyDescent="0.2">
      <c r="A889">
        <v>3075</v>
      </c>
      <c r="B889">
        <v>3</v>
      </c>
      <c r="C889" t="s">
        <v>1846</v>
      </c>
      <c r="D889">
        <v>36204</v>
      </c>
      <c r="E889" t="s">
        <v>1696</v>
      </c>
    </row>
    <row r="890" spans="1:5" x14ac:dyDescent="0.2">
      <c r="A890">
        <v>1046</v>
      </c>
      <c r="B890">
        <v>206</v>
      </c>
      <c r="C890" t="s">
        <v>269</v>
      </c>
      <c r="D890">
        <v>36354</v>
      </c>
      <c r="E890" t="s">
        <v>105</v>
      </c>
    </row>
    <row r="891" spans="1:5" x14ac:dyDescent="0.2">
      <c r="A891">
        <v>2635</v>
      </c>
      <c r="B891">
        <v>19</v>
      </c>
      <c r="C891" t="s">
        <v>1847</v>
      </c>
      <c r="D891">
        <v>37465</v>
      </c>
      <c r="E891" t="s">
        <v>105</v>
      </c>
    </row>
    <row r="892" spans="1:5" x14ac:dyDescent="0.2">
      <c r="A892">
        <v>3521</v>
      </c>
      <c r="B892">
        <v>0</v>
      </c>
      <c r="C892" t="s">
        <v>1848</v>
      </c>
      <c r="D892">
        <v>36672</v>
      </c>
      <c r="E892" t="s">
        <v>200</v>
      </c>
    </row>
    <row r="893" spans="1:5" x14ac:dyDescent="0.2">
      <c r="A893">
        <v>2866</v>
      </c>
      <c r="B893">
        <v>9</v>
      </c>
      <c r="C893" t="s">
        <v>1849</v>
      </c>
      <c r="D893">
        <v>36840</v>
      </c>
      <c r="E893" t="s">
        <v>105</v>
      </c>
    </row>
    <row r="894" spans="1:5" x14ac:dyDescent="0.2">
      <c r="A894">
        <v>3558</v>
      </c>
      <c r="B894">
        <v>0</v>
      </c>
      <c r="C894" t="s">
        <v>1850</v>
      </c>
      <c r="D894">
        <v>36638</v>
      </c>
      <c r="E894" t="s">
        <v>1156</v>
      </c>
    </row>
    <row r="895" spans="1:5" x14ac:dyDescent="0.2">
      <c r="A895">
        <v>1549</v>
      </c>
      <c r="B895">
        <v>103</v>
      </c>
      <c r="C895" t="s">
        <v>1851</v>
      </c>
      <c r="D895">
        <v>37048</v>
      </c>
      <c r="E895" t="s">
        <v>176</v>
      </c>
    </row>
    <row r="896" spans="1:5" x14ac:dyDescent="0.2">
      <c r="A896">
        <v>2173</v>
      </c>
      <c r="B896">
        <v>43</v>
      </c>
      <c r="C896" t="s">
        <v>1852</v>
      </c>
      <c r="D896">
        <v>36791</v>
      </c>
      <c r="E896" t="s">
        <v>120</v>
      </c>
    </row>
    <row r="897" spans="1:5" x14ac:dyDescent="0.2">
      <c r="A897">
        <v>1729</v>
      </c>
      <c r="B897">
        <v>80</v>
      </c>
      <c r="C897" t="s">
        <v>270</v>
      </c>
      <c r="D897">
        <v>36548</v>
      </c>
      <c r="E897" t="s">
        <v>165</v>
      </c>
    </row>
    <row r="898" spans="1:5" x14ac:dyDescent="0.2">
      <c r="A898">
        <v>3457</v>
      </c>
      <c r="B898">
        <v>0</v>
      </c>
      <c r="C898" t="s">
        <v>1853</v>
      </c>
      <c r="D898">
        <v>37461</v>
      </c>
      <c r="E898" t="s">
        <v>74</v>
      </c>
    </row>
    <row r="899" spans="1:5" x14ac:dyDescent="0.2">
      <c r="A899">
        <v>1491</v>
      </c>
      <c r="B899">
        <v>114</v>
      </c>
      <c r="C899" t="s">
        <v>839</v>
      </c>
      <c r="D899">
        <v>36840</v>
      </c>
      <c r="E899" t="s">
        <v>160</v>
      </c>
    </row>
    <row r="900" spans="1:5" x14ac:dyDescent="0.2">
      <c r="A900">
        <v>1992</v>
      </c>
      <c r="B900">
        <v>53</v>
      </c>
      <c r="C900" t="s">
        <v>1854</v>
      </c>
      <c r="D900">
        <v>37121</v>
      </c>
      <c r="E900" t="s">
        <v>154</v>
      </c>
    </row>
    <row r="901" spans="1:5" x14ac:dyDescent="0.2">
      <c r="A901">
        <v>2596</v>
      </c>
      <c r="B901">
        <v>20</v>
      </c>
      <c r="C901" t="s">
        <v>1855</v>
      </c>
      <c r="D901">
        <v>36854</v>
      </c>
      <c r="E901" t="s">
        <v>1856</v>
      </c>
    </row>
    <row r="902" spans="1:5" x14ac:dyDescent="0.2">
      <c r="A902">
        <v>2824</v>
      </c>
      <c r="B902">
        <v>10</v>
      </c>
      <c r="C902" t="s">
        <v>271</v>
      </c>
      <c r="D902">
        <v>36364</v>
      </c>
      <c r="E902" t="s">
        <v>128</v>
      </c>
    </row>
    <row r="903" spans="1:5" x14ac:dyDescent="0.2">
      <c r="A903">
        <v>1652</v>
      </c>
      <c r="B903">
        <v>89</v>
      </c>
      <c r="C903" t="s">
        <v>712</v>
      </c>
      <c r="D903">
        <v>37385</v>
      </c>
      <c r="E903" t="s">
        <v>128</v>
      </c>
    </row>
    <row r="904" spans="1:5" x14ac:dyDescent="0.2">
      <c r="A904">
        <v>1124</v>
      </c>
      <c r="B904">
        <v>185</v>
      </c>
      <c r="C904" t="s">
        <v>399</v>
      </c>
      <c r="D904">
        <v>37117</v>
      </c>
      <c r="E904" t="s">
        <v>105</v>
      </c>
    </row>
    <row r="905" spans="1:5" x14ac:dyDescent="0.2">
      <c r="A905">
        <v>3635</v>
      </c>
      <c r="B905">
        <v>0</v>
      </c>
      <c r="C905" t="s">
        <v>1857</v>
      </c>
      <c r="D905">
        <v>36990</v>
      </c>
      <c r="E905" t="s">
        <v>120</v>
      </c>
    </row>
    <row r="906" spans="1:5" x14ac:dyDescent="0.2">
      <c r="A906">
        <v>1597</v>
      </c>
      <c r="B906">
        <v>96</v>
      </c>
      <c r="C906" t="s">
        <v>400</v>
      </c>
      <c r="D906">
        <v>36322</v>
      </c>
      <c r="E906" t="s">
        <v>120</v>
      </c>
    </row>
    <row r="907" spans="1:5" x14ac:dyDescent="0.2">
      <c r="A907">
        <v>2239</v>
      </c>
      <c r="B907">
        <v>39</v>
      </c>
      <c r="C907" t="s">
        <v>1858</v>
      </c>
      <c r="D907">
        <v>36532</v>
      </c>
      <c r="E907" t="s">
        <v>138</v>
      </c>
    </row>
    <row r="908" spans="1:5" x14ac:dyDescent="0.2">
      <c r="A908">
        <v>2387</v>
      </c>
      <c r="B908">
        <v>31</v>
      </c>
      <c r="C908" t="s">
        <v>713</v>
      </c>
      <c r="D908">
        <v>37294</v>
      </c>
      <c r="E908" t="s">
        <v>1286</v>
      </c>
    </row>
    <row r="909" spans="1:5" x14ac:dyDescent="0.2">
      <c r="A909">
        <v>3242</v>
      </c>
      <c r="B909">
        <v>0</v>
      </c>
      <c r="C909" t="s">
        <v>1859</v>
      </c>
      <c r="D909">
        <v>37608</v>
      </c>
      <c r="E909" t="s">
        <v>1171</v>
      </c>
    </row>
    <row r="910" spans="1:5" x14ac:dyDescent="0.2">
      <c r="A910">
        <v>2340</v>
      </c>
      <c r="B910">
        <v>33</v>
      </c>
      <c r="C910" t="s">
        <v>518</v>
      </c>
      <c r="D910">
        <v>36440</v>
      </c>
      <c r="E910" t="s">
        <v>103</v>
      </c>
    </row>
    <row r="911" spans="1:5" x14ac:dyDescent="0.2">
      <c r="A911">
        <v>3359</v>
      </c>
      <c r="B911">
        <v>0</v>
      </c>
      <c r="C911" t="s">
        <v>1861</v>
      </c>
      <c r="D911">
        <v>36755</v>
      </c>
      <c r="E911" t="s">
        <v>72</v>
      </c>
    </row>
    <row r="912" spans="1:5" x14ac:dyDescent="0.2">
      <c r="A912">
        <v>3616</v>
      </c>
      <c r="B912">
        <v>0</v>
      </c>
      <c r="C912" t="s">
        <v>1862</v>
      </c>
      <c r="D912">
        <v>37192</v>
      </c>
      <c r="E912" t="s">
        <v>1285</v>
      </c>
    </row>
    <row r="913" spans="1:5" x14ac:dyDescent="0.2">
      <c r="A913">
        <v>3490</v>
      </c>
      <c r="B913">
        <v>0</v>
      </c>
      <c r="C913" t="s">
        <v>1863</v>
      </c>
      <c r="D913">
        <v>37412</v>
      </c>
      <c r="E913" t="s">
        <v>1493</v>
      </c>
    </row>
    <row r="914" spans="1:5" x14ac:dyDescent="0.2">
      <c r="A914">
        <v>3263</v>
      </c>
      <c r="B914">
        <v>0</v>
      </c>
      <c r="C914" t="s">
        <v>1864</v>
      </c>
      <c r="D914">
        <v>37068</v>
      </c>
      <c r="E914" t="s">
        <v>1493</v>
      </c>
    </row>
    <row r="915" spans="1:5" x14ac:dyDescent="0.2">
      <c r="A915">
        <v>2846</v>
      </c>
      <c r="B915">
        <v>9</v>
      </c>
      <c r="C915" t="s">
        <v>1865</v>
      </c>
      <c r="D915">
        <v>36991</v>
      </c>
      <c r="E915" t="s">
        <v>1311</v>
      </c>
    </row>
    <row r="916" spans="1:5" x14ac:dyDescent="0.2">
      <c r="A916">
        <v>2487</v>
      </c>
      <c r="B916">
        <v>26</v>
      </c>
      <c r="C916" t="s">
        <v>1866</v>
      </c>
      <c r="D916">
        <v>36445</v>
      </c>
      <c r="E916" t="s">
        <v>1867</v>
      </c>
    </row>
    <row r="917" spans="1:5" x14ac:dyDescent="0.2">
      <c r="A917">
        <v>2445</v>
      </c>
      <c r="B917">
        <v>28</v>
      </c>
      <c r="C917" t="s">
        <v>1868</v>
      </c>
      <c r="D917">
        <v>37119</v>
      </c>
      <c r="E917" t="s">
        <v>1869</v>
      </c>
    </row>
    <row r="918" spans="1:5" x14ac:dyDescent="0.2">
      <c r="A918">
        <v>1669</v>
      </c>
      <c r="B918">
        <v>87</v>
      </c>
      <c r="C918" t="s">
        <v>1870</v>
      </c>
      <c r="D918">
        <v>37084</v>
      </c>
      <c r="E918" t="s">
        <v>108</v>
      </c>
    </row>
    <row r="919" spans="1:5" x14ac:dyDescent="0.2">
      <c r="A919">
        <v>1694</v>
      </c>
      <c r="B919">
        <v>84</v>
      </c>
      <c r="C919" t="s">
        <v>272</v>
      </c>
      <c r="D919">
        <v>36584</v>
      </c>
      <c r="E919" t="s">
        <v>113</v>
      </c>
    </row>
    <row r="920" spans="1:5" x14ac:dyDescent="0.2">
      <c r="A920">
        <v>1870</v>
      </c>
      <c r="B920">
        <v>63</v>
      </c>
      <c r="C920" t="s">
        <v>273</v>
      </c>
      <c r="D920">
        <v>36280</v>
      </c>
      <c r="E920" t="s">
        <v>113</v>
      </c>
    </row>
    <row r="921" spans="1:5" x14ac:dyDescent="0.2">
      <c r="A921">
        <v>999</v>
      </c>
      <c r="B921">
        <v>222</v>
      </c>
      <c r="C921" t="s">
        <v>519</v>
      </c>
      <c r="D921">
        <v>36282</v>
      </c>
      <c r="E921" t="s">
        <v>99</v>
      </c>
    </row>
    <row r="922" spans="1:5" x14ac:dyDescent="0.2">
      <c r="A922">
        <v>3455</v>
      </c>
      <c r="B922">
        <v>0</v>
      </c>
      <c r="C922" t="s">
        <v>1871</v>
      </c>
      <c r="D922">
        <v>36822</v>
      </c>
      <c r="E922" t="s">
        <v>183</v>
      </c>
    </row>
    <row r="923" spans="1:5" x14ac:dyDescent="0.2">
      <c r="A923">
        <v>3106</v>
      </c>
      <c r="B923">
        <v>2</v>
      </c>
      <c r="C923" t="s">
        <v>1872</v>
      </c>
      <c r="D923">
        <v>37463</v>
      </c>
      <c r="E923" t="s">
        <v>126</v>
      </c>
    </row>
    <row r="924" spans="1:5" x14ac:dyDescent="0.2">
      <c r="A924">
        <v>1817</v>
      </c>
      <c r="B924">
        <v>70</v>
      </c>
      <c r="C924" t="s">
        <v>274</v>
      </c>
      <c r="D924">
        <v>36167</v>
      </c>
      <c r="E924" t="s">
        <v>128</v>
      </c>
    </row>
    <row r="925" spans="1:5" x14ac:dyDescent="0.2">
      <c r="A925">
        <v>3131</v>
      </c>
      <c r="B925">
        <v>2</v>
      </c>
      <c r="C925" t="s">
        <v>1873</v>
      </c>
      <c r="D925">
        <v>37602</v>
      </c>
      <c r="E925" t="s">
        <v>120</v>
      </c>
    </row>
    <row r="926" spans="1:5" x14ac:dyDescent="0.2">
      <c r="A926">
        <v>2840</v>
      </c>
      <c r="B926">
        <v>10</v>
      </c>
      <c r="C926" t="s">
        <v>1874</v>
      </c>
      <c r="D926">
        <v>36790</v>
      </c>
      <c r="E926" t="s">
        <v>1158</v>
      </c>
    </row>
    <row r="927" spans="1:5" x14ac:dyDescent="0.2">
      <c r="A927">
        <v>2049</v>
      </c>
      <c r="B927">
        <v>49</v>
      </c>
      <c r="C927" t="s">
        <v>1875</v>
      </c>
      <c r="D927">
        <v>36570</v>
      </c>
      <c r="E927" t="s">
        <v>105</v>
      </c>
    </row>
    <row r="928" spans="1:5" x14ac:dyDescent="0.2">
      <c r="A928">
        <v>3515</v>
      </c>
      <c r="B928">
        <v>0</v>
      </c>
      <c r="C928" t="s">
        <v>1876</v>
      </c>
      <c r="D928">
        <v>36177</v>
      </c>
      <c r="E928" t="s">
        <v>105</v>
      </c>
    </row>
    <row r="929" spans="1:5" x14ac:dyDescent="0.2">
      <c r="A929">
        <v>2805</v>
      </c>
      <c r="B929">
        <v>11</v>
      </c>
      <c r="C929" t="s">
        <v>1877</v>
      </c>
      <c r="D929">
        <v>36311</v>
      </c>
      <c r="E929" t="s">
        <v>1211</v>
      </c>
    </row>
    <row r="930" spans="1:5" x14ac:dyDescent="0.2">
      <c r="A930">
        <v>3586</v>
      </c>
      <c r="B930">
        <v>0</v>
      </c>
      <c r="C930" t="s">
        <v>1878</v>
      </c>
      <c r="D930">
        <v>37289</v>
      </c>
      <c r="E930" t="s">
        <v>1236</v>
      </c>
    </row>
    <row r="931" spans="1:5" x14ac:dyDescent="0.2">
      <c r="A931">
        <v>1541</v>
      </c>
      <c r="B931">
        <v>103</v>
      </c>
      <c r="C931" t="s">
        <v>275</v>
      </c>
      <c r="D931">
        <v>36998</v>
      </c>
      <c r="E931" t="s">
        <v>99</v>
      </c>
    </row>
    <row r="932" spans="1:5" x14ac:dyDescent="0.2">
      <c r="A932">
        <v>3328</v>
      </c>
      <c r="B932">
        <v>0</v>
      </c>
      <c r="C932" t="s">
        <v>1879</v>
      </c>
      <c r="D932">
        <v>36760</v>
      </c>
      <c r="E932" t="s">
        <v>83</v>
      </c>
    </row>
    <row r="933" spans="1:5" x14ac:dyDescent="0.2">
      <c r="A933">
        <v>2316</v>
      </c>
      <c r="B933">
        <v>34</v>
      </c>
      <c r="C933" t="s">
        <v>520</v>
      </c>
      <c r="D933">
        <v>36771</v>
      </c>
      <c r="E933" t="s">
        <v>120</v>
      </c>
    </row>
    <row r="934" spans="1:5" x14ac:dyDescent="0.2">
      <c r="A934">
        <v>2904</v>
      </c>
      <c r="B934">
        <v>7</v>
      </c>
      <c r="C934" t="s">
        <v>276</v>
      </c>
      <c r="D934">
        <v>36869</v>
      </c>
      <c r="E934" t="s">
        <v>105</v>
      </c>
    </row>
    <row r="935" spans="1:5" x14ac:dyDescent="0.2">
      <c r="A935">
        <v>1460</v>
      </c>
      <c r="B935">
        <v>119</v>
      </c>
      <c r="C935" t="s">
        <v>1880</v>
      </c>
      <c r="D935">
        <v>36928</v>
      </c>
      <c r="E935" t="s">
        <v>105</v>
      </c>
    </row>
    <row r="936" spans="1:5" x14ac:dyDescent="0.2">
      <c r="A936">
        <v>1043</v>
      </c>
      <c r="B936">
        <v>207</v>
      </c>
      <c r="C936" t="s">
        <v>521</v>
      </c>
      <c r="D936">
        <v>36980</v>
      </c>
      <c r="E936" t="s">
        <v>282</v>
      </c>
    </row>
    <row r="937" spans="1:5" x14ac:dyDescent="0.2">
      <c r="A937">
        <v>3157</v>
      </c>
      <c r="B937">
        <v>1</v>
      </c>
      <c r="C937" t="s">
        <v>1881</v>
      </c>
      <c r="D937">
        <v>37464</v>
      </c>
      <c r="E937" t="s">
        <v>1882</v>
      </c>
    </row>
    <row r="938" spans="1:5" x14ac:dyDescent="0.2">
      <c r="A938">
        <v>3158</v>
      </c>
      <c r="B938">
        <v>1</v>
      </c>
      <c r="C938" t="s">
        <v>1883</v>
      </c>
      <c r="D938">
        <v>36732</v>
      </c>
      <c r="E938" t="s">
        <v>99</v>
      </c>
    </row>
    <row r="939" spans="1:5" x14ac:dyDescent="0.2">
      <c r="A939">
        <v>2483</v>
      </c>
      <c r="B939">
        <v>26</v>
      </c>
      <c r="C939" t="s">
        <v>1884</v>
      </c>
      <c r="D939">
        <v>36660</v>
      </c>
      <c r="E939" t="s">
        <v>147</v>
      </c>
    </row>
    <row r="940" spans="1:5" x14ac:dyDescent="0.2">
      <c r="A940">
        <v>3216</v>
      </c>
      <c r="B940">
        <v>0</v>
      </c>
      <c r="C940" t="s">
        <v>1885</v>
      </c>
      <c r="D940">
        <v>37781</v>
      </c>
      <c r="E940" t="s">
        <v>133</v>
      </c>
    </row>
    <row r="941" spans="1:5" x14ac:dyDescent="0.2">
      <c r="A941">
        <v>2419</v>
      </c>
      <c r="B941">
        <v>29</v>
      </c>
      <c r="C941" t="s">
        <v>714</v>
      </c>
      <c r="D941">
        <v>36924</v>
      </c>
      <c r="E941" t="s">
        <v>1156</v>
      </c>
    </row>
    <row r="942" spans="1:5" x14ac:dyDescent="0.2">
      <c r="A942">
        <v>3420</v>
      </c>
      <c r="B942">
        <v>0</v>
      </c>
      <c r="C942" t="s">
        <v>1886</v>
      </c>
      <c r="D942">
        <v>36951</v>
      </c>
      <c r="E942" t="s">
        <v>165</v>
      </c>
    </row>
    <row r="943" spans="1:5" x14ac:dyDescent="0.2">
      <c r="A943">
        <v>3632</v>
      </c>
      <c r="B943">
        <v>0</v>
      </c>
      <c r="C943" t="s">
        <v>1887</v>
      </c>
      <c r="D943">
        <v>37254</v>
      </c>
      <c r="E943" t="s">
        <v>138</v>
      </c>
    </row>
    <row r="944" spans="1:5" x14ac:dyDescent="0.2">
      <c r="A944">
        <v>3389</v>
      </c>
      <c r="B944">
        <v>0</v>
      </c>
      <c r="C944" t="s">
        <v>1888</v>
      </c>
      <c r="D944">
        <v>36413</v>
      </c>
      <c r="E944" t="s">
        <v>1889</v>
      </c>
    </row>
    <row r="945" spans="1:5" x14ac:dyDescent="0.2">
      <c r="A945">
        <v>2094</v>
      </c>
      <c r="B945">
        <v>46</v>
      </c>
      <c r="C945" t="s">
        <v>401</v>
      </c>
      <c r="D945">
        <v>36636</v>
      </c>
      <c r="E945" t="s">
        <v>231</v>
      </c>
    </row>
    <row r="946" spans="1:5" x14ac:dyDescent="0.2">
      <c r="A946">
        <v>2473</v>
      </c>
      <c r="B946">
        <v>26</v>
      </c>
      <c r="C946" t="s">
        <v>277</v>
      </c>
      <c r="D946">
        <v>36868</v>
      </c>
      <c r="E946" t="s">
        <v>120</v>
      </c>
    </row>
    <row r="947" spans="1:5" x14ac:dyDescent="0.2">
      <c r="A947">
        <v>2781</v>
      </c>
      <c r="B947">
        <v>12</v>
      </c>
      <c r="C947" t="s">
        <v>1890</v>
      </c>
      <c r="D947">
        <v>36728</v>
      </c>
      <c r="E947" t="s">
        <v>110</v>
      </c>
    </row>
    <row r="948" spans="1:5" x14ac:dyDescent="0.2">
      <c r="A948">
        <v>2566</v>
      </c>
      <c r="B948">
        <v>22</v>
      </c>
      <c r="C948" t="s">
        <v>1891</v>
      </c>
      <c r="D948">
        <v>36775</v>
      </c>
      <c r="E948" t="s">
        <v>122</v>
      </c>
    </row>
    <row r="949" spans="1:5" x14ac:dyDescent="0.2">
      <c r="A949">
        <v>2041</v>
      </c>
      <c r="B949">
        <v>49</v>
      </c>
      <c r="C949" t="s">
        <v>278</v>
      </c>
      <c r="D949">
        <v>36615</v>
      </c>
      <c r="E949" t="s">
        <v>1214</v>
      </c>
    </row>
    <row r="950" spans="1:5" x14ac:dyDescent="0.2">
      <c r="A950">
        <v>1719</v>
      </c>
      <c r="B950">
        <v>81</v>
      </c>
      <c r="C950" t="s">
        <v>1892</v>
      </c>
      <c r="D950">
        <v>36803</v>
      </c>
      <c r="E950" t="s">
        <v>113</v>
      </c>
    </row>
    <row r="951" spans="1:5" x14ac:dyDescent="0.2">
      <c r="A951">
        <v>2952</v>
      </c>
      <c r="B951">
        <v>6</v>
      </c>
      <c r="C951" t="s">
        <v>1893</v>
      </c>
      <c r="D951">
        <v>36363</v>
      </c>
      <c r="E951" t="s">
        <v>120</v>
      </c>
    </row>
    <row r="952" spans="1:5" x14ac:dyDescent="0.2">
      <c r="A952">
        <v>2860</v>
      </c>
      <c r="B952">
        <v>9</v>
      </c>
      <c r="C952" t="s">
        <v>1894</v>
      </c>
      <c r="D952">
        <v>36573</v>
      </c>
      <c r="E952" t="s">
        <v>122</v>
      </c>
    </row>
    <row r="953" spans="1:5" x14ac:dyDescent="0.2">
      <c r="A953">
        <v>3059</v>
      </c>
      <c r="B953">
        <v>4</v>
      </c>
      <c r="C953" t="s">
        <v>1895</v>
      </c>
      <c r="D953">
        <v>38255</v>
      </c>
      <c r="E953" t="s">
        <v>105</v>
      </c>
    </row>
    <row r="954" spans="1:5" x14ac:dyDescent="0.2">
      <c r="A954">
        <v>2664</v>
      </c>
      <c r="B954">
        <v>17</v>
      </c>
      <c r="C954" t="s">
        <v>1896</v>
      </c>
      <c r="D954">
        <v>36809</v>
      </c>
      <c r="E954" t="s">
        <v>1897</v>
      </c>
    </row>
    <row r="955" spans="1:5" x14ac:dyDescent="0.2">
      <c r="A955">
        <v>2517</v>
      </c>
      <c r="B955">
        <v>24</v>
      </c>
      <c r="C955" t="s">
        <v>522</v>
      </c>
      <c r="D955">
        <v>36695</v>
      </c>
      <c r="E955" t="s">
        <v>1423</v>
      </c>
    </row>
    <row r="956" spans="1:5" x14ac:dyDescent="0.2">
      <c r="A956">
        <v>3102</v>
      </c>
      <c r="B956">
        <v>2</v>
      </c>
      <c r="C956" t="s">
        <v>1898</v>
      </c>
      <c r="D956">
        <v>36825</v>
      </c>
      <c r="E956" t="s">
        <v>74</v>
      </c>
    </row>
    <row r="957" spans="1:5" x14ac:dyDescent="0.2">
      <c r="A957">
        <v>2630</v>
      </c>
      <c r="B957">
        <v>19</v>
      </c>
      <c r="C957" t="s">
        <v>1899</v>
      </c>
      <c r="D957">
        <v>37025</v>
      </c>
      <c r="E957" t="s">
        <v>127</v>
      </c>
    </row>
    <row r="958" spans="1:5" x14ac:dyDescent="0.2">
      <c r="A958">
        <v>1423</v>
      </c>
      <c r="B958">
        <v>128</v>
      </c>
      <c r="C958" t="s">
        <v>523</v>
      </c>
      <c r="D958">
        <v>36371</v>
      </c>
      <c r="E958" t="s">
        <v>99</v>
      </c>
    </row>
    <row r="959" spans="1:5" x14ac:dyDescent="0.2">
      <c r="A959">
        <v>2838</v>
      </c>
      <c r="B959">
        <v>10</v>
      </c>
      <c r="C959" t="s">
        <v>1900</v>
      </c>
      <c r="D959">
        <v>36355</v>
      </c>
      <c r="E959" t="s">
        <v>120</v>
      </c>
    </row>
    <row r="960" spans="1:5" x14ac:dyDescent="0.2">
      <c r="A960">
        <v>2257</v>
      </c>
      <c r="B960">
        <v>38</v>
      </c>
      <c r="C960" t="s">
        <v>1901</v>
      </c>
      <c r="D960">
        <v>36447</v>
      </c>
      <c r="E960" t="s">
        <v>120</v>
      </c>
    </row>
    <row r="961" spans="1:5" x14ac:dyDescent="0.2">
      <c r="A961">
        <v>3460</v>
      </c>
      <c r="B961">
        <v>0</v>
      </c>
      <c r="C961" t="s">
        <v>1902</v>
      </c>
      <c r="D961">
        <v>36574</v>
      </c>
      <c r="E961" t="s">
        <v>290</v>
      </c>
    </row>
    <row r="962" spans="1:5" x14ac:dyDescent="0.2">
      <c r="A962">
        <v>2471</v>
      </c>
      <c r="B962">
        <v>26</v>
      </c>
      <c r="C962" t="s">
        <v>279</v>
      </c>
      <c r="D962">
        <v>36699</v>
      </c>
      <c r="E962" t="s">
        <v>120</v>
      </c>
    </row>
    <row r="963" spans="1:5" x14ac:dyDescent="0.2">
      <c r="A963">
        <v>3130</v>
      </c>
      <c r="B963">
        <v>2</v>
      </c>
      <c r="C963" t="s">
        <v>1903</v>
      </c>
      <c r="D963">
        <v>37723</v>
      </c>
      <c r="E963" t="s">
        <v>120</v>
      </c>
    </row>
    <row r="964" spans="1:5" x14ac:dyDescent="0.2">
      <c r="A964">
        <v>2826</v>
      </c>
      <c r="B964">
        <v>10</v>
      </c>
      <c r="C964" t="s">
        <v>1904</v>
      </c>
      <c r="D964">
        <v>37238</v>
      </c>
      <c r="E964" t="s">
        <v>1427</v>
      </c>
    </row>
    <row r="965" spans="1:5" x14ac:dyDescent="0.2">
      <c r="A965">
        <v>1056</v>
      </c>
      <c r="B965">
        <v>205</v>
      </c>
      <c r="C965" t="s">
        <v>1905</v>
      </c>
      <c r="D965">
        <v>37062</v>
      </c>
      <c r="E965" t="s">
        <v>1906</v>
      </c>
    </row>
    <row r="966" spans="1:5" x14ac:dyDescent="0.2">
      <c r="A966">
        <v>2640</v>
      </c>
      <c r="B966">
        <v>18</v>
      </c>
      <c r="C966" t="s">
        <v>524</v>
      </c>
      <c r="D966">
        <v>36787</v>
      </c>
      <c r="E966" t="s">
        <v>72</v>
      </c>
    </row>
    <row r="967" spans="1:5" x14ac:dyDescent="0.2">
      <c r="A967">
        <v>2062</v>
      </c>
      <c r="B967">
        <v>48</v>
      </c>
      <c r="C967" t="s">
        <v>1907</v>
      </c>
      <c r="D967">
        <v>36206</v>
      </c>
      <c r="E967" t="s">
        <v>1447</v>
      </c>
    </row>
    <row r="968" spans="1:5" x14ac:dyDescent="0.2">
      <c r="A968">
        <v>1742</v>
      </c>
      <c r="B968">
        <v>77</v>
      </c>
      <c r="C968" t="s">
        <v>525</v>
      </c>
      <c r="D968">
        <v>36678</v>
      </c>
      <c r="E968" t="s">
        <v>72</v>
      </c>
    </row>
    <row r="969" spans="1:5" x14ac:dyDescent="0.2">
      <c r="A969">
        <v>2957</v>
      </c>
      <c r="B969">
        <v>6</v>
      </c>
      <c r="C969" t="s">
        <v>1908</v>
      </c>
      <c r="D969">
        <v>36931</v>
      </c>
      <c r="E969" t="s">
        <v>1236</v>
      </c>
    </row>
    <row r="970" spans="1:5" x14ac:dyDescent="0.2">
      <c r="A970">
        <v>2856</v>
      </c>
      <c r="B970">
        <v>9</v>
      </c>
      <c r="C970" t="s">
        <v>1909</v>
      </c>
      <c r="D970">
        <v>37257</v>
      </c>
      <c r="E970" t="s">
        <v>73</v>
      </c>
    </row>
    <row r="971" spans="1:5" x14ac:dyDescent="0.2">
      <c r="A971">
        <v>2123</v>
      </c>
      <c r="B971">
        <v>45</v>
      </c>
      <c r="C971" t="s">
        <v>1910</v>
      </c>
      <c r="D971">
        <v>36906</v>
      </c>
      <c r="E971" t="s">
        <v>104</v>
      </c>
    </row>
    <row r="972" spans="1:5" x14ac:dyDescent="0.2">
      <c r="A972">
        <v>2510</v>
      </c>
      <c r="B972">
        <v>25</v>
      </c>
      <c r="C972" t="s">
        <v>1911</v>
      </c>
      <c r="D972">
        <v>36870</v>
      </c>
      <c r="E972" t="s">
        <v>227</v>
      </c>
    </row>
    <row r="973" spans="1:5" x14ac:dyDescent="0.2">
      <c r="A973">
        <v>3690</v>
      </c>
      <c r="B973">
        <v>0</v>
      </c>
      <c r="C973" t="s">
        <v>1912</v>
      </c>
      <c r="D973">
        <v>36788</v>
      </c>
      <c r="E973" t="s">
        <v>166</v>
      </c>
    </row>
    <row r="974" spans="1:5" x14ac:dyDescent="0.2">
      <c r="A974">
        <v>3377</v>
      </c>
      <c r="B974">
        <v>0</v>
      </c>
      <c r="C974" t="s">
        <v>1913</v>
      </c>
      <c r="D974">
        <v>37706</v>
      </c>
      <c r="E974" t="s">
        <v>120</v>
      </c>
    </row>
    <row r="975" spans="1:5" x14ac:dyDescent="0.2">
      <c r="A975">
        <v>2654</v>
      </c>
      <c r="B975">
        <v>18</v>
      </c>
      <c r="C975" t="s">
        <v>1914</v>
      </c>
      <c r="D975">
        <v>36331</v>
      </c>
      <c r="E975" t="s">
        <v>138</v>
      </c>
    </row>
    <row r="976" spans="1:5" x14ac:dyDescent="0.2">
      <c r="A976">
        <v>2976</v>
      </c>
      <c r="B976">
        <v>5</v>
      </c>
      <c r="C976" t="s">
        <v>1915</v>
      </c>
      <c r="D976">
        <v>36537</v>
      </c>
      <c r="E976" t="s">
        <v>213</v>
      </c>
    </row>
    <row r="977" spans="1:5" x14ac:dyDescent="0.2">
      <c r="A977">
        <v>2281</v>
      </c>
      <c r="B977">
        <v>36</v>
      </c>
      <c r="C977" t="s">
        <v>526</v>
      </c>
      <c r="D977">
        <v>36749</v>
      </c>
      <c r="E977" t="s">
        <v>72</v>
      </c>
    </row>
    <row r="978" spans="1:5" x14ac:dyDescent="0.2">
      <c r="A978">
        <v>3368</v>
      </c>
      <c r="B978">
        <v>0</v>
      </c>
      <c r="C978" t="s">
        <v>1916</v>
      </c>
      <c r="D978">
        <v>36924</v>
      </c>
      <c r="E978" t="s">
        <v>72</v>
      </c>
    </row>
    <row r="979" spans="1:5" x14ac:dyDescent="0.2">
      <c r="A979">
        <v>3532</v>
      </c>
      <c r="B979">
        <v>0</v>
      </c>
      <c r="C979" t="s">
        <v>1917</v>
      </c>
      <c r="D979">
        <v>36886</v>
      </c>
      <c r="E979" t="s">
        <v>105</v>
      </c>
    </row>
    <row r="980" spans="1:5" x14ac:dyDescent="0.2">
      <c r="A980">
        <v>1805</v>
      </c>
      <c r="B980">
        <v>71</v>
      </c>
      <c r="C980" t="s">
        <v>280</v>
      </c>
      <c r="D980">
        <v>36818</v>
      </c>
      <c r="E980" t="s">
        <v>120</v>
      </c>
    </row>
    <row r="981" spans="1:5" x14ac:dyDescent="0.2">
      <c r="A981">
        <v>2716</v>
      </c>
      <c r="B981">
        <v>14</v>
      </c>
      <c r="C981" t="s">
        <v>1918</v>
      </c>
      <c r="D981">
        <v>36787</v>
      </c>
      <c r="E981" t="s">
        <v>165</v>
      </c>
    </row>
    <row r="982" spans="1:5" x14ac:dyDescent="0.2">
      <c r="A982">
        <v>2862</v>
      </c>
      <c r="B982">
        <v>9</v>
      </c>
      <c r="C982" t="s">
        <v>1919</v>
      </c>
      <c r="D982">
        <v>36765</v>
      </c>
      <c r="E982" t="s">
        <v>1264</v>
      </c>
    </row>
    <row r="983" spans="1:5" x14ac:dyDescent="0.2">
      <c r="A983">
        <v>1874</v>
      </c>
      <c r="B983">
        <v>63</v>
      </c>
      <c r="C983" t="s">
        <v>840</v>
      </c>
      <c r="D983">
        <v>36584</v>
      </c>
      <c r="E983" t="s">
        <v>469</v>
      </c>
    </row>
    <row r="984" spans="1:5" x14ac:dyDescent="0.2">
      <c r="A984">
        <v>2674</v>
      </c>
      <c r="B984">
        <v>16</v>
      </c>
      <c r="C984" t="s">
        <v>1920</v>
      </c>
      <c r="D984">
        <v>36913</v>
      </c>
      <c r="E984" t="s">
        <v>113</v>
      </c>
    </row>
    <row r="985" spans="1:5" x14ac:dyDescent="0.2">
      <c r="A985">
        <v>2794</v>
      </c>
      <c r="B985">
        <v>11</v>
      </c>
      <c r="C985" t="s">
        <v>1921</v>
      </c>
      <c r="D985">
        <v>37203</v>
      </c>
      <c r="E985" t="s">
        <v>105</v>
      </c>
    </row>
    <row r="986" spans="1:5" x14ac:dyDescent="0.2">
      <c r="A986">
        <v>1637</v>
      </c>
      <c r="B986">
        <v>91</v>
      </c>
      <c r="C986" t="s">
        <v>1922</v>
      </c>
      <c r="D986">
        <v>36699</v>
      </c>
      <c r="E986" t="s">
        <v>1284</v>
      </c>
    </row>
    <row r="987" spans="1:5" x14ac:dyDescent="0.2">
      <c r="A987">
        <v>3491</v>
      </c>
      <c r="B987">
        <v>0</v>
      </c>
      <c r="C987" t="s">
        <v>1923</v>
      </c>
      <c r="D987">
        <v>37465</v>
      </c>
      <c r="E987" t="s">
        <v>1248</v>
      </c>
    </row>
    <row r="988" spans="1:5" x14ac:dyDescent="0.2">
      <c r="A988">
        <v>3323</v>
      </c>
      <c r="B988">
        <v>0</v>
      </c>
      <c r="C988" t="s">
        <v>1924</v>
      </c>
      <c r="D988">
        <v>37035</v>
      </c>
      <c r="E988" t="s">
        <v>1307</v>
      </c>
    </row>
    <row r="989" spans="1:5" x14ac:dyDescent="0.2">
      <c r="A989">
        <v>1965</v>
      </c>
      <c r="B989">
        <v>55</v>
      </c>
      <c r="C989" t="s">
        <v>1925</v>
      </c>
      <c r="D989">
        <v>36191</v>
      </c>
      <c r="E989" t="s">
        <v>120</v>
      </c>
    </row>
    <row r="990" spans="1:5" x14ac:dyDescent="0.2">
      <c r="A990">
        <v>2544</v>
      </c>
      <c r="B990">
        <v>23</v>
      </c>
      <c r="C990" t="s">
        <v>527</v>
      </c>
      <c r="D990">
        <v>37176</v>
      </c>
      <c r="E990" t="s">
        <v>138</v>
      </c>
    </row>
    <row r="991" spans="1:5" x14ac:dyDescent="0.2">
      <c r="A991">
        <v>3463</v>
      </c>
      <c r="B991">
        <v>0</v>
      </c>
      <c r="C991" t="s">
        <v>1926</v>
      </c>
      <c r="D991">
        <v>37354</v>
      </c>
      <c r="E991" t="s">
        <v>74</v>
      </c>
    </row>
    <row r="992" spans="1:5" x14ac:dyDescent="0.2">
      <c r="A992">
        <v>3679</v>
      </c>
      <c r="B992">
        <v>0</v>
      </c>
      <c r="C992" t="s">
        <v>1927</v>
      </c>
      <c r="D992">
        <v>36971</v>
      </c>
      <c r="E992" t="s">
        <v>1311</v>
      </c>
    </row>
    <row r="993" spans="1:5" x14ac:dyDescent="0.2">
      <c r="A993">
        <v>1556</v>
      </c>
      <c r="B993">
        <v>101</v>
      </c>
      <c r="C993" t="s">
        <v>528</v>
      </c>
      <c r="D993">
        <v>36922</v>
      </c>
      <c r="E993" t="s">
        <v>105</v>
      </c>
    </row>
    <row r="994" spans="1:5" x14ac:dyDescent="0.2">
      <c r="A994">
        <v>798</v>
      </c>
      <c r="B994">
        <v>296</v>
      </c>
      <c r="C994" t="s">
        <v>281</v>
      </c>
      <c r="D994">
        <v>36250</v>
      </c>
      <c r="E994" t="s">
        <v>105</v>
      </c>
    </row>
    <row r="995" spans="1:5" x14ac:dyDescent="0.2">
      <c r="A995">
        <v>1703</v>
      </c>
      <c r="B995">
        <v>83</v>
      </c>
      <c r="C995" t="s">
        <v>281</v>
      </c>
      <c r="D995">
        <v>37090</v>
      </c>
      <c r="E995" t="s">
        <v>113</v>
      </c>
    </row>
    <row r="996" spans="1:5" x14ac:dyDescent="0.2">
      <c r="A996">
        <v>1987</v>
      </c>
      <c r="B996">
        <v>53</v>
      </c>
      <c r="C996" t="s">
        <v>529</v>
      </c>
      <c r="D996">
        <v>36508</v>
      </c>
      <c r="E996" t="s">
        <v>72</v>
      </c>
    </row>
    <row r="997" spans="1:5" x14ac:dyDescent="0.2">
      <c r="A997">
        <v>2347</v>
      </c>
      <c r="B997">
        <v>33</v>
      </c>
      <c r="C997" t="s">
        <v>715</v>
      </c>
      <c r="D997">
        <v>37158</v>
      </c>
      <c r="E997" t="s">
        <v>716</v>
      </c>
    </row>
    <row r="998" spans="1:5" x14ac:dyDescent="0.2">
      <c r="A998">
        <v>2631</v>
      </c>
      <c r="B998">
        <v>19</v>
      </c>
      <c r="C998" t="s">
        <v>1928</v>
      </c>
      <c r="D998">
        <v>36662</v>
      </c>
      <c r="E998" t="s">
        <v>1929</v>
      </c>
    </row>
    <row r="999" spans="1:5" x14ac:dyDescent="0.2">
      <c r="A999">
        <v>2076</v>
      </c>
      <c r="B999">
        <v>47</v>
      </c>
      <c r="C999" t="s">
        <v>283</v>
      </c>
      <c r="D999">
        <v>36353</v>
      </c>
      <c r="E999" t="s">
        <v>129</v>
      </c>
    </row>
    <row r="1000" spans="1:5" x14ac:dyDescent="0.2">
      <c r="A1000">
        <v>3404</v>
      </c>
      <c r="B1000">
        <v>0</v>
      </c>
      <c r="C1000" t="s">
        <v>1930</v>
      </c>
      <c r="D1000">
        <v>36187</v>
      </c>
      <c r="E1000" t="s">
        <v>120</v>
      </c>
    </row>
    <row r="1001" spans="1:5" x14ac:dyDescent="0.2">
      <c r="A1001">
        <v>2924</v>
      </c>
      <c r="B1001">
        <v>7</v>
      </c>
      <c r="C1001" t="s">
        <v>1931</v>
      </c>
      <c r="D1001">
        <v>36978</v>
      </c>
      <c r="E1001" t="s">
        <v>1423</v>
      </c>
    </row>
    <row r="1002" spans="1:5" x14ac:dyDescent="0.2">
      <c r="A1002">
        <v>2054</v>
      </c>
      <c r="B1002">
        <v>48</v>
      </c>
      <c r="C1002" t="s">
        <v>717</v>
      </c>
      <c r="D1002">
        <v>37265</v>
      </c>
      <c r="E1002" t="s">
        <v>105</v>
      </c>
    </row>
    <row r="1003" spans="1:5" x14ac:dyDescent="0.2">
      <c r="A1003">
        <v>2333</v>
      </c>
      <c r="B1003">
        <v>33</v>
      </c>
      <c r="C1003" t="s">
        <v>530</v>
      </c>
      <c r="D1003">
        <v>36526</v>
      </c>
      <c r="E1003" t="s">
        <v>122</v>
      </c>
    </row>
    <row r="1004" spans="1:5" x14ac:dyDescent="0.2">
      <c r="A1004">
        <v>2641</v>
      </c>
      <c r="B1004">
        <v>18</v>
      </c>
      <c r="C1004" t="s">
        <v>718</v>
      </c>
      <c r="D1004">
        <v>36815</v>
      </c>
      <c r="E1004" t="s">
        <v>120</v>
      </c>
    </row>
    <row r="1005" spans="1:5" x14ac:dyDescent="0.2">
      <c r="A1005">
        <v>3180</v>
      </c>
      <c r="B1005">
        <v>1</v>
      </c>
      <c r="C1005" t="s">
        <v>1932</v>
      </c>
      <c r="D1005">
        <v>36571</v>
      </c>
      <c r="E1005" t="s">
        <v>1363</v>
      </c>
    </row>
    <row r="1006" spans="1:5" x14ac:dyDescent="0.2">
      <c r="A1006">
        <v>3643</v>
      </c>
      <c r="B1006">
        <v>0</v>
      </c>
      <c r="C1006" t="s">
        <v>1933</v>
      </c>
      <c r="D1006">
        <v>37139</v>
      </c>
      <c r="E1006" t="s">
        <v>1214</v>
      </c>
    </row>
    <row r="1007" spans="1:5" x14ac:dyDescent="0.2">
      <c r="A1007">
        <v>2727</v>
      </c>
      <c r="B1007">
        <v>14</v>
      </c>
      <c r="C1007" t="s">
        <v>1934</v>
      </c>
      <c r="D1007">
        <v>36685</v>
      </c>
      <c r="E1007" t="s">
        <v>120</v>
      </c>
    </row>
    <row r="1008" spans="1:5" x14ac:dyDescent="0.2">
      <c r="A1008">
        <v>3036</v>
      </c>
      <c r="B1008">
        <v>4</v>
      </c>
      <c r="C1008" t="s">
        <v>1934</v>
      </c>
      <c r="D1008">
        <v>36685</v>
      </c>
      <c r="E1008" t="s">
        <v>120</v>
      </c>
    </row>
    <row r="1009" spans="1:5" x14ac:dyDescent="0.2">
      <c r="A1009">
        <v>2961</v>
      </c>
      <c r="B1009">
        <v>5</v>
      </c>
      <c r="C1009" t="s">
        <v>284</v>
      </c>
      <c r="D1009">
        <v>36196</v>
      </c>
      <c r="E1009" t="s">
        <v>105</v>
      </c>
    </row>
    <row r="1010" spans="1:5" x14ac:dyDescent="0.2">
      <c r="A1010">
        <v>2390</v>
      </c>
      <c r="B1010">
        <v>31</v>
      </c>
      <c r="C1010" t="s">
        <v>1935</v>
      </c>
      <c r="D1010">
        <v>37013</v>
      </c>
      <c r="E1010" t="s">
        <v>1512</v>
      </c>
    </row>
    <row r="1011" spans="1:5" x14ac:dyDescent="0.2">
      <c r="A1011">
        <v>3337</v>
      </c>
      <c r="B1011">
        <v>0</v>
      </c>
      <c r="C1011" t="s">
        <v>1936</v>
      </c>
      <c r="D1011">
        <v>36251</v>
      </c>
      <c r="E1011" t="s">
        <v>99</v>
      </c>
    </row>
    <row r="1012" spans="1:5" x14ac:dyDescent="0.2">
      <c r="A1012">
        <v>2174</v>
      </c>
      <c r="B1012">
        <v>43</v>
      </c>
      <c r="C1012" t="s">
        <v>1937</v>
      </c>
      <c r="D1012">
        <v>36429</v>
      </c>
      <c r="E1012" t="s">
        <v>120</v>
      </c>
    </row>
    <row r="1013" spans="1:5" x14ac:dyDescent="0.2">
      <c r="A1013">
        <v>2705</v>
      </c>
      <c r="B1013">
        <v>15</v>
      </c>
      <c r="C1013" t="s">
        <v>1938</v>
      </c>
      <c r="D1013">
        <v>36470</v>
      </c>
      <c r="E1013" t="s">
        <v>74</v>
      </c>
    </row>
    <row r="1014" spans="1:5" x14ac:dyDescent="0.2">
      <c r="A1014">
        <v>1603</v>
      </c>
      <c r="B1014">
        <v>95</v>
      </c>
      <c r="C1014" t="s">
        <v>285</v>
      </c>
      <c r="D1014">
        <v>36313</v>
      </c>
      <c r="E1014" t="s">
        <v>105</v>
      </c>
    </row>
    <row r="1015" spans="1:5" x14ac:dyDescent="0.2">
      <c r="A1015">
        <v>3504</v>
      </c>
      <c r="B1015">
        <v>0</v>
      </c>
      <c r="C1015" t="s">
        <v>1940</v>
      </c>
      <c r="D1015">
        <v>36397</v>
      </c>
      <c r="E1015" t="s">
        <v>105</v>
      </c>
    </row>
    <row r="1016" spans="1:5" x14ac:dyDescent="0.2">
      <c r="A1016">
        <v>2604</v>
      </c>
      <c r="B1016">
        <v>20</v>
      </c>
      <c r="C1016" t="s">
        <v>286</v>
      </c>
      <c r="D1016">
        <v>37192</v>
      </c>
      <c r="E1016" t="s">
        <v>1204</v>
      </c>
    </row>
    <row r="1017" spans="1:5" x14ac:dyDescent="0.2">
      <c r="A1017">
        <v>1342</v>
      </c>
      <c r="B1017">
        <v>141</v>
      </c>
      <c r="C1017" t="s">
        <v>531</v>
      </c>
      <c r="D1017">
        <v>36945</v>
      </c>
      <c r="E1017" t="s">
        <v>72</v>
      </c>
    </row>
    <row r="1018" spans="1:5" x14ac:dyDescent="0.2">
      <c r="A1018">
        <v>2391</v>
      </c>
      <c r="B1018">
        <v>31</v>
      </c>
      <c r="C1018" t="s">
        <v>1941</v>
      </c>
      <c r="D1018">
        <v>36535</v>
      </c>
      <c r="E1018" t="s">
        <v>1214</v>
      </c>
    </row>
    <row r="1019" spans="1:5" x14ac:dyDescent="0.2">
      <c r="A1019">
        <v>2247</v>
      </c>
      <c r="B1019">
        <v>38</v>
      </c>
      <c r="C1019" t="s">
        <v>532</v>
      </c>
      <c r="D1019">
        <v>36660</v>
      </c>
      <c r="E1019" t="s">
        <v>73</v>
      </c>
    </row>
    <row r="1020" spans="1:5" x14ac:dyDescent="0.2">
      <c r="A1020">
        <v>2443</v>
      </c>
      <c r="B1020">
        <v>28</v>
      </c>
      <c r="C1020" t="s">
        <v>1942</v>
      </c>
      <c r="D1020">
        <v>37278</v>
      </c>
      <c r="E1020" t="s">
        <v>128</v>
      </c>
    </row>
    <row r="1021" spans="1:5" x14ac:dyDescent="0.2">
      <c r="A1021">
        <v>2226</v>
      </c>
      <c r="B1021">
        <v>39</v>
      </c>
      <c r="C1021" t="s">
        <v>533</v>
      </c>
      <c r="D1021">
        <v>36896</v>
      </c>
      <c r="E1021" t="s">
        <v>1286</v>
      </c>
    </row>
    <row r="1022" spans="1:5" x14ac:dyDescent="0.2">
      <c r="A1022">
        <v>3383</v>
      </c>
      <c r="B1022">
        <v>0</v>
      </c>
      <c r="C1022" t="s">
        <v>1943</v>
      </c>
      <c r="D1022">
        <v>36812</v>
      </c>
      <c r="E1022" t="s">
        <v>113</v>
      </c>
    </row>
    <row r="1023" spans="1:5" x14ac:dyDescent="0.2">
      <c r="A1023">
        <v>1026</v>
      </c>
      <c r="B1023">
        <v>212</v>
      </c>
      <c r="C1023" t="s">
        <v>287</v>
      </c>
      <c r="D1023">
        <v>36224</v>
      </c>
      <c r="E1023" t="s">
        <v>1171</v>
      </c>
    </row>
    <row r="1024" spans="1:5" x14ac:dyDescent="0.2">
      <c r="A1024">
        <v>3133</v>
      </c>
      <c r="B1024">
        <v>2</v>
      </c>
      <c r="C1024" t="s">
        <v>1944</v>
      </c>
      <c r="D1024">
        <v>36507</v>
      </c>
      <c r="E1024" t="s">
        <v>105</v>
      </c>
    </row>
    <row r="1025" spans="1:5" x14ac:dyDescent="0.2">
      <c r="A1025">
        <v>1813</v>
      </c>
      <c r="B1025">
        <v>71</v>
      </c>
      <c r="C1025" t="s">
        <v>1945</v>
      </c>
      <c r="D1025">
        <v>36575</v>
      </c>
      <c r="E1025" t="s">
        <v>1251</v>
      </c>
    </row>
    <row r="1026" spans="1:5" x14ac:dyDescent="0.2">
      <c r="A1026">
        <v>2440</v>
      </c>
      <c r="B1026">
        <v>28</v>
      </c>
      <c r="C1026" t="s">
        <v>1946</v>
      </c>
      <c r="D1026">
        <v>36885</v>
      </c>
      <c r="E1026" t="s">
        <v>103</v>
      </c>
    </row>
    <row r="1027" spans="1:5" x14ac:dyDescent="0.2">
      <c r="A1027">
        <v>3525</v>
      </c>
      <c r="B1027">
        <v>0</v>
      </c>
      <c r="C1027" t="s">
        <v>1947</v>
      </c>
      <c r="D1027">
        <v>37162</v>
      </c>
      <c r="E1027" t="s">
        <v>171</v>
      </c>
    </row>
    <row r="1028" spans="1:5" x14ac:dyDescent="0.2">
      <c r="A1028">
        <v>2647</v>
      </c>
      <c r="B1028">
        <v>18</v>
      </c>
      <c r="C1028" t="s">
        <v>1948</v>
      </c>
      <c r="D1028">
        <v>37790</v>
      </c>
      <c r="E1028" t="s">
        <v>105</v>
      </c>
    </row>
    <row r="1029" spans="1:5" x14ac:dyDescent="0.2">
      <c r="A1029">
        <v>2945</v>
      </c>
      <c r="B1029">
        <v>6</v>
      </c>
      <c r="C1029" t="s">
        <v>1949</v>
      </c>
      <c r="D1029">
        <v>36935</v>
      </c>
      <c r="E1029" t="s">
        <v>1236</v>
      </c>
    </row>
    <row r="1030" spans="1:5" x14ac:dyDescent="0.2">
      <c r="A1030">
        <v>1578</v>
      </c>
      <c r="B1030">
        <v>99</v>
      </c>
      <c r="C1030" t="s">
        <v>288</v>
      </c>
      <c r="D1030">
        <v>36754</v>
      </c>
      <c r="E1030" t="s">
        <v>163</v>
      </c>
    </row>
    <row r="1031" spans="1:5" x14ac:dyDescent="0.2">
      <c r="A1031">
        <v>2575</v>
      </c>
      <c r="B1031">
        <v>21</v>
      </c>
      <c r="C1031" t="s">
        <v>534</v>
      </c>
      <c r="D1031">
        <v>36322</v>
      </c>
      <c r="E1031" t="s">
        <v>379</v>
      </c>
    </row>
    <row r="1032" spans="1:5" x14ac:dyDescent="0.2">
      <c r="A1032">
        <v>2501</v>
      </c>
      <c r="B1032">
        <v>25</v>
      </c>
      <c r="C1032" t="s">
        <v>1950</v>
      </c>
      <c r="D1032">
        <v>37454</v>
      </c>
      <c r="E1032" t="s">
        <v>120</v>
      </c>
    </row>
    <row r="1033" spans="1:5" x14ac:dyDescent="0.2">
      <c r="A1033">
        <v>2154</v>
      </c>
      <c r="B1033">
        <v>44</v>
      </c>
      <c r="C1033" t="s">
        <v>1951</v>
      </c>
      <c r="D1033">
        <v>37690</v>
      </c>
      <c r="E1033" t="s">
        <v>105</v>
      </c>
    </row>
    <row r="1034" spans="1:5" x14ac:dyDescent="0.2">
      <c r="A1034">
        <v>1718</v>
      </c>
      <c r="B1034">
        <v>81</v>
      </c>
      <c r="C1034" t="s">
        <v>535</v>
      </c>
      <c r="D1034">
        <v>36749</v>
      </c>
      <c r="E1034" t="s">
        <v>113</v>
      </c>
    </row>
    <row r="1035" spans="1:5" x14ac:dyDescent="0.2">
      <c r="A1035">
        <v>2136</v>
      </c>
      <c r="B1035">
        <v>44</v>
      </c>
      <c r="C1035" t="s">
        <v>536</v>
      </c>
      <c r="D1035">
        <v>36526</v>
      </c>
      <c r="E1035" t="s">
        <v>1952</v>
      </c>
    </row>
    <row r="1036" spans="1:5" x14ac:dyDescent="0.2">
      <c r="A1036">
        <v>2125</v>
      </c>
      <c r="B1036">
        <v>45</v>
      </c>
      <c r="C1036" t="s">
        <v>1953</v>
      </c>
      <c r="D1036">
        <v>36812</v>
      </c>
      <c r="E1036" t="s">
        <v>176</v>
      </c>
    </row>
    <row r="1037" spans="1:5" x14ac:dyDescent="0.2">
      <c r="A1037">
        <v>2871</v>
      </c>
      <c r="B1037">
        <v>9</v>
      </c>
      <c r="C1037" t="s">
        <v>1954</v>
      </c>
      <c r="D1037">
        <v>36938</v>
      </c>
      <c r="E1037" t="s">
        <v>105</v>
      </c>
    </row>
    <row r="1038" spans="1:5" x14ac:dyDescent="0.2">
      <c r="A1038">
        <v>2346</v>
      </c>
      <c r="B1038">
        <v>33</v>
      </c>
      <c r="C1038" t="s">
        <v>1955</v>
      </c>
      <c r="D1038">
        <v>36866</v>
      </c>
      <c r="E1038" t="s">
        <v>246</v>
      </c>
    </row>
    <row r="1039" spans="1:5" x14ac:dyDescent="0.2">
      <c r="A1039">
        <v>2056</v>
      </c>
      <c r="B1039">
        <v>48</v>
      </c>
      <c r="C1039" t="s">
        <v>1956</v>
      </c>
      <c r="D1039">
        <v>36402</v>
      </c>
      <c r="E1039" t="s">
        <v>171</v>
      </c>
    </row>
    <row r="1040" spans="1:5" x14ac:dyDescent="0.2">
      <c r="A1040">
        <v>2919</v>
      </c>
      <c r="B1040">
        <v>7</v>
      </c>
      <c r="C1040" t="s">
        <v>1957</v>
      </c>
      <c r="D1040">
        <v>37306</v>
      </c>
      <c r="E1040" t="s">
        <v>105</v>
      </c>
    </row>
    <row r="1041" spans="1:5" x14ac:dyDescent="0.2">
      <c r="A1041">
        <v>3582</v>
      </c>
      <c r="B1041">
        <v>0</v>
      </c>
      <c r="C1041" t="s">
        <v>1958</v>
      </c>
      <c r="D1041">
        <v>38442</v>
      </c>
      <c r="E1041" t="s">
        <v>105</v>
      </c>
    </row>
    <row r="1042" spans="1:5" x14ac:dyDescent="0.2">
      <c r="A1042">
        <v>3147</v>
      </c>
      <c r="B1042">
        <v>1</v>
      </c>
      <c r="C1042" t="s">
        <v>1959</v>
      </c>
      <c r="D1042">
        <v>37287</v>
      </c>
      <c r="E1042" t="s">
        <v>127</v>
      </c>
    </row>
    <row r="1043" spans="1:5" x14ac:dyDescent="0.2">
      <c r="A1043">
        <v>2811</v>
      </c>
      <c r="B1043">
        <v>11</v>
      </c>
      <c r="C1043" t="s">
        <v>1962</v>
      </c>
      <c r="D1043">
        <v>36558</v>
      </c>
      <c r="E1043" t="s">
        <v>213</v>
      </c>
    </row>
    <row r="1044" spans="1:5" x14ac:dyDescent="0.2">
      <c r="A1044">
        <v>3467</v>
      </c>
      <c r="B1044">
        <v>0</v>
      </c>
      <c r="C1044" t="s">
        <v>1963</v>
      </c>
      <c r="D1044">
        <v>36645</v>
      </c>
      <c r="E1044" t="s">
        <v>120</v>
      </c>
    </row>
    <row r="1045" spans="1:5" x14ac:dyDescent="0.2">
      <c r="A1045">
        <v>1969</v>
      </c>
      <c r="B1045">
        <v>54</v>
      </c>
      <c r="C1045" t="s">
        <v>537</v>
      </c>
      <c r="D1045">
        <v>36915</v>
      </c>
      <c r="E1045" t="s">
        <v>105</v>
      </c>
    </row>
    <row r="1046" spans="1:5" x14ac:dyDescent="0.2">
      <c r="A1046">
        <v>2461</v>
      </c>
      <c r="B1046">
        <v>27</v>
      </c>
      <c r="C1046" t="s">
        <v>1964</v>
      </c>
      <c r="D1046">
        <v>36246</v>
      </c>
      <c r="E1046" t="s">
        <v>84</v>
      </c>
    </row>
    <row r="1047" spans="1:5" x14ac:dyDescent="0.2">
      <c r="A1047">
        <v>1384</v>
      </c>
      <c r="B1047">
        <v>134</v>
      </c>
      <c r="C1047" t="s">
        <v>538</v>
      </c>
      <c r="D1047">
        <v>36976</v>
      </c>
      <c r="E1047" t="s">
        <v>1162</v>
      </c>
    </row>
    <row r="1048" spans="1:5" x14ac:dyDescent="0.2">
      <c r="A1048">
        <v>2519</v>
      </c>
      <c r="B1048">
        <v>24</v>
      </c>
      <c r="C1048" t="s">
        <v>1965</v>
      </c>
      <c r="D1048">
        <v>36767</v>
      </c>
      <c r="E1048" t="s">
        <v>1171</v>
      </c>
    </row>
    <row r="1049" spans="1:5" x14ac:dyDescent="0.2">
      <c r="A1049">
        <v>890</v>
      </c>
      <c r="B1049">
        <v>256</v>
      </c>
      <c r="C1049" t="s">
        <v>289</v>
      </c>
      <c r="D1049">
        <v>36384</v>
      </c>
      <c r="E1049" t="s">
        <v>105</v>
      </c>
    </row>
    <row r="1050" spans="1:5" x14ac:dyDescent="0.2">
      <c r="A1050">
        <v>3162</v>
      </c>
      <c r="B1050">
        <v>1</v>
      </c>
      <c r="C1050" t="s">
        <v>1966</v>
      </c>
      <c r="D1050">
        <v>36747</v>
      </c>
      <c r="E1050" t="s">
        <v>105</v>
      </c>
    </row>
    <row r="1051" spans="1:5" x14ac:dyDescent="0.2">
      <c r="A1051">
        <v>1978</v>
      </c>
      <c r="B1051">
        <v>54</v>
      </c>
      <c r="C1051" t="s">
        <v>1967</v>
      </c>
      <c r="D1051">
        <v>36705</v>
      </c>
      <c r="E1051" t="s">
        <v>1968</v>
      </c>
    </row>
    <row r="1052" spans="1:5" x14ac:dyDescent="0.2">
      <c r="A1052">
        <v>2758</v>
      </c>
      <c r="B1052">
        <v>13</v>
      </c>
      <c r="C1052" t="s">
        <v>1969</v>
      </c>
      <c r="D1052">
        <v>36556</v>
      </c>
      <c r="E1052" t="s">
        <v>138</v>
      </c>
    </row>
    <row r="1053" spans="1:5" x14ac:dyDescent="0.2">
      <c r="A1053">
        <v>3587</v>
      </c>
      <c r="B1053">
        <v>0</v>
      </c>
      <c r="C1053" t="s">
        <v>1970</v>
      </c>
      <c r="D1053">
        <v>37510</v>
      </c>
      <c r="E1053" t="s">
        <v>1236</v>
      </c>
    </row>
    <row r="1054" spans="1:5" x14ac:dyDescent="0.2">
      <c r="A1054">
        <v>1469</v>
      </c>
      <c r="B1054">
        <v>117</v>
      </c>
      <c r="C1054" t="s">
        <v>539</v>
      </c>
      <c r="D1054">
        <v>36487</v>
      </c>
      <c r="E1054" t="s">
        <v>175</v>
      </c>
    </row>
    <row r="1055" spans="1:5" x14ac:dyDescent="0.2">
      <c r="A1055">
        <v>1814</v>
      </c>
      <c r="B1055">
        <v>70</v>
      </c>
      <c r="C1055" t="s">
        <v>719</v>
      </c>
      <c r="D1055">
        <v>36778</v>
      </c>
      <c r="E1055" t="s">
        <v>105</v>
      </c>
    </row>
    <row r="1056" spans="1:5" x14ac:dyDescent="0.2">
      <c r="A1056">
        <v>3089</v>
      </c>
      <c r="B1056">
        <v>3</v>
      </c>
      <c r="C1056" t="s">
        <v>1971</v>
      </c>
      <c r="D1056">
        <v>37193</v>
      </c>
      <c r="E1056" t="s">
        <v>105</v>
      </c>
    </row>
    <row r="1057" spans="1:5" x14ac:dyDescent="0.2">
      <c r="A1057">
        <v>3361</v>
      </c>
      <c r="B1057">
        <v>0</v>
      </c>
      <c r="C1057" t="s">
        <v>1972</v>
      </c>
      <c r="D1057">
        <v>37082</v>
      </c>
      <c r="E1057" t="s">
        <v>72</v>
      </c>
    </row>
    <row r="1058" spans="1:5" x14ac:dyDescent="0.2">
      <c r="A1058">
        <v>2285</v>
      </c>
      <c r="B1058">
        <v>36</v>
      </c>
      <c r="C1058" t="s">
        <v>1973</v>
      </c>
      <c r="D1058">
        <v>36464</v>
      </c>
      <c r="E1058" t="s">
        <v>163</v>
      </c>
    </row>
    <row r="1059" spans="1:5" x14ac:dyDescent="0.2">
      <c r="A1059">
        <v>1304</v>
      </c>
      <c r="B1059">
        <v>147</v>
      </c>
      <c r="C1059" t="s">
        <v>1974</v>
      </c>
      <c r="D1059">
        <v>36930</v>
      </c>
      <c r="E1059" t="s">
        <v>1200</v>
      </c>
    </row>
    <row r="1060" spans="1:5" x14ac:dyDescent="0.2">
      <c r="A1060">
        <v>2370</v>
      </c>
      <c r="B1060">
        <v>32</v>
      </c>
      <c r="C1060" t="s">
        <v>841</v>
      </c>
      <c r="D1060">
        <v>36839</v>
      </c>
      <c r="E1060" t="s">
        <v>1968</v>
      </c>
    </row>
    <row r="1061" spans="1:5" x14ac:dyDescent="0.2">
      <c r="A1061">
        <v>3287</v>
      </c>
      <c r="B1061">
        <v>0</v>
      </c>
      <c r="C1061" t="s">
        <v>1975</v>
      </c>
      <c r="D1061">
        <v>37257</v>
      </c>
      <c r="E1061" t="s">
        <v>165</v>
      </c>
    </row>
    <row r="1062" spans="1:5" x14ac:dyDescent="0.2">
      <c r="A1062">
        <v>3112</v>
      </c>
      <c r="B1062">
        <v>2</v>
      </c>
      <c r="C1062" t="s">
        <v>1976</v>
      </c>
      <c r="D1062">
        <v>36725</v>
      </c>
      <c r="E1062" t="s">
        <v>1200</v>
      </c>
    </row>
    <row r="1063" spans="1:5" x14ac:dyDescent="0.2">
      <c r="A1063">
        <v>2196</v>
      </c>
      <c r="B1063">
        <v>41</v>
      </c>
      <c r="C1063" t="s">
        <v>402</v>
      </c>
      <c r="D1063">
        <v>36273</v>
      </c>
      <c r="E1063" t="s">
        <v>133</v>
      </c>
    </row>
    <row r="1064" spans="1:5" x14ac:dyDescent="0.2">
      <c r="A1064">
        <v>2408</v>
      </c>
      <c r="B1064">
        <v>30</v>
      </c>
      <c r="C1064" t="s">
        <v>720</v>
      </c>
      <c r="D1064">
        <v>36651</v>
      </c>
      <c r="E1064" t="s">
        <v>120</v>
      </c>
    </row>
    <row r="1065" spans="1:5" x14ac:dyDescent="0.2">
      <c r="A1065">
        <v>2325</v>
      </c>
      <c r="B1065">
        <v>34</v>
      </c>
      <c r="C1065" t="s">
        <v>1977</v>
      </c>
      <c r="D1065">
        <v>36684</v>
      </c>
      <c r="E1065" t="s">
        <v>180</v>
      </c>
    </row>
    <row r="1066" spans="1:5" x14ac:dyDescent="0.2">
      <c r="A1066">
        <v>2379</v>
      </c>
      <c r="B1066">
        <v>31</v>
      </c>
      <c r="C1066" t="s">
        <v>540</v>
      </c>
      <c r="D1066">
        <v>36377</v>
      </c>
      <c r="E1066" t="s">
        <v>110</v>
      </c>
    </row>
    <row r="1067" spans="1:5" x14ac:dyDescent="0.2">
      <c r="A1067">
        <v>3072</v>
      </c>
      <c r="B1067">
        <v>3</v>
      </c>
      <c r="C1067" t="s">
        <v>1978</v>
      </c>
      <c r="D1067">
        <v>36195</v>
      </c>
      <c r="E1067" t="s">
        <v>1702</v>
      </c>
    </row>
    <row r="1068" spans="1:5" x14ac:dyDescent="0.2">
      <c r="A1068">
        <v>2289</v>
      </c>
      <c r="B1068">
        <v>36</v>
      </c>
      <c r="C1068" t="s">
        <v>1979</v>
      </c>
      <c r="D1068">
        <v>36519</v>
      </c>
      <c r="E1068" t="s">
        <v>1190</v>
      </c>
    </row>
    <row r="1069" spans="1:5" x14ac:dyDescent="0.2">
      <c r="A1069">
        <v>2620</v>
      </c>
      <c r="B1069">
        <v>19</v>
      </c>
      <c r="C1069" t="s">
        <v>1980</v>
      </c>
      <c r="D1069">
        <v>37215</v>
      </c>
      <c r="E1069" t="s">
        <v>115</v>
      </c>
    </row>
    <row r="1070" spans="1:5" x14ac:dyDescent="0.2">
      <c r="A1070">
        <v>904</v>
      </c>
      <c r="B1070">
        <v>252</v>
      </c>
      <c r="C1070" t="s">
        <v>291</v>
      </c>
      <c r="D1070">
        <v>36319</v>
      </c>
      <c r="E1070" t="s">
        <v>1609</v>
      </c>
    </row>
    <row r="1071" spans="1:5" x14ac:dyDescent="0.2">
      <c r="A1071">
        <v>3306</v>
      </c>
      <c r="B1071">
        <v>0</v>
      </c>
      <c r="C1071" t="s">
        <v>1981</v>
      </c>
      <c r="D1071">
        <v>36282</v>
      </c>
      <c r="E1071" t="s">
        <v>130</v>
      </c>
    </row>
    <row r="1072" spans="1:5" x14ac:dyDescent="0.2">
      <c r="A1072">
        <v>2454</v>
      </c>
      <c r="B1072">
        <v>27</v>
      </c>
      <c r="C1072" t="s">
        <v>541</v>
      </c>
      <c r="D1072">
        <v>37252</v>
      </c>
      <c r="E1072" t="s">
        <v>105</v>
      </c>
    </row>
    <row r="1073" spans="1:5" x14ac:dyDescent="0.2">
      <c r="A1073">
        <v>1766</v>
      </c>
      <c r="B1073">
        <v>74</v>
      </c>
      <c r="C1073" t="s">
        <v>403</v>
      </c>
      <c r="D1073">
        <v>37445</v>
      </c>
      <c r="E1073" t="s">
        <v>128</v>
      </c>
    </row>
    <row r="1074" spans="1:5" x14ac:dyDescent="0.2">
      <c r="A1074">
        <v>3217</v>
      </c>
      <c r="B1074">
        <v>0</v>
      </c>
      <c r="C1074" t="s">
        <v>1982</v>
      </c>
      <c r="D1074">
        <v>36340</v>
      </c>
      <c r="E1074" t="s">
        <v>133</v>
      </c>
    </row>
    <row r="1075" spans="1:5" x14ac:dyDescent="0.2">
      <c r="A1075">
        <v>2599</v>
      </c>
      <c r="B1075">
        <v>20</v>
      </c>
      <c r="C1075" t="s">
        <v>1983</v>
      </c>
      <c r="D1075">
        <v>36323</v>
      </c>
      <c r="E1075" t="s">
        <v>1702</v>
      </c>
    </row>
    <row r="1076" spans="1:5" x14ac:dyDescent="0.2">
      <c r="A1076">
        <v>2521</v>
      </c>
      <c r="B1076">
        <v>24</v>
      </c>
      <c r="C1076" t="s">
        <v>1984</v>
      </c>
      <c r="D1076">
        <v>37452</v>
      </c>
      <c r="E1076" t="s">
        <v>1171</v>
      </c>
    </row>
    <row r="1077" spans="1:5" x14ac:dyDescent="0.2">
      <c r="A1077">
        <v>2201</v>
      </c>
      <c r="B1077">
        <v>41</v>
      </c>
      <c r="C1077" t="s">
        <v>842</v>
      </c>
      <c r="D1077">
        <v>36526</v>
      </c>
      <c r="E1077" t="s">
        <v>164</v>
      </c>
    </row>
    <row r="1078" spans="1:5" x14ac:dyDescent="0.2">
      <c r="A1078">
        <v>2803</v>
      </c>
      <c r="B1078">
        <v>11</v>
      </c>
      <c r="C1078" t="s">
        <v>1985</v>
      </c>
      <c r="D1078">
        <v>37221</v>
      </c>
      <c r="E1078" t="s">
        <v>114</v>
      </c>
    </row>
    <row r="1079" spans="1:5" x14ac:dyDescent="0.2">
      <c r="A1079">
        <v>3174</v>
      </c>
      <c r="B1079">
        <v>1</v>
      </c>
      <c r="C1079" t="s">
        <v>1986</v>
      </c>
      <c r="D1079">
        <v>36959</v>
      </c>
      <c r="E1079" t="s">
        <v>1236</v>
      </c>
    </row>
    <row r="1080" spans="1:5" x14ac:dyDescent="0.2">
      <c r="A1080">
        <v>1731</v>
      </c>
      <c r="B1080">
        <v>80</v>
      </c>
      <c r="C1080" t="s">
        <v>843</v>
      </c>
      <c r="D1080">
        <v>36770</v>
      </c>
      <c r="E1080" t="s">
        <v>1330</v>
      </c>
    </row>
    <row r="1081" spans="1:5" x14ac:dyDescent="0.2">
      <c r="A1081">
        <v>3173</v>
      </c>
      <c r="B1081">
        <v>1</v>
      </c>
      <c r="C1081" t="s">
        <v>1987</v>
      </c>
      <c r="D1081">
        <v>36992</v>
      </c>
      <c r="E1081" t="s">
        <v>1214</v>
      </c>
    </row>
    <row r="1082" spans="1:5" x14ac:dyDescent="0.2">
      <c r="A1082">
        <v>2036</v>
      </c>
      <c r="B1082">
        <v>50</v>
      </c>
      <c r="C1082" t="s">
        <v>1988</v>
      </c>
      <c r="D1082">
        <v>36908</v>
      </c>
      <c r="E1082" t="s">
        <v>176</v>
      </c>
    </row>
    <row r="1083" spans="1:5" x14ac:dyDescent="0.2">
      <c r="A1083">
        <v>3411</v>
      </c>
      <c r="B1083">
        <v>0</v>
      </c>
      <c r="C1083" t="s">
        <v>1989</v>
      </c>
      <c r="D1083">
        <v>37865</v>
      </c>
      <c r="E1083" t="s">
        <v>120</v>
      </c>
    </row>
    <row r="1084" spans="1:5" x14ac:dyDescent="0.2">
      <c r="A1084">
        <v>1591</v>
      </c>
      <c r="B1084">
        <v>97</v>
      </c>
      <c r="C1084" t="s">
        <v>542</v>
      </c>
      <c r="D1084">
        <v>36678</v>
      </c>
      <c r="E1084" t="s">
        <v>103</v>
      </c>
    </row>
    <row r="1085" spans="1:5" x14ac:dyDescent="0.2">
      <c r="A1085">
        <v>2890</v>
      </c>
      <c r="B1085">
        <v>8</v>
      </c>
      <c r="C1085" t="s">
        <v>1990</v>
      </c>
      <c r="D1085">
        <v>37063</v>
      </c>
      <c r="E1085" t="s">
        <v>120</v>
      </c>
    </row>
    <row r="1086" spans="1:5" x14ac:dyDescent="0.2">
      <c r="A1086">
        <v>3138</v>
      </c>
      <c r="B1086">
        <v>2</v>
      </c>
      <c r="C1086" t="s">
        <v>1991</v>
      </c>
      <c r="D1086">
        <v>36505</v>
      </c>
      <c r="E1086" t="s">
        <v>1460</v>
      </c>
    </row>
    <row r="1087" spans="1:5" x14ac:dyDescent="0.2">
      <c r="A1087">
        <v>2689</v>
      </c>
      <c r="B1087">
        <v>16</v>
      </c>
      <c r="C1087" t="s">
        <v>1992</v>
      </c>
      <c r="D1087">
        <v>36993</v>
      </c>
      <c r="E1087" t="s">
        <v>1460</v>
      </c>
    </row>
    <row r="1088" spans="1:5" x14ac:dyDescent="0.2">
      <c r="A1088">
        <v>3481</v>
      </c>
      <c r="B1088">
        <v>0</v>
      </c>
      <c r="C1088" t="s">
        <v>1993</v>
      </c>
      <c r="D1088">
        <v>37356</v>
      </c>
      <c r="E1088" t="s">
        <v>1256</v>
      </c>
    </row>
    <row r="1089" spans="1:5" x14ac:dyDescent="0.2">
      <c r="A1089">
        <v>2322</v>
      </c>
      <c r="B1089">
        <v>34</v>
      </c>
      <c r="C1089" t="s">
        <v>1994</v>
      </c>
      <c r="D1089">
        <v>36955</v>
      </c>
      <c r="E1089" t="s">
        <v>138</v>
      </c>
    </row>
    <row r="1090" spans="1:5" x14ac:dyDescent="0.2">
      <c r="A1090">
        <v>1764</v>
      </c>
      <c r="B1090">
        <v>75</v>
      </c>
      <c r="C1090" t="s">
        <v>1995</v>
      </c>
      <c r="D1090">
        <v>36167</v>
      </c>
      <c r="E1090" t="s">
        <v>438</v>
      </c>
    </row>
    <row r="1091" spans="1:5" x14ac:dyDescent="0.2">
      <c r="A1091">
        <v>2287</v>
      </c>
      <c r="B1091">
        <v>36</v>
      </c>
      <c r="C1091" t="s">
        <v>1996</v>
      </c>
      <c r="D1091">
        <v>36777</v>
      </c>
      <c r="E1091" t="s">
        <v>614</v>
      </c>
    </row>
    <row r="1092" spans="1:5" x14ac:dyDescent="0.2">
      <c r="A1092">
        <v>3406</v>
      </c>
      <c r="B1092">
        <v>0</v>
      </c>
      <c r="C1092" t="s">
        <v>1997</v>
      </c>
      <c r="D1092">
        <v>36894</v>
      </c>
      <c r="E1092" t="s">
        <v>110</v>
      </c>
    </row>
    <row r="1093" spans="1:5" x14ac:dyDescent="0.2">
      <c r="A1093">
        <v>1893</v>
      </c>
      <c r="B1093">
        <v>61</v>
      </c>
      <c r="C1093" t="s">
        <v>292</v>
      </c>
      <c r="D1093">
        <v>36367</v>
      </c>
      <c r="E1093" t="s">
        <v>99</v>
      </c>
    </row>
    <row r="1094" spans="1:5" x14ac:dyDescent="0.2">
      <c r="A1094">
        <v>2844</v>
      </c>
      <c r="B1094">
        <v>9</v>
      </c>
      <c r="C1094" t="s">
        <v>292</v>
      </c>
      <c r="D1094">
        <v>36768</v>
      </c>
      <c r="E1094" t="s">
        <v>105</v>
      </c>
    </row>
    <row r="1095" spans="1:5" x14ac:dyDescent="0.2">
      <c r="A1095">
        <v>1274</v>
      </c>
      <c r="B1095">
        <v>152</v>
      </c>
      <c r="C1095" t="s">
        <v>293</v>
      </c>
      <c r="D1095">
        <v>36655</v>
      </c>
      <c r="E1095" t="s">
        <v>105</v>
      </c>
    </row>
    <row r="1096" spans="1:5" x14ac:dyDescent="0.2">
      <c r="A1096">
        <v>2582</v>
      </c>
      <c r="B1096">
        <v>21</v>
      </c>
      <c r="C1096" t="s">
        <v>1998</v>
      </c>
      <c r="D1096">
        <v>36580</v>
      </c>
      <c r="E1096" t="s">
        <v>1447</v>
      </c>
    </row>
    <row r="1097" spans="1:5" x14ac:dyDescent="0.2">
      <c r="A1097">
        <v>2040</v>
      </c>
      <c r="B1097">
        <v>49</v>
      </c>
      <c r="C1097" t="s">
        <v>543</v>
      </c>
      <c r="D1097">
        <v>36892</v>
      </c>
      <c r="E1097" t="s">
        <v>105</v>
      </c>
    </row>
    <row r="1098" spans="1:5" x14ac:dyDescent="0.2">
      <c r="A1098">
        <v>3060</v>
      </c>
      <c r="B1098">
        <v>3</v>
      </c>
      <c r="C1098" t="s">
        <v>294</v>
      </c>
      <c r="D1098">
        <v>36727</v>
      </c>
      <c r="E1098" t="s">
        <v>120</v>
      </c>
    </row>
    <row r="1099" spans="1:5" x14ac:dyDescent="0.2">
      <c r="A1099">
        <v>3014</v>
      </c>
      <c r="B1099">
        <v>4</v>
      </c>
      <c r="C1099" t="s">
        <v>1999</v>
      </c>
      <c r="D1099">
        <v>37278</v>
      </c>
      <c r="E1099" t="s">
        <v>208</v>
      </c>
    </row>
    <row r="1100" spans="1:5" x14ac:dyDescent="0.2">
      <c r="A1100">
        <v>2188</v>
      </c>
      <c r="B1100">
        <v>42</v>
      </c>
      <c r="C1100" t="s">
        <v>721</v>
      </c>
      <c r="D1100">
        <v>36995</v>
      </c>
      <c r="E1100" t="s">
        <v>120</v>
      </c>
    </row>
    <row r="1101" spans="1:5" x14ac:dyDescent="0.2">
      <c r="A1101">
        <v>2500</v>
      </c>
      <c r="B1101">
        <v>25</v>
      </c>
      <c r="C1101" t="s">
        <v>2000</v>
      </c>
      <c r="D1101">
        <v>36581</v>
      </c>
      <c r="E1101" t="s">
        <v>1176</v>
      </c>
    </row>
    <row r="1102" spans="1:5" x14ac:dyDescent="0.2">
      <c r="A1102">
        <v>3246</v>
      </c>
      <c r="B1102">
        <v>0</v>
      </c>
      <c r="C1102" t="s">
        <v>2001</v>
      </c>
      <c r="D1102">
        <v>37475</v>
      </c>
      <c r="E1102" t="s">
        <v>122</v>
      </c>
    </row>
    <row r="1103" spans="1:5" x14ac:dyDescent="0.2">
      <c r="A1103">
        <v>1688</v>
      </c>
      <c r="B1103">
        <v>85</v>
      </c>
      <c r="C1103" t="s">
        <v>2002</v>
      </c>
      <c r="D1103">
        <v>36208</v>
      </c>
      <c r="E1103" t="s">
        <v>173</v>
      </c>
    </row>
    <row r="1104" spans="1:5" x14ac:dyDescent="0.2">
      <c r="A1104">
        <v>2974</v>
      </c>
      <c r="B1104">
        <v>5</v>
      </c>
      <c r="C1104" t="s">
        <v>2003</v>
      </c>
      <c r="D1104">
        <v>37257</v>
      </c>
      <c r="E1104" t="s">
        <v>104</v>
      </c>
    </row>
    <row r="1105" spans="1:5" x14ac:dyDescent="0.2">
      <c r="A1105">
        <v>2356</v>
      </c>
      <c r="B1105">
        <v>32</v>
      </c>
      <c r="C1105" t="s">
        <v>544</v>
      </c>
      <c r="D1105">
        <v>36526</v>
      </c>
      <c r="E1105" t="s">
        <v>122</v>
      </c>
    </row>
    <row r="1106" spans="1:5" x14ac:dyDescent="0.2">
      <c r="A1106">
        <v>3621</v>
      </c>
      <c r="B1106">
        <v>0</v>
      </c>
      <c r="C1106" t="s">
        <v>2004</v>
      </c>
      <c r="D1106">
        <v>37722</v>
      </c>
      <c r="E1106" t="s">
        <v>120</v>
      </c>
    </row>
    <row r="1107" spans="1:5" x14ac:dyDescent="0.2">
      <c r="A1107">
        <v>3015</v>
      </c>
      <c r="B1107">
        <v>4</v>
      </c>
      <c r="C1107" t="s">
        <v>2005</v>
      </c>
      <c r="D1107">
        <v>36680</v>
      </c>
      <c r="E1107" t="s">
        <v>1214</v>
      </c>
    </row>
    <row r="1108" spans="1:5" x14ac:dyDescent="0.2">
      <c r="A1108">
        <v>2008</v>
      </c>
      <c r="B1108">
        <v>52</v>
      </c>
      <c r="C1108" t="s">
        <v>844</v>
      </c>
      <c r="D1108">
        <v>36355</v>
      </c>
      <c r="E1108" t="s">
        <v>105</v>
      </c>
    </row>
    <row r="1109" spans="1:5" x14ac:dyDescent="0.2">
      <c r="A1109">
        <v>1869</v>
      </c>
      <c r="B1109">
        <v>63</v>
      </c>
      <c r="C1109" t="s">
        <v>545</v>
      </c>
      <c r="D1109">
        <v>37015</v>
      </c>
      <c r="E1109" t="s">
        <v>112</v>
      </c>
    </row>
    <row r="1110" spans="1:5" x14ac:dyDescent="0.2">
      <c r="A1110">
        <v>1495</v>
      </c>
      <c r="B1110">
        <v>113</v>
      </c>
      <c r="C1110" t="s">
        <v>295</v>
      </c>
      <c r="D1110">
        <v>36573</v>
      </c>
      <c r="E1110" t="s">
        <v>105</v>
      </c>
    </row>
    <row r="1111" spans="1:5" x14ac:dyDescent="0.2">
      <c r="A1111">
        <v>3327</v>
      </c>
      <c r="B1111">
        <v>0</v>
      </c>
      <c r="C1111" t="s">
        <v>2006</v>
      </c>
      <c r="D1111">
        <v>37016</v>
      </c>
      <c r="E1111" t="s">
        <v>164</v>
      </c>
    </row>
    <row r="1112" spans="1:5" x14ac:dyDescent="0.2">
      <c r="A1112">
        <v>3628</v>
      </c>
      <c r="B1112">
        <v>0</v>
      </c>
      <c r="C1112" t="s">
        <v>2007</v>
      </c>
      <c r="D1112">
        <v>37162</v>
      </c>
      <c r="E1112" t="s">
        <v>105</v>
      </c>
    </row>
    <row r="1113" spans="1:5" x14ac:dyDescent="0.2">
      <c r="A1113">
        <v>3618</v>
      </c>
      <c r="B1113">
        <v>0</v>
      </c>
      <c r="C1113" t="s">
        <v>2008</v>
      </c>
      <c r="D1113">
        <v>37190</v>
      </c>
      <c r="E1113" t="s">
        <v>1311</v>
      </c>
    </row>
    <row r="1114" spans="1:5" x14ac:dyDescent="0.2">
      <c r="A1114">
        <v>3143</v>
      </c>
      <c r="B1114">
        <v>1</v>
      </c>
      <c r="C1114" t="s">
        <v>2009</v>
      </c>
      <c r="D1114">
        <v>38280</v>
      </c>
      <c r="E1114" t="s">
        <v>105</v>
      </c>
    </row>
    <row r="1115" spans="1:5" x14ac:dyDescent="0.2">
      <c r="A1115">
        <v>2143</v>
      </c>
      <c r="B1115">
        <v>44</v>
      </c>
      <c r="C1115" t="s">
        <v>546</v>
      </c>
      <c r="D1115">
        <v>36555</v>
      </c>
      <c r="E1115" t="s">
        <v>139</v>
      </c>
    </row>
    <row r="1116" spans="1:5" x14ac:dyDescent="0.2">
      <c r="A1116">
        <v>2106</v>
      </c>
      <c r="B1116">
        <v>46</v>
      </c>
      <c r="C1116" t="s">
        <v>845</v>
      </c>
      <c r="D1116">
        <v>37125</v>
      </c>
      <c r="E1116" t="s">
        <v>105</v>
      </c>
    </row>
    <row r="1117" spans="1:5" x14ac:dyDescent="0.2">
      <c r="A1117">
        <v>1781</v>
      </c>
      <c r="B1117">
        <v>73</v>
      </c>
      <c r="C1117" t="s">
        <v>547</v>
      </c>
      <c r="D1117">
        <v>36784</v>
      </c>
      <c r="E1117" t="s">
        <v>103</v>
      </c>
    </row>
    <row r="1118" spans="1:5" x14ac:dyDescent="0.2">
      <c r="A1118">
        <v>884</v>
      </c>
      <c r="B1118">
        <v>258</v>
      </c>
      <c r="C1118" t="s">
        <v>296</v>
      </c>
      <c r="D1118">
        <v>36192</v>
      </c>
      <c r="E1118" t="s">
        <v>1860</v>
      </c>
    </row>
    <row r="1119" spans="1:5" x14ac:dyDescent="0.2">
      <c r="A1119">
        <v>1772</v>
      </c>
      <c r="B1119">
        <v>74</v>
      </c>
      <c r="C1119" t="s">
        <v>846</v>
      </c>
      <c r="D1119">
        <v>36426</v>
      </c>
      <c r="E1119" t="s">
        <v>105</v>
      </c>
    </row>
    <row r="1120" spans="1:5" x14ac:dyDescent="0.2">
      <c r="A1120">
        <v>3514</v>
      </c>
      <c r="B1120">
        <v>0</v>
      </c>
      <c r="C1120" t="s">
        <v>2010</v>
      </c>
      <c r="D1120">
        <v>37068</v>
      </c>
      <c r="E1120" t="s">
        <v>105</v>
      </c>
    </row>
    <row r="1121" spans="1:5" x14ac:dyDescent="0.2">
      <c r="A1121">
        <v>2609</v>
      </c>
      <c r="B1121">
        <v>20</v>
      </c>
      <c r="C1121" t="s">
        <v>847</v>
      </c>
      <c r="D1121">
        <v>36780</v>
      </c>
      <c r="E1121" t="s">
        <v>163</v>
      </c>
    </row>
    <row r="1122" spans="1:5" x14ac:dyDescent="0.2">
      <c r="A1122">
        <v>2652</v>
      </c>
      <c r="B1122">
        <v>18</v>
      </c>
      <c r="C1122" t="s">
        <v>2011</v>
      </c>
      <c r="D1122">
        <v>36685</v>
      </c>
      <c r="E1122" t="s">
        <v>119</v>
      </c>
    </row>
    <row r="1123" spans="1:5" x14ac:dyDescent="0.2">
      <c r="A1123">
        <v>3205</v>
      </c>
      <c r="B1123">
        <v>0</v>
      </c>
      <c r="C1123" t="s">
        <v>2012</v>
      </c>
      <c r="D1123">
        <v>36996</v>
      </c>
      <c r="E1123" t="s">
        <v>118</v>
      </c>
    </row>
    <row r="1124" spans="1:5" x14ac:dyDescent="0.2">
      <c r="A1124">
        <v>2413</v>
      </c>
      <c r="B1124">
        <v>30</v>
      </c>
      <c r="C1124" t="s">
        <v>722</v>
      </c>
      <c r="D1124">
        <v>36848</v>
      </c>
      <c r="E1124" t="s">
        <v>716</v>
      </c>
    </row>
    <row r="1125" spans="1:5" x14ac:dyDescent="0.2">
      <c r="A1125">
        <v>2804</v>
      </c>
      <c r="B1125">
        <v>11</v>
      </c>
      <c r="C1125" t="s">
        <v>2013</v>
      </c>
      <c r="D1125">
        <v>36735</v>
      </c>
      <c r="E1125" t="s">
        <v>1200</v>
      </c>
    </row>
    <row r="1126" spans="1:5" x14ac:dyDescent="0.2">
      <c r="A1126">
        <v>1608</v>
      </c>
      <c r="B1126">
        <v>94</v>
      </c>
      <c r="C1126" t="s">
        <v>548</v>
      </c>
      <c r="D1126">
        <v>36313</v>
      </c>
      <c r="E1126" t="s">
        <v>438</v>
      </c>
    </row>
    <row r="1127" spans="1:5" x14ac:dyDescent="0.2">
      <c r="A1127">
        <v>1201</v>
      </c>
      <c r="B1127">
        <v>168</v>
      </c>
      <c r="C1127" t="s">
        <v>549</v>
      </c>
      <c r="D1127">
        <v>36289</v>
      </c>
      <c r="E1127" t="s">
        <v>72</v>
      </c>
    </row>
    <row r="1128" spans="1:5" x14ac:dyDescent="0.2">
      <c r="A1128">
        <v>1851</v>
      </c>
      <c r="B1128">
        <v>66</v>
      </c>
      <c r="C1128" t="s">
        <v>2014</v>
      </c>
      <c r="D1128">
        <v>36885</v>
      </c>
      <c r="E1128" t="s">
        <v>120</v>
      </c>
    </row>
    <row r="1129" spans="1:5" x14ac:dyDescent="0.2">
      <c r="A1129">
        <v>1001</v>
      </c>
      <c r="B1129">
        <v>221</v>
      </c>
      <c r="C1129" t="s">
        <v>297</v>
      </c>
      <c r="D1129">
        <v>36838</v>
      </c>
      <c r="E1129" t="s">
        <v>1659</v>
      </c>
    </row>
    <row r="1130" spans="1:5" x14ac:dyDescent="0.2">
      <c r="A1130">
        <v>2525</v>
      </c>
      <c r="B1130">
        <v>24</v>
      </c>
      <c r="C1130" t="s">
        <v>2015</v>
      </c>
      <c r="D1130">
        <v>36676</v>
      </c>
      <c r="E1130" t="s">
        <v>1960</v>
      </c>
    </row>
    <row r="1131" spans="1:5" x14ac:dyDescent="0.2">
      <c r="A1131">
        <v>2198</v>
      </c>
      <c r="B1131">
        <v>41</v>
      </c>
      <c r="C1131" t="s">
        <v>2016</v>
      </c>
      <c r="D1131">
        <v>36555</v>
      </c>
      <c r="E1131" t="s">
        <v>1222</v>
      </c>
    </row>
    <row r="1132" spans="1:5" x14ac:dyDescent="0.2">
      <c r="A1132">
        <v>1830</v>
      </c>
      <c r="B1132">
        <v>69</v>
      </c>
      <c r="C1132" t="s">
        <v>2017</v>
      </c>
      <c r="D1132">
        <v>36295</v>
      </c>
      <c r="E1132" t="s">
        <v>72</v>
      </c>
    </row>
    <row r="1133" spans="1:5" x14ac:dyDescent="0.2">
      <c r="A1133">
        <v>1534</v>
      </c>
      <c r="B1133">
        <v>105</v>
      </c>
      <c r="C1133" t="s">
        <v>2018</v>
      </c>
      <c r="D1133">
        <v>36299</v>
      </c>
      <c r="E1133" t="s">
        <v>113</v>
      </c>
    </row>
    <row r="1134" spans="1:5" x14ac:dyDescent="0.2">
      <c r="A1134">
        <v>2799</v>
      </c>
      <c r="B1134">
        <v>11</v>
      </c>
      <c r="C1134" t="s">
        <v>2019</v>
      </c>
      <c r="D1134">
        <v>37024</v>
      </c>
      <c r="E1134" t="s">
        <v>165</v>
      </c>
    </row>
    <row r="1135" spans="1:5" x14ac:dyDescent="0.2">
      <c r="A1135">
        <v>1695</v>
      </c>
      <c r="B1135">
        <v>84</v>
      </c>
      <c r="C1135" t="s">
        <v>2020</v>
      </c>
      <c r="D1135">
        <v>37134</v>
      </c>
      <c r="E1135" t="s">
        <v>2021</v>
      </c>
    </row>
    <row r="1136" spans="1:5" x14ac:dyDescent="0.2">
      <c r="A1136">
        <v>1615</v>
      </c>
      <c r="B1136">
        <v>94</v>
      </c>
      <c r="C1136" t="s">
        <v>2022</v>
      </c>
      <c r="D1136">
        <v>37134</v>
      </c>
      <c r="E1136" t="s">
        <v>2021</v>
      </c>
    </row>
    <row r="1137" spans="1:5" x14ac:dyDescent="0.2">
      <c r="A1137">
        <v>2839</v>
      </c>
      <c r="B1137">
        <v>10</v>
      </c>
      <c r="C1137" t="s">
        <v>2023</v>
      </c>
      <c r="D1137">
        <v>36635</v>
      </c>
      <c r="E1137" t="s">
        <v>1214</v>
      </c>
    </row>
    <row r="1138" spans="1:5" x14ac:dyDescent="0.2">
      <c r="A1138">
        <v>2673</v>
      </c>
      <c r="B1138">
        <v>16</v>
      </c>
      <c r="C1138" t="s">
        <v>298</v>
      </c>
      <c r="D1138">
        <v>36526</v>
      </c>
      <c r="E1138" t="s">
        <v>105</v>
      </c>
    </row>
    <row r="1139" spans="1:5" x14ac:dyDescent="0.2">
      <c r="A1139">
        <v>1834</v>
      </c>
      <c r="B1139">
        <v>68</v>
      </c>
      <c r="C1139" t="s">
        <v>550</v>
      </c>
      <c r="D1139">
        <v>36967</v>
      </c>
      <c r="E1139" t="s">
        <v>105</v>
      </c>
    </row>
    <row r="1140" spans="1:5" x14ac:dyDescent="0.2">
      <c r="A1140">
        <v>1539</v>
      </c>
      <c r="B1140">
        <v>104</v>
      </c>
      <c r="C1140" t="s">
        <v>848</v>
      </c>
      <c r="D1140">
        <v>37315</v>
      </c>
      <c r="E1140" t="s">
        <v>109</v>
      </c>
    </row>
    <row r="1141" spans="1:5" x14ac:dyDescent="0.2">
      <c r="A1141">
        <v>1230</v>
      </c>
      <c r="B1141">
        <v>161</v>
      </c>
      <c r="C1141" t="s">
        <v>299</v>
      </c>
      <c r="D1141">
        <v>36176</v>
      </c>
      <c r="E1141" t="s">
        <v>105</v>
      </c>
    </row>
    <row r="1142" spans="1:5" x14ac:dyDescent="0.2">
      <c r="A1142">
        <v>920</v>
      </c>
      <c r="B1142">
        <v>245</v>
      </c>
      <c r="C1142" t="s">
        <v>300</v>
      </c>
      <c r="D1142">
        <v>36407</v>
      </c>
      <c r="E1142" t="s">
        <v>74</v>
      </c>
    </row>
    <row r="1143" spans="1:5" x14ac:dyDescent="0.2">
      <c r="A1143">
        <v>2003</v>
      </c>
      <c r="B1143">
        <v>52</v>
      </c>
      <c r="C1143" t="s">
        <v>551</v>
      </c>
      <c r="D1143">
        <v>37034</v>
      </c>
      <c r="E1143" t="s">
        <v>72</v>
      </c>
    </row>
    <row r="1144" spans="1:5" x14ac:dyDescent="0.2">
      <c r="A1144">
        <v>3026</v>
      </c>
      <c r="B1144">
        <v>4</v>
      </c>
      <c r="C1144" t="s">
        <v>551</v>
      </c>
      <c r="D1144">
        <v>37257</v>
      </c>
      <c r="E1144" t="s">
        <v>141</v>
      </c>
    </row>
    <row r="1145" spans="1:5" x14ac:dyDescent="0.2">
      <c r="A1145">
        <v>3309</v>
      </c>
      <c r="B1145">
        <v>0</v>
      </c>
      <c r="C1145" t="s">
        <v>551</v>
      </c>
      <c r="D1145">
        <v>37735</v>
      </c>
      <c r="E1145" t="s">
        <v>99</v>
      </c>
    </row>
    <row r="1146" spans="1:5" x14ac:dyDescent="0.2">
      <c r="A1146">
        <v>2278</v>
      </c>
      <c r="B1146">
        <v>36</v>
      </c>
      <c r="C1146" t="s">
        <v>301</v>
      </c>
      <c r="D1146">
        <v>36564</v>
      </c>
      <c r="E1146" t="s">
        <v>170</v>
      </c>
    </row>
    <row r="1147" spans="1:5" x14ac:dyDescent="0.2">
      <c r="A1147">
        <v>2399</v>
      </c>
      <c r="B1147">
        <v>30</v>
      </c>
      <c r="C1147" t="s">
        <v>552</v>
      </c>
      <c r="D1147">
        <v>37140</v>
      </c>
      <c r="E1147" t="s">
        <v>72</v>
      </c>
    </row>
    <row r="1148" spans="1:5" x14ac:dyDescent="0.2">
      <c r="A1148">
        <v>1524</v>
      </c>
      <c r="B1148">
        <v>107</v>
      </c>
      <c r="C1148" t="s">
        <v>2024</v>
      </c>
      <c r="D1148">
        <v>36763</v>
      </c>
      <c r="E1148" t="s">
        <v>120</v>
      </c>
    </row>
    <row r="1149" spans="1:5" x14ac:dyDescent="0.2">
      <c r="A1149">
        <v>1354</v>
      </c>
      <c r="B1149">
        <v>139</v>
      </c>
      <c r="C1149" t="s">
        <v>302</v>
      </c>
      <c r="D1149">
        <v>36239</v>
      </c>
      <c r="E1149" t="s">
        <v>1356</v>
      </c>
    </row>
    <row r="1150" spans="1:5" x14ac:dyDescent="0.2">
      <c r="A1150">
        <v>2503</v>
      </c>
      <c r="B1150">
        <v>25</v>
      </c>
      <c r="C1150" t="s">
        <v>849</v>
      </c>
      <c r="D1150">
        <v>36665</v>
      </c>
      <c r="E1150" t="s">
        <v>105</v>
      </c>
    </row>
    <row r="1151" spans="1:5" x14ac:dyDescent="0.2">
      <c r="A1151">
        <v>1906</v>
      </c>
      <c r="B1151">
        <v>60</v>
      </c>
      <c r="C1151" t="s">
        <v>850</v>
      </c>
      <c r="D1151">
        <v>36564</v>
      </c>
      <c r="E1151" t="s">
        <v>1156</v>
      </c>
    </row>
    <row r="1152" spans="1:5" x14ac:dyDescent="0.2">
      <c r="A1152">
        <v>3145</v>
      </c>
      <c r="B1152">
        <v>1</v>
      </c>
      <c r="C1152" t="s">
        <v>2025</v>
      </c>
      <c r="D1152">
        <v>36373</v>
      </c>
      <c r="E1152" t="s">
        <v>105</v>
      </c>
    </row>
    <row r="1153" spans="1:5" x14ac:dyDescent="0.2">
      <c r="A1153">
        <v>1288</v>
      </c>
      <c r="B1153">
        <v>150</v>
      </c>
      <c r="C1153" t="s">
        <v>723</v>
      </c>
      <c r="D1153">
        <v>36782</v>
      </c>
      <c r="E1153" t="s">
        <v>74</v>
      </c>
    </row>
    <row r="1154" spans="1:5" x14ac:dyDescent="0.2">
      <c r="A1154">
        <v>3108</v>
      </c>
      <c r="B1154">
        <v>2</v>
      </c>
      <c r="C1154" t="s">
        <v>2026</v>
      </c>
      <c r="D1154">
        <v>37257</v>
      </c>
      <c r="E1154" t="s">
        <v>74</v>
      </c>
    </row>
    <row r="1155" spans="1:5" x14ac:dyDescent="0.2">
      <c r="A1155">
        <v>3484</v>
      </c>
      <c r="B1155">
        <v>0</v>
      </c>
      <c r="C1155" t="s">
        <v>2027</v>
      </c>
      <c r="D1155">
        <v>37140</v>
      </c>
      <c r="E1155" t="s">
        <v>120</v>
      </c>
    </row>
    <row r="1156" spans="1:5" x14ac:dyDescent="0.2">
      <c r="A1156">
        <v>3071</v>
      </c>
      <c r="B1156">
        <v>3</v>
      </c>
      <c r="C1156" t="s">
        <v>2028</v>
      </c>
      <c r="D1156">
        <v>37656</v>
      </c>
      <c r="E1156" t="s">
        <v>105</v>
      </c>
    </row>
    <row r="1157" spans="1:5" x14ac:dyDescent="0.2">
      <c r="A1157">
        <v>2800</v>
      </c>
      <c r="B1157">
        <v>11</v>
      </c>
      <c r="C1157" t="s">
        <v>2029</v>
      </c>
      <c r="D1157">
        <v>36457</v>
      </c>
      <c r="E1157" t="s">
        <v>231</v>
      </c>
    </row>
    <row r="1158" spans="1:5" x14ac:dyDescent="0.2">
      <c r="A1158">
        <v>3405</v>
      </c>
      <c r="B1158">
        <v>0</v>
      </c>
      <c r="C1158" t="s">
        <v>2030</v>
      </c>
      <c r="D1158">
        <v>37343</v>
      </c>
      <c r="E1158" t="s">
        <v>1264</v>
      </c>
    </row>
    <row r="1159" spans="1:5" x14ac:dyDescent="0.2">
      <c r="A1159">
        <v>2617</v>
      </c>
      <c r="B1159">
        <v>19</v>
      </c>
      <c r="C1159" t="s">
        <v>2031</v>
      </c>
      <c r="D1159">
        <v>37228</v>
      </c>
      <c r="E1159" t="s">
        <v>120</v>
      </c>
    </row>
    <row r="1160" spans="1:5" x14ac:dyDescent="0.2">
      <c r="A1160">
        <v>2808</v>
      </c>
      <c r="B1160">
        <v>11</v>
      </c>
      <c r="C1160" t="s">
        <v>2032</v>
      </c>
      <c r="D1160">
        <v>37228</v>
      </c>
      <c r="E1160" t="s">
        <v>120</v>
      </c>
    </row>
    <row r="1161" spans="1:5" x14ac:dyDescent="0.2">
      <c r="A1161">
        <v>1205</v>
      </c>
      <c r="B1161">
        <v>167</v>
      </c>
      <c r="C1161" t="s">
        <v>303</v>
      </c>
      <c r="D1161">
        <v>36641</v>
      </c>
      <c r="E1161" t="s">
        <v>257</v>
      </c>
    </row>
    <row r="1162" spans="1:5" x14ac:dyDescent="0.2">
      <c r="A1162">
        <v>2334</v>
      </c>
      <c r="B1162">
        <v>33</v>
      </c>
      <c r="C1162" t="s">
        <v>553</v>
      </c>
      <c r="D1162">
        <v>36560</v>
      </c>
      <c r="E1162" t="s">
        <v>99</v>
      </c>
    </row>
    <row r="1163" spans="1:5" x14ac:dyDescent="0.2">
      <c r="A1163">
        <v>3281</v>
      </c>
      <c r="B1163">
        <v>0</v>
      </c>
      <c r="C1163" t="s">
        <v>2033</v>
      </c>
      <c r="D1163">
        <v>37500</v>
      </c>
      <c r="E1163" t="s">
        <v>165</v>
      </c>
    </row>
    <row r="1164" spans="1:5" x14ac:dyDescent="0.2">
      <c r="A1164">
        <v>1707</v>
      </c>
      <c r="B1164">
        <v>83</v>
      </c>
      <c r="C1164" t="s">
        <v>2034</v>
      </c>
      <c r="D1164">
        <v>36511</v>
      </c>
      <c r="E1164" t="s">
        <v>243</v>
      </c>
    </row>
    <row r="1165" spans="1:5" x14ac:dyDescent="0.2">
      <c r="A1165">
        <v>1017</v>
      </c>
      <c r="B1165">
        <v>216</v>
      </c>
      <c r="C1165" t="s">
        <v>304</v>
      </c>
      <c r="D1165">
        <v>36186</v>
      </c>
      <c r="E1165" t="s">
        <v>105</v>
      </c>
    </row>
    <row r="1166" spans="1:5" x14ac:dyDescent="0.2">
      <c r="A1166">
        <v>3295</v>
      </c>
      <c r="B1166">
        <v>0</v>
      </c>
      <c r="C1166" t="s">
        <v>2035</v>
      </c>
      <c r="D1166">
        <v>36330</v>
      </c>
      <c r="E1166" t="s">
        <v>1236</v>
      </c>
    </row>
    <row r="1167" spans="1:5" x14ac:dyDescent="0.2">
      <c r="A1167">
        <v>2400</v>
      </c>
      <c r="B1167">
        <v>30</v>
      </c>
      <c r="C1167" t="s">
        <v>554</v>
      </c>
      <c r="D1167">
        <v>37027</v>
      </c>
      <c r="E1167" t="s">
        <v>1162</v>
      </c>
    </row>
    <row r="1168" spans="1:5" x14ac:dyDescent="0.2">
      <c r="A1168">
        <v>2355</v>
      </c>
      <c r="B1168">
        <v>32</v>
      </c>
      <c r="C1168" t="s">
        <v>305</v>
      </c>
      <c r="D1168">
        <v>37317</v>
      </c>
      <c r="E1168" t="s">
        <v>110</v>
      </c>
    </row>
    <row r="1169" spans="1:5" x14ac:dyDescent="0.2">
      <c r="A1169">
        <v>2749</v>
      </c>
      <c r="B1169">
        <v>13</v>
      </c>
      <c r="C1169" t="s">
        <v>2036</v>
      </c>
      <c r="D1169">
        <v>37672</v>
      </c>
      <c r="E1169" t="s">
        <v>105</v>
      </c>
    </row>
    <row r="1170" spans="1:5" x14ac:dyDescent="0.2">
      <c r="A1170">
        <v>3135</v>
      </c>
      <c r="B1170">
        <v>2</v>
      </c>
      <c r="C1170" t="s">
        <v>2037</v>
      </c>
      <c r="D1170">
        <v>36959</v>
      </c>
      <c r="E1170" t="s">
        <v>120</v>
      </c>
    </row>
    <row r="1171" spans="1:5" x14ac:dyDescent="0.2">
      <c r="A1171">
        <v>3505</v>
      </c>
      <c r="B1171">
        <v>0</v>
      </c>
      <c r="C1171" t="s">
        <v>2038</v>
      </c>
      <c r="D1171">
        <v>36526</v>
      </c>
      <c r="E1171" t="s">
        <v>1248</v>
      </c>
    </row>
    <row r="1172" spans="1:5" x14ac:dyDescent="0.2">
      <c r="A1172">
        <v>3520</v>
      </c>
      <c r="B1172">
        <v>0</v>
      </c>
      <c r="C1172" t="s">
        <v>2039</v>
      </c>
      <c r="D1172">
        <v>37069</v>
      </c>
      <c r="E1172" t="s">
        <v>1960</v>
      </c>
    </row>
    <row r="1173" spans="1:5" x14ac:dyDescent="0.2">
      <c r="A1173">
        <v>1021</v>
      </c>
      <c r="B1173">
        <v>214</v>
      </c>
      <c r="C1173" t="s">
        <v>306</v>
      </c>
      <c r="D1173">
        <v>36421</v>
      </c>
      <c r="E1173" t="s">
        <v>120</v>
      </c>
    </row>
    <row r="1174" spans="1:5" x14ac:dyDescent="0.2">
      <c r="A1174">
        <v>3459</v>
      </c>
      <c r="B1174">
        <v>0</v>
      </c>
      <c r="C1174" t="s">
        <v>2040</v>
      </c>
      <c r="D1174">
        <v>37080</v>
      </c>
      <c r="E1174" t="s">
        <v>227</v>
      </c>
    </row>
    <row r="1175" spans="1:5" x14ac:dyDescent="0.2">
      <c r="A1175">
        <v>1529</v>
      </c>
      <c r="B1175">
        <v>106</v>
      </c>
      <c r="C1175" t="s">
        <v>555</v>
      </c>
      <c r="D1175">
        <v>36555</v>
      </c>
      <c r="E1175" t="s">
        <v>103</v>
      </c>
    </row>
    <row r="1176" spans="1:5" x14ac:dyDescent="0.2">
      <c r="A1176">
        <v>3440</v>
      </c>
      <c r="B1176">
        <v>0</v>
      </c>
      <c r="C1176" t="s">
        <v>2041</v>
      </c>
      <c r="D1176">
        <v>36892</v>
      </c>
      <c r="E1176" t="s">
        <v>105</v>
      </c>
    </row>
    <row r="1177" spans="1:5" x14ac:dyDescent="0.2">
      <c r="A1177">
        <v>1845</v>
      </c>
      <c r="B1177">
        <v>66</v>
      </c>
      <c r="C1177" t="s">
        <v>307</v>
      </c>
      <c r="D1177">
        <v>36229</v>
      </c>
      <c r="E1177" t="s">
        <v>105</v>
      </c>
    </row>
    <row r="1178" spans="1:5" x14ac:dyDescent="0.2">
      <c r="A1178">
        <v>1704</v>
      </c>
      <c r="B1178">
        <v>83</v>
      </c>
      <c r="C1178" t="s">
        <v>2042</v>
      </c>
      <c r="D1178">
        <v>36919</v>
      </c>
      <c r="E1178" t="s">
        <v>120</v>
      </c>
    </row>
    <row r="1179" spans="1:5" x14ac:dyDescent="0.2">
      <c r="A1179">
        <v>3648</v>
      </c>
      <c r="B1179">
        <v>0</v>
      </c>
      <c r="C1179" t="s">
        <v>2043</v>
      </c>
      <c r="D1179">
        <v>36778</v>
      </c>
      <c r="E1179" t="s">
        <v>114</v>
      </c>
    </row>
    <row r="1180" spans="1:5" x14ac:dyDescent="0.2">
      <c r="A1180">
        <v>1866</v>
      </c>
      <c r="B1180">
        <v>64</v>
      </c>
      <c r="C1180" t="s">
        <v>851</v>
      </c>
      <c r="D1180">
        <v>36830</v>
      </c>
      <c r="E1180" t="s">
        <v>1460</v>
      </c>
    </row>
    <row r="1181" spans="1:5" x14ac:dyDescent="0.2">
      <c r="A1181">
        <v>3588</v>
      </c>
      <c r="B1181">
        <v>0</v>
      </c>
      <c r="C1181" t="s">
        <v>2044</v>
      </c>
      <c r="D1181">
        <v>38391</v>
      </c>
      <c r="E1181" t="s">
        <v>1236</v>
      </c>
    </row>
    <row r="1182" spans="1:5" x14ac:dyDescent="0.2">
      <c r="A1182">
        <v>2949</v>
      </c>
      <c r="B1182">
        <v>6</v>
      </c>
      <c r="C1182" t="s">
        <v>2045</v>
      </c>
      <c r="D1182">
        <v>36254</v>
      </c>
      <c r="E1182" t="s">
        <v>145</v>
      </c>
    </row>
    <row r="1183" spans="1:5" x14ac:dyDescent="0.2">
      <c r="A1183">
        <v>2708</v>
      </c>
      <c r="B1183">
        <v>15</v>
      </c>
      <c r="C1183" t="s">
        <v>2046</v>
      </c>
      <c r="D1183">
        <v>36526</v>
      </c>
      <c r="E1183" t="s">
        <v>83</v>
      </c>
    </row>
    <row r="1184" spans="1:5" x14ac:dyDescent="0.2">
      <c r="A1184">
        <v>2016</v>
      </c>
      <c r="B1184">
        <v>51</v>
      </c>
      <c r="C1184" t="s">
        <v>2047</v>
      </c>
      <c r="D1184">
        <v>36202</v>
      </c>
      <c r="E1184" t="s">
        <v>111</v>
      </c>
    </row>
    <row r="1185" spans="1:5" x14ac:dyDescent="0.2">
      <c r="A1185">
        <v>3011</v>
      </c>
      <c r="B1185">
        <v>4</v>
      </c>
      <c r="C1185" t="s">
        <v>2048</v>
      </c>
      <c r="D1185">
        <v>36706</v>
      </c>
      <c r="E1185" t="s">
        <v>140</v>
      </c>
    </row>
    <row r="1186" spans="1:5" x14ac:dyDescent="0.2">
      <c r="A1186">
        <v>2496</v>
      </c>
      <c r="B1186">
        <v>25</v>
      </c>
      <c r="C1186" t="s">
        <v>556</v>
      </c>
      <c r="D1186">
        <v>37217</v>
      </c>
      <c r="E1186" t="s">
        <v>105</v>
      </c>
    </row>
    <row r="1187" spans="1:5" x14ac:dyDescent="0.2">
      <c r="A1187">
        <v>3214</v>
      </c>
      <c r="B1187">
        <v>0</v>
      </c>
      <c r="C1187" t="s">
        <v>2049</v>
      </c>
      <c r="D1187">
        <v>36822</v>
      </c>
      <c r="E1187" t="s">
        <v>145</v>
      </c>
    </row>
    <row r="1188" spans="1:5" x14ac:dyDescent="0.2">
      <c r="A1188">
        <v>2259</v>
      </c>
      <c r="B1188">
        <v>37</v>
      </c>
      <c r="C1188" t="s">
        <v>557</v>
      </c>
      <c r="D1188">
        <v>37051</v>
      </c>
      <c r="E1188" t="s">
        <v>105</v>
      </c>
    </row>
    <row r="1189" spans="1:5" x14ac:dyDescent="0.2">
      <c r="A1189">
        <v>3693</v>
      </c>
      <c r="B1189">
        <v>0</v>
      </c>
      <c r="C1189" t="s">
        <v>2050</v>
      </c>
      <c r="D1189">
        <v>37419</v>
      </c>
      <c r="E1189" t="s">
        <v>105</v>
      </c>
    </row>
    <row r="1190" spans="1:5" x14ac:dyDescent="0.2">
      <c r="A1190">
        <v>2156</v>
      </c>
      <c r="B1190">
        <v>43</v>
      </c>
      <c r="C1190" t="s">
        <v>558</v>
      </c>
      <c r="D1190">
        <v>36793</v>
      </c>
      <c r="E1190" t="s">
        <v>559</v>
      </c>
    </row>
    <row r="1191" spans="1:5" x14ac:dyDescent="0.2">
      <c r="A1191">
        <v>3159</v>
      </c>
      <c r="B1191">
        <v>1</v>
      </c>
      <c r="C1191" t="s">
        <v>2051</v>
      </c>
      <c r="D1191">
        <v>37169</v>
      </c>
      <c r="E1191" t="s">
        <v>1311</v>
      </c>
    </row>
    <row r="1192" spans="1:5" x14ac:dyDescent="0.2">
      <c r="A1192">
        <v>2707</v>
      </c>
      <c r="B1192">
        <v>15</v>
      </c>
      <c r="C1192" t="s">
        <v>2052</v>
      </c>
      <c r="D1192">
        <v>36704</v>
      </c>
      <c r="E1192" t="s">
        <v>614</v>
      </c>
    </row>
    <row r="1193" spans="1:5" x14ac:dyDescent="0.2">
      <c r="A1193">
        <v>1307</v>
      </c>
      <c r="B1193">
        <v>146</v>
      </c>
      <c r="C1193" t="s">
        <v>724</v>
      </c>
      <c r="D1193">
        <v>37147</v>
      </c>
      <c r="E1193" t="s">
        <v>105</v>
      </c>
    </row>
    <row r="1194" spans="1:5" x14ac:dyDescent="0.2">
      <c r="A1194">
        <v>2115</v>
      </c>
      <c r="B1194">
        <v>45</v>
      </c>
      <c r="C1194" t="s">
        <v>560</v>
      </c>
      <c r="D1194">
        <v>37341</v>
      </c>
      <c r="E1194" t="s">
        <v>73</v>
      </c>
    </row>
    <row r="1195" spans="1:5" x14ac:dyDescent="0.2">
      <c r="A1195">
        <v>2782</v>
      </c>
      <c r="B1195">
        <v>12</v>
      </c>
      <c r="C1195" t="s">
        <v>2053</v>
      </c>
      <c r="D1195">
        <v>36675</v>
      </c>
      <c r="E1195" t="s">
        <v>2054</v>
      </c>
    </row>
    <row r="1196" spans="1:5" x14ac:dyDescent="0.2">
      <c r="A1196">
        <v>2151</v>
      </c>
      <c r="B1196">
        <v>44</v>
      </c>
      <c r="C1196" t="s">
        <v>852</v>
      </c>
      <c r="D1196">
        <v>36945</v>
      </c>
      <c r="E1196" t="s">
        <v>208</v>
      </c>
    </row>
    <row r="1197" spans="1:5" x14ac:dyDescent="0.2">
      <c r="A1197">
        <v>1681</v>
      </c>
      <c r="B1197">
        <v>86</v>
      </c>
      <c r="C1197" t="s">
        <v>2055</v>
      </c>
      <c r="D1197">
        <v>36985</v>
      </c>
      <c r="E1197" t="s">
        <v>176</v>
      </c>
    </row>
    <row r="1198" spans="1:5" x14ac:dyDescent="0.2">
      <c r="A1198">
        <v>1582</v>
      </c>
      <c r="B1198">
        <v>99</v>
      </c>
      <c r="C1198" t="s">
        <v>2056</v>
      </c>
      <c r="D1198">
        <v>36514</v>
      </c>
      <c r="E1198" t="s">
        <v>105</v>
      </c>
    </row>
    <row r="1199" spans="1:5" x14ac:dyDescent="0.2">
      <c r="A1199">
        <v>2746</v>
      </c>
      <c r="B1199">
        <v>13</v>
      </c>
      <c r="C1199" t="s">
        <v>2057</v>
      </c>
      <c r="D1199">
        <v>36571</v>
      </c>
      <c r="E1199" t="s">
        <v>1169</v>
      </c>
    </row>
    <row r="1200" spans="1:5" x14ac:dyDescent="0.2">
      <c r="A1200">
        <v>2043</v>
      </c>
      <c r="B1200">
        <v>49</v>
      </c>
      <c r="C1200" t="s">
        <v>725</v>
      </c>
      <c r="D1200">
        <v>36636</v>
      </c>
      <c r="E1200" t="s">
        <v>120</v>
      </c>
    </row>
    <row r="1201" spans="1:5" x14ac:dyDescent="0.2">
      <c r="A1201">
        <v>1970</v>
      </c>
      <c r="B1201">
        <v>54</v>
      </c>
      <c r="C1201" t="s">
        <v>561</v>
      </c>
      <c r="D1201">
        <v>36276</v>
      </c>
      <c r="E1201" t="s">
        <v>1311</v>
      </c>
    </row>
    <row r="1202" spans="1:5" x14ac:dyDescent="0.2">
      <c r="A1202">
        <v>3583</v>
      </c>
      <c r="B1202">
        <v>0</v>
      </c>
      <c r="C1202" t="s">
        <v>2058</v>
      </c>
      <c r="D1202">
        <v>36909</v>
      </c>
      <c r="E1202" t="s">
        <v>1460</v>
      </c>
    </row>
    <row r="1203" spans="1:5" x14ac:dyDescent="0.2">
      <c r="A1203">
        <v>3559</v>
      </c>
      <c r="B1203">
        <v>0</v>
      </c>
      <c r="C1203" t="s">
        <v>2059</v>
      </c>
      <c r="D1203">
        <v>36658</v>
      </c>
      <c r="E1203" t="s">
        <v>1156</v>
      </c>
    </row>
    <row r="1204" spans="1:5" x14ac:dyDescent="0.2">
      <c r="A1204">
        <v>3575</v>
      </c>
      <c r="B1204">
        <v>0</v>
      </c>
      <c r="C1204" t="s">
        <v>2060</v>
      </c>
      <c r="D1204">
        <v>37262</v>
      </c>
      <c r="E1204" t="s">
        <v>1232</v>
      </c>
    </row>
    <row r="1205" spans="1:5" x14ac:dyDescent="0.2">
      <c r="A1205">
        <v>3663</v>
      </c>
      <c r="B1205">
        <v>0</v>
      </c>
      <c r="C1205" t="s">
        <v>2061</v>
      </c>
      <c r="D1205">
        <v>36886</v>
      </c>
      <c r="E1205" t="s">
        <v>1327</v>
      </c>
    </row>
    <row r="1206" spans="1:5" x14ac:dyDescent="0.2">
      <c r="A1206">
        <v>2272</v>
      </c>
      <c r="B1206">
        <v>37</v>
      </c>
      <c r="C1206" t="s">
        <v>2062</v>
      </c>
      <c r="D1206">
        <v>37390</v>
      </c>
      <c r="E1206" t="s">
        <v>80</v>
      </c>
    </row>
    <row r="1207" spans="1:5" x14ac:dyDescent="0.2">
      <c r="A1207">
        <v>3435</v>
      </c>
      <c r="B1207">
        <v>0</v>
      </c>
      <c r="C1207" t="s">
        <v>2063</v>
      </c>
      <c r="D1207">
        <v>36945</v>
      </c>
      <c r="E1207" t="s">
        <v>1599</v>
      </c>
    </row>
    <row r="1208" spans="1:5" x14ac:dyDescent="0.2">
      <c r="A1208">
        <v>2999</v>
      </c>
      <c r="B1208">
        <v>5</v>
      </c>
      <c r="C1208" t="s">
        <v>2064</v>
      </c>
      <c r="D1208">
        <v>37643</v>
      </c>
      <c r="E1208" t="s">
        <v>105</v>
      </c>
    </row>
    <row r="1209" spans="1:5" x14ac:dyDescent="0.2">
      <c r="A1209">
        <v>1042</v>
      </c>
      <c r="B1209">
        <v>207</v>
      </c>
      <c r="C1209" t="s">
        <v>562</v>
      </c>
      <c r="D1209">
        <v>36325</v>
      </c>
      <c r="E1209" t="s">
        <v>117</v>
      </c>
    </row>
    <row r="1210" spans="1:5" x14ac:dyDescent="0.2">
      <c r="A1210">
        <v>1321</v>
      </c>
      <c r="B1210">
        <v>144</v>
      </c>
      <c r="C1210" t="s">
        <v>563</v>
      </c>
      <c r="D1210">
        <v>36263</v>
      </c>
      <c r="E1210" t="s">
        <v>72</v>
      </c>
    </row>
    <row r="1211" spans="1:5" x14ac:dyDescent="0.2">
      <c r="A1211">
        <v>2494</v>
      </c>
      <c r="B1211">
        <v>25</v>
      </c>
      <c r="C1211" t="s">
        <v>564</v>
      </c>
      <c r="D1211">
        <v>36936</v>
      </c>
      <c r="E1211" t="s">
        <v>129</v>
      </c>
    </row>
    <row r="1212" spans="1:5" x14ac:dyDescent="0.2">
      <c r="A1212">
        <v>3589</v>
      </c>
      <c r="B1212">
        <v>0</v>
      </c>
      <c r="C1212" t="s">
        <v>2065</v>
      </c>
      <c r="D1212">
        <v>37298</v>
      </c>
      <c r="E1212" t="s">
        <v>1236</v>
      </c>
    </row>
    <row r="1213" spans="1:5" x14ac:dyDescent="0.2">
      <c r="A1213">
        <v>2000</v>
      </c>
      <c r="B1213">
        <v>52</v>
      </c>
      <c r="C1213" t="s">
        <v>308</v>
      </c>
      <c r="D1213">
        <v>36600</v>
      </c>
      <c r="E1213" t="s">
        <v>105</v>
      </c>
    </row>
    <row r="1214" spans="1:5" x14ac:dyDescent="0.2">
      <c r="A1214">
        <v>3486</v>
      </c>
      <c r="B1214">
        <v>0</v>
      </c>
      <c r="C1214" t="s">
        <v>2066</v>
      </c>
      <c r="D1214">
        <v>37322</v>
      </c>
      <c r="E1214" t="s">
        <v>110</v>
      </c>
    </row>
    <row r="1215" spans="1:5" x14ac:dyDescent="0.2">
      <c r="A1215">
        <v>3321</v>
      </c>
      <c r="B1215">
        <v>0</v>
      </c>
      <c r="C1215" t="s">
        <v>2067</v>
      </c>
      <c r="D1215">
        <v>37361</v>
      </c>
      <c r="E1215" t="s">
        <v>120</v>
      </c>
    </row>
    <row r="1216" spans="1:5" x14ac:dyDescent="0.2">
      <c r="A1216">
        <v>2954</v>
      </c>
      <c r="B1216">
        <v>6</v>
      </c>
      <c r="C1216" t="s">
        <v>2068</v>
      </c>
      <c r="D1216">
        <v>37218</v>
      </c>
      <c r="E1216" t="s">
        <v>1307</v>
      </c>
    </row>
    <row r="1217" spans="1:5" x14ac:dyDescent="0.2">
      <c r="A1217">
        <v>3476</v>
      </c>
      <c r="B1217">
        <v>0</v>
      </c>
      <c r="C1217" t="s">
        <v>2069</v>
      </c>
      <c r="D1217">
        <v>38065</v>
      </c>
      <c r="E1217" t="s">
        <v>105</v>
      </c>
    </row>
    <row r="1218" spans="1:5" x14ac:dyDescent="0.2">
      <c r="A1218">
        <v>3590</v>
      </c>
      <c r="B1218">
        <v>0</v>
      </c>
      <c r="C1218" t="s">
        <v>2070</v>
      </c>
      <c r="D1218">
        <v>36998</v>
      </c>
      <c r="E1218" t="s">
        <v>103</v>
      </c>
    </row>
    <row r="1219" spans="1:5" x14ac:dyDescent="0.2">
      <c r="A1219">
        <v>3410</v>
      </c>
      <c r="B1219">
        <v>0</v>
      </c>
      <c r="C1219" t="s">
        <v>2071</v>
      </c>
      <c r="D1219">
        <v>37618</v>
      </c>
      <c r="E1219" t="s">
        <v>1198</v>
      </c>
    </row>
    <row r="1220" spans="1:5" x14ac:dyDescent="0.2">
      <c r="A1220">
        <v>1736</v>
      </c>
      <c r="B1220">
        <v>78</v>
      </c>
      <c r="C1220" t="s">
        <v>565</v>
      </c>
      <c r="D1220">
        <v>36316</v>
      </c>
      <c r="E1220" t="s">
        <v>1156</v>
      </c>
    </row>
    <row r="1221" spans="1:5" x14ac:dyDescent="0.2">
      <c r="A1221">
        <v>2603</v>
      </c>
      <c r="B1221">
        <v>20</v>
      </c>
      <c r="C1221" t="s">
        <v>2072</v>
      </c>
      <c r="D1221">
        <v>37384</v>
      </c>
      <c r="E1221" t="s">
        <v>117</v>
      </c>
    </row>
    <row r="1222" spans="1:5" x14ac:dyDescent="0.2">
      <c r="A1222">
        <v>2329</v>
      </c>
      <c r="B1222">
        <v>34</v>
      </c>
      <c r="C1222" t="s">
        <v>2073</v>
      </c>
      <c r="D1222">
        <v>37421</v>
      </c>
      <c r="E1222" t="s">
        <v>1408</v>
      </c>
    </row>
    <row r="1223" spans="1:5" x14ac:dyDescent="0.2">
      <c r="A1223">
        <v>1621</v>
      </c>
      <c r="B1223">
        <v>93</v>
      </c>
      <c r="C1223" t="s">
        <v>726</v>
      </c>
      <c r="D1223">
        <v>36712</v>
      </c>
      <c r="E1223" t="s">
        <v>105</v>
      </c>
    </row>
    <row r="1224" spans="1:5" x14ac:dyDescent="0.2">
      <c r="A1224">
        <v>2783</v>
      </c>
      <c r="B1224">
        <v>12</v>
      </c>
      <c r="C1224" t="s">
        <v>2074</v>
      </c>
      <c r="D1224">
        <v>37257</v>
      </c>
      <c r="E1224" t="s">
        <v>105</v>
      </c>
    </row>
    <row r="1225" spans="1:5" x14ac:dyDescent="0.2">
      <c r="A1225">
        <v>3553</v>
      </c>
      <c r="B1225">
        <v>0</v>
      </c>
      <c r="C1225" t="s">
        <v>2075</v>
      </c>
      <c r="D1225">
        <v>36736</v>
      </c>
      <c r="E1225" t="s">
        <v>105</v>
      </c>
    </row>
    <row r="1226" spans="1:5" x14ac:dyDescent="0.2">
      <c r="A1226">
        <v>1347</v>
      </c>
      <c r="B1226">
        <v>141</v>
      </c>
      <c r="C1226" t="s">
        <v>2076</v>
      </c>
      <c r="D1226">
        <v>37298</v>
      </c>
      <c r="E1226" t="s">
        <v>120</v>
      </c>
    </row>
    <row r="1227" spans="1:5" x14ac:dyDescent="0.2">
      <c r="A1227">
        <v>3352</v>
      </c>
      <c r="B1227">
        <v>0</v>
      </c>
      <c r="C1227" t="s">
        <v>2077</v>
      </c>
      <c r="D1227">
        <v>37377</v>
      </c>
      <c r="E1227" t="s">
        <v>113</v>
      </c>
    </row>
    <row r="1228" spans="1:5" x14ac:dyDescent="0.2">
      <c r="A1228">
        <v>3646</v>
      </c>
      <c r="B1228">
        <v>0</v>
      </c>
      <c r="C1228" t="s">
        <v>2078</v>
      </c>
      <c r="D1228">
        <v>37909</v>
      </c>
      <c r="E1228" t="s">
        <v>1327</v>
      </c>
    </row>
    <row r="1229" spans="1:5" x14ac:dyDescent="0.2">
      <c r="A1229">
        <v>3560</v>
      </c>
      <c r="B1229">
        <v>0</v>
      </c>
      <c r="C1229" t="s">
        <v>2079</v>
      </c>
      <c r="D1229">
        <v>37150</v>
      </c>
      <c r="E1229" t="s">
        <v>1156</v>
      </c>
    </row>
    <row r="1230" spans="1:5" x14ac:dyDescent="0.2">
      <c r="A1230">
        <v>2574</v>
      </c>
      <c r="B1230">
        <v>21</v>
      </c>
      <c r="C1230" t="s">
        <v>309</v>
      </c>
      <c r="D1230">
        <v>36258</v>
      </c>
      <c r="E1230" t="s">
        <v>122</v>
      </c>
    </row>
    <row r="1231" spans="1:5" x14ac:dyDescent="0.2">
      <c r="A1231">
        <v>2591</v>
      </c>
      <c r="B1231">
        <v>20</v>
      </c>
      <c r="C1231" t="s">
        <v>310</v>
      </c>
      <c r="D1231">
        <v>36557</v>
      </c>
      <c r="E1231" t="s">
        <v>163</v>
      </c>
    </row>
    <row r="1232" spans="1:5" x14ac:dyDescent="0.2">
      <c r="A1232">
        <v>1189</v>
      </c>
      <c r="B1232">
        <v>170</v>
      </c>
      <c r="C1232" t="s">
        <v>2080</v>
      </c>
      <c r="D1232">
        <v>36343</v>
      </c>
      <c r="E1232" t="s">
        <v>1475</v>
      </c>
    </row>
    <row r="1233" spans="1:5" x14ac:dyDescent="0.2">
      <c r="A1233">
        <v>3428</v>
      </c>
      <c r="B1233">
        <v>0</v>
      </c>
      <c r="C1233" t="s">
        <v>2081</v>
      </c>
      <c r="D1233">
        <v>36540</v>
      </c>
      <c r="E1233" t="s">
        <v>365</v>
      </c>
    </row>
    <row r="1234" spans="1:5" x14ac:dyDescent="0.2">
      <c r="A1234">
        <v>3019</v>
      </c>
      <c r="B1234">
        <v>4</v>
      </c>
      <c r="C1234" t="s">
        <v>2082</v>
      </c>
      <c r="D1234">
        <v>36201</v>
      </c>
      <c r="E1234" t="s">
        <v>72</v>
      </c>
    </row>
    <row r="1235" spans="1:5" x14ac:dyDescent="0.2">
      <c r="A1235">
        <v>2602</v>
      </c>
      <c r="B1235">
        <v>20</v>
      </c>
      <c r="C1235" t="s">
        <v>2083</v>
      </c>
      <c r="D1235">
        <v>36700</v>
      </c>
      <c r="E1235" t="s">
        <v>140</v>
      </c>
    </row>
    <row r="1236" spans="1:5" x14ac:dyDescent="0.2">
      <c r="A1236">
        <v>3034</v>
      </c>
      <c r="B1236">
        <v>4</v>
      </c>
      <c r="C1236" t="s">
        <v>2084</v>
      </c>
      <c r="D1236">
        <v>36641</v>
      </c>
      <c r="E1236" t="s">
        <v>2085</v>
      </c>
    </row>
    <row r="1237" spans="1:5" x14ac:dyDescent="0.2">
      <c r="A1237">
        <v>2096</v>
      </c>
      <c r="B1237">
        <v>46</v>
      </c>
      <c r="C1237" t="s">
        <v>566</v>
      </c>
      <c r="D1237">
        <v>36428</v>
      </c>
      <c r="E1237" t="s">
        <v>141</v>
      </c>
    </row>
    <row r="1238" spans="1:5" x14ac:dyDescent="0.2">
      <c r="A1238">
        <v>2306</v>
      </c>
      <c r="B1238">
        <v>35</v>
      </c>
      <c r="C1238" t="s">
        <v>2086</v>
      </c>
      <c r="D1238">
        <v>37004</v>
      </c>
      <c r="E1238" t="s">
        <v>138</v>
      </c>
    </row>
    <row r="1239" spans="1:5" x14ac:dyDescent="0.2">
      <c r="A1239">
        <v>3591</v>
      </c>
      <c r="B1239">
        <v>0</v>
      </c>
      <c r="C1239" t="s">
        <v>567</v>
      </c>
      <c r="D1239">
        <v>37263</v>
      </c>
      <c r="E1239" t="s">
        <v>1236</v>
      </c>
    </row>
    <row r="1240" spans="1:5" x14ac:dyDescent="0.2">
      <c r="A1240">
        <v>3644</v>
      </c>
      <c r="B1240">
        <v>0</v>
      </c>
      <c r="C1240" t="s">
        <v>2087</v>
      </c>
      <c r="D1240">
        <v>37261</v>
      </c>
      <c r="E1240" t="s">
        <v>1311</v>
      </c>
    </row>
    <row r="1241" spans="1:5" x14ac:dyDescent="0.2">
      <c r="A1241">
        <v>3662</v>
      </c>
      <c r="B1241">
        <v>0</v>
      </c>
      <c r="C1241" t="s">
        <v>2088</v>
      </c>
      <c r="D1241">
        <v>37257</v>
      </c>
      <c r="E1241" t="s">
        <v>136</v>
      </c>
    </row>
    <row r="1242" spans="1:5" x14ac:dyDescent="0.2">
      <c r="A1242">
        <v>3258</v>
      </c>
      <c r="B1242">
        <v>0</v>
      </c>
      <c r="C1242" t="s">
        <v>568</v>
      </c>
      <c r="D1242">
        <v>36721</v>
      </c>
      <c r="E1242" t="s">
        <v>127</v>
      </c>
    </row>
    <row r="1243" spans="1:5" x14ac:dyDescent="0.2">
      <c r="A1243">
        <v>2920</v>
      </c>
      <c r="B1243">
        <v>7</v>
      </c>
      <c r="C1243" t="s">
        <v>2089</v>
      </c>
      <c r="D1243">
        <v>36956</v>
      </c>
      <c r="E1243" t="s">
        <v>120</v>
      </c>
    </row>
    <row r="1244" spans="1:5" x14ac:dyDescent="0.2">
      <c r="A1244">
        <v>3541</v>
      </c>
      <c r="B1244">
        <v>0</v>
      </c>
      <c r="C1244" t="s">
        <v>2090</v>
      </c>
      <c r="D1244">
        <v>36250</v>
      </c>
      <c r="E1244" t="s">
        <v>120</v>
      </c>
    </row>
    <row r="1245" spans="1:5" x14ac:dyDescent="0.2">
      <c r="A1245">
        <v>3672</v>
      </c>
      <c r="B1245">
        <v>0</v>
      </c>
      <c r="C1245" t="s">
        <v>2091</v>
      </c>
      <c r="D1245">
        <v>37661</v>
      </c>
      <c r="E1245" t="s">
        <v>105</v>
      </c>
    </row>
    <row r="1246" spans="1:5" x14ac:dyDescent="0.2">
      <c r="A1246">
        <v>2938</v>
      </c>
      <c r="B1246">
        <v>6</v>
      </c>
      <c r="C1246" t="s">
        <v>2092</v>
      </c>
      <c r="D1246">
        <v>36892</v>
      </c>
      <c r="E1246" t="s">
        <v>120</v>
      </c>
    </row>
    <row r="1247" spans="1:5" x14ac:dyDescent="0.2">
      <c r="A1247">
        <v>3056</v>
      </c>
      <c r="B1247">
        <v>4</v>
      </c>
      <c r="C1247" t="s">
        <v>2093</v>
      </c>
      <c r="D1247">
        <v>37200</v>
      </c>
      <c r="E1247" t="s">
        <v>72</v>
      </c>
    </row>
    <row r="1248" spans="1:5" x14ac:dyDescent="0.2">
      <c r="A1248">
        <v>3142</v>
      </c>
      <c r="B1248">
        <v>1</v>
      </c>
      <c r="C1248" t="s">
        <v>2094</v>
      </c>
      <c r="D1248">
        <v>36454</v>
      </c>
      <c r="E1248" t="s">
        <v>127</v>
      </c>
    </row>
    <row r="1249" spans="1:5" x14ac:dyDescent="0.2">
      <c r="A1249">
        <v>2532</v>
      </c>
      <c r="B1249">
        <v>24</v>
      </c>
      <c r="C1249" t="s">
        <v>853</v>
      </c>
      <c r="D1249">
        <v>36538</v>
      </c>
      <c r="E1249" t="s">
        <v>1204</v>
      </c>
    </row>
    <row r="1250" spans="1:5" x14ac:dyDescent="0.2">
      <c r="A1250">
        <v>2068</v>
      </c>
      <c r="B1250">
        <v>48</v>
      </c>
      <c r="C1250" t="s">
        <v>2095</v>
      </c>
      <c r="D1250">
        <v>37008</v>
      </c>
      <c r="E1250" t="s">
        <v>120</v>
      </c>
    </row>
    <row r="1251" spans="1:5" x14ac:dyDescent="0.2">
      <c r="A1251">
        <v>2898</v>
      </c>
      <c r="B1251">
        <v>8</v>
      </c>
      <c r="C1251" t="s">
        <v>2096</v>
      </c>
      <c r="D1251">
        <v>36998</v>
      </c>
      <c r="E1251" t="s">
        <v>127</v>
      </c>
    </row>
    <row r="1252" spans="1:5" x14ac:dyDescent="0.2">
      <c r="A1252">
        <v>2331</v>
      </c>
      <c r="B1252">
        <v>33</v>
      </c>
      <c r="C1252" t="s">
        <v>569</v>
      </c>
      <c r="D1252">
        <v>37046</v>
      </c>
      <c r="E1252" t="s">
        <v>106</v>
      </c>
    </row>
    <row r="1253" spans="1:5" x14ac:dyDescent="0.2">
      <c r="A1253">
        <v>2688</v>
      </c>
      <c r="B1253">
        <v>16</v>
      </c>
      <c r="C1253" t="s">
        <v>2097</v>
      </c>
      <c r="D1253">
        <v>37469</v>
      </c>
      <c r="E1253" t="s">
        <v>1236</v>
      </c>
    </row>
    <row r="1254" spans="1:5" x14ac:dyDescent="0.2">
      <c r="A1254">
        <v>2336</v>
      </c>
      <c r="B1254">
        <v>33</v>
      </c>
      <c r="C1254" t="s">
        <v>727</v>
      </c>
      <c r="D1254">
        <v>36795</v>
      </c>
      <c r="E1254" t="s">
        <v>222</v>
      </c>
    </row>
    <row r="1255" spans="1:5" x14ac:dyDescent="0.2">
      <c r="A1255">
        <v>2055</v>
      </c>
      <c r="B1255">
        <v>48</v>
      </c>
      <c r="C1255" t="s">
        <v>728</v>
      </c>
      <c r="D1255">
        <v>36877</v>
      </c>
      <c r="E1255" t="s">
        <v>126</v>
      </c>
    </row>
    <row r="1256" spans="1:5" x14ac:dyDescent="0.2">
      <c r="A1256">
        <v>2131</v>
      </c>
      <c r="B1256">
        <v>45</v>
      </c>
      <c r="C1256" t="s">
        <v>2098</v>
      </c>
      <c r="D1256">
        <v>36407</v>
      </c>
      <c r="E1256" t="s">
        <v>1275</v>
      </c>
    </row>
    <row r="1257" spans="1:5" x14ac:dyDescent="0.2">
      <c r="A1257">
        <v>3179</v>
      </c>
      <c r="B1257">
        <v>1</v>
      </c>
      <c r="C1257" t="s">
        <v>2099</v>
      </c>
      <c r="D1257">
        <v>36627</v>
      </c>
      <c r="E1257" t="s">
        <v>1315</v>
      </c>
    </row>
    <row r="1258" spans="1:5" x14ac:dyDescent="0.2">
      <c r="A1258">
        <v>2328</v>
      </c>
      <c r="B1258">
        <v>34</v>
      </c>
      <c r="C1258" t="s">
        <v>2100</v>
      </c>
      <c r="D1258">
        <v>37229</v>
      </c>
      <c r="E1258" t="s">
        <v>113</v>
      </c>
    </row>
    <row r="1259" spans="1:5" x14ac:dyDescent="0.2">
      <c r="A1259">
        <v>2581</v>
      </c>
      <c r="B1259">
        <v>21</v>
      </c>
      <c r="C1259" t="s">
        <v>854</v>
      </c>
      <c r="D1259">
        <v>36623</v>
      </c>
      <c r="E1259" t="s">
        <v>1156</v>
      </c>
    </row>
    <row r="1260" spans="1:5" x14ac:dyDescent="0.2">
      <c r="A1260">
        <v>2213</v>
      </c>
      <c r="B1260">
        <v>40</v>
      </c>
      <c r="C1260" t="s">
        <v>2101</v>
      </c>
      <c r="D1260">
        <v>36896</v>
      </c>
      <c r="E1260" t="s">
        <v>120</v>
      </c>
    </row>
    <row r="1261" spans="1:5" x14ac:dyDescent="0.2">
      <c r="A1261">
        <v>2383</v>
      </c>
      <c r="B1261">
        <v>31</v>
      </c>
      <c r="C1261" t="s">
        <v>729</v>
      </c>
      <c r="D1261">
        <v>36684</v>
      </c>
      <c r="E1261" t="s">
        <v>1277</v>
      </c>
    </row>
    <row r="1262" spans="1:5" x14ac:dyDescent="0.2">
      <c r="A1262">
        <v>2161</v>
      </c>
      <c r="B1262">
        <v>43</v>
      </c>
      <c r="C1262" t="s">
        <v>570</v>
      </c>
      <c r="D1262">
        <v>36370</v>
      </c>
      <c r="E1262" t="s">
        <v>1214</v>
      </c>
    </row>
    <row r="1263" spans="1:5" x14ac:dyDescent="0.2">
      <c r="A1263">
        <v>1836</v>
      </c>
      <c r="B1263">
        <v>68</v>
      </c>
      <c r="C1263" t="s">
        <v>571</v>
      </c>
      <c r="D1263">
        <v>36370</v>
      </c>
      <c r="E1263" t="s">
        <v>1214</v>
      </c>
    </row>
    <row r="1264" spans="1:5" x14ac:dyDescent="0.2">
      <c r="A1264">
        <v>1846</v>
      </c>
      <c r="B1264">
        <v>66</v>
      </c>
      <c r="C1264" t="s">
        <v>572</v>
      </c>
      <c r="D1264">
        <v>37041</v>
      </c>
      <c r="E1264" t="s">
        <v>99</v>
      </c>
    </row>
    <row r="1265" spans="1:5" x14ac:dyDescent="0.2">
      <c r="A1265">
        <v>2014</v>
      </c>
      <c r="B1265">
        <v>51</v>
      </c>
      <c r="C1265" t="s">
        <v>573</v>
      </c>
      <c r="D1265">
        <v>36609</v>
      </c>
      <c r="E1265" t="s">
        <v>72</v>
      </c>
    </row>
    <row r="1266" spans="1:5" x14ac:dyDescent="0.2">
      <c r="A1266">
        <v>1973</v>
      </c>
      <c r="B1266">
        <v>54</v>
      </c>
      <c r="C1266" t="s">
        <v>730</v>
      </c>
      <c r="D1266">
        <v>36586</v>
      </c>
      <c r="E1266" t="s">
        <v>105</v>
      </c>
    </row>
    <row r="1267" spans="1:5" x14ac:dyDescent="0.2">
      <c r="A1267">
        <v>2884</v>
      </c>
      <c r="B1267">
        <v>8</v>
      </c>
      <c r="C1267" t="s">
        <v>2102</v>
      </c>
      <c r="D1267">
        <v>37181</v>
      </c>
      <c r="E1267" t="s">
        <v>1460</v>
      </c>
    </row>
    <row r="1268" spans="1:5" x14ac:dyDescent="0.2">
      <c r="A1268">
        <v>3153</v>
      </c>
      <c r="B1268">
        <v>1</v>
      </c>
      <c r="C1268" t="s">
        <v>2103</v>
      </c>
      <c r="D1268">
        <v>36428</v>
      </c>
      <c r="E1268" t="s">
        <v>213</v>
      </c>
    </row>
    <row r="1269" spans="1:5" x14ac:dyDescent="0.2">
      <c r="A1269">
        <v>2360</v>
      </c>
      <c r="B1269">
        <v>32</v>
      </c>
      <c r="C1269" t="s">
        <v>311</v>
      </c>
      <c r="D1269">
        <v>36631</v>
      </c>
      <c r="E1269" t="s">
        <v>142</v>
      </c>
    </row>
    <row r="1270" spans="1:5" x14ac:dyDescent="0.2">
      <c r="A1270">
        <v>3349</v>
      </c>
      <c r="B1270">
        <v>0</v>
      </c>
      <c r="C1270" t="s">
        <v>2104</v>
      </c>
      <c r="D1270">
        <v>37820</v>
      </c>
      <c r="E1270" t="s">
        <v>120</v>
      </c>
    </row>
    <row r="1271" spans="1:5" x14ac:dyDescent="0.2">
      <c r="A1271">
        <v>2751</v>
      </c>
      <c r="B1271">
        <v>13</v>
      </c>
      <c r="C1271" t="s">
        <v>2105</v>
      </c>
      <c r="D1271">
        <v>36188</v>
      </c>
      <c r="E1271" t="s">
        <v>1246</v>
      </c>
    </row>
    <row r="1272" spans="1:5" x14ac:dyDescent="0.2">
      <c r="A1272">
        <v>1984</v>
      </c>
      <c r="B1272">
        <v>53</v>
      </c>
      <c r="C1272" t="s">
        <v>731</v>
      </c>
      <c r="D1272">
        <v>36526</v>
      </c>
      <c r="E1272" t="s">
        <v>120</v>
      </c>
    </row>
    <row r="1273" spans="1:5" x14ac:dyDescent="0.2">
      <c r="A1273">
        <v>1949</v>
      </c>
      <c r="B1273">
        <v>56</v>
      </c>
      <c r="C1273" t="s">
        <v>2106</v>
      </c>
      <c r="D1273">
        <v>37006</v>
      </c>
      <c r="E1273" t="s">
        <v>1427</v>
      </c>
    </row>
    <row r="1274" spans="1:5" x14ac:dyDescent="0.2">
      <c r="A1274">
        <v>1503</v>
      </c>
      <c r="B1274">
        <v>111</v>
      </c>
      <c r="C1274" t="s">
        <v>574</v>
      </c>
      <c r="D1274">
        <v>36654</v>
      </c>
      <c r="E1274" t="s">
        <v>105</v>
      </c>
    </row>
    <row r="1275" spans="1:5" x14ac:dyDescent="0.2">
      <c r="A1275">
        <v>2897</v>
      </c>
      <c r="B1275">
        <v>8</v>
      </c>
      <c r="C1275" t="s">
        <v>2107</v>
      </c>
      <c r="D1275">
        <v>36240</v>
      </c>
      <c r="E1275" t="s">
        <v>1279</v>
      </c>
    </row>
    <row r="1276" spans="1:5" x14ac:dyDescent="0.2">
      <c r="A1276">
        <v>3501</v>
      </c>
      <c r="B1276">
        <v>0</v>
      </c>
      <c r="C1276" t="s">
        <v>2108</v>
      </c>
      <c r="D1276">
        <v>37068</v>
      </c>
      <c r="E1276" t="s">
        <v>165</v>
      </c>
    </row>
    <row r="1277" spans="1:5" x14ac:dyDescent="0.2">
      <c r="A1277">
        <v>3465</v>
      </c>
      <c r="B1277">
        <v>0</v>
      </c>
      <c r="C1277" t="s">
        <v>2109</v>
      </c>
      <c r="D1277">
        <v>37257</v>
      </c>
      <c r="E1277" t="s">
        <v>73</v>
      </c>
    </row>
    <row r="1278" spans="1:5" x14ac:dyDescent="0.2">
      <c r="A1278">
        <v>2292</v>
      </c>
      <c r="B1278">
        <v>36</v>
      </c>
      <c r="C1278" t="s">
        <v>855</v>
      </c>
      <c r="D1278">
        <v>36898</v>
      </c>
      <c r="E1278" t="s">
        <v>160</v>
      </c>
    </row>
    <row r="1279" spans="1:5" x14ac:dyDescent="0.2">
      <c r="A1279">
        <v>2508</v>
      </c>
      <c r="B1279">
        <v>25</v>
      </c>
      <c r="C1279" t="s">
        <v>2110</v>
      </c>
      <c r="D1279">
        <v>36505</v>
      </c>
      <c r="E1279" t="s">
        <v>2111</v>
      </c>
    </row>
    <row r="1280" spans="1:5" x14ac:dyDescent="0.2">
      <c r="A1280">
        <v>2720</v>
      </c>
      <c r="B1280">
        <v>14</v>
      </c>
      <c r="C1280" t="s">
        <v>2112</v>
      </c>
      <c r="D1280">
        <v>36732</v>
      </c>
      <c r="E1280" t="s">
        <v>120</v>
      </c>
    </row>
    <row r="1281" spans="1:5" x14ac:dyDescent="0.2">
      <c r="A1281">
        <v>2714</v>
      </c>
      <c r="B1281">
        <v>14</v>
      </c>
      <c r="C1281" t="s">
        <v>2113</v>
      </c>
      <c r="D1281">
        <v>36874</v>
      </c>
      <c r="E1281" t="s">
        <v>1330</v>
      </c>
    </row>
    <row r="1282" spans="1:5" x14ac:dyDescent="0.2">
      <c r="A1282">
        <v>1941</v>
      </c>
      <c r="B1282">
        <v>56</v>
      </c>
      <c r="C1282" t="s">
        <v>312</v>
      </c>
      <c r="D1282">
        <v>36257</v>
      </c>
      <c r="E1282" t="s">
        <v>138</v>
      </c>
    </row>
    <row r="1283" spans="1:5" x14ac:dyDescent="0.2">
      <c r="A1283">
        <v>3095</v>
      </c>
      <c r="B1283">
        <v>2</v>
      </c>
      <c r="C1283" t="s">
        <v>313</v>
      </c>
      <c r="D1283">
        <v>36754</v>
      </c>
      <c r="E1283" t="s">
        <v>1236</v>
      </c>
    </row>
    <row r="1284" spans="1:5" x14ac:dyDescent="0.2">
      <c r="A1284">
        <v>1647</v>
      </c>
      <c r="B1284">
        <v>90</v>
      </c>
      <c r="C1284" t="s">
        <v>575</v>
      </c>
      <c r="D1284">
        <v>37143</v>
      </c>
      <c r="E1284" t="s">
        <v>99</v>
      </c>
    </row>
    <row r="1285" spans="1:5" x14ac:dyDescent="0.2">
      <c r="A1285">
        <v>2063</v>
      </c>
      <c r="B1285">
        <v>48</v>
      </c>
      <c r="C1285" t="s">
        <v>2114</v>
      </c>
      <c r="D1285">
        <v>36335</v>
      </c>
      <c r="E1285" t="s">
        <v>379</v>
      </c>
    </row>
    <row r="1286" spans="1:5" x14ac:dyDescent="0.2">
      <c r="A1286">
        <v>2264</v>
      </c>
      <c r="B1286">
        <v>37</v>
      </c>
      <c r="C1286" t="s">
        <v>576</v>
      </c>
      <c r="D1286">
        <v>37228</v>
      </c>
      <c r="E1286" t="s">
        <v>165</v>
      </c>
    </row>
    <row r="1287" spans="1:5" x14ac:dyDescent="0.2">
      <c r="A1287">
        <v>1762</v>
      </c>
      <c r="B1287">
        <v>75</v>
      </c>
      <c r="C1287" t="s">
        <v>2115</v>
      </c>
      <c r="D1287">
        <v>36788</v>
      </c>
      <c r="E1287" t="s">
        <v>1171</v>
      </c>
    </row>
    <row r="1288" spans="1:5" x14ac:dyDescent="0.2">
      <c r="A1288">
        <v>3518</v>
      </c>
      <c r="B1288">
        <v>0</v>
      </c>
      <c r="C1288" t="s">
        <v>2116</v>
      </c>
      <c r="D1288">
        <v>36948</v>
      </c>
      <c r="E1288" t="s">
        <v>1456</v>
      </c>
    </row>
    <row r="1289" spans="1:5" x14ac:dyDescent="0.2">
      <c r="A1289">
        <v>3388</v>
      </c>
      <c r="B1289">
        <v>0</v>
      </c>
      <c r="C1289" t="s">
        <v>2117</v>
      </c>
      <c r="D1289">
        <v>36899</v>
      </c>
      <c r="E1289" t="s">
        <v>133</v>
      </c>
    </row>
    <row r="1290" spans="1:5" x14ac:dyDescent="0.2">
      <c r="A1290">
        <v>660</v>
      </c>
      <c r="B1290">
        <v>363</v>
      </c>
      <c r="C1290" t="s">
        <v>404</v>
      </c>
      <c r="D1290">
        <v>36229</v>
      </c>
      <c r="E1290" t="s">
        <v>2118</v>
      </c>
    </row>
    <row r="1291" spans="1:5" x14ac:dyDescent="0.2">
      <c r="A1291">
        <v>2584</v>
      </c>
      <c r="B1291">
        <v>21</v>
      </c>
      <c r="C1291" t="s">
        <v>2119</v>
      </c>
      <c r="D1291">
        <v>36526</v>
      </c>
      <c r="E1291" t="s">
        <v>1693</v>
      </c>
    </row>
    <row r="1292" spans="1:5" x14ac:dyDescent="0.2">
      <c r="A1292">
        <v>1685</v>
      </c>
      <c r="B1292">
        <v>85</v>
      </c>
      <c r="C1292" t="s">
        <v>2120</v>
      </c>
      <c r="D1292">
        <v>36235</v>
      </c>
      <c r="E1292" t="s">
        <v>114</v>
      </c>
    </row>
    <row r="1293" spans="1:5" x14ac:dyDescent="0.2">
      <c r="A1293">
        <v>3260</v>
      </c>
      <c r="B1293">
        <v>0</v>
      </c>
      <c r="C1293" t="s">
        <v>2121</v>
      </c>
      <c r="D1293">
        <v>37155</v>
      </c>
      <c r="E1293" t="s">
        <v>120</v>
      </c>
    </row>
    <row r="1294" spans="1:5" x14ac:dyDescent="0.2">
      <c r="A1294">
        <v>2404</v>
      </c>
      <c r="B1294">
        <v>30</v>
      </c>
      <c r="C1294" t="s">
        <v>732</v>
      </c>
      <c r="D1294">
        <v>37302</v>
      </c>
      <c r="E1294" t="s">
        <v>1286</v>
      </c>
    </row>
    <row r="1295" spans="1:5" x14ac:dyDescent="0.2">
      <c r="A1295">
        <v>2996</v>
      </c>
      <c r="B1295">
        <v>5</v>
      </c>
      <c r="C1295" t="s">
        <v>2122</v>
      </c>
      <c r="D1295">
        <v>37265</v>
      </c>
      <c r="E1295" t="s">
        <v>120</v>
      </c>
    </row>
    <row r="1296" spans="1:5" x14ac:dyDescent="0.2">
      <c r="A1296">
        <v>2586</v>
      </c>
      <c r="B1296">
        <v>21</v>
      </c>
      <c r="C1296" t="s">
        <v>2123</v>
      </c>
      <c r="D1296">
        <v>36966</v>
      </c>
      <c r="E1296" t="s">
        <v>120</v>
      </c>
    </row>
    <row r="1297" spans="1:5" x14ac:dyDescent="0.2">
      <c r="A1297">
        <v>1233</v>
      </c>
      <c r="B1297">
        <v>160</v>
      </c>
      <c r="C1297" t="s">
        <v>405</v>
      </c>
      <c r="D1297">
        <v>36293</v>
      </c>
      <c r="E1297" t="s">
        <v>377</v>
      </c>
    </row>
    <row r="1298" spans="1:5" x14ac:dyDescent="0.2">
      <c r="A1298">
        <v>3681</v>
      </c>
      <c r="B1298">
        <v>0</v>
      </c>
      <c r="C1298" t="s">
        <v>2124</v>
      </c>
      <c r="D1298">
        <v>36402</v>
      </c>
      <c r="E1298" t="s">
        <v>139</v>
      </c>
    </row>
    <row r="1299" spans="1:5" x14ac:dyDescent="0.2">
      <c r="A1299">
        <v>3493</v>
      </c>
      <c r="B1299">
        <v>0</v>
      </c>
      <c r="C1299" t="s">
        <v>2125</v>
      </c>
      <c r="D1299">
        <v>37205</v>
      </c>
      <c r="E1299" t="s">
        <v>1256</v>
      </c>
    </row>
    <row r="1300" spans="1:5" x14ac:dyDescent="0.2">
      <c r="A1300">
        <v>2948</v>
      </c>
      <c r="B1300">
        <v>6</v>
      </c>
      <c r="C1300" t="s">
        <v>2126</v>
      </c>
      <c r="D1300">
        <v>36892</v>
      </c>
      <c r="E1300" t="s">
        <v>120</v>
      </c>
    </row>
    <row r="1301" spans="1:5" x14ac:dyDescent="0.2">
      <c r="A1301">
        <v>1895</v>
      </c>
      <c r="B1301">
        <v>61</v>
      </c>
      <c r="C1301" t="s">
        <v>856</v>
      </c>
      <c r="D1301">
        <v>36701</v>
      </c>
      <c r="E1301" t="s">
        <v>109</v>
      </c>
    </row>
    <row r="1302" spans="1:5" x14ac:dyDescent="0.2">
      <c r="A1302">
        <v>2091</v>
      </c>
      <c r="B1302">
        <v>46</v>
      </c>
      <c r="C1302" t="s">
        <v>406</v>
      </c>
      <c r="D1302">
        <v>37255</v>
      </c>
      <c r="E1302" t="s">
        <v>106</v>
      </c>
    </row>
    <row r="1303" spans="1:5" x14ac:dyDescent="0.2">
      <c r="A1303">
        <v>3320</v>
      </c>
      <c r="B1303">
        <v>0</v>
      </c>
      <c r="C1303" t="s">
        <v>2127</v>
      </c>
      <c r="D1303">
        <v>37388</v>
      </c>
      <c r="E1303" t="s">
        <v>120</v>
      </c>
    </row>
    <row r="1304" spans="1:5" x14ac:dyDescent="0.2">
      <c r="A1304">
        <v>2981</v>
      </c>
      <c r="B1304">
        <v>5</v>
      </c>
      <c r="C1304" t="s">
        <v>2128</v>
      </c>
      <c r="D1304">
        <v>37202</v>
      </c>
      <c r="E1304" t="s">
        <v>127</v>
      </c>
    </row>
    <row r="1305" spans="1:5" x14ac:dyDescent="0.2">
      <c r="A1305">
        <v>3637</v>
      </c>
      <c r="B1305">
        <v>0</v>
      </c>
      <c r="C1305" t="s">
        <v>2129</v>
      </c>
      <c r="D1305">
        <v>36210</v>
      </c>
      <c r="E1305" t="s">
        <v>1856</v>
      </c>
    </row>
    <row r="1306" spans="1:5" x14ac:dyDescent="0.2">
      <c r="A1306">
        <v>2767</v>
      </c>
      <c r="B1306">
        <v>12</v>
      </c>
      <c r="C1306" t="s">
        <v>2130</v>
      </c>
      <c r="D1306">
        <v>37213</v>
      </c>
      <c r="E1306" t="s">
        <v>208</v>
      </c>
    </row>
    <row r="1307" spans="1:5" x14ac:dyDescent="0.2">
      <c r="A1307">
        <v>2141</v>
      </c>
      <c r="B1307">
        <v>44</v>
      </c>
      <c r="C1307" t="s">
        <v>577</v>
      </c>
      <c r="D1307">
        <v>36846</v>
      </c>
      <c r="E1307" t="s">
        <v>74</v>
      </c>
    </row>
    <row r="1308" spans="1:5" x14ac:dyDescent="0.2">
      <c r="A1308">
        <v>1465</v>
      </c>
      <c r="B1308">
        <v>118</v>
      </c>
      <c r="C1308" t="s">
        <v>2131</v>
      </c>
      <c r="D1308">
        <v>36254</v>
      </c>
      <c r="E1308" t="s">
        <v>1526</v>
      </c>
    </row>
    <row r="1309" spans="1:5" x14ac:dyDescent="0.2">
      <c r="A1309">
        <v>2081</v>
      </c>
      <c r="B1309">
        <v>47</v>
      </c>
      <c r="C1309" t="s">
        <v>2132</v>
      </c>
      <c r="D1309">
        <v>37672</v>
      </c>
      <c r="E1309" t="s">
        <v>1171</v>
      </c>
    </row>
    <row r="1310" spans="1:5" x14ac:dyDescent="0.2">
      <c r="A1310">
        <v>1915</v>
      </c>
      <c r="B1310">
        <v>59</v>
      </c>
      <c r="C1310" t="s">
        <v>2133</v>
      </c>
      <c r="D1310">
        <v>36175</v>
      </c>
      <c r="E1310" t="s">
        <v>132</v>
      </c>
    </row>
    <row r="1311" spans="1:5" x14ac:dyDescent="0.2">
      <c r="A1311">
        <v>3439</v>
      </c>
      <c r="B1311">
        <v>0</v>
      </c>
      <c r="C1311" t="s">
        <v>2134</v>
      </c>
      <c r="D1311">
        <v>37249</v>
      </c>
      <c r="E1311" t="s">
        <v>105</v>
      </c>
    </row>
    <row r="1312" spans="1:5" x14ac:dyDescent="0.2">
      <c r="A1312">
        <v>2312</v>
      </c>
      <c r="B1312">
        <v>35</v>
      </c>
      <c r="C1312" t="s">
        <v>2135</v>
      </c>
      <c r="D1312">
        <v>37060</v>
      </c>
      <c r="E1312" t="s">
        <v>1372</v>
      </c>
    </row>
    <row r="1313" spans="1:5" x14ac:dyDescent="0.2">
      <c r="A1313">
        <v>3192</v>
      </c>
      <c r="B1313">
        <v>0</v>
      </c>
      <c r="C1313" t="s">
        <v>314</v>
      </c>
      <c r="D1313">
        <v>37101</v>
      </c>
      <c r="E1313" t="s">
        <v>105</v>
      </c>
    </row>
    <row r="1314" spans="1:5" x14ac:dyDescent="0.2">
      <c r="A1314">
        <v>1651</v>
      </c>
      <c r="B1314">
        <v>90</v>
      </c>
      <c r="C1314" t="s">
        <v>2136</v>
      </c>
      <c r="D1314">
        <v>36255</v>
      </c>
      <c r="E1314" t="s">
        <v>105</v>
      </c>
    </row>
    <row r="1315" spans="1:5" x14ac:dyDescent="0.2">
      <c r="A1315">
        <v>3156</v>
      </c>
      <c r="B1315">
        <v>1</v>
      </c>
      <c r="C1315" t="s">
        <v>2137</v>
      </c>
      <c r="D1315">
        <v>37806</v>
      </c>
      <c r="E1315" t="s">
        <v>105</v>
      </c>
    </row>
    <row r="1316" spans="1:5" x14ac:dyDescent="0.2">
      <c r="A1316">
        <v>1938</v>
      </c>
      <c r="B1316">
        <v>57</v>
      </c>
      <c r="C1316" t="s">
        <v>733</v>
      </c>
      <c r="D1316">
        <v>37002</v>
      </c>
      <c r="E1316" t="s">
        <v>104</v>
      </c>
    </row>
    <row r="1317" spans="1:5" x14ac:dyDescent="0.2">
      <c r="A1317">
        <v>1412</v>
      </c>
      <c r="B1317">
        <v>130</v>
      </c>
      <c r="C1317" t="s">
        <v>2138</v>
      </c>
      <c r="D1317">
        <v>37008</v>
      </c>
      <c r="E1317" t="s">
        <v>1427</v>
      </c>
    </row>
    <row r="1318" spans="1:5" x14ac:dyDescent="0.2">
      <c r="A1318">
        <v>2006</v>
      </c>
      <c r="B1318">
        <v>52</v>
      </c>
      <c r="C1318" t="s">
        <v>2139</v>
      </c>
      <c r="D1318">
        <v>37099</v>
      </c>
      <c r="E1318" t="s">
        <v>139</v>
      </c>
    </row>
    <row r="1319" spans="1:5" x14ac:dyDescent="0.2">
      <c r="A1319">
        <v>3680</v>
      </c>
      <c r="B1319">
        <v>0</v>
      </c>
      <c r="C1319" t="s">
        <v>2140</v>
      </c>
      <c r="D1319">
        <v>36601</v>
      </c>
      <c r="E1319" t="s">
        <v>1705</v>
      </c>
    </row>
    <row r="1320" spans="1:5" x14ac:dyDescent="0.2">
      <c r="A1320">
        <v>2167</v>
      </c>
      <c r="B1320">
        <v>43</v>
      </c>
      <c r="C1320" t="s">
        <v>2141</v>
      </c>
      <c r="D1320">
        <v>36698</v>
      </c>
      <c r="E1320" t="s">
        <v>105</v>
      </c>
    </row>
    <row r="1321" spans="1:5" x14ac:dyDescent="0.2">
      <c r="A1321">
        <v>3385</v>
      </c>
      <c r="B1321">
        <v>0</v>
      </c>
      <c r="C1321" t="s">
        <v>2142</v>
      </c>
      <c r="D1321">
        <v>36892</v>
      </c>
      <c r="E1321" t="s">
        <v>2143</v>
      </c>
    </row>
    <row r="1322" spans="1:5" x14ac:dyDescent="0.2">
      <c r="A1322">
        <v>2447</v>
      </c>
      <c r="B1322">
        <v>28</v>
      </c>
      <c r="C1322" t="s">
        <v>2144</v>
      </c>
      <c r="D1322">
        <v>36347</v>
      </c>
      <c r="E1322" t="s">
        <v>1587</v>
      </c>
    </row>
    <row r="1323" spans="1:5" x14ac:dyDescent="0.2">
      <c r="A1323">
        <v>3447</v>
      </c>
      <c r="B1323">
        <v>0</v>
      </c>
      <c r="C1323" t="s">
        <v>2145</v>
      </c>
      <c r="D1323">
        <v>36519</v>
      </c>
      <c r="E1323" t="s">
        <v>120</v>
      </c>
    </row>
    <row r="1324" spans="1:5" x14ac:dyDescent="0.2">
      <c r="A1324">
        <v>2351</v>
      </c>
      <c r="B1324">
        <v>33</v>
      </c>
      <c r="C1324" t="s">
        <v>2146</v>
      </c>
      <c r="D1324">
        <v>36174</v>
      </c>
      <c r="E1324" t="s">
        <v>118</v>
      </c>
    </row>
    <row r="1325" spans="1:5" x14ac:dyDescent="0.2">
      <c r="A1325">
        <v>1331</v>
      </c>
      <c r="B1325">
        <v>143</v>
      </c>
      <c r="C1325" t="s">
        <v>315</v>
      </c>
      <c r="D1325">
        <v>36546</v>
      </c>
      <c r="E1325" t="s">
        <v>1236</v>
      </c>
    </row>
    <row r="1326" spans="1:5" x14ac:dyDescent="0.2">
      <c r="A1326">
        <v>1785</v>
      </c>
      <c r="B1326">
        <v>73</v>
      </c>
      <c r="C1326" t="s">
        <v>734</v>
      </c>
      <c r="D1326">
        <v>36979</v>
      </c>
      <c r="E1326" t="s">
        <v>180</v>
      </c>
    </row>
    <row r="1327" spans="1:5" x14ac:dyDescent="0.2">
      <c r="A1327">
        <v>2771</v>
      </c>
      <c r="B1327">
        <v>12</v>
      </c>
      <c r="C1327" t="s">
        <v>2147</v>
      </c>
      <c r="D1327">
        <v>36709</v>
      </c>
      <c r="E1327" t="s">
        <v>118</v>
      </c>
    </row>
    <row r="1328" spans="1:5" x14ac:dyDescent="0.2">
      <c r="A1328">
        <v>1593</v>
      </c>
      <c r="B1328">
        <v>97</v>
      </c>
      <c r="C1328" t="s">
        <v>578</v>
      </c>
      <c r="D1328">
        <v>36775</v>
      </c>
      <c r="E1328" t="s">
        <v>128</v>
      </c>
    </row>
    <row r="1329" spans="1:5" x14ac:dyDescent="0.2">
      <c r="A1329">
        <v>1135</v>
      </c>
      <c r="B1329">
        <v>183</v>
      </c>
      <c r="C1329" t="s">
        <v>857</v>
      </c>
      <c r="D1329">
        <v>36342</v>
      </c>
      <c r="E1329" t="s">
        <v>120</v>
      </c>
    </row>
    <row r="1330" spans="1:5" x14ac:dyDescent="0.2">
      <c r="A1330">
        <v>931</v>
      </c>
      <c r="B1330">
        <v>241</v>
      </c>
      <c r="C1330" t="s">
        <v>316</v>
      </c>
      <c r="D1330">
        <v>36226</v>
      </c>
      <c r="E1330" t="s">
        <v>74</v>
      </c>
    </row>
    <row r="1331" spans="1:5" x14ac:dyDescent="0.2">
      <c r="A1331">
        <v>3454</v>
      </c>
      <c r="B1331">
        <v>0</v>
      </c>
      <c r="C1331" t="s">
        <v>2148</v>
      </c>
      <c r="D1331">
        <v>37081</v>
      </c>
      <c r="E1331" t="s">
        <v>74</v>
      </c>
    </row>
    <row r="1332" spans="1:5" x14ac:dyDescent="0.2">
      <c r="A1332">
        <v>1671</v>
      </c>
      <c r="B1332">
        <v>87</v>
      </c>
      <c r="C1332" t="s">
        <v>2149</v>
      </c>
      <c r="D1332">
        <v>36696</v>
      </c>
      <c r="E1332" t="s">
        <v>105</v>
      </c>
    </row>
    <row r="1333" spans="1:5" x14ac:dyDescent="0.2">
      <c r="A1333">
        <v>3085</v>
      </c>
      <c r="B1333">
        <v>3</v>
      </c>
      <c r="C1333" t="s">
        <v>2149</v>
      </c>
      <c r="D1333">
        <v>36327</v>
      </c>
      <c r="E1333" t="s">
        <v>213</v>
      </c>
    </row>
    <row r="1334" spans="1:5" x14ac:dyDescent="0.2">
      <c r="A1334">
        <v>3003</v>
      </c>
      <c r="B1334">
        <v>4</v>
      </c>
      <c r="C1334" t="s">
        <v>2150</v>
      </c>
      <c r="D1334">
        <v>37461</v>
      </c>
      <c r="E1334" t="s">
        <v>186</v>
      </c>
    </row>
    <row r="1335" spans="1:5" x14ac:dyDescent="0.2">
      <c r="A1335">
        <v>3381</v>
      </c>
      <c r="B1335">
        <v>0</v>
      </c>
      <c r="C1335" t="s">
        <v>2151</v>
      </c>
      <c r="D1335">
        <v>37198</v>
      </c>
      <c r="E1335" t="s">
        <v>133</v>
      </c>
    </row>
    <row r="1336" spans="1:5" x14ac:dyDescent="0.2">
      <c r="A1336">
        <v>1999</v>
      </c>
      <c r="B1336">
        <v>52</v>
      </c>
      <c r="C1336" t="s">
        <v>735</v>
      </c>
      <c r="D1336">
        <v>37052</v>
      </c>
      <c r="E1336" t="s">
        <v>105</v>
      </c>
    </row>
    <row r="1337" spans="1:5" x14ac:dyDescent="0.2">
      <c r="A1337">
        <v>2189</v>
      </c>
      <c r="B1337">
        <v>42</v>
      </c>
      <c r="C1337" t="s">
        <v>858</v>
      </c>
      <c r="D1337">
        <v>37564</v>
      </c>
      <c r="E1337" t="s">
        <v>105</v>
      </c>
    </row>
    <row r="1338" spans="1:5" x14ac:dyDescent="0.2">
      <c r="A1338">
        <v>2195</v>
      </c>
      <c r="B1338">
        <v>41</v>
      </c>
      <c r="C1338" t="s">
        <v>407</v>
      </c>
      <c r="D1338">
        <v>36545</v>
      </c>
      <c r="E1338" t="s">
        <v>106</v>
      </c>
    </row>
    <row r="1339" spans="1:5" x14ac:dyDescent="0.2">
      <c r="A1339">
        <v>3279</v>
      </c>
      <c r="B1339">
        <v>0</v>
      </c>
      <c r="C1339" t="s">
        <v>2152</v>
      </c>
      <c r="D1339">
        <v>37037</v>
      </c>
      <c r="E1339" t="s">
        <v>186</v>
      </c>
    </row>
    <row r="1340" spans="1:5" x14ac:dyDescent="0.2">
      <c r="A1340">
        <v>2658</v>
      </c>
      <c r="B1340">
        <v>17</v>
      </c>
      <c r="C1340" t="s">
        <v>2153</v>
      </c>
      <c r="D1340">
        <v>37257</v>
      </c>
      <c r="E1340" t="s">
        <v>165</v>
      </c>
    </row>
    <row r="1341" spans="1:5" x14ac:dyDescent="0.2">
      <c r="A1341">
        <v>2828</v>
      </c>
      <c r="B1341">
        <v>10</v>
      </c>
      <c r="C1341" t="s">
        <v>579</v>
      </c>
      <c r="D1341">
        <v>36807</v>
      </c>
      <c r="E1341" t="s">
        <v>127</v>
      </c>
    </row>
    <row r="1342" spans="1:5" x14ac:dyDescent="0.2">
      <c r="A1342">
        <v>2756</v>
      </c>
      <c r="B1342">
        <v>13</v>
      </c>
      <c r="C1342" t="s">
        <v>2154</v>
      </c>
      <c r="D1342">
        <v>37078</v>
      </c>
      <c r="E1342" t="s">
        <v>117</v>
      </c>
    </row>
    <row r="1343" spans="1:5" x14ac:dyDescent="0.2">
      <c r="A1343">
        <v>2825</v>
      </c>
      <c r="B1343">
        <v>10</v>
      </c>
      <c r="C1343" t="s">
        <v>2155</v>
      </c>
      <c r="D1343">
        <v>37521</v>
      </c>
      <c r="E1343" t="s">
        <v>105</v>
      </c>
    </row>
    <row r="1344" spans="1:5" x14ac:dyDescent="0.2">
      <c r="A1344">
        <v>3499</v>
      </c>
      <c r="B1344">
        <v>0</v>
      </c>
      <c r="C1344" t="s">
        <v>2156</v>
      </c>
      <c r="D1344">
        <v>36265</v>
      </c>
      <c r="E1344" t="s">
        <v>1659</v>
      </c>
    </row>
    <row r="1345" spans="1:5" x14ac:dyDescent="0.2">
      <c r="A1345">
        <v>3664</v>
      </c>
      <c r="B1345">
        <v>0</v>
      </c>
      <c r="C1345" t="s">
        <v>2157</v>
      </c>
      <c r="D1345">
        <v>37412</v>
      </c>
      <c r="E1345" t="s">
        <v>105</v>
      </c>
    </row>
    <row r="1346" spans="1:5" x14ac:dyDescent="0.2">
      <c r="A1346">
        <v>3045</v>
      </c>
      <c r="B1346">
        <v>4</v>
      </c>
      <c r="C1346" t="s">
        <v>2158</v>
      </c>
      <c r="D1346">
        <v>37052</v>
      </c>
      <c r="E1346" t="s">
        <v>74</v>
      </c>
    </row>
    <row r="1347" spans="1:5" x14ac:dyDescent="0.2">
      <c r="A1347">
        <v>2170</v>
      </c>
      <c r="B1347">
        <v>43</v>
      </c>
      <c r="C1347" t="s">
        <v>2159</v>
      </c>
      <c r="D1347">
        <v>36871</v>
      </c>
      <c r="E1347" t="s">
        <v>105</v>
      </c>
    </row>
    <row r="1348" spans="1:5" x14ac:dyDescent="0.2">
      <c r="A1348">
        <v>1624</v>
      </c>
      <c r="B1348">
        <v>93</v>
      </c>
      <c r="C1348" t="s">
        <v>736</v>
      </c>
      <c r="D1348">
        <v>36352</v>
      </c>
      <c r="E1348" t="s">
        <v>74</v>
      </c>
    </row>
    <row r="1349" spans="1:5" x14ac:dyDescent="0.2">
      <c r="A1349">
        <v>1944</v>
      </c>
      <c r="B1349">
        <v>56</v>
      </c>
      <c r="C1349" t="s">
        <v>859</v>
      </c>
      <c r="D1349">
        <v>36662</v>
      </c>
      <c r="E1349" t="s">
        <v>208</v>
      </c>
    </row>
    <row r="1350" spans="1:5" x14ac:dyDescent="0.2">
      <c r="A1350">
        <v>3139</v>
      </c>
      <c r="B1350">
        <v>1</v>
      </c>
      <c r="C1350" t="s">
        <v>2160</v>
      </c>
      <c r="D1350">
        <v>37707</v>
      </c>
      <c r="E1350" t="s">
        <v>105</v>
      </c>
    </row>
    <row r="1351" spans="1:5" x14ac:dyDescent="0.2">
      <c r="A1351">
        <v>2394</v>
      </c>
      <c r="B1351">
        <v>30</v>
      </c>
      <c r="C1351" t="s">
        <v>737</v>
      </c>
      <c r="D1351">
        <v>36678</v>
      </c>
      <c r="E1351" t="s">
        <v>1327</v>
      </c>
    </row>
    <row r="1352" spans="1:5" x14ac:dyDescent="0.2">
      <c r="A1352">
        <v>2486</v>
      </c>
      <c r="B1352">
        <v>26</v>
      </c>
      <c r="C1352" t="s">
        <v>2161</v>
      </c>
      <c r="D1352">
        <v>36806</v>
      </c>
      <c r="E1352" t="s">
        <v>1214</v>
      </c>
    </row>
    <row r="1353" spans="1:5" x14ac:dyDescent="0.2">
      <c r="A1353">
        <v>3382</v>
      </c>
      <c r="B1353">
        <v>0</v>
      </c>
      <c r="C1353" t="s">
        <v>2162</v>
      </c>
      <c r="D1353">
        <v>36877</v>
      </c>
      <c r="E1353" t="s">
        <v>2054</v>
      </c>
    </row>
    <row r="1354" spans="1:5" x14ac:dyDescent="0.2">
      <c r="A1354">
        <v>3028</v>
      </c>
      <c r="B1354">
        <v>4</v>
      </c>
      <c r="C1354" t="s">
        <v>2163</v>
      </c>
      <c r="D1354">
        <v>37769</v>
      </c>
      <c r="E1354" t="s">
        <v>105</v>
      </c>
    </row>
    <row r="1355" spans="1:5" x14ac:dyDescent="0.2">
      <c r="A1355">
        <v>2515</v>
      </c>
      <c r="B1355">
        <v>24</v>
      </c>
      <c r="C1355" t="s">
        <v>580</v>
      </c>
      <c r="D1355">
        <v>36546</v>
      </c>
      <c r="E1355" t="s">
        <v>105</v>
      </c>
    </row>
    <row r="1356" spans="1:5" x14ac:dyDescent="0.2">
      <c r="A1356">
        <v>3082</v>
      </c>
      <c r="B1356">
        <v>3</v>
      </c>
      <c r="C1356" t="s">
        <v>2164</v>
      </c>
      <c r="D1356">
        <v>36900</v>
      </c>
      <c r="E1356" t="s">
        <v>117</v>
      </c>
    </row>
    <row r="1357" spans="1:5" x14ac:dyDescent="0.2">
      <c r="A1357">
        <v>2963</v>
      </c>
      <c r="B1357">
        <v>5</v>
      </c>
      <c r="C1357" t="s">
        <v>317</v>
      </c>
      <c r="D1357">
        <v>36588</v>
      </c>
      <c r="E1357" t="s">
        <v>99</v>
      </c>
    </row>
    <row r="1358" spans="1:5" x14ac:dyDescent="0.2">
      <c r="A1358">
        <v>2676</v>
      </c>
      <c r="B1358">
        <v>16</v>
      </c>
      <c r="C1358" t="s">
        <v>2165</v>
      </c>
      <c r="D1358">
        <v>37471</v>
      </c>
      <c r="E1358" t="s">
        <v>1243</v>
      </c>
    </row>
    <row r="1359" spans="1:5" x14ac:dyDescent="0.2">
      <c r="A1359">
        <v>2910</v>
      </c>
      <c r="B1359">
        <v>7</v>
      </c>
      <c r="C1359" t="s">
        <v>2166</v>
      </c>
      <c r="D1359">
        <v>37358</v>
      </c>
      <c r="E1359" t="s">
        <v>1379</v>
      </c>
    </row>
    <row r="1360" spans="1:5" x14ac:dyDescent="0.2">
      <c r="A1360">
        <v>3140</v>
      </c>
      <c r="B1360">
        <v>1</v>
      </c>
      <c r="C1360" t="s">
        <v>2167</v>
      </c>
      <c r="D1360">
        <v>36895</v>
      </c>
      <c r="E1360" t="s">
        <v>105</v>
      </c>
    </row>
    <row r="1361" spans="1:5" x14ac:dyDescent="0.2">
      <c r="A1361">
        <v>1251</v>
      </c>
      <c r="B1361">
        <v>158</v>
      </c>
      <c r="C1361" t="s">
        <v>581</v>
      </c>
      <c r="D1361">
        <v>36693</v>
      </c>
      <c r="E1361" t="s">
        <v>103</v>
      </c>
    </row>
    <row r="1362" spans="1:5" x14ac:dyDescent="0.2">
      <c r="A1362">
        <v>2541</v>
      </c>
      <c r="B1362">
        <v>24</v>
      </c>
      <c r="C1362" t="s">
        <v>2168</v>
      </c>
      <c r="D1362">
        <v>36526</v>
      </c>
      <c r="E1362" t="s">
        <v>104</v>
      </c>
    </row>
    <row r="1363" spans="1:5" x14ac:dyDescent="0.2">
      <c r="A1363">
        <v>2869</v>
      </c>
      <c r="B1363">
        <v>9</v>
      </c>
      <c r="C1363" t="s">
        <v>2169</v>
      </c>
      <c r="D1363">
        <v>36641</v>
      </c>
      <c r="E1363" t="s">
        <v>1176</v>
      </c>
    </row>
    <row r="1364" spans="1:5" x14ac:dyDescent="0.2">
      <c r="A1364">
        <v>2702</v>
      </c>
      <c r="B1364">
        <v>15</v>
      </c>
      <c r="C1364" t="s">
        <v>582</v>
      </c>
      <c r="D1364">
        <v>36735</v>
      </c>
      <c r="E1364" t="s">
        <v>74</v>
      </c>
    </row>
    <row r="1365" spans="1:5" x14ac:dyDescent="0.2">
      <c r="A1365">
        <v>2095</v>
      </c>
      <c r="B1365">
        <v>46</v>
      </c>
      <c r="C1365" t="s">
        <v>408</v>
      </c>
      <c r="D1365">
        <v>37132</v>
      </c>
      <c r="E1365" t="s">
        <v>1460</v>
      </c>
    </row>
    <row r="1366" spans="1:5" x14ac:dyDescent="0.2">
      <c r="A1366">
        <v>2479</v>
      </c>
      <c r="B1366">
        <v>26</v>
      </c>
      <c r="C1366" t="s">
        <v>738</v>
      </c>
      <c r="D1366">
        <v>36762</v>
      </c>
      <c r="E1366" t="s">
        <v>74</v>
      </c>
    </row>
    <row r="1367" spans="1:5" x14ac:dyDescent="0.2">
      <c r="A1367">
        <v>2053</v>
      </c>
      <c r="B1367">
        <v>49</v>
      </c>
      <c r="C1367" t="s">
        <v>2170</v>
      </c>
      <c r="D1367">
        <v>36739</v>
      </c>
      <c r="E1367" t="s">
        <v>83</v>
      </c>
    </row>
    <row r="1368" spans="1:5" x14ac:dyDescent="0.2">
      <c r="A1368">
        <v>2284</v>
      </c>
      <c r="B1368">
        <v>36</v>
      </c>
      <c r="C1368" t="s">
        <v>318</v>
      </c>
      <c r="D1368">
        <v>36697</v>
      </c>
      <c r="E1368" t="s">
        <v>110</v>
      </c>
    </row>
    <row r="1369" spans="1:5" x14ac:dyDescent="0.2">
      <c r="A1369">
        <v>2650</v>
      </c>
      <c r="B1369">
        <v>18</v>
      </c>
      <c r="C1369" t="s">
        <v>2171</v>
      </c>
      <c r="D1369">
        <v>36763</v>
      </c>
      <c r="E1369" t="s">
        <v>111</v>
      </c>
    </row>
    <row r="1370" spans="1:5" x14ac:dyDescent="0.2">
      <c r="A1370">
        <v>2023</v>
      </c>
      <c r="B1370">
        <v>50</v>
      </c>
      <c r="C1370" t="s">
        <v>319</v>
      </c>
      <c r="D1370">
        <v>37085</v>
      </c>
      <c r="E1370" t="s">
        <v>105</v>
      </c>
    </row>
    <row r="1371" spans="1:5" x14ac:dyDescent="0.2">
      <c r="A1371">
        <v>1743</v>
      </c>
      <c r="B1371">
        <v>77</v>
      </c>
      <c r="C1371" t="s">
        <v>583</v>
      </c>
      <c r="D1371">
        <v>37504</v>
      </c>
      <c r="E1371" t="s">
        <v>99</v>
      </c>
    </row>
    <row r="1372" spans="1:5" x14ac:dyDescent="0.2">
      <c r="A1372">
        <v>3031</v>
      </c>
      <c r="B1372">
        <v>4</v>
      </c>
      <c r="C1372" t="s">
        <v>2172</v>
      </c>
      <c r="D1372">
        <v>37238</v>
      </c>
      <c r="E1372" t="s">
        <v>105</v>
      </c>
    </row>
    <row r="1373" spans="1:5" x14ac:dyDescent="0.2">
      <c r="A1373">
        <v>2868</v>
      </c>
      <c r="B1373">
        <v>9</v>
      </c>
      <c r="C1373" t="s">
        <v>2173</v>
      </c>
      <c r="D1373">
        <v>36740</v>
      </c>
      <c r="E1373" t="s">
        <v>1599</v>
      </c>
    </row>
    <row r="1374" spans="1:5" x14ac:dyDescent="0.2">
      <c r="A1374">
        <v>1674</v>
      </c>
      <c r="B1374">
        <v>86</v>
      </c>
      <c r="C1374" t="s">
        <v>2174</v>
      </c>
      <c r="D1374">
        <v>36181</v>
      </c>
      <c r="E1374" t="s">
        <v>220</v>
      </c>
    </row>
    <row r="1375" spans="1:5" x14ac:dyDescent="0.2">
      <c r="A1375">
        <v>2633</v>
      </c>
      <c r="B1375">
        <v>19</v>
      </c>
      <c r="C1375" t="s">
        <v>2175</v>
      </c>
      <c r="D1375">
        <v>36336</v>
      </c>
      <c r="E1375" t="s">
        <v>120</v>
      </c>
    </row>
    <row r="1376" spans="1:5" x14ac:dyDescent="0.2">
      <c r="A1376">
        <v>1796</v>
      </c>
      <c r="B1376">
        <v>72</v>
      </c>
      <c r="C1376" t="s">
        <v>739</v>
      </c>
      <c r="D1376">
        <v>36528</v>
      </c>
      <c r="E1376" t="s">
        <v>105</v>
      </c>
    </row>
    <row r="1377" spans="1:5" x14ac:dyDescent="0.2">
      <c r="A1377">
        <v>2795</v>
      </c>
      <c r="B1377">
        <v>11</v>
      </c>
      <c r="C1377" t="s">
        <v>2176</v>
      </c>
      <c r="D1377">
        <v>36293</v>
      </c>
      <c r="E1377" t="s">
        <v>147</v>
      </c>
    </row>
    <row r="1378" spans="1:5" x14ac:dyDescent="0.2">
      <c r="A1378">
        <v>1492</v>
      </c>
      <c r="B1378">
        <v>114</v>
      </c>
      <c r="C1378" t="s">
        <v>2177</v>
      </c>
      <c r="D1378">
        <v>36188</v>
      </c>
      <c r="E1378" t="s">
        <v>1493</v>
      </c>
    </row>
    <row r="1379" spans="1:5" x14ac:dyDescent="0.2">
      <c r="A1379">
        <v>2691</v>
      </c>
      <c r="B1379">
        <v>16</v>
      </c>
      <c r="C1379" t="s">
        <v>2178</v>
      </c>
      <c r="D1379">
        <v>36546</v>
      </c>
      <c r="E1379" t="s">
        <v>1491</v>
      </c>
    </row>
    <row r="1380" spans="1:5" x14ac:dyDescent="0.2">
      <c r="A1380">
        <v>2512</v>
      </c>
      <c r="B1380">
        <v>25</v>
      </c>
      <c r="C1380" t="s">
        <v>2179</v>
      </c>
      <c r="D1380">
        <v>36485</v>
      </c>
      <c r="E1380" t="s">
        <v>148</v>
      </c>
    </row>
    <row r="1381" spans="1:5" x14ac:dyDescent="0.2">
      <c r="A1381">
        <v>2250</v>
      </c>
      <c r="B1381">
        <v>38</v>
      </c>
      <c r="C1381" t="s">
        <v>860</v>
      </c>
      <c r="D1381">
        <v>37120</v>
      </c>
      <c r="E1381" t="s">
        <v>99</v>
      </c>
    </row>
    <row r="1382" spans="1:5" x14ac:dyDescent="0.2">
      <c r="A1382">
        <v>2492</v>
      </c>
      <c r="B1382">
        <v>25</v>
      </c>
      <c r="C1382" t="s">
        <v>584</v>
      </c>
      <c r="D1382">
        <v>36634</v>
      </c>
      <c r="E1382" t="s">
        <v>72</v>
      </c>
    </row>
    <row r="1383" spans="1:5" x14ac:dyDescent="0.2">
      <c r="A1383">
        <v>1070</v>
      </c>
      <c r="B1383">
        <v>200</v>
      </c>
      <c r="C1383" t="s">
        <v>585</v>
      </c>
      <c r="D1383">
        <v>36196</v>
      </c>
      <c r="E1383" t="s">
        <v>105</v>
      </c>
    </row>
    <row r="1384" spans="1:5" x14ac:dyDescent="0.2">
      <c r="A1384">
        <v>3163</v>
      </c>
      <c r="B1384">
        <v>1</v>
      </c>
      <c r="C1384" t="s">
        <v>2180</v>
      </c>
      <c r="D1384">
        <v>37767</v>
      </c>
      <c r="E1384" t="s">
        <v>120</v>
      </c>
    </row>
    <row r="1385" spans="1:5" x14ac:dyDescent="0.2">
      <c r="A1385">
        <v>2822</v>
      </c>
      <c r="B1385">
        <v>10</v>
      </c>
      <c r="C1385" t="s">
        <v>2181</v>
      </c>
      <c r="D1385">
        <v>36197</v>
      </c>
      <c r="E1385" t="s">
        <v>72</v>
      </c>
    </row>
    <row r="1386" spans="1:5" x14ac:dyDescent="0.2">
      <c r="A1386">
        <v>2932</v>
      </c>
      <c r="B1386">
        <v>7</v>
      </c>
      <c r="C1386" t="s">
        <v>861</v>
      </c>
      <c r="D1386">
        <v>37257</v>
      </c>
      <c r="E1386" t="s">
        <v>73</v>
      </c>
    </row>
    <row r="1387" spans="1:5" x14ac:dyDescent="0.2">
      <c r="A1387">
        <v>1746</v>
      </c>
      <c r="B1387">
        <v>76</v>
      </c>
      <c r="C1387" t="s">
        <v>320</v>
      </c>
      <c r="D1387">
        <v>37459</v>
      </c>
      <c r="E1387" t="s">
        <v>321</v>
      </c>
    </row>
    <row r="1388" spans="1:5" x14ac:dyDescent="0.2">
      <c r="A1388">
        <v>2857</v>
      </c>
      <c r="B1388">
        <v>9</v>
      </c>
      <c r="C1388" t="s">
        <v>2182</v>
      </c>
      <c r="D1388">
        <v>36722</v>
      </c>
      <c r="E1388" t="s">
        <v>1427</v>
      </c>
    </row>
    <row r="1389" spans="1:5" x14ac:dyDescent="0.2">
      <c r="A1389">
        <v>1023</v>
      </c>
      <c r="B1389">
        <v>212</v>
      </c>
      <c r="C1389" t="s">
        <v>322</v>
      </c>
      <c r="D1389">
        <v>36590</v>
      </c>
      <c r="E1389" t="s">
        <v>163</v>
      </c>
    </row>
    <row r="1390" spans="1:5" x14ac:dyDescent="0.2">
      <c r="A1390">
        <v>2378</v>
      </c>
      <c r="B1390">
        <v>31</v>
      </c>
      <c r="C1390" t="s">
        <v>323</v>
      </c>
      <c r="D1390">
        <v>36485</v>
      </c>
      <c r="E1390" t="s">
        <v>102</v>
      </c>
    </row>
    <row r="1391" spans="1:5" x14ac:dyDescent="0.2">
      <c r="A1391">
        <v>3296</v>
      </c>
      <c r="B1391">
        <v>0</v>
      </c>
      <c r="C1391" t="s">
        <v>2183</v>
      </c>
      <c r="D1391">
        <v>36567</v>
      </c>
      <c r="E1391" t="s">
        <v>113</v>
      </c>
    </row>
    <row r="1392" spans="1:5" x14ac:dyDescent="0.2">
      <c r="A1392">
        <v>2311</v>
      </c>
      <c r="B1392">
        <v>35</v>
      </c>
      <c r="C1392" t="s">
        <v>740</v>
      </c>
      <c r="D1392">
        <v>36711</v>
      </c>
      <c r="E1392" t="s">
        <v>120</v>
      </c>
    </row>
    <row r="1393" spans="1:5" x14ac:dyDescent="0.2">
      <c r="A1393">
        <v>1690</v>
      </c>
      <c r="B1393">
        <v>84</v>
      </c>
      <c r="C1393" t="s">
        <v>324</v>
      </c>
      <c r="D1393">
        <v>36345</v>
      </c>
      <c r="E1393" t="s">
        <v>170</v>
      </c>
    </row>
    <row r="1394" spans="1:5" x14ac:dyDescent="0.2">
      <c r="A1394">
        <v>3100</v>
      </c>
      <c r="B1394">
        <v>2</v>
      </c>
      <c r="C1394" t="s">
        <v>2184</v>
      </c>
      <c r="D1394">
        <v>36523</v>
      </c>
      <c r="E1394" t="s">
        <v>1241</v>
      </c>
    </row>
    <row r="1395" spans="1:5" x14ac:dyDescent="0.2">
      <c r="A1395">
        <v>2137</v>
      </c>
      <c r="B1395">
        <v>44</v>
      </c>
      <c r="C1395" t="s">
        <v>741</v>
      </c>
      <c r="D1395">
        <v>36923</v>
      </c>
      <c r="E1395" t="s">
        <v>700</v>
      </c>
    </row>
    <row r="1396" spans="1:5" x14ac:dyDescent="0.2">
      <c r="A1396">
        <v>3318</v>
      </c>
      <c r="B1396">
        <v>0</v>
      </c>
      <c r="C1396" t="s">
        <v>2185</v>
      </c>
      <c r="D1396">
        <v>37344</v>
      </c>
      <c r="E1396" t="s">
        <v>120</v>
      </c>
    </row>
    <row r="1397" spans="1:5" x14ac:dyDescent="0.2">
      <c r="A1397">
        <v>2438</v>
      </c>
      <c r="B1397">
        <v>28</v>
      </c>
      <c r="C1397" t="s">
        <v>325</v>
      </c>
      <c r="D1397">
        <v>36740</v>
      </c>
      <c r="E1397" t="s">
        <v>99</v>
      </c>
    </row>
    <row r="1398" spans="1:5" x14ac:dyDescent="0.2">
      <c r="A1398">
        <v>2002</v>
      </c>
      <c r="B1398">
        <v>52</v>
      </c>
      <c r="C1398" t="s">
        <v>326</v>
      </c>
      <c r="D1398">
        <v>36790</v>
      </c>
      <c r="E1398" t="s">
        <v>1460</v>
      </c>
    </row>
    <row r="1399" spans="1:5" x14ac:dyDescent="0.2">
      <c r="A1399">
        <v>1789</v>
      </c>
      <c r="B1399">
        <v>73</v>
      </c>
      <c r="C1399" t="s">
        <v>586</v>
      </c>
      <c r="D1399">
        <v>36375</v>
      </c>
      <c r="E1399" t="s">
        <v>1279</v>
      </c>
    </row>
    <row r="1400" spans="1:5" x14ac:dyDescent="0.2">
      <c r="A1400">
        <v>2466</v>
      </c>
      <c r="B1400">
        <v>27</v>
      </c>
      <c r="C1400" t="s">
        <v>2186</v>
      </c>
      <c r="D1400">
        <v>37353</v>
      </c>
      <c r="E1400" t="s">
        <v>160</v>
      </c>
    </row>
    <row r="1401" spans="1:5" x14ac:dyDescent="0.2">
      <c r="A1401">
        <v>2374</v>
      </c>
      <c r="B1401">
        <v>32</v>
      </c>
      <c r="C1401" t="s">
        <v>862</v>
      </c>
      <c r="D1401">
        <v>36918</v>
      </c>
      <c r="E1401" t="s">
        <v>163</v>
      </c>
    </row>
    <row r="1402" spans="1:5" x14ac:dyDescent="0.2">
      <c r="A1402">
        <v>2470</v>
      </c>
      <c r="B1402">
        <v>26</v>
      </c>
      <c r="C1402" t="s">
        <v>587</v>
      </c>
      <c r="D1402">
        <v>37190</v>
      </c>
      <c r="E1402" t="s">
        <v>202</v>
      </c>
    </row>
    <row r="1403" spans="1:5" x14ac:dyDescent="0.2">
      <c r="A1403">
        <v>2875</v>
      </c>
      <c r="B1403">
        <v>8</v>
      </c>
      <c r="C1403" t="s">
        <v>327</v>
      </c>
      <c r="D1403">
        <v>36793</v>
      </c>
      <c r="E1403" t="s">
        <v>105</v>
      </c>
    </row>
    <row r="1404" spans="1:5" x14ac:dyDescent="0.2">
      <c r="A1404">
        <v>3127</v>
      </c>
      <c r="B1404">
        <v>2</v>
      </c>
      <c r="C1404" t="s">
        <v>2187</v>
      </c>
      <c r="D1404">
        <v>36935</v>
      </c>
      <c r="E1404" t="s">
        <v>105</v>
      </c>
    </row>
    <row r="1405" spans="1:5" x14ac:dyDescent="0.2">
      <c r="A1405">
        <v>2792</v>
      </c>
      <c r="B1405">
        <v>11</v>
      </c>
      <c r="C1405" t="s">
        <v>328</v>
      </c>
      <c r="D1405">
        <v>36656</v>
      </c>
      <c r="E1405" t="s">
        <v>1609</v>
      </c>
    </row>
    <row r="1406" spans="1:5" x14ac:dyDescent="0.2">
      <c r="A1406">
        <v>3496</v>
      </c>
      <c r="B1406">
        <v>0</v>
      </c>
      <c r="C1406" t="s">
        <v>2188</v>
      </c>
      <c r="D1406">
        <v>36488</v>
      </c>
      <c r="E1406" t="s">
        <v>105</v>
      </c>
    </row>
    <row r="1407" spans="1:5" x14ac:dyDescent="0.2">
      <c r="A1407">
        <v>3282</v>
      </c>
      <c r="B1407">
        <v>0</v>
      </c>
      <c r="C1407" t="s">
        <v>2189</v>
      </c>
      <c r="D1407">
        <v>36892</v>
      </c>
      <c r="E1407" t="s">
        <v>165</v>
      </c>
    </row>
    <row r="1408" spans="1:5" x14ac:dyDescent="0.2">
      <c r="A1408">
        <v>3244</v>
      </c>
      <c r="B1408">
        <v>0</v>
      </c>
      <c r="C1408" t="s">
        <v>2190</v>
      </c>
      <c r="D1408">
        <v>37247</v>
      </c>
      <c r="E1408" t="s">
        <v>115</v>
      </c>
    </row>
    <row r="1409" spans="1:5" x14ac:dyDescent="0.2">
      <c r="A1409">
        <v>3170</v>
      </c>
      <c r="B1409">
        <v>1</v>
      </c>
      <c r="C1409" t="s">
        <v>2191</v>
      </c>
      <c r="D1409">
        <v>37489</v>
      </c>
      <c r="E1409" t="s">
        <v>290</v>
      </c>
    </row>
    <row r="1410" spans="1:5" x14ac:dyDescent="0.2">
      <c r="A1410">
        <v>3070</v>
      </c>
      <c r="B1410">
        <v>3</v>
      </c>
      <c r="C1410" t="s">
        <v>2192</v>
      </c>
      <c r="D1410">
        <v>36890</v>
      </c>
      <c r="E1410" t="s">
        <v>614</v>
      </c>
    </row>
    <row r="1411" spans="1:5" x14ac:dyDescent="0.2">
      <c r="A1411">
        <v>2097</v>
      </c>
      <c r="B1411">
        <v>46</v>
      </c>
      <c r="C1411" t="s">
        <v>329</v>
      </c>
      <c r="D1411">
        <v>36489</v>
      </c>
      <c r="E1411" t="s">
        <v>1332</v>
      </c>
    </row>
    <row r="1412" spans="1:5" x14ac:dyDescent="0.2">
      <c r="A1412">
        <v>2215</v>
      </c>
      <c r="B1412">
        <v>40</v>
      </c>
      <c r="C1412" t="s">
        <v>2193</v>
      </c>
      <c r="D1412">
        <v>36866</v>
      </c>
      <c r="E1412" t="s">
        <v>1267</v>
      </c>
    </row>
    <row r="1413" spans="1:5" x14ac:dyDescent="0.2">
      <c r="A1413">
        <v>2384</v>
      </c>
      <c r="B1413">
        <v>31</v>
      </c>
      <c r="C1413" t="s">
        <v>2194</v>
      </c>
      <c r="D1413">
        <v>36838</v>
      </c>
      <c r="E1413" t="s">
        <v>1214</v>
      </c>
    </row>
    <row r="1414" spans="1:5" x14ac:dyDescent="0.2">
      <c r="A1414">
        <v>2113</v>
      </c>
      <c r="B1414">
        <v>45</v>
      </c>
      <c r="C1414" t="s">
        <v>588</v>
      </c>
      <c r="D1414">
        <v>36713</v>
      </c>
      <c r="E1414" t="s">
        <v>105</v>
      </c>
    </row>
    <row r="1415" spans="1:5" x14ac:dyDescent="0.2">
      <c r="A1415">
        <v>1333</v>
      </c>
      <c r="B1415">
        <v>143</v>
      </c>
      <c r="C1415" t="s">
        <v>330</v>
      </c>
      <c r="D1415">
        <v>36343</v>
      </c>
      <c r="E1415" t="s">
        <v>166</v>
      </c>
    </row>
    <row r="1416" spans="1:5" x14ac:dyDescent="0.2">
      <c r="A1416">
        <v>2993</v>
      </c>
      <c r="B1416">
        <v>5</v>
      </c>
      <c r="C1416" t="s">
        <v>2195</v>
      </c>
      <c r="D1416">
        <v>36372</v>
      </c>
      <c r="E1416" t="s">
        <v>126</v>
      </c>
    </row>
    <row r="1417" spans="1:5" x14ac:dyDescent="0.2">
      <c r="A1417">
        <v>1160</v>
      </c>
      <c r="B1417">
        <v>176</v>
      </c>
      <c r="C1417" t="s">
        <v>742</v>
      </c>
      <c r="D1417">
        <v>36534</v>
      </c>
      <c r="E1417" t="s">
        <v>99</v>
      </c>
    </row>
    <row r="1418" spans="1:5" x14ac:dyDescent="0.2">
      <c r="A1418">
        <v>2634</v>
      </c>
      <c r="B1418">
        <v>19</v>
      </c>
      <c r="C1418" t="s">
        <v>2196</v>
      </c>
      <c r="D1418">
        <v>36334</v>
      </c>
      <c r="E1418" t="s">
        <v>119</v>
      </c>
    </row>
    <row r="1419" spans="1:5" x14ac:dyDescent="0.2">
      <c r="A1419">
        <v>3554</v>
      </c>
      <c r="B1419">
        <v>0</v>
      </c>
      <c r="C1419" t="s">
        <v>2197</v>
      </c>
      <c r="D1419">
        <v>37257</v>
      </c>
      <c r="E1419" t="s">
        <v>1384</v>
      </c>
    </row>
    <row r="1420" spans="1:5" x14ac:dyDescent="0.2">
      <c r="A1420">
        <v>1947</v>
      </c>
      <c r="B1420">
        <v>56</v>
      </c>
      <c r="C1420" t="s">
        <v>2198</v>
      </c>
      <c r="D1420">
        <v>36790</v>
      </c>
      <c r="E1420" t="s">
        <v>1171</v>
      </c>
    </row>
    <row r="1421" spans="1:5" x14ac:dyDescent="0.2">
      <c r="A1421">
        <v>3671</v>
      </c>
      <c r="B1421">
        <v>0</v>
      </c>
      <c r="C1421" t="s">
        <v>2199</v>
      </c>
      <c r="D1421">
        <v>36892</v>
      </c>
      <c r="E1421" t="s">
        <v>136</v>
      </c>
    </row>
    <row r="1422" spans="1:5" x14ac:dyDescent="0.2">
      <c r="A1422">
        <v>3653</v>
      </c>
      <c r="B1422">
        <v>0</v>
      </c>
      <c r="C1422" t="s">
        <v>2200</v>
      </c>
      <c r="D1422">
        <v>36935</v>
      </c>
      <c r="E1422" t="s">
        <v>120</v>
      </c>
    </row>
    <row r="1423" spans="1:5" x14ac:dyDescent="0.2">
      <c r="A1423">
        <v>3149</v>
      </c>
      <c r="B1423">
        <v>1</v>
      </c>
      <c r="C1423" t="s">
        <v>2201</v>
      </c>
      <c r="D1423">
        <v>36944</v>
      </c>
      <c r="E1423" t="s">
        <v>138</v>
      </c>
    </row>
    <row r="1424" spans="1:5" x14ac:dyDescent="0.2">
      <c r="A1424">
        <v>2294</v>
      </c>
      <c r="B1424">
        <v>36</v>
      </c>
      <c r="C1424" t="s">
        <v>2202</v>
      </c>
      <c r="D1424">
        <v>37715</v>
      </c>
      <c r="E1424" t="s">
        <v>120</v>
      </c>
    </row>
    <row r="1425" spans="1:5" x14ac:dyDescent="0.2">
      <c r="A1425">
        <v>3576</v>
      </c>
      <c r="B1425">
        <v>0</v>
      </c>
      <c r="C1425" t="s">
        <v>2203</v>
      </c>
      <c r="D1425">
        <v>36862</v>
      </c>
      <c r="E1425" t="s">
        <v>1232</v>
      </c>
    </row>
    <row r="1426" spans="1:5" x14ac:dyDescent="0.2">
      <c r="A1426">
        <v>1800</v>
      </c>
      <c r="B1426">
        <v>72</v>
      </c>
      <c r="C1426" t="s">
        <v>589</v>
      </c>
      <c r="D1426">
        <v>37018</v>
      </c>
      <c r="E1426" t="s">
        <v>99</v>
      </c>
    </row>
    <row r="1427" spans="1:5" x14ac:dyDescent="0.2">
      <c r="A1427">
        <v>1782</v>
      </c>
      <c r="B1427">
        <v>73</v>
      </c>
      <c r="C1427" t="s">
        <v>590</v>
      </c>
      <c r="D1427">
        <v>36362</v>
      </c>
      <c r="E1427" t="s">
        <v>200</v>
      </c>
    </row>
    <row r="1428" spans="1:5" x14ac:dyDescent="0.2">
      <c r="A1428">
        <v>3630</v>
      </c>
      <c r="B1428">
        <v>0</v>
      </c>
      <c r="C1428" t="s">
        <v>2204</v>
      </c>
      <c r="D1428">
        <v>36712</v>
      </c>
      <c r="E1428" t="s">
        <v>1628</v>
      </c>
    </row>
    <row r="1429" spans="1:5" x14ac:dyDescent="0.2">
      <c r="A1429">
        <v>2274</v>
      </c>
      <c r="B1429">
        <v>37</v>
      </c>
      <c r="C1429" t="s">
        <v>2205</v>
      </c>
      <c r="D1429">
        <v>37083</v>
      </c>
      <c r="E1429" t="s">
        <v>99</v>
      </c>
    </row>
    <row r="1430" spans="1:5" x14ac:dyDescent="0.2">
      <c r="A1430">
        <v>2930</v>
      </c>
      <c r="B1430">
        <v>7</v>
      </c>
      <c r="C1430" t="s">
        <v>2206</v>
      </c>
      <c r="D1430">
        <v>37713</v>
      </c>
      <c r="E1430" t="s">
        <v>110</v>
      </c>
    </row>
    <row r="1431" spans="1:5" x14ac:dyDescent="0.2">
      <c r="A1431">
        <v>3594</v>
      </c>
      <c r="B1431">
        <v>0</v>
      </c>
      <c r="C1431" t="s">
        <v>2207</v>
      </c>
      <c r="D1431">
        <v>36241</v>
      </c>
      <c r="E1431" t="s">
        <v>122</v>
      </c>
    </row>
    <row r="1432" spans="1:5" x14ac:dyDescent="0.2">
      <c r="A1432">
        <v>2429</v>
      </c>
      <c r="B1432">
        <v>29</v>
      </c>
      <c r="C1432" t="s">
        <v>409</v>
      </c>
      <c r="D1432">
        <v>37277</v>
      </c>
      <c r="E1432" t="s">
        <v>120</v>
      </c>
    </row>
    <row r="1433" spans="1:5" x14ac:dyDescent="0.2">
      <c r="A1433">
        <v>3458</v>
      </c>
      <c r="B1433">
        <v>0</v>
      </c>
      <c r="C1433" t="s">
        <v>409</v>
      </c>
      <c r="D1433">
        <v>36324</v>
      </c>
      <c r="E1433" t="s">
        <v>290</v>
      </c>
    </row>
    <row r="1434" spans="1:5" x14ac:dyDescent="0.2">
      <c r="A1434">
        <v>2395</v>
      </c>
      <c r="B1434">
        <v>30</v>
      </c>
      <c r="C1434" t="s">
        <v>410</v>
      </c>
      <c r="D1434">
        <v>37042</v>
      </c>
      <c r="E1434" t="s">
        <v>1460</v>
      </c>
    </row>
    <row r="1435" spans="1:5" x14ac:dyDescent="0.2">
      <c r="A1435">
        <v>3477</v>
      </c>
      <c r="B1435">
        <v>0</v>
      </c>
      <c r="C1435" t="s">
        <v>2208</v>
      </c>
      <c r="D1435">
        <v>37372</v>
      </c>
      <c r="E1435" t="s">
        <v>105</v>
      </c>
    </row>
    <row r="1436" spans="1:5" x14ac:dyDescent="0.2">
      <c r="A1436">
        <v>1838</v>
      </c>
      <c r="B1436">
        <v>68</v>
      </c>
      <c r="C1436" t="s">
        <v>2209</v>
      </c>
      <c r="D1436">
        <v>36598</v>
      </c>
      <c r="E1436" t="s">
        <v>227</v>
      </c>
    </row>
    <row r="1437" spans="1:5" x14ac:dyDescent="0.2">
      <c r="A1437">
        <v>3592</v>
      </c>
      <c r="B1437">
        <v>0</v>
      </c>
      <c r="C1437" t="s">
        <v>2210</v>
      </c>
      <c r="D1437">
        <v>37332</v>
      </c>
      <c r="E1437" t="s">
        <v>1236</v>
      </c>
    </row>
    <row r="1438" spans="1:5" x14ac:dyDescent="0.2">
      <c r="A1438">
        <v>3564</v>
      </c>
      <c r="B1438">
        <v>0</v>
      </c>
      <c r="C1438" t="s">
        <v>2211</v>
      </c>
      <c r="D1438">
        <v>37047</v>
      </c>
      <c r="E1438" t="s">
        <v>119</v>
      </c>
    </row>
    <row r="1439" spans="1:5" x14ac:dyDescent="0.2">
      <c r="A1439">
        <v>1991</v>
      </c>
      <c r="B1439">
        <v>53</v>
      </c>
      <c r="C1439" t="s">
        <v>2212</v>
      </c>
      <c r="D1439">
        <v>36963</v>
      </c>
      <c r="E1439" t="s">
        <v>99</v>
      </c>
    </row>
    <row r="1440" spans="1:5" x14ac:dyDescent="0.2">
      <c r="A1440">
        <v>2474</v>
      </c>
      <c r="B1440">
        <v>26</v>
      </c>
      <c r="C1440" t="s">
        <v>331</v>
      </c>
      <c r="D1440">
        <v>36945</v>
      </c>
      <c r="E1440" t="s">
        <v>99</v>
      </c>
    </row>
    <row r="1441" spans="1:5" x14ac:dyDescent="0.2">
      <c r="A1441">
        <v>2697</v>
      </c>
      <c r="B1441">
        <v>16</v>
      </c>
      <c r="C1441" t="s">
        <v>2213</v>
      </c>
      <c r="D1441">
        <v>36688</v>
      </c>
      <c r="E1441" t="s">
        <v>105</v>
      </c>
    </row>
    <row r="1442" spans="1:5" x14ac:dyDescent="0.2">
      <c r="A1442">
        <v>3665</v>
      </c>
      <c r="B1442">
        <v>0</v>
      </c>
      <c r="C1442" t="s">
        <v>2214</v>
      </c>
      <c r="D1442">
        <v>37747</v>
      </c>
      <c r="E1442" t="s">
        <v>105</v>
      </c>
    </row>
    <row r="1443" spans="1:5" x14ac:dyDescent="0.2">
      <c r="A1443">
        <v>3339</v>
      </c>
      <c r="B1443">
        <v>0</v>
      </c>
      <c r="C1443" t="s">
        <v>2215</v>
      </c>
      <c r="D1443">
        <v>37257</v>
      </c>
      <c r="E1443" t="s">
        <v>290</v>
      </c>
    </row>
    <row r="1444" spans="1:5" x14ac:dyDescent="0.2">
      <c r="A1444">
        <v>2267</v>
      </c>
      <c r="B1444">
        <v>37</v>
      </c>
      <c r="C1444" t="s">
        <v>332</v>
      </c>
      <c r="D1444">
        <v>36607</v>
      </c>
      <c r="E1444" t="s">
        <v>126</v>
      </c>
    </row>
    <row r="1445" spans="1:5" x14ac:dyDescent="0.2">
      <c r="A1445">
        <v>2234</v>
      </c>
      <c r="B1445">
        <v>39</v>
      </c>
      <c r="C1445" t="s">
        <v>864</v>
      </c>
      <c r="D1445">
        <v>36992</v>
      </c>
      <c r="E1445" t="s">
        <v>110</v>
      </c>
    </row>
    <row r="1446" spans="1:5" x14ac:dyDescent="0.2">
      <c r="A1446">
        <v>2793</v>
      </c>
      <c r="B1446">
        <v>11</v>
      </c>
      <c r="C1446" t="s">
        <v>2216</v>
      </c>
      <c r="D1446">
        <v>37272</v>
      </c>
      <c r="E1446" t="s">
        <v>105</v>
      </c>
    </row>
    <row r="1447" spans="1:5" x14ac:dyDescent="0.2">
      <c r="A1447">
        <v>1592</v>
      </c>
      <c r="B1447">
        <v>97</v>
      </c>
      <c r="C1447" t="s">
        <v>333</v>
      </c>
      <c r="D1447">
        <v>37088</v>
      </c>
      <c r="E1447" t="s">
        <v>120</v>
      </c>
    </row>
    <row r="1448" spans="1:5" x14ac:dyDescent="0.2">
      <c r="A1448">
        <v>1976</v>
      </c>
      <c r="B1448">
        <v>54</v>
      </c>
      <c r="C1448" t="s">
        <v>333</v>
      </c>
      <c r="D1448">
        <v>37036</v>
      </c>
      <c r="E1448" t="s">
        <v>110</v>
      </c>
    </row>
    <row r="1449" spans="1:5" x14ac:dyDescent="0.2">
      <c r="A1449">
        <v>2147</v>
      </c>
      <c r="B1449">
        <v>44</v>
      </c>
      <c r="C1449" t="s">
        <v>2217</v>
      </c>
      <c r="D1449">
        <v>36540</v>
      </c>
      <c r="E1449" t="s">
        <v>105</v>
      </c>
    </row>
    <row r="1450" spans="1:5" x14ac:dyDescent="0.2">
      <c r="A1450">
        <v>2245</v>
      </c>
      <c r="B1450">
        <v>38</v>
      </c>
      <c r="C1450" t="s">
        <v>334</v>
      </c>
      <c r="D1450">
        <v>36828</v>
      </c>
      <c r="E1450" t="s">
        <v>1236</v>
      </c>
    </row>
    <row r="1451" spans="1:5" x14ac:dyDescent="0.2">
      <c r="A1451">
        <v>3261</v>
      </c>
      <c r="B1451">
        <v>0</v>
      </c>
      <c r="C1451" t="s">
        <v>2218</v>
      </c>
      <c r="D1451">
        <v>37806</v>
      </c>
      <c r="E1451" t="s">
        <v>1238</v>
      </c>
    </row>
    <row r="1452" spans="1:5" x14ac:dyDescent="0.2">
      <c r="A1452">
        <v>2967</v>
      </c>
      <c r="B1452">
        <v>5</v>
      </c>
      <c r="C1452" t="s">
        <v>2219</v>
      </c>
      <c r="D1452">
        <v>36963</v>
      </c>
      <c r="E1452" t="s">
        <v>120</v>
      </c>
    </row>
    <row r="1453" spans="1:5" x14ac:dyDescent="0.2">
      <c r="A1453">
        <v>2350</v>
      </c>
      <c r="B1453">
        <v>33</v>
      </c>
      <c r="C1453" t="s">
        <v>2220</v>
      </c>
      <c r="D1453">
        <v>37248</v>
      </c>
      <c r="E1453" t="s">
        <v>290</v>
      </c>
    </row>
    <row r="1454" spans="1:5" x14ac:dyDescent="0.2">
      <c r="A1454">
        <v>2150</v>
      </c>
      <c r="B1454">
        <v>44</v>
      </c>
      <c r="C1454" t="s">
        <v>2221</v>
      </c>
      <c r="D1454">
        <v>36355</v>
      </c>
      <c r="E1454" t="s">
        <v>1190</v>
      </c>
    </row>
    <row r="1455" spans="1:5" x14ac:dyDescent="0.2">
      <c r="A1455">
        <v>3022</v>
      </c>
      <c r="B1455">
        <v>4</v>
      </c>
      <c r="C1455" t="s">
        <v>2222</v>
      </c>
      <c r="D1455">
        <v>36773</v>
      </c>
      <c r="E1455" t="s">
        <v>105</v>
      </c>
    </row>
    <row r="1456" spans="1:5" x14ac:dyDescent="0.2">
      <c r="A1456">
        <v>2163</v>
      </c>
      <c r="B1456">
        <v>43</v>
      </c>
      <c r="C1456" t="s">
        <v>591</v>
      </c>
      <c r="D1456">
        <v>36769</v>
      </c>
      <c r="E1456" t="s">
        <v>105</v>
      </c>
    </row>
    <row r="1457" spans="1:5" x14ac:dyDescent="0.2">
      <c r="A1457">
        <v>2959</v>
      </c>
      <c r="B1457">
        <v>6</v>
      </c>
      <c r="C1457" t="s">
        <v>2223</v>
      </c>
      <c r="D1457">
        <v>36526</v>
      </c>
      <c r="E1457" t="s">
        <v>105</v>
      </c>
    </row>
    <row r="1458" spans="1:5" x14ac:dyDescent="0.2">
      <c r="A1458">
        <v>2583</v>
      </c>
      <c r="B1458">
        <v>21</v>
      </c>
      <c r="C1458" t="s">
        <v>2224</v>
      </c>
      <c r="D1458">
        <v>36188</v>
      </c>
      <c r="E1458" t="s">
        <v>117</v>
      </c>
    </row>
    <row r="1459" spans="1:5" x14ac:dyDescent="0.2">
      <c r="A1459">
        <v>1954</v>
      </c>
      <c r="B1459">
        <v>55</v>
      </c>
      <c r="C1459" t="s">
        <v>335</v>
      </c>
      <c r="D1459">
        <v>36266</v>
      </c>
      <c r="E1459" t="s">
        <v>1675</v>
      </c>
    </row>
    <row r="1460" spans="1:5" x14ac:dyDescent="0.2">
      <c r="A1460">
        <v>2985</v>
      </c>
      <c r="B1460">
        <v>5</v>
      </c>
      <c r="C1460" t="s">
        <v>2225</v>
      </c>
      <c r="D1460">
        <v>37277</v>
      </c>
      <c r="E1460" t="s">
        <v>1236</v>
      </c>
    </row>
    <row r="1461" spans="1:5" x14ac:dyDescent="0.2">
      <c r="A1461">
        <v>3096</v>
      </c>
      <c r="B1461">
        <v>2</v>
      </c>
      <c r="C1461" t="s">
        <v>743</v>
      </c>
      <c r="D1461">
        <v>36952</v>
      </c>
      <c r="E1461" t="s">
        <v>99</v>
      </c>
    </row>
    <row r="1462" spans="1:5" x14ac:dyDescent="0.2">
      <c r="A1462">
        <v>2915</v>
      </c>
      <c r="B1462">
        <v>7</v>
      </c>
      <c r="C1462" t="s">
        <v>2226</v>
      </c>
      <c r="D1462">
        <v>37540</v>
      </c>
      <c r="E1462" t="s">
        <v>105</v>
      </c>
    </row>
    <row r="1463" spans="1:5" x14ac:dyDescent="0.2">
      <c r="A1463">
        <v>2626</v>
      </c>
      <c r="B1463">
        <v>19</v>
      </c>
      <c r="C1463" t="s">
        <v>2227</v>
      </c>
      <c r="D1463">
        <v>36526</v>
      </c>
      <c r="E1463" t="s">
        <v>137</v>
      </c>
    </row>
    <row r="1464" spans="1:5" x14ac:dyDescent="0.2">
      <c r="A1464">
        <v>2703</v>
      </c>
      <c r="B1464">
        <v>15</v>
      </c>
      <c r="C1464" t="s">
        <v>744</v>
      </c>
      <c r="D1464">
        <v>37430</v>
      </c>
      <c r="E1464" t="s">
        <v>222</v>
      </c>
    </row>
    <row r="1465" spans="1:5" x14ac:dyDescent="0.2">
      <c r="A1465">
        <v>2178</v>
      </c>
      <c r="B1465">
        <v>42</v>
      </c>
      <c r="C1465" t="s">
        <v>336</v>
      </c>
      <c r="D1465">
        <v>36237</v>
      </c>
      <c r="E1465" t="s">
        <v>1182</v>
      </c>
    </row>
    <row r="1466" spans="1:5" x14ac:dyDescent="0.2">
      <c r="A1466">
        <v>3118</v>
      </c>
      <c r="B1466">
        <v>2</v>
      </c>
      <c r="C1466" t="s">
        <v>2228</v>
      </c>
      <c r="D1466">
        <v>36686</v>
      </c>
      <c r="E1466" t="s">
        <v>365</v>
      </c>
    </row>
    <row r="1467" spans="1:5" x14ac:dyDescent="0.2">
      <c r="A1467">
        <v>3171</v>
      </c>
      <c r="B1467">
        <v>1</v>
      </c>
      <c r="C1467" t="s">
        <v>2229</v>
      </c>
      <c r="D1467">
        <v>36538</v>
      </c>
      <c r="E1467" t="s">
        <v>83</v>
      </c>
    </row>
    <row r="1468" spans="1:5" x14ac:dyDescent="0.2">
      <c r="A1468">
        <v>3257</v>
      </c>
      <c r="B1468">
        <v>0</v>
      </c>
      <c r="C1468" t="s">
        <v>2230</v>
      </c>
      <c r="D1468">
        <v>36338</v>
      </c>
      <c r="E1468" t="s">
        <v>1182</v>
      </c>
    </row>
    <row r="1469" spans="1:5" x14ac:dyDescent="0.2">
      <c r="A1469">
        <v>1756</v>
      </c>
      <c r="B1469">
        <v>75</v>
      </c>
      <c r="C1469" t="s">
        <v>745</v>
      </c>
      <c r="D1469">
        <v>36675</v>
      </c>
      <c r="E1469" t="s">
        <v>105</v>
      </c>
    </row>
    <row r="1470" spans="1:5" x14ac:dyDescent="0.2">
      <c r="A1470">
        <v>2402</v>
      </c>
      <c r="B1470">
        <v>30</v>
      </c>
      <c r="C1470" t="s">
        <v>2231</v>
      </c>
      <c r="D1470">
        <v>36287</v>
      </c>
      <c r="E1470" t="s">
        <v>117</v>
      </c>
    </row>
    <row r="1471" spans="1:5" x14ac:dyDescent="0.2">
      <c r="A1471">
        <v>864</v>
      </c>
      <c r="B1471">
        <v>266</v>
      </c>
      <c r="C1471" t="s">
        <v>2232</v>
      </c>
      <c r="D1471">
        <v>36579</v>
      </c>
      <c r="E1471" t="s">
        <v>2233</v>
      </c>
    </row>
    <row r="1472" spans="1:5" x14ac:dyDescent="0.2">
      <c r="A1472">
        <v>2305</v>
      </c>
      <c r="B1472">
        <v>35</v>
      </c>
      <c r="C1472" t="s">
        <v>2234</v>
      </c>
      <c r="D1472">
        <v>36970</v>
      </c>
      <c r="E1472" t="s">
        <v>1200</v>
      </c>
    </row>
    <row r="1473" spans="1:5" x14ac:dyDescent="0.2">
      <c r="A1473">
        <v>2450</v>
      </c>
      <c r="B1473">
        <v>28</v>
      </c>
      <c r="C1473" t="s">
        <v>2235</v>
      </c>
      <c r="D1473">
        <v>36477</v>
      </c>
      <c r="E1473" t="s">
        <v>1214</v>
      </c>
    </row>
    <row r="1474" spans="1:5" x14ac:dyDescent="0.2">
      <c r="A1474">
        <v>1525</v>
      </c>
      <c r="B1474">
        <v>107</v>
      </c>
      <c r="C1474" t="s">
        <v>2236</v>
      </c>
      <c r="D1474">
        <v>37083</v>
      </c>
      <c r="E1474" t="s">
        <v>2237</v>
      </c>
    </row>
    <row r="1475" spans="1:5" x14ac:dyDescent="0.2">
      <c r="A1475">
        <v>3185</v>
      </c>
      <c r="B1475">
        <v>1</v>
      </c>
      <c r="C1475" t="s">
        <v>2238</v>
      </c>
      <c r="D1475">
        <v>37975</v>
      </c>
      <c r="E1475" t="s">
        <v>113</v>
      </c>
    </row>
    <row r="1476" spans="1:5" x14ac:dyDescent="0.2">
      <c r="A1476">
        <v>1424</v>
      </c>
      <c r="B1476">
        <v>128</v>
      </c>
      <c r="C1476" t="s">
        <v>337</v>
      </c>
      <c r="D1476">
        <v>36411</v>
      </c>
      <c r="E1476" t="s">
        <v>1214</v>
      </c>
    </row>
    <row r="1477" spans="1:5" x14ac:dyDescent="0.2">
      <c r="A1477">
        <v>2074</v>
      </c>
      <c r="B1477">
        <v>47</v>
      </c>
      <c r="C1477" t="s">
        <v>746</v>
      </c>
      <c r="D1477">
        <v>36946</v>
      </c>
      <c r="E1477" t="s">
        <v>128</v>
      </c>
    </row>
    <row r="1478" spans="1:5" x14ac:dyDescent="0.2">
      <c r="A1478">
        <v>3667</v>
      </c>
      <c r="B1478">
        <v>0</v>
      </c>
      <c r="C1478" t="s">
        <v>2239</v>
      </c>
      <c r="D1478">
        <v>36572</v>
      </c>
      <c r="E1478" t="s">
        <v>128</v>
      </c>
    </row>
    <row r="1479" spans="1:5" x14ac:dyDescent="0.2">
      <c r="A1479">
        <v>2880</v>
      </c>
      <c r="B1479">
        <v>8</v>
      </c>
      <c r="C1479" t="s">
        <v>2240</v>
      </c>
      <c r="D1479">
        <v>36490</v>
      </c>
      <c r="E1479" t="s">
        <v>1961</v>
      </c>
    </row>
    <row r="1480" spans="1:5" x14ac:dyDescent="0.2">
      <c r="A1480">
        <v>3441</v>
      </c>
      <c r="B1480">
        <v>0</v>
      </c>
      <c r="C1480" t="s">
        <v>2241</v>
      </c>
      <c r="D1480">
        <v>36648</v>
      </c>
      <c r="E1480" t="s">
        <v>105</v>
      </c>
    </row>
    <row r="1481" spans="1:5" x14ac:dyDescent="0.2">
      <c r="A1481">
        <v>2711</v>
      </c>
      <c r="B1481">
        <v>14</v>
      </c>
      <c r="C1481" t="s">
        <v>338</v>
      </c>
      <c r="D1481">
        <v>36676</v>
      </c>
      <c r="E1481" t="s">
        <v>183</v>
      </c>
    </row>
    <row r="1482" spans="1:5" x14ac:dyDescent="0.2">
      <c r="A1482">
        <v>2015</v>
      </c>
      <c r="B1482">
        <v>51</v>
      </c>
      <c r="C1482" t="s">
        <v>865</v>
      </c>
      <c r="D1482">
        <v>37297</v>
      </c>
      <c r="E1482" t="s">
        <v>105</v>
      </c>
    </row>
    <row r="1483" spans="1:5" x14ac:dyDescent="0.2">
      <c r="A1483">
        <v>2622</v>
      </c>
      <c r="B1483">
        <v>19</v>
      </c>
      <c r="C1483" t="s">
        <v>2242</v>
      </c>
      <c r="D1483">
        <v>37311</v>
      </c>
      <c r="E1483" t="s">
        <v>1522</v>
      </c>
    </row>
    <row r="1484" spans="1:5" x14ac:dyDescent="0.2">
      <c r="A1484">
        <v>2893</v>
      </c>
      <c r="B1484">
        <v>8</v>
      </c>
      <c r="C1484" t="s">
        <v>2243</v>
      </c>
      <c r="D1484">
        <v>36804</v>
      </c>
      <c r="E1484" t="s">
        <v>2054</v>
      </c>
    </row>
    <row r="1485" spans="1:5" x14ac:dyDescent="0.2">
      <c r="A1485">
        <v>3121</v>
      </c>
      <c r="B1485">
        <v>2</v>
      </c>
      <c r="C1485" t="s">
        <v>2244</v>
      </c>
      <c r="D1485">
        <v>36711</v>
      </c>
      <c r="E1485" t="s">
        <v>122</v>
      </c>
    </row>
    <row r="1486" spans="1:5" x14ac:dyDescent="0.2">
      <c r="A1486">
        <v>2851</v>
      </c>
      <c r="B1486">
        <v>9</v>
      </c>
      <c r="C1486" t="s">
        <v>2245</v>
      </c>
      <c r="D1486">
        <v>36740</v>
      </c>
      <c r="E1486" t="s">
        <v>1214</v>
      </c>
    </row>
    <row r="1487" spans="1:5" x14ac:dyDescent="0.2">
      <c r="A1487">
        <v>1700</v>
      </c>
      <c r="B1487">
        <v>83</v>
      </c>
      <c r="C1487" t="s">
        <v>339</v>
      </c>
      <c r="D1487">
        <v>36190</v>
      </c>
      <c r="E1487" t="s">
        <v>109</v>
      </c>
    </row>
    <row r="1488" spans="1:5" x14ac:dyDescent="0.2">
      <c r="A1488">
        <v>3278</v>
      </c>
      <c r="B1488">
        <v>0</v>
      </c>
      <c r="C1488" t="s">
        <v>2246</v>
      </c>
      <c r="D1488">
        <v>37134</v>
      </c>
      <c r="E1488" t="s">
        <v>117</v>
      </c>
    </row>
    <row r="1489" spans="1:5" x14ac:dyDescent="0.2">
      <c r="A1489">
        <v>1952</v>
      </c>
      <c r="B1489">
        <v>56</v>
      </c>
      <c r="C1489" t="s">
        <v>2247</v>
      </c>
      <c r="D1489">
        <v>36670</v>
      </c>
      <c r="E1489" t="s">
        <v>1364</v>
      </c>
    </row>
    <row r="1490" spans="1:5" x14ac:dyDescent="0.2">
      <c r="A1490">
        <v>3175</v>
      </c>
      <c r="B1490">
        <v>1</v>
      </c>
      <c r="C1490" t="s">
        <v>2248</v>
      </c>
      <c r="D1490">
        <v>36205</v>
      </c>
      <c r="E1490" t="s">
        <v>120</v>
      </c>
    </row>
    <row r="1491" spans="1:5" x14ac:dyDescent="0.2">
      <c r="A1491">
        <v>3004</v>
      </c>
      <c r="B1491">
        <v>4</v>
      </c>
      <c r="C1491" t="s">
        <v>2249</v>
      </c>
      <c r="D1491">
        <v>37339</v>
      </c>
      <c r="E1491" t="s">
        <v>120</v>
      </c>
    </row>
    <row r="1492" spans="1:5" x14ac:dyDescent="0.2">
      <c r="A1492">
        <v>3640</v>
      </c>
      <c r="B1492">
        <v>0</v>
      </c>
      <c r="C1492" t="s">
        <v>2250</v>
      </c>
      <c r="D1492">
        <v>36797</v>
      </c>
      <c r="E1492" t="s">
        <v>126</v>
      </c>
    </row>
    <row r="1493" spans="1:5" x14ac:dyDescent="0.2">
      <c r="A1493">
        <v>2277</v>
      </c>
      <c r="B1493">
        <v>37</v>
      </c>
      <c r="C1493" t="s">
        <v>866</v>
      </c>
      <c r="D1493">
        <v>36526</v>
      </c>
      <c r="E1493" t="s">
        <v>105</v>
      </c>
    </row>
    <row r="1494" spans="1:5" x14ac:dyDescent="0.2">
      <c r="A1494">
        <v>3256</v>
      </c>
      <c r="B1494">
        <v>0</v>
      </c>
      <c r="C1494" t="s">
        <v>2251</v>
      </c>
      <c r="D1494">
        <v>37073</v>
      </c>
      <c r="E1494" t="s">
        <v>1493</v>
      </c>
    </row>
    <row r="1495" spans="1:5" x14ac:dyDescent="0.2">
      <c r="A1495">
        <v>3658</v>
      </c>
      <c r="B1495">
        <v>0</v>
      </c>
      <c r="C1495" t="s">
        <v>2252</v>
      </c>
      <c r="D1495">
        <v>37134</v>
      </c>
      <c r="E1495" t="s">
        <v>1675</v>
      </c>
    </row>
    <row r="1496" spans="1:5" x14ac:dyDescent="0.2">
      <c r="A1496">
        <v>3479</v>
      </c>
      <c r="B1496">
        <v>0</v>
      </c>
      <c r="C1496" t="s">
        <v>2253</v>
      </c>
      <c r="D1496">
        <v>37257</v>
      </c>
      <c r="E1496" t="s">
        <v>74</v>
      </c>
    </row>
    <row r="1497" spans="1:5" x14ac:dyDescent="0.2">
      <c r="A1497">
        <v>3362</v>
      </c>
      <c r="B1497">
        <v>0</v>
      </c>
      <c r="C1497" t="s">
        <v>2254</v>
      </c>
      <c r="D1497">
        <v>37948</v>
      </c>
      <c r="E1497" t="s">
        <v>72</v>
      </c>
    </row>
    <row r="1498" spans="1:5" x14ac:dyDescent="0.2">
      <c r="A1498">
        <v>1144</v>
      </c>
      <c r="B1498">
        <v>181</v>
      </c>
      <c r="C1498" t="s">
        <v>2255</v>
      </c>
      <c r="D1498">
        <v>36670</v>
      </c>
      <c r="E1498" t="s">
        <v>2256</v>
      </c>
    </row>
    <row r="1499" spans="1:5" x14ac:dyDescent="0.2">
      <c r="A1499">
        <v>3299</v>
      </c>
      <c r="B1499">
        <v>0</v>
      </c>
      <c r="C1499" t="s">
        <v>2257</v>
      </c>
      <c r="D1499">
        <v>37183</v>
      </c>
      <c r="E1499" t="s">
        <v>2258</v>
      </c>
    </row>
    <row r="1500" spans="1:5" x14ac:dyDescent="0.2">
      <c r="A1500">
        <v>2380</v>
      </c>
      <c r="B1500">
        <v>31</v>
      </c>
      <c r="C1500" t="s">
        <v>592</v>
      </c>
      <c r="D1500">
        <v>36528</v>
      </c>
      <c r="E1500" t="s">
        <v>99</v>
      </c>
    </row>
    <row r="1501" spans="1:5" x14ac:dyDescent="0.2">
      <c r="A1501">
        <v>1918</v>
      </c>
      <c r="B1501">
        <v>58</v>
      </c>
      <c r="C1501" t="s">
        <v>593</v>
      </c>
      <c r="D1501">
        <v>36621</v>
      </c>
      <c r="E1501" t="s">
        <v>72</v>
      </c>
    </row>
    <row r="1502" spans="1:5" x14ac:dyDescent="0.2">
      <c r="A1502">
        <v>2080</v>
      </c>
      <c r="B1502">
        <v>47</v>
      </c>
      <c r="C1502" t="s">
        <v>2259</v>
      </c>
      <c r="D1502">
        <v>36851</v>
      </c>
      <c r="E1502" t="s">
        <v>105</v>
      </c>
    </row>
    <row r="1503" spans="1:5" x14ac:dyDescent="0.2">
      <c r="A1503">
        <v>1296</v>
      </c>
      <c r="B1503">
        <v>148</v>
      </c>
      <c r="C1503" t="s">
        <v>411</v>
      </c>
      <c r="D1503">
        <v>36630</v>
      </c>
      <c r="E1503" t="s">
        <v>145</v>
      </c>
    </row>
    <row r="1504" spans="1:5" x14ac:dyDescent="0.2">
      <c r="A1504">
        <v>3669</v>
      </c>
      <c r="B1504">
        <v>0</v>
      </c>
      <c r="C1504" t="s">
        <v>2260</v>
      </c>
      <c r="D1504">
        <v>37244</v>
      </c>
      <c r="E1504" t="s">
        <v>105</v>
      </c>
    </row>
    <row r="1505" spans="1:5" x14ac:dyDescent="0.2">
      <c r="A1505">
        <v>1863</v>
      </c>
      <c r="B1505">
        <v>64</v>
      </c>
      <c r="C1505" t="s">
        <v>340</v>
      </c>
      <c r="D1505">
        <v>36384</v>
      </c>
      <c r="E1505" t="s">
        <v>1286</v>
      </c>
    </row>
    <row r="1506" spans="1:5" x14ac:dyDescent="0.2">
      <c r="A1506">
        <v>3593</v>
      </c>
      <c r="B1506">
        <v>0</v>
      </c>
      <c r="C1506" t="s">
        <v>2261</v>
      </c>
      <c r="D1506">
        <v>37558</v>
      </c>
      <c r="E1506" t="s">
        <v>1236</v>
      </c>
    </row>
    <row r="1507" spans="1:5" x14ac:dyDescent="0.2">
      <c r="A1507">
        <v>2372</v>
      </c>
      <c r="B1507">
        <v>32</v>
      </c>
      <c r="C1507" t="s">
        <v>867</v>
      </c>
      <c r="D1507">
        <v>37315</v>
      </c>
      <c r="E1507" t="s">
        <v>1156</v>
      </c>
    </row>
    <row r="1508" spans="1:5" x14ac:dyDescent="0.2">
      <c r="A1508">
        <v>1632</v>
      </c>
      <c r="B1508">
        <v>92</v>
      </c>
      <c r="C1508" t="s">
        <v>2262</v>
      </c>
      <c r="D1508">
        <v>36292</v>
      </c>
      <c r="E1508" t="s">
        <v>2263</v>
      </c>
    </row>
    <row r="1509" spans="1:5" x14ac:dyDescent="0.2">
      <c r="A1509">
        <v>2878</v>
      </c>
      <c r="B1509">
        <v>8</v>
      </c>
      <c r="C1509" t="s">
        <v>2264</v>
      </c>
      <c r="D1509">
        <v>36543</v>
      </c>
      <c r="E1509" t="s">
        <v>138</v>
      </c>
    </row>
    <row r="1510" spans="1:5" x14ac:dyDescent="0.2">
      <c r="A1510">
        <v>3255</v>
      </c>
      <c r="B1510">
        <v>0</v>
      </c>
      <c r="C1510" t="s">
        <v>2265</v>
      </c>
      <c r="D1510">
        <v>37098</v>
      </c>
      <c r="E1510" t="s">
        <v>138</v>
      </c>
    </row>
    <row r="1511" spans="1:5" x14ac:dyDescent="0.2">
      <c r="A1511">
        <v>1994</v>
      </c>
      <c r="B1511">
        <v>53</v>
      </c>
      <c r="C1511" t="s">
        <v>868</v>
      </c>
      <c r="D1511">
        <v>36923</v>
      </c>
      <c r="E1511" t="s">
        <v>1204</v>
      </c>
    </row>
    <row r="1512" spans="1:5" x14ac:dyDescent="0.2">
      <c r="A1512">
        <v>3376</v>
      </c>
      <c r="B1512">
        <v>0</v>
      </c>
      <c r="C1512" t="s">
        <v>2266</v>
      </c>
      <c r="D1512">
        <v>36198</v>
      </c>
      <c r="E1512" t="s">
        <v>127</v>
      </c>
    </row>
    <row r="1513" spans="1:5" x14ac:dyDescent="0.2">
      <c r="A1513">
        <v>3016</v>
      </c>
      <c r="B1513">
        <v>4</v>
      </c>
      <c r="C1513" t="s">
        <v>2267</v>
      </c>
      <c r="D1513">
        <v>37238</v>
      </c>
      <c r="E1513" t="s">
        <v>165</v>
      </c>
    </row>
    <row r="1514" spans="1:5" x14ac:dyDescent="0.2">
      <c r="A1514">
        <v>3245</v>
      </c>
      <c r="B1514">
        <v>0</v>
      </c>
      <c r="C1514" t="s">
        <v>2268</v>
      </c>
      <c r="D1514">
        <v>36711</v>
      </c>
      <c r="E1514" t="s">
        <v>170</v>
      </c>
    </row>
    <row r="1515" spans="1:5" x14ac:dyDescent="0.2">
      <c r="A1515">
        <v>1675</v>
      </c>
      <c r="B1515">
        <v>86</v>
      </c>
      <c r="C1515" t="s">
        <v>341</v>
      </c>
      <c r="D1515">
        <v>36948</v>
      </c>
      <c r="E1515" t="s">
        <v>155</v>
      </c>
    </row>
    <row r="1516" spans="1:5" x14ac:dyDescent="0.2">
      <c r="A1516">
        <v>1682</v>
      </c>
      <c r="B1516">
        <v>86</v>
      </c>
      <c r="C1516" t="s">
        <v>2269</v>
      </c>
      <c r="D1516">
        <v>36337</v>
      </c>
      <c r="E1516" t="s">
        <v>1493</v>
      </c>
    </row>
    <row r="1517" spans="1:5" x14ac:dyDescent="0.2">
      <c r="A1517">
        <v>3317</v>
      </c>
      <c r="B1517">
        <v>0</v>
      </c>
      <c r="C1517" t="s">
        <v>2269</v>
      </c>
      <c r="D1517">
        <v>37590</v>
      </c>
      <c r="E1517" t="s">
        <v>120</v>
      </c>
    </row>
    <row r="1518" spans="1:5" x14ac:dyDescent="0.2">
      <c r="A1518">
        <v>1873</v>
      </c>
      <c r="B1518">
        <v>63</v>
      </c>
      <c r="C1518" t="s">
        <v>2270</v>
      </c>
      <c r="D1518">
        <v>36294</v>
      </c>
      <c r="E1518" t="s">
        <v>120</v>
      </c>
    </row>
    <row r="1519" spans="1:5" x14ac:dyDescent="0.2">
      <c r="A1519">
        <v>2916</v>
      </c>
      <c r="B1519">
        <v>7</v>
      </c>
      <c r="C1519" t="s">
        <v>2271</v>
      </c>
      <c r="D1519">
        <v>36613</v>
      </c>
      <c r="E1519" t="s">
        <v>1423</v>
      </c>
    </row>
    <row r="1520" spans="1:5" x14ac:dyDescent="0.2">
      <c r="A1520">
        <v>2290</v>
      </c>
      <c r="B1520">
        <v>36</v>
      </c>
      <c r="C1520" t="s">
        <v>2272</v>
      </c>
      <c r="D1520">
        <v>36427</v>
      </c>
      <c r="E1520" t="s">
        <v>166</v>
      </c>
    </row>
    <row r="1521" spans="1:5" x14ac:dyDescent="0.2">
      <c r="A1521">
        <v>1778</v>
      </c>
      <c r="B1521">
        <v>74</v>
      </c>
      <c r="C1521" t="s">
        <v>869</v>
      </c>
      <c r="D1521">
        <v>36816</v>
      </c>
      <c r="E1521" t="s">
        <v>179</v>
      </c>
    </row>
    <row r="1522" spans="1:5" x14ac:dyDescent="0.2">
      <c r="A1522">
        <v>3046</v>
      </c>
      <c r="B1522">
        <v>4</v>
      </c>
      <c r="C1522" t="s">
        <v>2273</v>
      </c>
      <c r="D1522">
        <v>37140</v>
      </c>
      <c r="E1522" t="s">
        <v>1279</v>
      </c>
    </row>
    <row r="1523" spans="1:5" x14ac:dyDescent="0.2">
      <c r="A1523">
        <v>1286</v>
      </c>
      <c r="B1523">
        <v>150</v>
      </c>
      <c r="C1523" t="s">
        <v>342</v>
      </c>
      <c r="D1523">
        <v>36438</v>
      </c>
      <c r="E1523" t="s">
        <v>1364</v>
      </c>
    </row>
    <row r="1524" spans="1:5" x14ac:dyDescent="0.2">
      <c r="A1524">
        <v>1811</v>
      </c>
      <c r="B1524">
        <v>71</v>
      </c>
      <c r="C1524" t="s">
        <v>2274</v>
      </c>
      <c r="D1524">
        <v>36890</v>
      </c>
      <c r="E1524" t="s">
        <v>120</v>
      </c>
    </row>
    <row r="1525" spans="1:5" x14ac:dyDescent="0.2">
      <c r="A1525">
        <v>1854</v>
      </c>
      <c r="B1525">
        <v>65</v>
      </c>
      <c r="C1525" t="s">
        <v>343</v>
      </c>
      <c r="D1525">
        <v>36543</v>
      </c>
      <c r="E1525" t="s">
        <v>165</v>
      </c>
    </row>
    <row r="1526" spans="1:5" x14ac:dyDescent="0.2">
      <c r="A1526">
        <v>2010</v>
      </c>
      <c r="B1526">
        <v>51</v>
      </c>
      <c r="C1526" t="s">
        <v>594</v>
      </c>
      <c r="D1526">
        <v>37303</v>
      </c>
      <c r="E1526" t="s">
        <v>165</v>
      </c>
    </row>
    <row r="1527" spans="1:5" x14ac:dyDescent="0.2">
      <c r="A1527">
        <v>2913</v>
      </c>
      <c r="B1527">
        <v>7</v>
      </c>
      <c r="C1527" t="s">
        <v>2275</v>
      </c>
      <c r="D1527">
        <v>37161</v>
      </c>
      <c r="E1527" t="s">
        <v>120</v>
      </c>
    </row>
    <row r="1528" spans="1:5" x14ac:dyDescent="0.2">
      <c r="A1528">
        <v>2437</v>
      </c>
      <c r="B1528">
        <v>28</v>
      </c>
      <c r="C1528" t="s">
        <v>595</v>
      </c>
      <c r="D1528">
        <v>36619</v>
      </c>
      <c r="E1528" t="s">
        <v>73</v>
      </c>
    </row>
    <row r="1529" spans="1:5" x14ac:dyDescent="0.2">
      <c r="A1529">
        <v>1362</v>
      </c>
      <c r="B1529">
        <v>138</v>
      </c>
      <c r="C1529" t="s">
        <v>2276</v>
      </c>
      <c r="D1529">
        <v>36524</v>
      </c>
      <c r="E1529" t="s">
        <v>1939</v>
      </c>
    </row>
    <row r="1530" spans="1:5" x14ac:dyDescent="0.2">
      <c r="A1530">
        <v>3524</v>
      </c>
      <c r="B1530">
        <v>0</v>
      </c>
      <c r="C1530" t="s">
        <v>2277</v>
      </c>
      <c r="D1530">
        <v>36830</v>
      </c>
      <c r="E1530" t="s">
        <v>139</v>
      </c>
    </row>
    <row r="1531" spans="1:5" x14ac:dyDescent="0.2">
      <c r="A1531">
        <v>2059</v>
      </c>
      <c r="B1531">
        <v>48</v>
      </c>
      <c r="C1531" t="s">
        <v>747</v>
      </c>
      <c r="D1531">
        <v>37123</v>
      </c>
      <c r="E1531" t="s">
        <v>1156</v>
      </c>
    </row>
    <row r="1532" spans="1:5" x14ac:dyDescent="0.2">
      <c r="A1532">
        <v>2616</v>
      </c>
      <c r="B1532">
        <v>19</v>
      </c>
      <c r="C1532" t="s">
        <v>344</v>
      </c>
      <c r="D1532">
        <v>36650</v>
      </c>
      <c r="E1532" t="s">
        <v>105</v>
      </c>
    </row>
    <row r="1533" spans="1:5" x14ac:dyDescent="0.2">
      <c r="A1533">
        <v>3038</v>
      </c>
      <c r="B1533">
        <v>4</v>
      </c>
      <c r="C1533" t="s">
        <v>2278</v>
      </c>
      <c r="D1533">
        <v>37617</v>
      </c>
      <c r="E1533" t="s">
        <v>109</v>
      </c>
    </row>
    <row r="1534" spans="1:5" x14ac:dyDescent="0.2">
      <c r="A1534">
        <v>3268</v>
      </c>
      <c r="B1534">
        <v>0</v>
      </c>
      <c r="C1534" t="s">
        <v>2279</v>
      </c>
      <c r="D1534">
        <v>37663</v>
      </c>
      <c r="E1534" t="s">
        <v>1238</v>
      </c>
    </row>
    <row r="1535" spans="1:5" x14ac:dyDescent="0.2">
      <c r="A1535">
        <v>1790</v>
      </c>
      <c r="B1535">
        <v>73</v>
      </c>
      <c r="C1535" t="s">
        <v>412</v>
      </c>
      <c r="D1535">
        <v>36526</v>
      </c>
      <c r="E1535" t="s">
        <v>133</v>
      </c>
    </row>
    <row r="1536" spans="1:5" x14ac:dyDescent="0.2">
      <c r="A1536">
        <v>3270</v>
      </c>
      <c r="B1536">
        <v>0</v>
      </c>
      <c r="C1536" t="s">
        <v>2280</v>
      </c>
      <c r="D1536">
        <v>36748</v>
      </c>
      <c r="E1536" t="s">
        <v>127</v>
      </c>
    </row>
    <row r="1537" spans="1:5" x14ac:dyDescent="0.2">
      <c r="A1537">
        <v>3422</v>
      </c>
      <c r="B1537">
        <v>0</v>
      </c>
      <c r="C1537" t="s">
        <v>2281</v>
      </c>
      <c r="D1537">
        <v>36505</v>
      </c>
      <c r="E1537" t="s">
        <v>1182</v>
      </c>
    </row>
    <row r="1538" spans="1:5" x14ac:dyDescent="0.2">
      <c r="A1538">
        <v>3529</v>
      </c>
      <c r="B1538">
        <v>0</v>
      </c>
      <c r="C1538" t="s">
        <v>2282</v>
      </c>
      <c r="D1538">
        <v>36872</v>
      </c>
      <c r="E1538" t="s">
        <v>105</v>
      </c>
    </row>
    <row r="1539" spans="1:5" x14ac:dyDescent="0.2">
      <c r="A1539">
        <v>3510</v>
      </c>
      <c r="B1539">
        <v>0</v>
      </c>
      <c r="C1539" t="s">
        <v>2283</v>
      </c>
      <c r="D1539">
        <v>36654</v>
      </c>
      <c r="E1539" t="s">
        <v>105</v>
      </c>
    </row>
    <row r="1540" spans="1:5" x14ac:dyDescent="0.2">
      <c r="A1540">
        <v>1741</v>
      </c>
      <c r="B1540">
        <v>77</v>
      </c>
      <c r="C1540" t="s">
        <v>596</v>
      </c>
      <c r="D1540">
        <v>36243</v>
      </c>
      <c r="E1540" t="s">
        <v>72</v>
      </c>
    </row>
    <row r="1541" spans="1:5" x14ac:dyDescent="0.2">
      <c r="A1541">
        <v>2718</v>
      </c>
      <c r="B1541">
        <v>14</v>
      </c>
      <c r="C1541" t="s">
        <v>2284</v>
      </c>
      <c r="D1541">
        <v>36451</v>
      </c>
      <c r="E1541" t="s">
        <v>74</v>
      </c>
    </row>
    <row r="1542" spans="1:5" x14ac:dyDescent="0.2">
      <c r="A1542">
        <v>2648</v>
      </c>
      <c r="B1542">
        <v>18</v>
      </c>
      <c r="C1542" t="s">
        <v>345</v>
      </c>
      <c r="D1542">
        <v>37117</v>
      </c>
      <c r="E1542" t="s">
        <v>213</v>
      </c>
    </row>
    <row r="1543" spans="1:5" x14ac:dyDescent="0.2">
      <c r="A1543">
        <v>1449</v>
      </c>
      <c r="B1543">
        <v>122</v>
      </c>
      <c r="C1543" t="s">
        <v>870</v>
      </c>
      <c r="D1543">
        <v>37100</v>
      </c>
      <c r="E1543" t="s">
        <v>147</v>
      </c>
    </row>
    <row r="1544" spans="1:5" x14ac:dyDescent="0.2">
      <c r="A1544">
        <v>2243</v>
      </c>
      <c r="B1544">
        <v>38</v>
      </c>
      <c r="C1544" t="s">
        <v>2285</v>
      </c>
      <c r="D1544">
        <v>36630</v>
      </c>
      <c r="E1544" t="s">
        <v>105</v>
      </c>
    </row>
    <row r="1545" spans="1:5" x14ac:dyDescent="0.2">
      <c r="A1545">
        <v>3605</v>
      </c>
      <c r="B1545">
        <v>0</v>
      </c>
      <c r="C1545" t="s">
        <v>2286</v>
      </c>
      <c r="D1545">
        <v>37159</v>
      </c>
      <c r="E1545" t="s">
        <v>1182</v>
      </c>
    </row>
    <row r="1546" spans="1:5" x14ac:dyDescent="0.2">
      <c r="A1546">
        <v>3178</v>
      </c>
      <c r="B1546">
        <v>1</v>
      </c>
      <c r="C1546" t="s">
        <v>2287</v>
      </c>
      <c r="D1546">
        <v>36330</v>
      </c>
      <c r="E1546" t="s">
        <v>105</v>
      </c>
    </row>
    <row r="1547" spans="1:5" x14ac:dyDescent="0.2">
      <c r="A1547">
        <v>2407</v>
      </c>
      <c r="B1547">
        <v>30</v>
      </c>
      <c r="C1547" t="s">
        <v>2288</v>
      </c>
      <c r="D1547">
        <v>36301</v>
      </c>
      <c r="E1547" t="s">
        <v>208</v>
      </c>
    </row>
    <row r="1548" spans="1:5" x14ac:dyDescent="0.2">
      <c r="A1548">
        <v>2117</v>
      </c>
      <c r="B1548">
        <v>45</v>
      </c>
      <c r="C1548" t="s">
        <v>413</v>
      </c>
      <c r="D1548">
        <v>36885</v>
      </c>
      <c r="E1548" t="s">
        <v>105</v>
      </c>
    </row>
    <row r="1549" spans="1:5" x14ac:dyDescent="0.2">
      <c r="A1549">
        <v>1006</v>
      </c>
      <c r="B1549">
        <v>220</v>
      </c>
      <c r="C1549" t="s">
        <v>346</v>
      </c>
      <c r="D1549">
        <v>36225</v>
      </c>
      <c r="E1549" t="s">
        <v>1171</v>
      </c>
    </row>
    <row r="1550" spans="1:5" x14ac:dyDescent="0.2">
      <c r="A1550">
        <v>2971</v>
      </c>
      <c r="B1550">
        <v>5</v>
      </c>
      <c r="C1550" t="s">
        <v>2289</v>
      </c>
      <c r="D1550">
        <v>36455</v>
      </c>
      <c r="E1550" t="s">
        <v>110</v>
      </c>
    </row>
    <row r="1551" spans="1:5" x14ac:dyDescent="0.2">
      <c r="A1551">
        <v>3259</v>
      </c>
      <c r="B1551">
        <v>0</v>
      </c>
      <c r="C1551" t="s">
        <v>2290</v>
      </c>
      <c r="D1551">
        <v>36695</v>
      </c>
      <c r="E1551" t="s">
        <v>2291</v>
      </c>
    </row>
    <row r="1552" spans="1:5" x14ac:dyDescent="0.2">
      <c r="A1552">
        <v>3273</v>
      </c>
      <c r="B1552">
        <v>0</v>
      </c>
      <c r="C1552" t="s">
        <v>2292</v>
      </c>
      <c r="D1552">
        <v>36695</v>
      </c>
      <c r="E1552" t="s">
        <v>2291</v>
      </c>
    </row>
    <row r="1553" spans="1:5" x14ac:dyDescent="0.2">
      <c r="A1553">
        <v>1014</v>
      </c>
      <c r="B1553">
        <v>216</v>
      </c>
      <c r="C1553" t="s">
        <v>347</v>
      </c>
      <c r="D1553">
        <v>36923</v>
      </c>
      <c r="E1553" t="s">
        <v>105</v>
      </c>
    </row>
    <row r="1554" spans="1:5" x14ac:dyDescent="0.2">
      <c r="A1554">
        <v>1153</v>
      </c>
      <c r="B1554">
        <v>178</v>
      </c>
      <c r="C1554" t="s">
        <v>597</v>
      </c>
      <c r="D1554">
        <v>36683</v>
      </c>
      <c r="E1554" t="s">
        <v>1162</v>
      </c>
    </row>
    <row r="1555" spans="1:5" x14ac:dyDescent="0.2">
      <c r="A1555">
        <v>1555</v>
      </c>
      <c r="B1555">
        <v>102</v>
      </c>
      <c r="C1555" t="s">
        <v>2293</v>
      </c>
      <c r="D1555">
        <v>36290</v>
      </c>
      <c r="E1555" t="s">
        <v>1612</v>
      </c>
    </row>
    <row r="1556" spans="1:5" x14ac:dyDescent="0.2">
      <c r="A1556">
        <v>2207</v>
      </c>
      <c r="B1556">
        <v>40</v>
      </c>
      <c r="C1556" t="s">
        <v>2294</v>
      </c>
      <c r="D1556">
        <v>37109</v>
      </c>
      <c r="E1556" t="s">
        <v>137</v>
      </c>
    </row>
    <row r="1557" spans="1:5" x14ac:dyDescent="0.2">
      <c r="A1557">
        <v>2972</v>
      </c>
      <c r="B1557">
        <v>5</v>
      </c>
      <c r="C1557" t="s">
        <v>2295</v>
      </c>
      <c r="D1557">
        <v>37105</v>
      </c>
      <c r="E1557" t="s">
        <v>118</v>
      </c>
    </row>
    <row r="1558" spans="1:5" x14ac:dyDescent="0.2">
      <c r="A1558">
        <v>2912</v>
      </c>
      <c r="B1558">
        <v>7</v>
      </c>
      <c r="C1558" t="s">
        <v>2296</v>
      </c>
      <c r="D1558">
        <v>36686</v>
      </c>
      <c r="E1558" t="s">
        <v>105</v>
      </c>
    </row>
    <row r="1559" spans="1:5" x14ac:dyDescent="0.2">
      <c r="A1559">
        <v>3229</v>
      </c>
      <c r="B1559">
        <v>0</v>
      </c>
      <c r="C1559" t="s">
        <v>2297</v>
      </c>
      <c r="D1559">
        <v>36194</v>
      </c>
      <c r="E1559" t="s">
        <v>1696</v>
      </c>
    </row>
    <row r="1560" spans="1:5" x14ac:dyDescent="0.2">
      <c r="A1560">
        <v>2600</v>
      </c>
      <c r="B1560">
        <v>20</v>
      </c>
      <c r="C1560" t="s">
        <v>2298</v>
      </c>
      <c r="D1560">
        <v>36439</v>
      </c>
      <c r="E1560" t="s">
        <v>1379</v>
      </c>
    </row>
    <row r="1561" spans="1:5" x14ac:dyDescent="0.2">
      <c r="A1561">
        <v>2791</v>
      </c>
      <c r="B1561">
        <v>12</v>
      </c>
      <c r="C1561" t="s">
        <v>2299</v>
      </c>
      <c r="D1561">
        <v>37152</v>
      </c>
      <c r="E1561" t="s">
        <v>2111</v>
      </c>
    </row>
    <row r="1562" spans="1:5" x14ac:dyDescent="0.2">
      <c r="A1562">
        <v>1108</v>
      </c>
      <c r="B1562">
        <v>188</v>
      </c>
      <c r="C1562" t="s">
        <v>348</v>
      </c>
      <c r="D1562">
        <v>36190</v>
      </c>
      <c r="E1562" t="s">
        <v>1214</v>
      </c>
    </row>
    <row r="1563" spans="1:5" x14ac:dyDescent="0.2">
      <c r="A1563">
        <v>2079</v>
      </c>
      <c r="B1563">
        <v>47</v>
      </c>
      <c r="C1563" t="s">
        <v>871</v>
      </c>
      <c r="D1563">
        <v>37517</v>
      </c>
      <c r="E1563" t="s">
        <v>105</v>
      </c>
    </row>
    <row r="1564" spans="1:5" x14ac:dyDescent="0.2">
      <c r="A1564">
        <v>2659</v>
      </c>
      <c r="B1564">
        <v>17</v>
      </c>
      <c r="C1564" t="s">
        <v>2300</v>
      </c>
      <c r="D1564">
        <v>37390</v>
      </c>
      <c r="E1564" t="s">
        <v>99</v>
      </c>
    </row>
    <row r="1565" spans="1:5" x14ac:dyDescent="0.2">
      <c r="A1565">
        <v>2666</v>
      </c>
      <c r="B1565">
        <v>17</v>
      </c>
      <c r="C1565" t="s">
        <v>2301</v>
      </c>
      <c r="D1565">
        <v>37544</v>
      </c>
      <c r="E1565" t="s">
        <v>105</v>
      </c>
    </row>
    <row r="1566" spans="1:5" x14ac:dyDescent="0.2">
      <c r="A1566">
        <v>2276</v>
      </c>
      <c r="B1566">
        <v>37</v>
      </c>
      <c r="C1566" t="s">
        <v>2302</v>
      </c>
      <c r="D1566">
        <v>36170</v>
      </c>
      <c r="E1566" t="s">
        <v>1214</v>
      </c>
    </row>
    <row r="1567" spans="1:5" x14ac:dyDescent="0.2">
      <c r="A1567">
        <v>1716</v>
      </c>
      <c r="B1567">
        <v>82</v>
      </c>
      <c r="C1567" t="s">
        <v>2303</v>
      </c>
      <c r="D1567">
        <v>36585</v>
      </c>
      <c r="E1567" t="s">
        <v>1162</v>
      </c>
    </row>
    <row r="1568" spans="1:5" x14ac:dyDescent="0.2">
      <c r="A1568">
        <v>3193</v>
      </c>
      <c r="B1568">
        <v>0</v>
      </c>
      <c r="C1568" t="s">
        <v>349</v>
      </c>
      <c r="D1568">
        <v>36801</v>
      </c>
      <c r="E1568" t="s">
        <v>105</v>
      </c>
    </row>
    <row r="1569" spans="1:5" x14ac:dyDescent="0.2">
      <c r="A1569">
        <v>3184</v>
      </c>
      <c r="B1569">
        <v>1</v>
      </c>
      <c r="C1569" t="s">
        <v>2304</v>
      </c>
      <c r="D1569">
        <v>36874</v>
      </c>
      <c r="E1569" t="s">
        <v>154</v>
      </c>
    </row>
    <row r="1570" spans="1:5" x14ac:dyDescent="0.2">
      <c r="A1570">
        <v>3023</v>
      </c>
      <c r="B1570">
        <v>4</v>
      </c>
      <c r="C1570" t="s">
        <v>2305</v>
      </c>
      <c r="D1570">
        <v>37653</v>
      </c>
      <c r="E1570" t="s">
        <v>99</v>
      </c>
    </row>
    <row r="1571" spans="1:5" x14ac:dyDescent="0.2">
      <c r="A1571">
        <v>3183</v>
      </c>
      <c r="B1571">
        <v>1</v>
      </c>
      <c r="C1571" t="s">
        <v>2306</v>
      </c>
      <c r="D1571">
        <v>37585</v>
      </c>
      <c r="E1571" t="s">
        <v>113</v>
      </c>
    </row>
    <row r="1572" spans="1:5" x14ac:dyDescent="0.2">
      <c r="A1572">
        <v>2559</v>
      </c>
      <c r="B1572">
        <v>22</v>
      </c>
      <c r="C1572" t="s">
        <v>350</v>
      </c>
      <c r="D1572">
        <v>36634</v>
      </c>
      <c r="E1572" t="s">
        <v>105</v>
      </c>
    </row>
    <row r="1573" spans="1:5" x14ac:dyDescent="0.2">
      <c r="A1573">
        <v>3286</v>
      </c>
      <c r="B1573">
        <v>0</v>
      </c>
      <c r="C1573" t="s">
        <v>2307</v>
      </c>
      <c r="D1573">
        <v>36910</v>
      </c>
      <c r="E1573" t="s">
        <v>1307</v>
      </c>
    </row>
    <row r="1574" spans="1:5" x14ac:dyDescent="0.2">
      <c r="A1574">
        <v>2140</v>
      </c>
      <c r="B1574">
        <v>44</v>
      </c>
      <c r="C1574" t="s">
        <v>351</v>
      </c>
      <c r="D1574">
        <v>36557</v>
      </c>
      <c r="E1574" t="s">
        <v>165</v>
      </c>
    </row>
    <row r="1575" spans="1:5" x14ac:dyDescent="0.2">
      <c r="A1575">
        <v>3067</v>
      </c>
      <c r="B1575">
        <v>3</v>
      </c>
      <c r="C1575" t="s">
        <v>2308</v>
      </c>
      <c r="D1575">
        <v>37239</v>
      </c>
      <c r="E1575" t="s">
        <v>1285</v>
      </c>
    </row>
    <row r="1576" spans="1:5" x14ac:dyDescent="0.2">
      <c r="A1576">
        <v>1679</v>
      </c>
      <c r="B1576">
        <v>86</v>
      </c>
      <c r="C1576" t="s">
        <v>2309</v>
      </c>
      <c r="D1576">
        <v>37168</v>
      </c>
      <c r="E1576" t="s">
        <v>74</v>
      </c>
    </row>
    <row r="1577" spans="1:5" x14ac:dyDescent="0.2">
      <c r="A1577">
        <v>2621</v>
      </c>
      <c r="B1577">
        <v>19</v>
      </c>
      <c r="C1577" t="s">
        <v>2310</v>
      </c>
      <c r="D1577">
        <v>36947</v>
      </c>
      <c r="E1577" t="s">
        <v>120</v>
      </c>
    </row>
    <row r="1578" spans="1:5" x14ac:dyDescent="0.2">
      <c r="A1578">
        <v>2759</v>
      </c>
      <c r="B1578">
        <v>13</v>
      </c>
      <c r="C1578" t="s">
        <v>2311</v>
      </c>
      <c r="D1578">
        <v>37527</v>
      </c>
      <c r="E1578" t="s">
        <v>120</v>
      </c>
    </row>
    <row r="1579" spans="1:5" x14ac:dyDescent="0.2">
      <c r="A1579">
        <v>3533</v>
      </c>
      <c r="B1579">
        <v>0</v>
      </c>
      <c r="C1579" t="s">
        <v>2312</v>
      </c>
      <c r="D1579">
        <v>37236</v>
      </c>
      <c r="E1579" t="s">
        <v>105</v>
      </c>
    </row>
    <row r="1580" spans="1:5" x14ac:dyDescent="0.2">
      <c r="A1580">
        <v>3084</v>
      </c>
      <c r="B1580">
        <v>3</v>
      </c>
      <c r="C1580" t="s">
        <v>2313</v>
      </c>
      <c r="D1580">
        <v>36900</v>
      </c>
      <c r="E1580" t="s">
        <v>120</v>
      </c>
    </row>
    <row r="1581" spans="1:5" x14ac:dyDescent="0.2">
      <c r="A1581">
        <v>2364</v>
      </c>
      <c r="B1581">
        <v>32</v>
      </c>
      <c r="C1581" t="s">
        <v>2314</v>
      </c>
      <c r="D1581">
        <v>37274</v>
      </c>
      <c r="E1581" t="s">
        <v>1162</v>
      </c>
    </row>
    <row r="1582" spans="1:5" x14ac:dyDescent="0.2">
      <c r="A1582">
        <v>1136</v>
      </c>
      <c r="B1582">
        <v>182</v>
      </c>
      <c r="C1582" t="s">
        <v>414</v>
      </c>
      <c r="D1582">
        <v>36570</v>
      </c>
      <c r="E1582" t="s">
        <v>1279</v>
      </c>
    </row>
    <row r="1583" spans="1:5" x14ac:dyDescent="0.2">
      <c r="A1583">
        <v>3097</v>
      </c>
      <c r="B1583">
        <v>2</v>
      </c>
      <c r="C1583" t="s">
        <v>2315</v>
      </c>
      <c r="D1583">
        <v>37617</v>
      </c>
      <c r="E1583" t="s">
        <v>99</v>
      </c>
    </row>
    <row r="1584" spans="1:5" x14ac:dyDescent="0.2">
      <c r="A1584">
        <v>3456</v>
      </c>
      <c r="B1584">
        <v>0</v>
      </c>
      <c r="C1584" t="s">
        <v>2316</v>
      </c>
      <c r="D1584">
        <v>36820</v>
      </c>
      <c r="E1584" t="s">
        <v>290</v>
      </c>
    </row>
    <row r="1585" spans="1:5" x14ac:dyDescent="0.2">
      <c r="A1585">
        <v>3384</v>
      </c>
      <c r="B1585">
        <v>0</v>
      </c>
      <c r="C1585" t="s">
        <v>2317</v>
      </c>
      <c r="D1585">
        <v>36892</v>
      </c>
      <c r="E1585" t="s">
        <v>1578</v>
      </c>
    </row>
    <row r="1586" spans="1:5" x14ac:dyDescent="0.2">
      <c r="A1586">
        <v>1824</v>
      </c>
      <c r="B1586">
        <v>70</v>
      </c>
      <c r="C1586" t="s">
        <v>872</v>
      </c>
      <c r="D1586">
        <v>36215</v>
      </c>
      <c r="E1586" t="s">
        <v>109</v>
      </c>
    </row>
    <row r="1587" spans="1:5" x14ac:dyDescent="0.2">
      <c r="A1587">
        <v>3054</v>
      </c>
      <c r="B1587">
        <v>4</v>
      </c>
      <c r="C1587" t="s">
        <v>2318</v>
      </c>
      <c r="D1587">
        <v>37185</v>
      </c>
      <c r="E1587" t="s">
        <v>105</v>
      </c>
    </row>
    <row r="1588" spans="1:5" x14ac:dyDescent="0.2">
      <c r="A1588">
        <v>2186</v>
      </c>
      <c r="B1588">
        <v>42</v>
      </c>
      <c r="C1588" t="s">
        <v>598</v>
      </c>
      <c r="D1588">
        <v>36526</v>
      </c>
      <c r="E1588" t="s">
        <v>1192</v>
      </c>
    </row>
    <row r="1589" spans="1:5" x14ac:dyDescent="0.2">
      <c r="A1589">
        <v>3092</v>
      </c>
      <c r="B1589">
        <v>3</v>
      </c>
      <c r="C1589" t="s">
        <v>2319</v>
      </c>
      <c r="D1589">
        <v>36638</v>
      </c>
      <c r="E1589" t="s">
        <v>165</v>
      </c>
    </row>
    <row r="1590" spans="1:5" x14ac:dyDescent="0.2">
      <c r="A1590">
        <v>2883</v>
      </c>
      <c r="B1590">
        <v>8</v>
      </c>
      <c r="C1590" t="s">
        <v>2320</v>
      </c>
      <c r="D1590">
        <v>36225</v>
      </c>
      <c r="E1590" t="s">
        <v>127</v>
      </c>
    </row>
    <row r="1591" spans="1:5" x14ac:dyDescent="0.2">
      <c r="A1591">
        <v>2962</v>
      </c>
      <c r="B1591">
        <v>5</v>
      </c>
      <c r="C1591" t="s">
        <v>748</v>
      </c>
      <c r="D1591">
        <v>37019</v>
      </c>
      <c r="E1591" t="s">
        <v>99</v>
      </c>
    </row>
    <row r="1592" spans="1:5" x14ac:dyDescent="0.2">
      <c r="A1592">
        <v>1723</v>
      </c>
      <c r="B1592">
        <v>81</v>
      </c>
      <c r="C1592" t="s">
        <v>352</v>
      </c>
      <c r="D1592">
        <v>36516</v>
      </c>
      <c r="E1592" t="s">
        <v>165</v>
      </c>
    </row>
    <row r="1593" spans="1:5" x14ac:dyDescent="0.2">
      <c r="A1593">
        <v>2923</v>
      </c>
      <c r="B1593">
        <v>7</v>
      </c>
      <c r="C1593" t="s">
        <v>873</v>
      </c>
      <c r="D1593">
        <v>36612</v>
      </c>
      <c r="E1593" t="s">
        <v>163</v>
      </c>
    </row>
    <row r="1594" spans="1:5" x14ac:dyDescent="0.2">
      <c r="A1594">
        <v>3373</v>
      </c>
      <c r="B1594">
        <v>0</v>
      </c>
      <c r="C1594" t="s">
        <v>2321</v>
      </c>
      <c r="D1594">
        <v>36517</v>
      </c>
      <c r="E1594" t="s">
        <v>117</v>
      </c>
    </row>
    <row r="1595" spans="1:5" x14ac:dyDescent="0.2">
      <c r="A1595">
        <v>2735</v>
      </c>
      <c r="B1595">
        <v>13</v>
      </c>
      <c r="C1595" t="s">
        <v>353</v>
      </c>
      <c r="D1595">
        <v>36831</v>
      </c>
      <c r="E1595" t="s">
        <v>163</v>
      </c>
    </row>
    <row r="1596" spans="1:5" x14ac:dyDescent="0.2">
      <c r="A1596">
        <v>2505</v>
      </c>
      <c r="B1596">
        <v>25</v>
      </c>
      <c r="C1596" t="s">
        <v>2322</v>
      </c>
      <c r="D1596">
        <v>36977</v>
      </c>
      <c r="E1596" t="s">
        <v>122</v>
      </c>
    </row>
    <row r="1597" spans="1:5" x14ac:dyDescent="0.2">
      <c r="A1597">
        <v>2891</v>
      </c>
      <c r="B1597">
        <v>8</v>
      </c>
      <c r="C1597" t="s">
        <v>2323</v>
      </c>
      <c r="D1597">
        <v>36872</v>
      </c>
      <c r="E1597" t="s">
        <v>1939</v>
      </c>
    </row>
    <row r="1598" spans="1:5" x14ac:dyDescent="0.2">
      <c r="A1598">
        <v>1990</v>
      </c>
      <c r="B1598">
        <v>53</v>
      </c>
      <c r="C1598" t="s">
        <v>2324</v>
      </c>
      <c r="D1598">
        <v>36729</v>
      </c>
      <c r="E1598" t="s">
        <v>1214</v>
      </c>
    </row>
    <row r="1599" spans="1:5" x14ac:dyDescent="0.2">
      <c r="A1599">
        <v>2977</v>
      </c>
      <c r="B1599">
        <v>5</v>
      </c>
      <c r="C1599" t="s">
        <v>2325</v>
      </c>
      <c r="D1599">
        <v>36889</v>
      </c>
      <c r="E1599" t="s">
        <v>105</v>
      </c>
    </row>
    <row r="1600" spans="1:5" x14ac:dyDescent="0.2">
      <c r="A1600">
        <v>2944</v>
      </c>
      <c r="B1600">
        <v>6</v>
      </c>
      <c r="C1600" t="s">
        <v>2326</v>
      </c>
      <c r="D1600">
        <v>36928</v>
      </c>
      <c r="E1600" t="s">
        <v>208</v>
      </c>
    </row>
    <row r="1601" spans="1:5" x14ac:dyDescent="0.2">
      <c r="A1601">
        <v>1208</v>
      </c>
      <c r="B1601">
        <v>167</v>
      </c>
      <c r="C1601" t="s">
        <v>599</v>
      </c>
      <c r="D1601">
        <v>36721</v>
      </c>
      <c r="E1601" t="s">
        <v>1162</v>
      </c>
    </row>
    <row r="1602" spans="1:5" x14ac:dyDescent="0.2">
      <c r="A1602">
        <v>2587</v>
      </c>
      <c r="B1602">
        <v>20</v>
      </c>
      <c r="C1602" t="s">
        <v>600</v>
      </c>
      <c r="D1602">
        <v>36679</v>
      </c>
      <c r="E1602" t="s">
        <v>74</v>
      </c>
    </row>
    <row r="1603" spans="1:5" x14ac:dyDescent="0.2">
      <c r="A1603">
        <v>1482</v>
      </c>
      <c r="B1603">
        <v>115</v>
      </c>
      <c r="C1603" t="s">
        <v>354</v>
      </c>
      <c r="D1603">
        <v>36463</v>
      </c>
      <c r="E1603" t="s">
        <v>165</v>
      </c>
    </row>
    <row r="1604" spans="1:5" x14ac:dyDescent="0.2">
      <c r="A1604">
        <v>1265</v>
      </c>
      <c r="B1604">
        <v>154</v>
      </c>
      <c r="C1604" t="s">
        <v>355</v>
      </c>
      <c r="D1604">
        <v>36346</v>
      </c>
      <c r="E1604" t="s">
        <v>222</v>
      </c>
    </row>
    <row r="1605" spans="1:5" x14ac:dyDescent="0.2">
      <c r="A1605">
        <v>3572</v>
      </c>
      <c r="B1605">
        <v>0</v>
      </c>
      <c r="C1605" t="s">
        <v>2327</v>
      </c>
      <c r="D1605">
        <v>37281</v>
      </c>
      <c r="E1605" t="s">
        <v>105</v>
      </c>
    </row>
    <row r="1606" spans="1:5" x14ac:dyDescent="0.2">
      <c r="A1606">
        <v>2129</v>
      </c>
      <c r="B1606">
        <v>45</v>
      </c>
      <c r="C1606" t="s">
        <v>2328</v>
      </c>
      <c r="D1606">
        <v>36847</v>
      </c>
      <c r="E1606" t="s">
        <v>105</v>
      </c>
    </row>
    <row r="1607" spans="1:5" x14ac:dyDescent="0.2">
      <c r="A1607">
        <v>3469</v>
      </c>
      <c r="B1607">
        <v>0</v>
      </c>
      <c r="C1607" t="s">
        <v>2329</v>
      </c>
      <c r="D1607">
        <v>36944</v>
      </c>
      <c r="E1607" t="s">
        <v>227</v>
      </c>
    </row>
    <row r="1608" spans="1:5" x14ac:dyDescent="0.2">
      <c r="A1608">
        <v>2045</v>
      </c>
      <c r="B1608">
        <v>49</v>
      </c>
      <c r="C1608" t="s">
        <v>2330</v>
      </c>
      <c r="D1608">
        <v>37455</v>
      </c>
      <c r="E1608" t="s">
        <v>105</v>
      </c>
    </row>
    <row r="1609" spans="1:5" x14ac:dyDescent="0.2">
      <c r="A1609">
        <v>3639</v>
      </c>
      <c r="B1609">
        <v>0</v>
      </c>
      <c r="C1609" t="s">
        <v>2331</v>
      </c>
      <c r="D1609">
        <v>37307</v>
      </c>
      <c r="E1609" t="s">
        <v>120</v>
      </c>
    </row>
    <row r="1610" spans="1:5" x14ac:dyDescent="0.2">
      <c r="A1610">
        <v>2524</v>
      </c>
      <c r="B1610">
        <v>24</v>
      </c>
      <c r="C1610" t="s">
        <v>356</v>
      </c>
      <c r="D1610">
        <v>37351</v>
      </c>
      <c r="E1610" t="s">
        <v>99</v>
      </c>
    </row>
    <row r="1611" spans="1:5" x14ac:dyDescent="0.2">
      <c r="A1611">
        <v>3300</v>
      </c>
      <c r="B1611">
        <v>0</v>
      </c>
      <c r="C1611" t="s">
        <v>2332</v>
      </c>
      <c r="D1611">
        <v>37650</v>
      </c>
      <c r="E1611" t="s">
        <v>1200</v>
      </c>
    </row>
    <row r="1612" spans="1:5" x14ac:dyDescent="0.2">
      <c r="A1612">
        <v>906</v>
      </c>
      <c r="B1612">
        <v>251</v>
      </c>
      <c r="C1612" t="s">
        <v>357</v>
      </c>
      <c r="D1612">
        <v>36298</v>
      </c>
      <c r="E1612" t="s">
        <v>120</v>
      </c>
    </row>
    <row r="1613" spans="1:5" x14ac:dyDescent="0.2">
      <c r="A1613">
        <v>1777</v>
      </c>
      <c r="B1613">
        <v>74</v>
      </c>
      <c r="C1613" t="s">
        <v>2333</v>
      </c>
      <c r="D1613">
        <v>37616</v>
      </c>
      <c r="E1613" t="s">
        <v>120</v>
      </c>
    </row>
    <row r="1614" spans="1:5" x14ac:dyDescent="0.2">
      <c r="A1614">
        <v>1724</v>
      </c>
      <c r="B1614">
        <v>81</v>
      </c>
      <c r="C1614" t="s">
        <v>749</v>
      </c>
      <c r="D1614">
        <v>36235</v>
      </c>
      <c r="E1614" t="s">
        <v>120</v>
      </c>
    </row>
    <row r="1615" spans="1:5" x14ac:dyDescent="0.2">
      <c r="A1615">
        <v>3021</v>
      </c>
      <c r="B1615">
        <v>4</v>
      </c>
      <c r="C1615" t="s">
        <v>2334</v>
      </c>
      <c r="D1615">
        <v>36956</v>
      </c>
      <c r="E1615" t="s">
        <v>115</v>
      </c>
    </row>
    <row r="1616" spans="1:5" x14ac:dyDescent="0.2">
      <c r="A1616">
        <v>3426</v>
      </c>
      <c r="B1616">
        <v>0</v>
      </c>
      <c r="C1616" t="s">
        <v>2335</v>
      </c>
      <c r="D1616">
        <v>36929</v>
      </c>
      <c r="E1616" t="s">
        <v>99</v>
      </c>
    </row>
    <row r="1617" spans="1:5" x14ac:dyDescent="0.2">
      <c r="A1617">
        <v>3492</v>
      </c>
      <c r="B1617">
        <v>0</v>
      </c>
      <c r="C1617" t="s">
        <v>2336</v>
      </c>
      <c r="D1617">
        <v>36753</v>
      </c>
      <c r="E1617" t="s">
        <v>183</v>
      </c>
    </row>
    <row r="1618" spans="1:5" x14ac:dyDescent="0.2">
      <c r="A1618">
        <v>1386</v>
      </c>
      <c r="B1618">
        <v>134</v>
      </c>
      <c r="C1618" t="s">
        <v>2337</v>
      </c>
      <c r="D1618">
        <v>36421</v>
      </c>
      <c r="E1618" t="s">
        <v>1221</v>
      </c>
    </row>
    <row r="1619" spans="1:5" x14ac:dyDescent="0.2">
      <c r="A1619">
        <v>3595</v>
      </c>
      <c r="B1619">
        <v>0</v>
      </c>
      <c r="C1619" t="s">
        <v>2338</v>
      </c>
      <c r="D1619">
        <v>37371</v>
      </c>
      <c r="E1619" t="s">
        <v>1236</v>
      </c>
    </row>
    <row r="1620" spans="1:5" x14ac:dyDescent="0.2">
      <c r="A1620">
        <v>3057</v>
      </c>
      <c r="B1620">
        <v>4</v>
      </c>
      <c r="C1620" t="s">
        <v>2339</v>
      </c>
      <c r="D1620">
        <v>36334</v>
      </c>
      <c r="E1620" t="s">
        <v>1608</v>
      </c>
    </row>
    <row r="1621" spans="1:5" x14ac:dyDescent="0.2">
      <c r="A1621">
        <v>1454</v>
      </c>
      <c r="B1621">
        <v>120</v>
      </c>
      <c r="C1621" t="s">
        <v>601</v>
      </c>
      <c r="D1621">
        <v>36794</v>
      </c>
      <c r="E1621" t="s">
        <v>1192</v>
      </c>
    </row>
    <row r="1622" spans="1:5" x14ac:dyDescent="0.2">
      <c r="A1622">
        <v>3682</v>
      </c>
      <c r="B1622">
        <v>0</v>
      </c>
      <c r="C1622" t="s">
        <v>2340</v>
      </c>
      <c r="D1622">
        <v>36734</v>
      </c>
      <c r="E1622" t="s">
        <v>111</v>
      </c>
    </row>
    <row r="1623" spans="1:5" x14ac:dyDescent="0.2">
      <c r="A1623">
        <v>3366</v>
      </c>
      <c r="B1623">
        <v>0</v>
      </c>
      <c r="C1623" t="s">
        <v>2341</v>
      </c>
      <c r="D1623">
        <v>36162</v>
      </c>
      <c r="E1623" t="s">
        <v>107</v>
      </c>
    </row>
    <row r="1624" spans="1:5" x14ac:dyDescent="0.2">
      <c r="A1624">
        <v>1910</v>
      </c>
      <c r="B1624">
        <v>59</v>
      </c>
      <c r="C1624" t="s">
        <v>602</v>
      </c>
      <c r="D1624">
        <v>36219</v>
      </c>
      <c r="E1624" t="s">
        <v>379</v>
      </c>
    </row>
    <row r="1625" spans="1:5" x14ac:dyDescent="0.2">
      <c r="A1625">
        <v>2352</v>
      </c>
      <c r="B1625">
        <v>33</v>
      </c>
      <c r="C1625" t="s">
        <v>2342</v>
      </c>
      <c r="D1625">
        <v>37186</v>
      </c>
      <c r="E1625" t="s">
        <v>137</v>
      </c>
    </row>
    <row r="1626" spans="1:5" x14ac:dyDescent="0.2">
      <c r="A1626">
        <v>2653</v>
      </c>
      <c r="B1626">
        <v>18</v>
      </c>
      <c r="C1626" t="s">
        <v>2343</v>
      </c>
      <c r="D1626">
        <v>37353</v>
      </c>
      <c r="E1626" t="s">
        <v>1673</v>
      </c>
    </row>
    <row r="1627" spans="1:5" x14ac:dyDescent="0.2">
      <c r="A1627">
        <v>2926</v>
      </c>
      <c r="B1627">
        <v>7</v>
      </c>
      <c r="C1627" t="s">
        <v>2344</v>
      </c>
      <c r="D1627">
        <v>36866</v>
      </c>
      <c r="E1627" t="s">
        <v>128</v>
      </c>
    </row>
    <row r="1628" spans="1:5" x14ac:dyDescent="0.2">
      <c r="A1628">
        <v>2332</v>
      </c>
      <c r="B1628">
        <v>33</v>
      </c>
      <c r="C1628" t="s">
        <v>603</v>
      </c>
      <c r="D1628">
        <v>36500</v>
      </c>
      <c r="E1628" t="s">
        <v>2345</v>
      </c>
    </row>
    <row r="1629" spans="1:5" x14ac:dyDescent="0.2">
      <c r="A1629">
        <v>3115</v>
      </c>
      <c r="B1629">
        <v>2</v>
      </c>
      <c r="C1629" t="s">
        <v>2346</v>
      </c>
      <c r="D1629">
        <v>37210</v>
      </c>
      <c r="E1629" t="s">
        <v>165</v>
      </c>
    </row>
    <row r="1630" spans="1:5" x14ac:dyDescent="0.2">
      <c r="A1630">
        <v>2240</v>
      </c>
      <c r="B1630">
        <v>39</v>
      </c>
      <c r="C1630" t="s">
        <v>2347</v>
      </c>
      <c r="D1630">
        <v>36612</v>
      </c>
      <c r="E1630" t="s">
        <v>2263</v>
      </c>
    </row>
    <row r="1631" spans="1:5" x14ac:dyDescent="0.2">
      <c r="A1631">
        <v>2121</v>
      </c>
      <c r="B1631">
        <v>45</v>
      </c>
      <c r="C1631" t="s">
        <v>358</v>
      </c>
      <c r="D1631">
        <v>36267</v>
      </c>
      <c r="E1631" t="s">
        <v>74</v>
      </c>
    </row>
    <row r="1632" spans="1:5" x14ac:dyDescent="0.2">
      <c r="A1632">
        <v>3471</v>
      </c>
      <c r="B1632">
        <v>0</v>
      </c>
      <c r="C1632" t="s">
        <v>2348</v>
      </c>
      <c r="D1632">
        <v>36892</v>
      </c>
      <c r="E1632" t="s">
        <v>74</v>
      </c>
    </row>
    <row r="1633" spans="1:5" x14ac:dyDescent="0.2">
      <c r="A1633">
        <v>1481</v>
      </c>
      <c r="B1633">
        <v>115</v>
      </c>
      <c r="C1633" t="s">
        <v>750</v>
      </c>
      <c r="D1633">
        <v>36829</v>
      </c>
      <c r="E1633" t="s">
        <v>114</v>
      </c>
    </row>
    <row r="1634" spans="1:5" x14ac:dyDescent="0.2">
      <c r="A1634">
        <v>3247</v>
      </c>
      <c r="B1634">
        <v>0</v>
      </c>
      <c r="C1634" t="s">
        <v>2349</v>
      </c>
      <c r="D1634">
        <v>37091</v>
      </c>
      <c r="E1634" t="s">
        <v>1595</v>
      </c>
    </row>
    <row r="1635" spans="1:5" x14ac:dyDescent="0.2">
      <c r="A1635">
        <v>3655</v>
      </c>
      <c r="B1635">
        <v>0</v>
      </c>
      <c r="C1635" t="s">
        <v>2350</v>
      </c>
      <c r="D1635">
        <v>36783</v>
      </c>
      <c r="E1635" t="s">
        <v>1327</v>
      </c>
    </row>
    <row r="1636" spans="1:5" x14ac:dyDescent="0.2">
      <c r="A1636">
        <v>2478</v>
      </c>
      <c r="B1636">
        <v>26</v>
      </c>
      <c r="C1636" t="s">
        <v>2351</v>
      </c>
      <c r="D1636">
        <v>36187</v>
      </c>
      <c r="E1636" t="s">
        <v>113</v>
      </c>
    </row>
    <row r="1637" spans="1:5" x14ac:dyDescent="0.2">
      <c r="A1637">
        <v>3254</v>
      </c>
      <c r="B1637">
        <v>0</v>
      </c>
      <c r="C1637" t="s">
        <v>2352</v>
      </c>
      <c r="D1637">
        <v>36970</v>
      </c>
      <c r="E1637" t="s">
        <v>1292</v>
      </c>
    </row>
    <row r="1638" spans="1:5" x14ac:dyDescent="0.2">
      <c r="A1638">
        <v>2179</v>
      </c>
      <c r="B1638">
        <v>42</v>
      </c>
      <c r="C1638" t="s">
        <v>751</v>
      </c>
      <c r="D1638">
        <v>36689</v>
      </c>
      <c r="E1638" t="s">
        <v>74</v>
      </c>
    </row>
    <row r="1639" spans="1:5" x14ac:dyDescent="0.2">
      <c r="A1639">
        <v>2376</v>
      </c>
      <c r="B1639">
        <v>31</v>
      </c>
      <c r="C1639" t="s">
        <v>752</v>
      </c>
      <c r="D1639">
        <v>36596</v>
      </c>
      <c r="E1639" t="s">
        <v>1156</v>
      </c>
    </row>
    <row r="1640" spans="1:5" x14ac:dyDescent="0.2">
      <c r="A1640">
        <v>1726</v>
      </c>
      <c r="B1640">
        <v>81</v>
      </c>
      <c r="C1640" t="s">
        <v>874</v>
      </c>
      <c r="D1640">
        <v>36411</v>
      </c>
      <c r="E1640" t="s">
        <v>1844</v>
      </c>
    </row>
    <row r="1641" spans="1:5" x14ac:dyDescent="0.2">
      <c r="A1641">
        <v>2405</v>
      </c>
      <c r="B1641">
        <v>30</v>
      </c>
      <c r="C1641" t="s">
        <v>2353</v>
      </c>
      <c r="D1641">
        <v>36938</v>
      </c>
      <c r="E1641" t="s">
        <v>118</v>
      </c>
    </row>
    <row r="1642" spans="1:5" x14ac:dyDescent="0.2">
      <c r="A1642">
        <v>2026</v>
      </c>
      <c r="B1642">
        <v>50</v>
      </c>
      <c r="C1642" t="s">
        <v>604</v>
      </c>
      <c r="D1642">
        <v>36918</v>
      </c>
      <c r="E1642" t="s">
        <v>105</v>
      </c>
    </row>
    <row r="1643" spans="1:5" x14ac:dyDescent="0.2">
      <c r="A1643">
        <v>2184</v>
      </c>
      <c r="B1643">
        <v>42</v>
      </c>
      <c r="C1643" t="s">
        <v>605</v>
      </c>
      <c r="D1643">
        <v>37117</v>
      </c>
      <c r="E1643" t="s">
        <v>137</v>
      </c>
    </row>
    <row r="1644" spans="1:5" x14ac:dyDescent="0.2">
      <c r="A1644">
        <v>3478</v>
      </c>
      <c r="B1644">
        <v>0</v>
      </c>
      <c r="C1644" t="s">
        <v>2354</v>
      </c>
      <c r="D1644">
        <v>37339</v>
      </c>
      <c r="E1644" t="s">
        <v>1256</v>
      </c>
    </row>
    <row r="1645" spans="1:5" x14ac:dyDescent="0.2">
      <c r="A1645">
        <v>1346</v>
      </c>
      <c r="B1645">
        <v>141</v>
      </c>
      <c r="C1645" t="s">
        <v>2355</v>
      </c>
      <c r="D1645">
        <v>36194</v>
      </c>
      <c r="E1645" t="s">
        <v>2356</v>
      </c>
    </row>
    <row r="1646" spans="1:5" x14ac:dyDescent="0.2">
      <c r="A1646">
        <v>3196</v>
      </c>
      <c r="B1646">
        <v>0</v>
      </c>
      <c r="C1646" t="s">
        <v>415</v>
      </c>
      <c r="D1646">
        <v>37146</v>
      </c>
      <c r="E1646" t="s">
        <v>1236</v>
      </c>
    </row>
    <row r="1647" spans="1:5" x14ac:dyDescent="0.2">
      <c r="A1647">
        <v>2027</v>
      </c>
      <c r="B1647">
        <v>50</v>
      </c>
      <c r="C1647" t="s">
        <v>606</v>
      </c>
      <c r="D1647">
        <v>36622</v>
      </c>
      <c r="E1647" t="s">
        <v>105</v>
      </c>
    </row>
    <row r="1648" spans="1:5" x14ac:dyDescent="0.2">
      <c r="A1648">
        <v>1431</v>
      </c>
      <c r="B1648">
        <v>127</v>
      </c>
      <c r="C1648" t="s">
        <v>875</v>
      </c>
      <c r="D1648">
        <v>36579</v>
      </c>
      <c r="E1648" t="s">
        <v>105</v>
      </c>
    </row>
    <row r="1649" spans="1:5" x14ac:dyDescent="0.2">
      <c r="A1649">
        <v>3651</v>
      </c>
      <c r="B1649">
        <v>0</v>
      </c>
      <c r="C1649" t="s">
        <v>2357</v>
      </c>
      <c r="D1649">
        <v>37350</v>
      </c>
      <c r="E1649" t="s">
        <v>120</v>
      </c>
    </row>
    <row r="1650" spans="1:5" x14ac:dyDescent="0.2">
      <c r="A1650">
        <v>3243</v>
      </c>
      <c r="B1650">
        <v>0</v>
      </c>
      <c r="C1650" t="s">
        <v>2358</v>
      </c>
      <c r="D1650">
        <v>36621</v>
      </c>
      <c r="E1650" t="s">
        <v>122</v>
      </c>
    </row>
    <row r="1651" spans="1:5" x14ac:dyDescent="0.2">
      <c r="A1651">
        <v>3444</v>
      </c>
      <c r="B1651">
        <v>0</v>
      </c>
      <c r="C1651" t="s">
        <v>2359</v>
      </c>
      <c r="D1651">
        <v>37817</v>
      </c>
      <c r="E1651" t="s">
        <v>105</v>
      </c>
    </row>
    <row r="1652" spans="1:5" x14ac:dyDescent="0.2">
      <c r="A1652">
        <v>2753</v>
      </c>
      <c r="B1652">
        <v>13</v>
      </c>
      <c r="C1652" t="s">
        <v>2360</v>
      </c>
      <c r="D1652">
        <v>36595</v>
      </c>
      <c r="E1652" t="s">
        <v>120</v>
      </c>
    </row>
    <row r="1653" spans="1:5" x14ac:dyDescent="0.2">
      <c r="A1653">
        <v>3474</v>
      </c>
      <c r="B1653">
        <v>0</v>
      </c>
      <c r="C1653" t="s">
        <v>2361</v>
      </c>
      <c r="D1653">
        <v>36892</v>
      </c>
      <c r="E1653" t="s">
        <v>120</v>
      </c>
    </row>
    <row r="1654" spans="1:5" x14ac:dyDescent="0.2">
      <c r="A1654">
        <v>2165</v>
      </c>
      <c r="B1654">
        <v>43</v>
      </c>
      <c r="C1654" t="s">
        <v>607</v>
      </c>
      <c r="D1654">
        <v>36570</v>
      </c>
      <c r="E1654" t="s">
        <v>72</v>
      </c>
    </row>
    <row r="1655" spans="1:5" x14ac:dyDescent="0.2">
      <c r="A1655">
        <v>1925</v>
      </c>
      <c r="B1655">
        <v>58</v>
      </c>
      <c r="C1655" t="s">
        <v>416</v>
      </c>
      <c r="D1655">
        <v>36601</v>
      </c>
      <c r="E1655" t="s">
        <v>1182</v>
      </c>
    </row>
    <row r="1656" spans="1:5" x14ac:dyDescent="0.2">
      <c r="A1656">
        <v>1623</v>
      </c>
      <c r="B1656">
        <v>93</v>
      </c>
      <c r="C1656" t="s">
        <v>359</v>
      </c>
      <c r="D1656">
        <v>36491</v>
      </c>
      <c r="E1656" t="s">
        <v>170</v>
      </c>
    </row>
    <row r="1657" spans="1:5" x14ac:dyDescent="0.2">
      <c r="A1657">
        <v>1640</v>
      </c>
      <c r="B1657">
        <v>91</v>
      </c>
      <c r="C1657" t="s">
        <v>2362</v>
      </c>
      <c r="D1657">
        <v>36901</v>
      </c>
      <c r="E1657" t="s">
        <v>75</v>
      </c>
    </row>
    <row r="1658" spans="1:5" x14ac:dyDescent="0.2">
      <c r="A1658">
        <v>2105</v>
      </c>
      <c r="B1658">
        <v>46</v>
      </c>
      <c r="C1658" t="s">
        <v>2363</v>
      </c>
      <c r="D1658">
        <v>36823</v>
      </c>
      <c r="E1658" t="s">
        <v>111</v>
      </c>
    </row>
    <row r="1659" spans="1:5" x14ac:dyDescent="0.2">
      <c r="A1659">
        <v>2713</v>
      </c>
      <c r="B1659">
        <v>14</v>
      </c>
      <c r="C1659" t="s">
        <v>2364</v>
      </c>
      <c r="D1659">
        <v>37111</v>
      </c>
      <c r="E1659" t="s">
        <v>120</v>
      </c>
    </row>
    <row r="1660" spans="1:5" x14ac:dyDescent="0.2">
      <c r="A1660">
        <v>1532</v>
      </c>
      <c r="B1660">
        <v>105</v>
      </c>
      <c r="C1660" t="s">
        <v>608</v>
      </c>
      <c r="D1660">
        <v>36557</v>
      </c>
      <c r="E1660" t="s">
        <v>141</v>
      </c>
    </row>
    <row r="1661" spans="1:5" x14ac:dyDescent="0.2">
      <c r="A1661">
        <v>2997</v>
      </c>
      <c r="B1661">
        <v>5</v>
      </c>
      <c r="C1661" t="s">
        <v>2365</v>
      </c>
      <c r="D1661">
        <v>37183</v>
      </c>
      <c r="E1661" t="s">
        <v>120</v>
      </c>
    </row>
    <row r="1662" spans="1:5" x14ac:dyDescent="0.2">
      <c r="A1662">
        <v>2900</v>
      </c>
      <c r="B1662">
        <v>8</v>
      </c>
      <c r="C1662" t="s">
        <v>2366</v>
      </c>
      <c r="D1662">
        <v>37183</v>
      </c>
      <c r="E1662" t="s">
        <v>120</v>
      </c>
    </row>
    <row r="1663" spans="1:5" x14ac:dyDescent="0.2">
      <c r="A1663">
        <v>2877</v>
      </c>
      <c r="B1663">
        <v>8</v>
      </c>
      <c r="C1663" t="s">
        <v>2367</v>
      </c>
      <c r="D1663">
        <v>36993</v>
      </c>
      <c r="E1663" t="s">
        <v>99</v>
      </c>
    </row>
    <row r="1664" spans="1:5" x14ac:dyDescent="0.2">
      <c r="A1664">
        <v>1649</v>
      </c>
      <c r="B1664">
        <v>90</v>
      </c>
      <c r="C1664" t="s">
        <v>2368</v>
      </c>
      <c r="D1664">
        <v>36907</v>
      </c>
      <c r="E1664" t="s">
        <v>1214</v>
      </c>
    </row>
    <row r="1665" spans="1:5" x14ac:dyDescent="0.2">
      <c r="A1665">
        <v>2784</v>
      </c>
      <c r="B1665">
        <v>12</v>
      </c>
      <c r="C1665" t="s">
        <v>2369</v>
      </c>
      <c r="D1665">
        <v>36526</v>
      </c>
      <c r="E1665" t="s">
        <v>165</v>
      </c>
    </row>
    <row r="1666" spans="1:5" x14ac:dyDescent="0.2">
      <c r="A1666">
        <v>1844</v>
      </c>
      <c r="B1666">
        <v>66</v>
      </c>
      <c r="C1666" t="s">
        <v>609</v>
      </c>
      <c r="D1666">
        <v>37239</v>
      </c>
      <c r="E1666" t="s">
        <v>120</v>
      </c>
    </row>
    <row r="1667" spans="1:5" x14ac:dyDescent="0.2">
      <c r="A1667">
        <v>1009</v>
      </c>
      <c r="B1667">
        <v>218</v>
      </c>
      <c r="C1667" t="s">
        <v>610</v>
      </c>
      <c r="D1667">
        <v>36607</v>
      </c>
      <c r="E1667" t="s">
        <v>1162</v>
      </c>
    </row>
    <row r="1668" spans="1:5" x14ac:dyDescent="0.2">
      <c r="A1668">
        <v>2152</v>
      </c>
      <c r="B1668">
        <v>44</v>
      </c>
      <c r="C1668" t="s">
        <v>2370</v>
      </c>
      <c r="D1668">
        <v>36639</v>
      </c>
      <c r="E1668" t="s">
        <v>105</v>
      </c>
    </row>
    <row r="1669" spans="1:5" x14ac:dyDescent="0.2">
      <c r="A1669">
        <v>3519</v>
      </c>
      <c r="B1669">
        <v>0</v>
      </c>
      <c r="C1669" t="s">
        <v>2371</v>
      </c>
      <c r="D1669">
        <v>37451</v>
      </c>
      <c r="E1669" t="s">
        <v>113</v>
      </c>
    </row>
    <row r="1670" spans="1:5" x14ac:dyDescent="0.2">
      <c r="A1670">
        <v>3500</v>
      </c>
      <c r="B1670">
        <v>0</v>
      </c>
      <c r="C1670" t="s">
        <v>2372</v>
      </c>
      <c r="D1670">
        <v>36678</v>
      </c>
      <c r="E1670" t="s">
        <v>1284</v>
      </c>
    </row>
    <row r="1671" spans="1:5" x14ac:dyDescent="0.2">
      <c r="A1671">
        <v>1200</v>
      </c>
      <c r="B1671">
        <v>168</v>
      </c>
      <c r="C1671" t="s">
        <v>360</v>
      </c>
      <c r="D1671">
        <v>36258</v>
      </c>
      <c r="E1671" t="s">
        <v>163</v>
      </c>
    </row>
    <row r="1672" spans="1:5" x14ac:dyDescent="0.2">
      <c r="A1672">
        <v>3129</v>
      </c>
      <c r="B1672">
        <v>2</v>
      </c>
      <c r="C1672" t="s">
        <v>2373</v>
      </c>
      <c r="D1672">
        <v>37103</v>
      </c>
      <c r="E1672" t="s">
        <v>1236</v>
      </c>
    </row>
    <row r="1673" spans="1:5" x14ac:dyDescent="0.2">
      <c r="A1673">
        <v>3371</v>
      </c>
      <c r="B1673">
        <v>0</v>
      </c>
      <c r="C1673" t="s">
        <v>2374</v>
      </c>
      <c r="D1673">
        <v>36432</v>
      </c>
      <c r="E1673" t="s">
        <v>1487</v>
      </c>
    </row>
    <row r="1674" spans="1:5" x14ac:dyDescent="0.2">
      <c r="A1674">
        <v>2042</v>
      </c>
      <c r="B1674">
        <v>49</v>
      </c>
      <c r="C1674" t="s">
        <v>753</v>
      </c>
      <c r="D1674">
        <v>36971</v>
      </c>
      <c r="E1674" t="s">
        <v>180</v>
      </c>
    </row>
    <row r="1675" spans="1:5" x14ac:dyDescent="0.2">
      <c r="A1675">
        <v>1812</v>
      </c>
      <c r="B1675">
        <v>71</v>
      </c>
      <c r="C1675" t="s">
        <v>2375</v>
      </c>
      <c r="D1675">
        <v>36313</v>
      </c>
      <c r="E1675" t="s">
        <v>1225</v>
      </c>
    </row>
    <row r="1676" spans="1:5" x14ac:dyDescent="0.2">
      <c r="A1676">
        <v>1913</v>
      </c>
      <c r="B1676">
        <v>59</v>
      </c>
      <c r="C1676" t="s">
        <v>876</v>
      </c>
      <c r="D1676">
        <v>37048</v>
      </c>
      <c r="E1676" t="s">
        <v>120</v>
      </c>
    </row>
    <row r="1677" spans="1:5" x14ac:dyDescent="0.2">
      <c r="A1677">
        <v>2638</v>
      </c>
      <c r="B1677">
        <v>18</v>
      </c>
      <c r="C1677" t="s">
        <v>611</v>
      </c>
      <c r="D1677">
        <v>36805</v>
      </c>
      <c r="E1677" t="s">
        <v>200</v>
      </c>
    </row>
    <row r="1678" spans="1:5" x14ac:dyDescent="0.2">
      <c r="A1678">
        <v>2881</v>
      </c>
      <c r="B1678">
        <v>8</v>
      </c>
      <c r="C1678" t="s">
        <v>361</v>
      </c>
      <c r="D1678">
        <v>36236</v>
      </c>
      <c r="E1678" t="s">
        <v>117</v>
      </c>
    </row>
    <row r="1679" spans="1:5" x14ac:dyDescent="0.2">
      <c r="A1679">
        <v>3620</v>
      </c>
      <c r="B1679">
        <v>0</v>
      </c>
      <c r="C1679" t="s">
        <v>2376</v>
      </c>
      <c r="D1679">
        <v>36202</v>
      </c>
      <c r="E1679" t="s">
        <v>120</v>
      </c>
    </row>
    <row r="1680" spans="1:5" x14ac:dyDescent="0.2">
      <c r="A1680">
        <v>1604</v>
      </c>
      <c r="B1680">
        <v>95</v>
      </c>
      <c r="C1680" t="s">
        <v>362</v>
      </c>
      <c r="D1680">
        <v>36627</v>
      </c>
      <c r="E1680" t="s">
        <v>1236</v>
      </c>
    </row>
    <row r="1681" spans="1:5" x14ac:dyDescent="0.2">
      <c r="A1681">
        <v>1509</v>
      </c>
      <c r="B1681">
        <v>111</v>
      </c>
      <c r="C1681" t="s">
        <v>877</v>
      </c>
      <c r="D1681">
        <v>36193</v>
      </c>
      <c r="E1681" t="s">
        <v>1844</v>
      </c>
    </row>
    <row r="1682" spans="1:5" x14ac:dyDescent="0.2">
      <c r="A1682">
        <v>1706</v>
      </c>
      <c r="B1682">
        <v>83</v>
      </c>
      <c r="C1682" t="s">
        <v>2377</v>
      </c>
      <c r="D1682">
        <v>36751</v>
      </c>
      <c r="E1682" t="s">
        <v>148</v>
      </c>
    </row>
    <row r="1683" spans="1:5" x14ac:dyDescent="0.2">
      <c r="A1683">
        <v>2922</v>
      </c>
      <c r="B1683">
        <v>7</v>
      </c>
      <c r="C1683" t="s">
        <v>2378</v>
      </c>
      <c r="D1683">
        <v>36633</v>
      </c>
      <c r="E1683" t="s">
        <v>2379</v>
      </c>
    </row>
    <row r="1684" spans="1:5" x14ac:dyDescent="0.2">
      <c r="A1684">
        <v>2456</v>
      </c>
      <c r="B1684">
        <v>27</v>
      </c>
      <c r="C1684" t="s">
        <v>2380</v>
      </c>
      <c r="D1684">
        <v>36344</v>
      </c>
      <c r="E1684" t="s">
        <v>1447</v>
      </c>
    </row>
    <row r="1685" spans="1:5" x14ac:dyDescent="0.2">
      <c r="A1685">
        <v>1664</v>
      </c>
      <c r="B1685">
        <v>87</v>
      </c>
      <c r="C1685" t="s">
        <v>612</v>
      </c>
      <c r="D1685">
        <v>36712</v>
      </c>
      <c r="E1685" t="s">
        <v>119</v>
      </c>
    </row>
    <row r="1686" spans="1:5" x14ac:dyDescent="0.2">
      <c r="A1686">
        <v>2078</v>
      </c>
      <c r="B1686">
        <v>47</v>
      </c>
      <c r="C1686" t="s">
        <v>2381</v>
      </c>
      <c r="D1686">
        <v>37036</v>
      </c>
      <c r="E1686" t="s">
        <v>1182</v>
      </c>
    </row>
    <row r="1687" spans="1:5" x14ac:dyDescent="0.2">
      <c r="A1687">
        <v>2598</v>
      </c>
      <c r="B1687">
        <v>20</v>
      </c>
      <c r="C1687" t="s">
        <v>2382</v>
      </c>
      <c r="D1687">
        <v>36892</v>
      </c>
      <c r="E1687" t="s">
        <v>1182</v>
      </c>
    </row>
    <row r="1688" spans="1:5" x14ac:dyDescent="0.2">
      <c r="A1688">
        <v>2820</v>
      </c>
      <c r="B1688">
        <v>10</v>
      </c>
      <c r="C1688" t="s">
        <v>2383</v>
      </c>
      <c r="D1688">
        <v>36863</v>
      </c>
      <c r="E1688" t="s">
        <v>120</v>
      </c>
    </row>
    <row r="1689" spans="1:5" x14ac:dyDescent="0.2">
      <c r="A1689">
        <v>3354</v>
      </c>
      <c r="B1689">
        <v>0</v>
      </c>
      <c r="C1689" t="s">
        <v>2384</v>
      </c>
      <c r="D1689">
        <v>36198</v>
      </c>
      <c r="E1689" t="s">
        <v>1340</v>
      </c>
    </row>
    <row r="1690" spans="1:5" x14ac:dyDescent="0.2">
      <c r="A1690">
        <v>3224</v>
      </c>
      <c r="B1690">
        <v>0</v>
      </c>
      <c r="C1690" t="s">
        <v>2385</v>
      </c>
      <c r="D1690">
        <v>37299</v>
      </c>
      <c r="E1690" t="s">
        <v>118</v>
      </c>
    </row>
    <row r="1691" spans="1:5" x14ac:dyDescent="0.2">
      <c r="A1691">
        <v>2269</v>
      </c>
      <c r="B1691">
        <v>37</v>
      </c>
      <c r="C1691" t="s">
        <v>878</v>
      </c>
      <c r="D1691">
        <v>36978</v>
      </c>
      <c r="E1691" t="s">
        <v>1156</v>
      </c>
    </row>
    <row r="1692" spans="1:5" x14ac:dyDescent="0.2">
      <c r="A1692">
        <v>2610</v>
      </c>
      <c r="B1692">
        <v>19</v>
      </c>
      <c r="C1692" t="s">
        <v>613</v>
      </c>
      <c r="D1692">
        <v>36578</v>
      </c>
      <c r="E1692" t="s">
        <v>614</v>
      </c>
    </row>
    <row r="1693" spans="1:5" x14ac:dyDescent="0.2">
      <c r="A1693">
        <v>3098</v>
      </c>
      <c r="B1693">
        <v>2</v>
      </c>
      <c r="C1693" t="s">
        <v>2386</v>
      </c>
      <c r="D1693">
        <v>37257</v>
      </c>
      <c r="E1693" t="s">
        <v>165</v>
      </c>
    </row>
    <row r="1694" spans="1:5" x14ac:dyDescent="0.2">
      <c r="A1694">
        <v>3250</v>
      </c>
      <c r="B1694">
        <v>0</v>
      </c>
      <c r="C1694" t="s">
        <v>2387</v>
      </c>
      <c r="D1694">
        <v>37246</v>
      </c>
      <c r="E1694" t="s">
        <v>170</v>
      </c>
    </row>
    <row r="1695" spans="1:5" x14ac:dyDescent="0.2">
      <c r="A1695">
        <v>3634</v>
      </c>
      <c r="B1695">
        <v>0</v>
      </c>
      <c r="C1695" t="s">
        <v>2388</v>
      </c>
      <c r="D1695">
        <v>36908</v>
      </c>
      <c r="E1695" t="s">
        <v>1214</v>
      </c>
    </row>
    <row r="1696" spans="1:5" x14ac:dyDescent="0.2">
      <c r="A1696">
        <v>1184</v>
      </c>
      <c r="B1696">
        <v>170</v>
      </c>
      <c r="C1696" t="s">
        <v>363</v>
      </c>
      <c r="D1696">
        <v>36810</v>
      </c>
      <c r="E1696" t="s">
        <v>1171</v>
      </c>
    </row>
    <row r="1697" spans="1:5" x14ac:dyDescent="0.2">
      <c r="A1697">
        <v>2726</v>
      </c>
      <c r="B1697">
        <v>14</v>
      </c>
      <c r="C1697" t="s">
        <v>2389</v>
      </c>
      <c r="D1697">
        <v>36923</v>
      </c>
      <c r="E1697" t="s">
        <v>103</v>
      </c>
    </row>
    <row r="1698" spans="1:5" x14ac:dyDescent="0.2">
      <c r="A1698">
        <v>2678</v>
      </c>
      <c r="B1698">
        <v>16</v>
      </c>
      <c r="C1698" t="s">
        <v>2390</v>
      </c>
      <c r="D1698">
        <v>36956</v>
      </c>
      <c r="E1698" t="s">
        <v>120</v>
      </c>
    </row>
    <row r="1699" spans="1:5" x14ac:dyDescent="0.2">
      <c r="A1699">
        <v>1579</v>
      </c>
      <c r="B1699">
        <v>99</v>
      </c>
      <c r="C1699" t="s">
        <v>417</v>
      </c>
      <c r="D1699">
        <v>37064</v>
      </c>
      <c r="E1699" t="s">
        <v>133</v>
      </c>
    </row>
    <row r="1700" spans="1:5" x14ac:dyDescent="0.2">
      <c r="A1700">
        <v>2472</v>
      </c>
      <c r="B1700">
        <v>26</v>
      </c>
      <c r="C1700" t="s">
        <v>615</v>
      </c>
      <c r="D1700">
        <v>36634</v>
      </c>
      <c r="E1700" t="s">
        <v>1214</v>
      </c>
    </row>
    <row r="1701" spans="1:5" x14ac:dyDescent="0.2">
      <c r="A1701">
        <v>1878</v>
      </c>
      <c r="B1701">
        <v>62</v>
      </c>
      <c r="C1701" t="s">
        <v>616</v>
      </c>
      <c r="D1701">
        <v>36730</v>
      </c>
      <c r="E1701" t="s">
        <v>1524</v>
      </c>
    </row>
    <row r="1702" spans="1:5" x14ac:dyDescent="0.2">
      <c r="A1702">
        <v>2958</v>
      </c>
      <c r="B1702">
        <v>6</v>
      </c>
      <c r="C1702" t="s">
        <v>2391</v>
      </c>
      <c r="D1702">
        <v>37311</v>
      </c>
      <c r="E1702" t="s">
        <v>72</v>
      </c>
    </row>
    <row r="1703" spans="1:5" x14ac:dyDescent="0.2">
      <c r="A1703">
        <v>1753</v>
      </c>
      <c r="B1703">
        <v>76</v>
      </c>
      <c r="C1703" t="s">
        <v>2392</v>
      </c>
      <c r="D1703">
        <v>36919</v>
      </c>
      <c r="E1703" t="s">
        <v>1214</v>
      </c>
    </row>
    <row r="1704" spans="1:5" x14ac:dyDescent="0.2">
      <c r="A1704">
        <v>1588</v>
      </c>
      <c r="B1704">
        <v>98</v>
      </c>
      <c r="C1704" t="s">
        <v>2393</v>
      </c>
      <c r="D1704">
        <v>36941</v>
      </c>
      <c r="E1704" t="s">
        <v>75</v>
      </c>
    </row>
    <row r="1705" spans="1:5" x14ac:dyDescent="0.2">
      <c r="A1705">
        <v>1547</v>
      </c>
      <c r="B1705">
        <v>103</v>
      </c>
      <c r="C1705" t="s">
        <v>2394</v>
      </c>
      <c r="D1705">
        <v>37012</v>
      </c>
      <c r="E1705" t="s">
        <v>186</v>
      </c>
    </row>
    <row r="1706" spans="1:5" x14ac:dyDescent="0.2">
      <c r="A1706">
        <v>3555</v>
      </c>
      <c r="B1706">
        <v>0</v>
      </c>
      <c r="C1706" t="s">
        <v>2395</v>
      </c>
      <c r="D1706">
        <v>36218</v>
      </c>
      <c r="E1706" t="s">
        <v>1384</v>
      </c>
    </row>
    <row r="1707" spans="1:5" x14ac:dyDescent="0.2">
      <c r="A1707">
        <v>1619</v>
      </c>
      <c r="B1707">
        <v>93</v>
      </c>
      <c r="C1707" t="s">
        <v>364</v>
      </c>
      <c r="D1707">
        <v>36364</v>
      </c>
      <c r="E1707" t="s">
        <v>1315</v>
      </c>
    </row>
    <row r="1708" spans="1:5" x14ac:dyDescent="0.2">
      <c r="A1708">
        <v>2302</v>
      </c>
      <c r="B1708">
        <v>35</v>
      </c>
      <c r="C1708" t="s">
        <v>2396</v>
      </c>
      <c r="D1708">
        <v>36313</v>
      </c>
      <c r="E1708" t="s">
        <v>75</v>
      </c>
    </row>
    <row r="1709" spans="1:5" x14ac:dyDescent="0.2">
      <c r="A1709">
        <v>3285</v>
      </c>
      <c r="B1709">
        <v>0</v>
      </c>
      <c r="C1709" t="s">
        <v>2397</v>
      </c>
      <c r="D1709">
        <v>37715</v>
      </c>
      <c r="E1709" t="s">
        <v>99</v>
      </c>
    </row>
    <row r="1710" spans="1:5" x14ac:dyDescent="0.2">
      <c r="A1710">
        <v>2282</v>
      </c>
      <c r="B1710">
        <v>36</v>
      </c>
      <c r="C1710" t="s">
        <v>617</v>
      </c>
      <c r="D1710">
        <v>37284</v>
      </c>
      <c r="E1710" t="s">
        <v>1236</v>
      </c>
    </row>
    <row r="1711" spans="1:5" x14ac:dyDescent="0.2">
      <c r="A1711">
        <v>3567</v>
      </c>
      <c r="B1711">
        <v>0</v>
      </c>
      <c r="C1711" t="s">
        <v>2398</v>
      </c>
      <c r="D1711">
        <v>37282</v>
      </c>
      <c r="E1711" t="s">
        <v>1856</v>
      </c>
    </row>
    <row r="1712" spans="1:5" x14ac:dyDescent="0.2">
      <c r="A1712">
        <v>1522</v>
      </c>
      <c r="B1712">
        <v>107</v>
      </c>
      <c r="C1712" t="s">
        <v>366</v>
      </c>
      <c r="D1712">
        <v>36318</v>
      </c>
      <c r="E1712" t="s">
        <v>202</v>
      </c>
    </row>
    <row r="1713" spans="1:5" x14ac:dyDescent="0.2">
      <c r="A1713">
        <v>2318</v>
      </c>
      <c r="B1713">
        <v>34</v>
      </c>
      <c r="C1713" t="s">
        <v>618</v>
      </c>
      <c r="D1713">
        <v>36763</v>
      </c>
      <c r="E1713" t="s">
        <v>105</v>
      </c>
    </row>
    <row r="1714" spans="1:5" x14ac:dyDescent="0.2">
      <c r="A1714">
        <v>2964</v>
      </c>
      <c r="B1714">
        <v>5</v>
      </c>
      <c r="C1714" t="s">
        <v>2399</v>
      </c>
      <c r="D1714">
        <v>36997</v>
      </c>
      <c r="E1714" t="s">
        <v>163</v>
      </c>
    </row>
    <row r="1715" spans="1:5" x14ac:dyDescent="0.2">
      <c r="A1715">
        <v>2941</v>
      </c>
      <c r="B1715">
        <v>6</v>
      </c>
      <c r="C1715" t="s">
        <v>2400</v>
      </c>
      <c r="D1715">
        <v>37383</v>
      </c>
      <c r="E1715" t="s">
        <v>120</v>
      </c>
    </row>
    <row r="1716" spans="1:5" x14ac:dyDescent="0.2">
      <c r="A1716">
        <v>1653</v>
      </c>
      <c r="B1716">
        <v>89</v>
      </c>
      <c r="C1716" t="s">
        <v>619</v>
      </c>
      <c r="D1716">
        <v>36316</v>
      </c>
      <c r="E1716" t="s">
        <v>1156</v>
      </c>
    </row>
    <row r="1717" spans="1:5" x14ac:dyDescent="0.2">
      <c r="A1717">
        <v>3276</v>
      </c>
      <c r="B1717">
        <v>0</v>
      </c>
      <c r="C1717" t="s">
        <v>2401</v>
      </c>
      <c r="D1717">
        <v>37816</v>
      </c>
      <c r="E1717" t="s">
        <v>117</v>
      </c>
    </row>
    <row r="1718" spans="1:5" x14ac:dyDescent="0.2">
      <c r="A1718">
        <v>2382</v>
      </c>
      <c r="B1718">
        <v>31</v>
      </c>
      <c r="C1718" t="s">
        <v>2402</v>
      </c>
      <c r="D1718">
        <v>36601</v>
      </c>
      <c r="E1718" t="s">
        <v>1162</v>
      </c>
    </row>
    <row r="1719" spans="1:5" x14ac:dyDescent="0.2">
      <c r="A1719">
        <v>3277</v>
      </c>
      <c r="B1719">
        <v>0</v>
      </c>
      <c r="C1719" t="s">
        <v>2403</v>
      </c>
      <c r="D1719">
        <v>37874</v>
      </c>
      <c r="E1719" t="s">
        <v>117</v>
      </c>
    </row>
    <row r="1720" spans="1:5" x14ac:dyDescent="0.2">
      <c r="A1720">
        <v>2982</v>
      </c>
      <c r="B1720">
        <v>5</v>
      </c>
      <c r="C1720" t="s">
        <v>2404</v>
      </c>
      <c r="D1720">
        <v>37047</v>
      </c>
      <c r="E1720" t="s">
        <v>120</v>
      </c>
    </row>
    <row r="1721" spans="1:5" x14ac:dyDescent="0.2">
      <c r="A1721">
        <v>2549</v>
      </c>
      <c r="B1721">
        <v>23</v>
      </c>
      <c r="C1721" t="s">
        <v>754</v>
      </c>
      <c r="D1721">
        <v>36329</v>
      </c>
      <c r="E1721" t="s">
        <v>74</v>
      </c>
    </row>
    <row r="1722" spans="1:5" x14ac:dyDescent="0.2">
      <c r="A1722">
        <v>3111</v>
      </c>
      <c r="B1722">
        <v>2</v>
      </c>
      <c r="C1722" t="s">
        <v>2405</v>
      </c>
      <c r="D1722">
        <v>36696</v>
      </c>
      <c r="E1722" t="s">
        <v>154</v>
      </c>
    </row>
    <row r="1723" spans="1:5" x14ac:dyDescent="0.2">
      <c r="A1723">
        <v>1285</v>
      </c>
      <c r="B1723">
        <v>150</v>
      </c>
      <c r="C1723" t="s">
        <v>620</v>
      </c>
      <c r="D1723">
        <v>37393</v>
      </c>
      <c r="E1723" t="s">
        <v>99</v>
      </c>
    </row>
    <row r="1724" spans="1:5" x14ac:dyDescent="0.2">
      <c r="A1724">
        <v>1955</v>
      </c>
      <c r="B1724">
        <v>55</v>
      </c>
      <c r="C1724" t="s">
        <v>621</v>
      </c>
      <c r="D1724">
        <v>36876</v>
      </c>
      <c r="E1724" t="s">
        <v>180</v>
      </c>
    </row>
    <row r="1725" spans="1:5" x14ac:dyDescent="0.2">
      <c r="A1725">
        <v>3497</v>
      </c>
      <c r="B1725">
        <v>0</v>
      </c>
      <c r="C1725" t="s">
        <v>2406</v>
      </c>
      <c r="D1725">
        <v>36343</v>
      </c>
      <c r="E1725" t="s">
        <v>213</v>
      </c>
    </row>
    <row r="1726" spans="1:5" x14ac:dyDescent="0.2">
      <c r="A1726">
        <v>2732</v>
      </c>
      <c r="B1726">
        <v>13</v>
      </c>
      <c r="C1726" t="s">
        <v>367</v>
      </c>
      <c r="D1726">
        <v>36892</v>
      </c>
      <c r="E1726" t="s">
        <v>105</v>
      </c>
    </row>
    <row r="1727" spans="1:5" x14ac:dyDescent="0.2">
      <c r="A1727">
        <v>3417</v>
      </c>
      <c r="B1727">
        <v>0</v>
      </c>
      <c r="C1727" t="s">
        <v>2407</v>
      </c>
      <c r="D1727">
        <v>36829</v>
      </c>
      <c r="E1727" t="s">
        <v>147</v>
      </c>
    </row>
    <row r="1728" spans="1:5" x14ac:dyDescent="0.2">
      <c r="A1728">
        <v>3348</v>
      </c>
      <c r="B1728">
        <v>0</v>
      </c>
      <c r="C1728" t="s">
        <v>2408</v>
      </c>
      <c r="D1728">
        <v>36814</v>
      </c>
      <c r="E1728" t="s">
        <v>1702</v>
      </c>
    </row>
    <row r="1729" spans="1:5" x14ac:dyDescent="0.2">
      <c r="A1729">
        <v>2514</v>
      </c>
      <c r="B1729">
        <v>24</v>
      </c>
      <c r="C1729" t="s">
        <v>622</v>
      </c>
      <c r="D1729">
        <v>36765</v>
      </c>
      <c r="E1729" t="s">
        <v>105</v>
      </c>
    </row>
    <row r="1730" spans="1:5" x14ac:dyDescent="0.2">
      <c r="A1730">
        <v>2698</v>
      </c>
      <c r="B1730">
        <v>16</v>
      </c>
      <c r="C1730" t="s">
        <v>879</v>
      </c>
      <c r="D1730">
        <v>37501</v>
      </c>
      <c r="E1730" t="s">
        <v>163</v>
      </c>
    </row>
    <row r="1731" spans="1:5" x14ac:dyDescent="0.2">
      <c r="A1731">
        <v>1075</v>
      </c>
      <c r="B1731">
        <v>199</v>
      </c>
      <c r="C1731" t="s">
        <v>368</v>
      </c>
      <c r="D1731">
        <v>36357</v>
      </c>
      <c r="E1731" t="s">
        <v>105</v>
      </c>
    </row>
    <row r="1732" spans="1:5" x14ac:dyDescent="0.2">
      <c r="A1732">
        <v>3375</v>
      </c>
      <c r="B1732">
        <v>0</v>
      </c>
      <c r="C1732" t="s">
        <v>2409</v>
      </c>
      <c r="D1732">
        <v>36788</v>
      </c>
      <c r="E1732" t="s">
        <v>120</v>
      </c>
    </row>
    <row r="1733" spans="1:5" x14ac:dyDescent="0.2">
      <c r="A1733">
        <v>2428</v>
      </c>
      <c r="B1733">
        <v>29</v>
      </c>
      <c r="C1733" t="s">
        <v>2410</v>
      </c>
      <c r="D1733">
        <v>36863</v>
      </c>
      <c r="E1733" t="s">
        <v>113</v>
      </c>
    </row>
    <row r="1734" spans="1:5" x14ac:dyDescent="0.2">
      <c r="A1734">
        <v>733</v>
      </c>
      <c r="B1734">
        <v>324</v>
      </c>
      <c r="C1734" t="s">
        <v>2411</v>
      </c>
      <c r="D1734">
        <v>36183</v>
      </c>
      <c r="E1734" t="s">
        <v>76</v>
      </c>
    </row>
    <row r="1735" spans="1:5" x14ac:dyDescent="0.2">
      <c r="A1735">
        <v>2547</v>
      </c>
      <c r="B1735">
        <v>23</v>
      </c>
      <c r="C1735" t="s">
        <v>2412</v>
      </c>
      <c r="D1735">
        <v>37197</v>
      </c>
      <c r="E1735" t="s">
        <v>121</v>
      </c>
    </row>
    <row r="1736" spans="1:5" x14ac:dyDescent="0.2">
      <c r="A1736">
        <v>3240</v>
      </c>
      <c r="B1736">
        <v>0</v>
      </c>
      <c r="C1736" t="s">
        <v>2413</v>
      </c>
      <c r="D1736">
        <v>36565</v>
      </c>
      <c r="E1736" t="s">
        <v>122</v>
      </c>
    </row>
    <row r="1737" spans="1:5" x14ac:dyDescent="0.2">
      <c r="A1737">
        <v>2927</v>
      </c>
      <c r="B1737">
        <v>7</v>
      </c>
      <c r="C1737" t="s">
        <v>2414</v>
      </c>
      <c r="D1737">
        <v>37183</v>
      </c>
      <c r="E1737" t="s">
        <v>105</v>
      </c>
    </row>
    <row r="1738" spans="1:5" x14ac:dyDescent="0.2">
      <c r="A1738">
        <v>1127</v>
      </c>
      <c r="B1738">
        <v>185</v>
      </c>
      <c r="C1738" t="s">
        <v>2415</v>
      </c>
      <c r="D1738">
        <v>36205</v>
      </c>
      <c r="E1738" t="s">
        <v>120</v>
      </c>
    </row>
    <row r="1739" spans="1:5" x14ac:dyDescent="0.2">
      <c r="A1739">
        <v>2983</v>
      </c>
      <c r="B1739">
        <v>5</v>
      </c>
      <c r="C1739" t="s">
        <v>2416</v>
      </c>
      <c r="D1739">
        <v>37223</v>
      </c>
      <c r="E1739" t="s">
        <v>1214</v>
      </c>
    </row>
    <row r="1740" spans="1:5" x14ac:dyDescent="0.2">
      <c r="A1740">
        <v>1808</v>
      </c>
      <c r="B1740">
        <v>71</v>
      </c>
      <c r="C1740" t="s">
        <v>418</v>
      </c>
      <c r="D1740">
        <v>36595</v>
      </c>
      <c r="E1740" t="s">
        <v>1236</v>
      </c>
    </row>
    <row r="1741" spans="1:5" x14ac:dyDescent="0.2">
      <c r="A1741">
        <v>2623</v>
      </c>
      <c r="B1741">
        <v>19</v>
      </c>
      <c r="C1741" t="s">
        <v>2417</v>
      </c>
      <c r="D1741">
        <v>36225</v>
      </c>
      <c r="E1741" t="s">
        <v>365</v>
      </c>
    </row>
    <row r="1742" spans="1:5" x14ac:dyDescent="0.2">
      <c r="A1742">
        <v>2806</v>
      </c>
      <c r="B1742">
        <v>11</v>
      </c>
      <c r="C1742" t="s">
        <v>2418</v>
      </c>
      <c r="D1742">
        <v>36892</v>
      </c>
      <c r="E1742" t="s">
        <v>1267</v>
      </c>
    </row>
    <row r="1743" spans="1:5" x14ac:dyDescent="0.2">
      <c r="A1743">
        <v>3498</v>
      </c>
      <c r="B1743">
        <v>0</v>
      </c>
      <c r="C1743" t="s">
        <v>2419</v>
      </c>
      <c r="D1743">
        <v>36588</v>
      </c>
      <c r="E1743" t="s">
        <v>1659</v>
      </c>
    </row>
    <row r="1744" spans="1:5" x14ac:dyDescent="0.2">
      <c r="A1744">
        <v>928</v>
      </c>
      <c r="B1744">
        <v>242</v>
      </c>
      <c r="C1744" t="s">
        <v>369</v>
      </c>
      <c r="D1744">
        <v>36695</v>
      </c>
      <c r="E1744" t="s">
        <v>99</v>
      </c>
    </row>
    <row r="1745" spans="1:5" x14ac:dyDescent="0.2">
      <c r="A1745">
        <v>1879</v>
      </c>
      <c r="B1745">
        <v>62</v>
      </c>
      <c r="C1745" t="s">
        <v>623</v>
      </c>
      <c r="D1745">
        <v>36614</v>
      </c>
      <c r="E1745" t="s">
        <v>200</v>
      </c>
    </row>
    <row r="1746" spans="1:5" x14ac:dyDescent="0.2">
      <c r="A1746">
        <v>2672</v>
      </c>
      <c r="B1746">
        <v>16</v>
      </c>
      <c r="C1746" t="s">
        <v>419</v>
      </c>
      <c r="D1746">
        <v>36817</v>
      </c>
      <c r="E1746" t="s">
        <v>1236</v>
      </c>
    </row>
    <row r="1747" spans="1:5" x14ac:dyDescent="0.2">
      <c r="A1747">
        <v>2684</v>
      </c>
      <c r="B1747">
        <v>16</v>
      </c>
      <c r="C1747" t="s">
        <v>2420</v>
      </c>
      <c r="D1747">
        <v>36763</v>
      </c>
      <c r="E1747" t="s">
        <v>111</v>
      </c>
    </row>
    <row r="1748" spans="1:5" x14ac:dyDescent="0.2">
      <c r="A1748">
        <v>1197</v>
      </c>
      <c r="B1748">
        <v>168</v>
      </c>
      <c r="C1748" t="s">
        <v>370</v>
      </c>
      <c r="D1748">
        <v>36511</v>
      </c>
      <c r="E1748" t="s">
        <v>148</v>
      </c>
    </row>
    <row r="1749" spans="1:5" x14ac:dyDescent="0.2">
      <c r="A1749">
        <v>1872</v>
      </c>
      <c r="B1749">
        <v>63</v>
      </c>
      <c r="C1749" t="s">
        <v>2421</v>
      </c>
      <c r="D1749">
        <v>36617</v>
      </c>
      <c r="E1749" t="s">
        <v>257</v>
      </c>
    </row>
    <row r="1750" spans="1:5" x14ac:dyDescent="0.2">
      <c r="A1750">
        <v>3461</v>
      </c>
      <c r="B1750">
        <v>0</v>
      </c>
      <c r="C1750" t="s">
        <v>2422</v>
      </c>
      <c r="D1750">
        <v>37051</v>
      </c>
      <c r="E1750" t="s">
        <v>120</v>
      </c>
    </row>
    <row r="1751" spans="1:5" x14ac:dyDescent="0.2">
      <c r="A1751">
        <v>2815</v>
      </c>
      <c r="B1751">
        <v>10</v>
      </c>
      <c r="C1751" t="s">
        <v>2423</v>
      </c>
      <c r="D1751">
        <v>37454</v>
      </c>
      <c r="E1751" t="s">
        <v>105</v>
      </c>
    </row>
    <row r="1752" spans="1:5" x14ac:dyDescent="0.2">
      <c r="A1752">
        <v>3091</v>
      </c>
      <c r="B1752">
        <v>3</v>
      </c>
      <c r="C1752" t="s">
        <v>2424</v>
      </c>
      <c r="D1752">
        <v>36279</v>
      </c>
      <c r="E1752" t="s">
        <v>1491</v>
      </c>
    </row>
    <row r="1753" spans="1:5" x14ac:dyDescent="0.2">
      <c r="A1753">
        <v>2695</v>
      </c>
      <c r="B1753">
        <v>16</v>
      </c>
      <c r="C1753" t="s">
        <v>2425</v>
      </c>
      <c r="D1753">
        <v>36276</v>
      </c>
      <c r="E1753" t="s">
        <v>110</v>
      </c>
    </row>
    <row r="1754" spans="1:5" x14ac:dyDescent="0.2">
      <c r="A1754">
        <v>1408</v>
      </c>
      <c r="B1754">
        <v>131</v>
      </c>
      <c r="C1754" t="s">
        <v>755</v>
      </c>
      <c r="D1754">
        <v>36212</v>
      </c>
      <c r="E1754" t="s">
        <v>227</v>
      </c>
    </row>
    <row r="1755" spans="1:5" x14ac:dyDescent="0.2">
      <c r="A1755">
        <v>2680</v>
      </c>
      <c r="B1755">
        <v>16</v>
      </c>
      <c r="C1755" t="s">
        <v>2426</v>
      </c>
      <c r="D1755">
        <v>36892</v>
      </c>
      <c r="E1755" t="s">
        <v>117</v>
      </c>
    </row>
    <row r="1756" spans="1:5" x14ac:dyDescent="0.2">
      <c r="A1756">
        <v>2344</v>
      </c>
      <c r="B1756">
        <v>33</v>
      </c>
      <c r="C1756" t="s">
        <v>756</v>
      </c>
      <c r="D1756">
        <v>36572</v>
      </c>
      <c r="E1756" t="s">
        <v>1327</v>
      </c>
    </row>
    <row r="1757" spans="1:5" x14ac:dyDescent="0.2">
      <c r="A1757">
        <v>2627</v>
      </c>
      <c r="B1757">
        <v>19</v>
      </c>
      <c r="C1757" t="s">
        <v>756</v>
      </c>
      <c r="D1757">
        <v>36572</v>
      </c>
      <c r="E1757" t="s">
        <v>74</v>
      </c>
    </row>
    <row r="1758" spans="1:5" x14ac:dyDescent="0.2">
      <c r="A1758">
        <v>2936</v>
      </c>
      <c r="B1758">
        <v>6</v>
      </c>
      <c r="C1758" t="s">
        <v>2427</v>
      </c>
      <c r="D1758">
        <v>37652</v>
      </c>
      <c r="E1758" t="s">
        <v>1162</v>
      </c>
    </row>
    <row r="1759" spans="1:5" x14ac:dyDescent="0.2">
      <c r="A1759">
        <v>3512</v>
      </c>
      <c r="B1759">
        <v>0</v>
      </c>
      <c r="C1759" t="s">
        <v>2428</v>
      </c>
      <c r="D1759">
        <v>36892</v>
      </c>
      <c r="E1759" t="s">
        <v>1493</v>
      </c>
    </row>
    <row r="1760" spans="1:5" x14ac:dyDescent="0.2">
      <c r="A1760">
        <v>1358</v>
      </c>
      <c r="B1760">
        <v>139</v>
      </c>
      <c r="C1760" t="s">
        <v>2429</v>
      </c>
      <c r="D1760">
        <v>36796</v>
      </c>
      <c r="E1760" t="s">
        <v>1655</v>
      </c>
    </row>
    <row r="1761" spans="1:5" x14ac:dyDescent="0.2">
      <c r="A1761">
        <v>2230</v>
      </c>
      <c r="B1761">
        <v>39</v>
      </c>
      <c r="C1761" t="s">
        <v>2430</v>
      </c>
      <c r="D1761">
        <v>36190</v>
      </c>
      <c r="E1761" t="s">
        <v>114</v>
      </c>
    </row>
    <row r="1762" spans="1:5" x14ac:dyDescent="0.2">
      <c r="A1762">
        <v>3154</v>
      </c>
      <c r="B1762">
        <v>1</v>
      </c>
      <c r="C1762" t="s">
        <v>2431</v>
      </c>
      <c r="D1762">
        <v>36892</v>
      </c>
      <c r="E1762" t="s">
        <v>1290</v>
      </c>
    </row>
    <row r="1763" spans="1:5" x14ac:dyDescent="0.2">
      <c r="A1763">
        <v>1983</v>
      </c>
      <c r="B1763">
        <v>54</v>
      </c>
      <c r="C1763" t="s">
        <v>880</v>
      </c>
      <c r="D1763">
        <v>36813</v>
      </c>
      <c r="E1763" t="s">
        <v>1200</v>
      </c>
    </row>
    <row r="1764" spans="1:5" x14ac:dyDescent="0.2">
      <c r="A1764">
        <v>2990</v>
      </c>
      <c r="B1764">
        <v>5</v>
      </c>
      <c r="C1764" t="s">
        <v>2432</v>
      </c>
      <c r="D1764">
        <v>36941</v>
      </c>
      <c r="E1764" t="s">
        <v>165</v>
      </c>
    </row>
    <row r="1765" spans="1:5" x14ac:dyDescent="0.2">
      <c r="A1765">
        <v>1311</v>
      </c>
      <c r="B1765">
        <v>145</v>
      </c>
      <c r="C1765" t="s">
        <v>757</v>
      </c>
      <c r="D1765">
        <v>36825</v>
      </c>
      <c r="E1765" t="s">
        <v>105</v>
      </c>
    </row>
    <row r="1766" spans="1:5" x14ac:dyDescent="0.2">
      <c r="A1766">
        <v>3047</v>
      </c>
      <c r="B1766">
        <v>4</v>
      </c>
      <c r="C1766" t="s">
        <v>2433</v>
      </c>
      <c r="D1766">
        <v>37090</v>
      </c>
      <c r="E1766" t="s">
        <v>120</v>
      </c>
    </row>
    <row r="1767" spans="1:5" x14ac:dyDescent="0.2">
      <c r="A1767">
        <v>2359</v>
      </c>
      <c r="B1767">
        <v>32</v>
      </c>
      <c r="C1767" t="s">
        <v>420</v>
      </c>
      <c r="D1767">
        <v>36759</v>
      </c>
      <c r="E1767" t="s">
        <v>186</v>
      </c>
    </row>
    <row r="1768" spans="1:5" x14ac:dyDescent="0.2">
      <c r="A1768">
        <v>3563</v>
      </c>
      <c r="B1768">
        <v>0</v>
      </c>
      <c r="C1768" t="s">
        <v>2434</v>
      </c>
      <c r="D1768">
        <v>37944</v>
      </c>
      <c r="E1768" t="s">
        <v>105</v>
      </c>
    </row>
    <row r="1769" spans="1:5" x14ac:dyDescent="0.2">
      <c r="A1769">
        <v>3489</v>
      </c>
      <c r="B1769">
        <v>0</v>
      </c>
      <c r="C1769" t="s">
        <v>2435</v>
      </c>
      <c r="D1769">
        <v>37269</v>
      </c>
      <c r="E1769" t="s">
        <v>105</v>
      </c>
    </row>
    <row r="1770" spans="1:5" x14ac:dyDescent="0.2">
      <c r="A1770">
        <v>2321</v>
      </c>
      <c r="B1770">
        <v>34</v>
      </c>
      <c r="C1770" t="s">
        <v>2436</v>
      </c>
      <c r="D1770">
        <v>36194</v>
      </c>
      <c r="E1770" t="s">
        <v>132</v>
      </c>
    </row>
    <row r="1771" spans="1:5" x14ac:dyDescent="0.2">
      <c r="A1771">
        <v>747</v>
      </c>
      <c r="B1771">
        <v>317</v>
      </c>
      <c r="C1771" t="s">
        <v>371</v>
      </c>
      <c r="D1771">
        <v>36238</v>
      </c>
      <c r="E1771" t="s">
        <v>105</v>
      </c>
    </row>
    <row r="1772" spans="1:5" x14ac:dyDescent="0.2">
      <c r="A1772">
        <v>3472</v>
      </c>
      <c r="B1772">
        <v>0</v>
      </c>
      <c r="C1772" t="s">
        <v>2437</v>
      </c>
      <c r="D1772">
        <v>36952</v>
      </c>
      <c r="E1772" t="s">
        <v>164</v>
      </c>
    </row>
    <row r="1773" spans="1:5" x14ac:dyDescent="0.2">
      <c r="A1773">
        <v>2349</v>
      </c>
      <c r="B1773">
        <v>33</v>
      </c>
      <c r="C1773" t="s">
        <v>2438</v>
      </c>
      <c r="D1773">
        <v>37230</v>
      </c>
      <c r="E1773" t="s">
        <v>1427</v>
      </c>
    </row>
    <row r="1774" spans="1:5" x14ac:dyDescent="0.2">
      <c r="A1774">
        <v>1630</v>
      </c>
      <c r="B1774">
        <v>92</v>
      </c>
      <c r="C1774" t="s">
        <v>372</v>
      </c>
      <c r="D1774">
        <v>36813</v>
      </c>
      <c r="E1774" t="s">
        <v>120</v>
      </c>
    </row>
    <row r="1775" spans="1:5" x14ac:dyDescent="0.2">
      <c r="A1775">
        <v>2279</v>
      </c>
      <c r="B1775">
        <v>36</v>
      </c>
      <c r="C1775" t="s">
        <v>373</v>
      </c>
      <c r="D1775">
        <v>36715</v>
      </c>
      <c r="E1775" t="s">
        <v>105</v>
      </c>
    </row>
    <row r="1776" spans="1:5" x14ac:dyDescent="0.2">
      <c r="A1776">
        <v>1887</v>
      </c>
      <c r="B1776">
        <v>61</v>
      </c>
      <c r="C1776" t="s">
        <v>374</v>
      </c>
      <c r="D1776">
        <v>36359</v>
      </c>
      <c r="E1776" t="s">
        <v>110</v>
      </c>
    </row>
    <row r="1777" spans="1:5" x14ac:dyDescent="0.2">
      <c r="A1777">
        <v>2409</v>
      </c>
      <c r="B1777">
        <v>30</v>
      </c>
      <c r="C1777" t="s">
        <v>2439</v>
      </c>
      <c r="D1777">
        <v>37021</v>
      </c>
      <c r="E1777" t="s">
        <v>1214</v>
      </c>
    </row>
    <row r="1778" spans="1:5" x14ac:dyDescent="0.2">
      <c r="A1778">
        <v>3331</v>
      </c>
      <c r="B1778">
        <v>0</v>
      </c>
      <c r="C1778" t="s">
        <v>2440</v>
      </c>
      <c r="D1778">
        <v>37302</v>
      </c>
      <c r="E1778" t="s">
        <v>133</v>
      </c>
    </row>
    <row r="1779" spans="1:5" x14ac:dyDescent="0.2">
      <c r="A1779">
        <v>2293</v>
      </c>
      <c r="B1779">
        <v>36</v>
      </c>
      <c r="C1779" t="s">
        <v>2441</v>
      </c>
      <c r="D1779">
        <v>36955</v>
      </c>
      <c r="E1779" t="s">
        <v>141</v>
      </c>
    </row>
    <row r="1780" spans="1:5" x14ac:dyDescent="0.2">
      <c r="A1780">
        <v>3670</v>
      </c>
      <c r="B1780">
        <v>0</v>
      </c>
      <c r="C1780" t="s">
        <v>2442</v>
      </c>
      <c r="D1780">
        <v>37330</v>
      </c>
      <c r="E1780" t="s">
        <v>105</v>
      </c>
    </row>
    <row r="1781" spans="1:5" x14ac:dyDescent="0.2">
      <c r="A1781">
        <v>3606</v>
      </c>
      <c r="B1781">
        <v>0</v>
      </c>
      <c r="C1781" t="s">
        <v>2443</v>
      </c>
      <c r="D1781">
        <v>37621</v>
      </c>
      <c r="E1781" t="s">
        <v>105</v>
      </c>
    </row>
    <row r="1782" spans="1:5" x14ac:dyDescent="0.2">
      <c r="A1782">
        <v>1771</v>
      </c>
      <c r="B1782">
        <v>74</v>
      </c>
      <c r="C1782" t="s">
        <v>624</v>
      </c>
      <c r="D1782">
        <v>36784</v>
      </c>
      <c r="E1782" t="s">
        <v>105</v>
      </c>
    </row>
    <row r="1783" spans="1:5" x14ac:dyDescent="0.2">
      <c r="A1783">
        <v>3267</v>
      </c>
      <c r="B1783">
        <v>0</v>
      </c>
      <c r="C1783" t="s">
        <v>2444</v>
      </c>
      <c r="D1783">
        <v>37005</v>
      </c>
      <c r="E1783" t="s">
        <v>163</v>
      </c>
    </row>
    <row r="1784" spans="1:5" x14ac:dyDescent="0.2">
      <c r="A1784">
        <v>3168</v>
      </c>
      <c r="B1784">
        <v>1</v>
      </c>
      <c r="C1784" t="s">
        <v>2445</v>
      </c>
      <c r="D1784">
        <v>37416</v>
      </c>
      <c r="E1784" t="s">
        <v>115</v>
      </c>
    </row>
    <row r="1785" spans="1:5" x14ac:dyDescent="0.2">
      <c r="A1785">
        <v>2449</v>
      </c>
      <c r="B1785">
        <v>28</v>
      </c>
      <c r="C1785" t="s">
        <v>2446</v>
      </c>
      <c r="D1785">
        <v>36703</v>
      </c>
      <c r="E1785" t="s">
        <v>118</v>
      </c>
    </row>
    <row r="1786" spans="1:5" x14ac:dyDescent="0.2">
      <c r="A1786">
        <v>2885</v>
      </c>
      <c r="B1786">
        <v>8</v>
      </c>
      <c r="C1786" t="s">
        <v>2447</v>
      </c>
      <c r="D1786">
        <v>37213</v>
      </c>
      <c r="E1786" t="s">
        <v>1275</v>
      </c>
    </row>
    <row r="1787" spans="1:5" x14ac:dyDescent="0.2">
      <c r="A1787">
        <v>1072</v>
      </c>
      <c r="B1787">
        <v>200</v>
      </c>
      <c r="C1787" t="s">
        <v>625</v>
      </c>
      <c r="D1787">
        <v>36583</v>
      </c>
      <c r="E1787" t="s">
        <v>74</v>
      </c>
    </row>
    <row r="1788" spans="1:5" x14ac:dyDescent="0.2">
      <c r="A1788">
        <v>2886</v>
      </c>
      <c r="B1788">
        <v>8</v>
      </c>
      <c r="C1788" t="s">
        <v>2448</v>
      </c>
      <c r="D1788">
        <v>37170</v>
      </c>
      <c r="E1788" t="s">
        <v>1284</v>
      </c>
    </row>
    <row r="1789" spans="1:5" x14ac:dyDescent="0.2">
      <c r="A1789">
        <v>2191</v>
      </c>
      <c r="B1789">
        <v>42</v>
      </c>
      <c r="C1789" t="s">
        <v>2449</v>
      </c>
      <c r="D1789">
        <v>37444</v>
      </c>
      <c r="E1789" t="s">
        <v>99</v>
      </c>
    </row>
    <row r="1790" spans="1:5" x14ac:dyDescent="0.2">
      <c r="A1790">
        <v>2104</v>
      </c>
      <c r="B1790">
        <v>46</v>
      </c>
      <c r="C1790" t="s">
        <v>2450</v>
      </c>
      <c r="D1790">
        <v>36787</v>
      </c>
      <c r="E1790" t="s">
        <v>99</v>
      </c>
    </row>
    <row r="1791" spans="1:5" x14ac:dyDescent="0.2">
      <c r="A1791">
        <v>2218</v>
      </c>
      <c r="B1791">
        <v>40</v>
      </c>
      <c r="C1791" t="s">
        <v>2451</v>
      </c>
      <c r="D1791">
        <v>36762</v>
      </c>
      <c r="E1791" t="s">
        <v>136</v>
      </c>
    </row>
    <row r="1792" spans="1:5" x14ac:dyDescent="0.2">
      <c r="A1792">
        <v>2330</v>
      </c>
      <c r="B1792">
        <v>33</v>
      </c>
      <c r="C1792" t="s">
        <v>626</v>
      </c>
      <c r="D1792">
        <v>36567</v>
      </c>
      <c r="E1792" t="s">
        <v>120</v>
      </c>
    </row>
    <row r="1793" spans="1:5" x14ac:dyDescent="0.2">
      <c r="A1793">
        <v>1211</v>
      </c>
      <c r="B1793">
        <v>166</v>
      </c>
      <c r="C1793" t="s">
        <v>2452</v>
      </c>
      <c r="D1793">
        <v>36671</v>
      </c>
      <c r="E1793" t="s">
        <v>1243</v>
      </c>
    </row>
    <row r="1794" spans="1:5" x14ac:dyDescent="0.2">
      <c r="A1794">
        <v>2502</v>
      </c>
      <c r="B1794">
        <v>25</v>
      </c>
      <c r="C1794" t="s">
        <v>2453</v>
      </c>
      <c r="D1794">
        <v>36741</v>
      </c>
      <c r="E1794" t="s">
        <v>2454</v>
      </c>
    </row>
    <row r="1795" spans="1:5" x14ac:dyDescent="0.2">
      <c r="A1795">
        <v>2498</v>
      </c>
      <c r="B1795">
        <v>25</v>
      </c>
      <c r="C1795" t="s">
        <v>2455</v>
      </c>
      <c r="D1795">
        <v>36212</v>
      </c>
      <c r="E1795" t="s">
        <v>1343</v>
      </c>
    </row>
    <row r="1796" spans="1:5" x14ac:dyDescent="0.2">
      <c r="A1796">
        <v>3073</v>
      </c>
      <c r="B1796">
        <v>3</v>
      </c>
      <c r="C1796" t="s">
        <v>2456</v>
      </c>
      <c r="D1796">
        <v>37257</v>
      </c>
      <c r="E1796" t="s">
        <v>105</v>
      </c>
    </row>
    <row r="1797" spans="1:5" x14ac:dyDescent="0.2">
      <c r="A1797">
        <v>2636</v>
      </c>
      <c r="B1797">
        <v>19</v>
      </c>
      <c r="C1797" t="s">
        <v>2457</v>
      </c>
      <c r="D1797">
        <v>36598</v>
      </c>
      <c r="E1797" t="s">
        <v>147</v>
      </c>
    </row>
    <row r="1798" spans="1:5" x14ac:dyDescent="0.2">
      <c r="A1798">
        <v>1885</v>
      </c>
      <c r="B1798">
        <v>61</v>
      </c>
      <c r="C1798" t="s">
        <v>375</v>
      </c>
      <c r="D1798">
        <v>36499</v>
      </c>
      <c r="E1798" t="s">
        <v>127</v>
      </c>
    </row>
    <row r="1799" spans="1:5" x14ac:dyDescent="0.2">
      <c r="A1799">
        <v>2046</v>
      </c>
      <c r="B1799">
        <v>49</v>
      </c>
      <c r="C1799" t="s">
        <v>881</v>
      </c>
      <c r="D1799">
        <v>36634</v>
      </c>
      <c r="E1799" t="s">
        <v>163</v>
      </c>
    </row>
    <row r="1800" spans="1:5" x14ac:dyDescent="0.2">
      <c r="A1800">
        <v>2632</v>
      </c>
      <c r="B1800">
        <v>19</v>
      </c>
      <c r="C1800" t="s">
        <v>627</v>
      </c>
      <c r="D1800">
        <v>36892</v>
      </c>
      <c r="E1800" t="s">
        <v>104</v>
      </c>
    </row>
    <row r="1801" spans="1:5" x14ac:dyDescent="0.2">
      <c r="A1801">
        <v>1638</v>
      </c>
      <c r="B1801">
        <v>91</v>
      </c>
      <c r="C1801" t="s">
        <v>2458</v>
      </c>
      <c r="D1801">
        <v>36450</v>
      </c>
      <c r="E1801" t="s">
        <v>103</v>
      </c>
    </row>
    <row r="1802" spans="1:5" x14ac:dyDescent="0.2">
      <c r="A1802">
        <v>3511</v>
      </c>
      <c r="B1802">
        <v>0</v>
      </c>
      <c r="C1802" t="s">
        <v>2459</v>
      </c>
      <c r="D1802">
        <v>36680</v>
      </c>
      <c r="E1802" t="s">
        <v>105</v>
      </c>
    </row>
    <row r="1803" spans="1:5" x14ac:dyDescent="0.2">
      <c r="A1803">
        <v>3316</v>
      </c>
      <c r="B1803">
        <v>0</v>
      </c>
      <c r="C1803" t="s">
        <v>2460</v>
      </c>
      <c r="D1803">
        <v>37754</v>
      </c>
      <c r="E1803" t="s">
        <v>120</v>
      </c>
    </row>
    <row r="1804" spans="1:5" x14ac:dyDescent="0.2">
      <c r="A1804">
        <v>3509</v>
      </c>
      <c r="B1804">
        <v>0</v>
      </c>
      <c r="C1804" t="s">
        <v>2461</v>
      </c>
      <c r="D1804">
        <v>36526</v>
      </c>
      <c r="E1804" t="s">
        <v>1659</v>
      </c>
    </row>
    <row r="1805" spans="1:5" x14ac:dyDescent="0.2">
      <c r="A1805">
        <v>3372</v>
      </c>
      <c r="B1805">
        <v>0</v>
      </c>
      <c r="C1805" t="s">
        <v>2462</v>
      </c>
      <c r="D1805">
        <v>37532</v>
      </c>
      <c r="E1805" t="s">
        <v>120</v>
      </c>
    </row>
    <row r="1806" spans="1:5" x14ac:dyDescent="0.2">
      <c r="A1806">
        <v>3083</v>
      </c>
      <c r="B1806">
        <v>3</v>
      </c>
      <c r="C1806" t="s">
        <v>2463</v>
      </c>
      <c r="D1806">
        <v>36339</v>
      </c>
      <c r="E1806" t="s">
        <v>2464</v>
      </c>
    </row>
    <row r="1807" spans="1:5" x14ac:dyDescent="0.2">
      <c r="A1807">
        <v>2969</v>
      </c>
      <c r="B1807">
        <v>5</v>
      </c>
      <c r="C1807" t="s">
        <v>2465</v>
      </c>
      <c r="D1807">
        <v>36858</v>
      </c>
      <c r="E1807" t="s">
        <v>120</v>
      </c>
    </row>
    <row r="1808" spans="1:5" x14ac:dyDescent="0.2">
      <c r="A1808">
        <v>1687</v>
      </c>
      <c r="B1808">
        <v>85</v>
      </c>
      <c r="C1808" t="s">
        <v>2466</v>
      </c>
      <c r="D1808">
        <v>37171</v>
      </c>
      <c r="E1808" t="s">
        <v>105</v>
      </c>
    </row>
    <row r="1809" spans="1:5" x14ac:dyDescent="0.2">
      <c r="A1809">
        <v>2164</v>
      </c>
      <c r="B1809">
        <v>43</v>
      </c>
      <c r="C1809" t="s">
        <v>628</v>
      </c>
      <c r="D1809">
        <v>36668</v>
      </c>
      <c r="E1809" t="s">
        <v>120</v>
      </c>
    </row>
    <row r="1810" spans="1:5" x14ac:dyDescent="0.2">
      <c r="A1810">
        <v>2608</v>
      </c>
      <c r="B1810">
        <v>20</v>
      </c>
      <c r="C1810" t="s">
        <v>882</v>
      </c>
      <c r="D1810">
        <v>36637</v>
      </c>
      <c r="E1810" t="s">
        <v>120</v>
      </c>
    </row>
    <row r="1811" spans="1:5" x14ac:dyDescent="0.2">
      <c r="A1811">
        <v>2577</v>
      </c>
      <c r="B1811">
        <v>21</v>
      </c>
      <c r="C1811" t="s">
        <v>2467</v>
      </c>
      <c r="D1811">
        <v>37488</v>
      </c>
      <c r="E1811" t="s">
        <v>1171</v>
      </c>
    </row>
    <row r="1812" spans="1:5" x14ac:dyDescent="0.2">
      <c r="A1812">
        <v>3307</v>
      </c>
      <c r="B1812">
        <v>0</v>
      </c>
      <c r="C1812" t="s">
        <v>2468</v>
      </c>
      <c r="D1812">
        <v>37658</v>
      </c>
      <c r="E1812" t="s">
        <v>120</v>
      </c>
    </row>
    <row r="1813" spans="1:5" x14ac:dyDescent="0.2">
      <c r="A1813">
        <v>1937</v>
      </c>
      <c r="B1813">
        <v>57</v>
      </c>
      <c r="C1813" t="s">
        <v>2469</v>
      </c>
      <c r="D1813">
        <v>36425</v>
      </c>
      <c r="E1813" t="s">
        <v>133</v>
      </c>
    </row>
    <row r="1814" spans="1:5" x14ac:dyDescent="0.2">
      <c r="A1814">
        <v>2303</v>
      </c>
      <c r="B1814">
        <v>35</v>
      </c>
      <c r="C1814" t="s">
        <v>2470</v>
      </c>
      <c r="D1814">
        <v>37312</v>
      </c>
      <c r="E1814" t="s">
        <v>113</v>
      </c>
    </row>
    <row r="1815" spans="1:5" x14ac:dyDescent="0.2">
      <c r="A1815">
        <v>3425</v>
      </c>
      <c r="B1815">
        <v>0</v>
      </c>
      <c r="C1815" t="s">
        <v>2471</v>
      </c>
      <c r="D1815">
        <v>37126</v>
      </c>
      <c r="E1815" t="s">
        <v>165</v>
      </c>
    </row>
    <row r="1816" spans="1:5" x14ac:dyDescent="0.2">
      <c r="A1816">
        <v>3050</v>
      </c>
      <c r="B1816">
        <v>4</v>
      </c>
      <c r="C1816" t="s">
        <v>2472</v>
      </c>
      <c r="D1816">
        <v>36801</v>
      </c>
      <c r="E1816" t="s">
        <v>105</v>
      </c>
    </row>
    <row r="1817" spans="1:5" x14ac:dyDescent="0.2">
      <c r="A1817">
        <v>1734</v>
      </c>
      <c r="B1817">
        <v>79</v>
      </c>
      <c r="C1817" t="s">
        <v>2473</v>
      </c>
      <c r="D1817">
        <v>36356</v>
      </c>
      <c r="E1817" t="s">
        <v>1659</v>
      </c>
    </row>
    <row r="1818" spans="1:5" x14ac:dyDescent="0.2">
      <c r="A1818">
        <v>1029</v>
      </c>
      <c r="B1818">
        <v>210</v>
      </c>
      <c r="C1818" t="s">
        <v>629</v>
      </c>
      <c r="D1818">
        <v>36232</v>
      </c>
      <c r="E1818" t="s">
        <v>83</v>
      </c>
    </row>
    <row r="1819" spans="1:5" x14ac:dyDescent="0.2">
      <c r="A1819">
        <v>3424</v>
      </c>
      <c r="B1819">
        <v>0</v>
      </c>
      <c r="C1819" t="s">
        <v>2474</v>
      </c>
      <c r="D1819">
        <v>36632</v>
      </c>
      <c r="E1819" t="s">
        <v>661</v>
      </c>
    </row>
    <row r="1820" spans="1:5" x14ac:dyDescent="0.2">
      <c r="A1820">
        <v>3235</v>
      </c>
      <c r="B1820">
        <v>0</v>
      </c>
      <c r="C1820" t="s">
        <v>2475</v>
      </c>
      <c r="D1820">
        <v>36974</v>
      </c>
      <c r="E1820" t="s">
        <v>1221</v>
      </c>
    </row>
    <row r="1821" spans="1:5" x14ac:dyDescent="0.2">
      <c r="A1821">
        <v>1859</v>
      </c>
      <c r="B1821">
        <v>65</v>
      </c>
      <c r="C1821" t="s">
        <v>883</v>
      </c>
      <c r="D1821">
        <v>36167</v>
      </c>
      <c r="E1821" t="s">
        <v>365</v>
      </c>
    </row>
    <row r="1822" spans="1:5" x14ac:dyDescent="0.2">
      <c r="A1822">
        <v>3448</v>
      </c>
      <c r="B1822">
        <v>0</v>
      </c>
      <c r="C1822" t="s">
        <v>2476</v>
      </c>
      <c r="D1822">
        <v>36550</v>
      </c>
      <c r="E1822" t="s">
        <v>227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C000"/>
  </sheetPr>
  <dimension ref="B1:L54"/>
  <sheetViews>
    <sheetView view="pageBreakPreview" zoomScale="80" zoomScaleSheetLayoutView="80" workbookViewId="0">
      <selection activeCell="I19" sqref="I19"/>
    </sheetView>
  </sheetViews>
  <sheetFormatPr defaultColWidth="9.33203125" defaultRowHeight="15" outlineLevelCol="1" x14ac:dyDescent="0.25"/>
  <cols>
    <col min="1" max="1" width="6.1640625" style="135" customWidth="1"/>
    <col min="2" max="2" width="3" style="135" customWidth="1"/>
    <col min="3" max="3" width="7.83203125" style="135" hidden="1" customWidth="1" outlineLevel="1"/>
    <col min="4" max="4" width="27.5" style="135" customWidth="1" collapsed="1"/>
    <col min="5" max="5" width="4.83203125" style="135" customWidth="1"/>
    <col min="6" max="6" width="7.5" style="135" hidden="1" customWidth="1" outlineLevel="1"/>
    <col min="7" max="7" width="30.5" style="135" customWidth="1" collapsed="1"/>
    <col min="8" max="8" width="4.6640625" style="135" customWidth="1"/>
    <col min="9" max="9" width="9" style="135" hidden="1" customWidth="1" outlineLevel="1"/>
    <col min="10" max="10" width="32.5" style="135" customWidth="1" collapsed="1"/>
    <col min="11" max="11" width="9.33203125" style="135" customWidth="1"/>
    <col min="12" max="16384" width="9.33203125" style="135"/>
  </cols>
  <sheetData>
    <row r="1" spans="2:12" ht="18.75" x14ac:dyDescent="0.3">
      <c r="D1" s="1427" t="str">
        <f>'Списки участников'!A1</f>
        <v>IV Мемориал Заслуженного тренера России В.А.Воробьева</v>
      </c>
      <c r="E1" s="1427"/>
      <c r="F1" s="1427"/>
      <c r="G1" s="1427"/>
      <c r="H1" s="1427"/>
      <c r="I1" s="1427"/>
      <c r="J1" s="1427"/>
      <c r="K1" s="1427"/>
    </row>
    <row r="2" spans="2:12" ht="18.75" x14ac:dyDescent="0.3">
      <c r="D2" s="1428" t="str">
        <f>'Списки участников'!A2</f>
        <v>среди юношей и девушек 2002 г.р. и моложе</v>
      </c>
      <c r="E2" s="1428"/>
      <c r="F2" s="1428"/>
      <c r="G2" s="1428"/>
      <c r="H2" s="1428"/>
      <c r="I2" s="1428"/>
      <c r="J2" s="1428"/>
      <c r="K2" s="1428"/>
    </row>
    <row r="3" spans="2:12" ht="21" x14ac:dyDescent="0.3">
      <c r="D3" s="818" t="str">
        <f>'Списки участников'!C3</f>
        <v>26-29 мая 2016 г.</v>
      </c>
      <c r="G3" s="819" t="s">
        <v>2477</v>
      </c>
      <c r="K3" s="1429" t="str">
        <f>'Списки участников'!I3</f>
        <v>г. Москва</v>
      </c>
      <c r="L3" s="1429"/>
    </row>
    <row r="4" spans="2:12" ht="21" x14ac:dyDescent="0.3">
      <c r="D4" s="150"/>
      <c r="G4" s="852" t="str">
        <f>'Списки участников'!D6</f>
        <v>ЮНОШИ</v>
      </c>
      <c r="K4" s="817"/>
      <c r="L4" s="817"/>
    </row>
    <row r="5" spans="2:12" ht="21" x14ac:dyDescent="0.3">
      <c r="D5" s="150"/>
      <c r="G5" s="819"/>
      <c r="K5" s="817"/>
      <c r="L5" s="817"/>
    </row>
    <row r="7" spans="2:12" ht="11.25" customHeight="1" x14ac:dyDescent="0.3">
      <c r="D7" s="150"/>
    </row>
    <row r="8" spans="2:12" ht="22.5" customHeight="1" x14ac:dyDescent="0.3">
      <c r="B8" s="820">
        <v>1</v>
      </c>
      <c r="C8" s="821"/>
      <c r="D8" s="822" t="str">
        <f>IF(C8="","",VLOOKUP(C8,'Списки участников'!A:I,3,FALSE))</f>
        <v/>
      </c>
    </row>
    <row r="9" spans="2:12" ht="24.95" customHeight="1" x14ac:dyDescent="0.3">
      <c r="B9" s="823"/>
      <c r="C9" s="823"/>
      <c r="D9" s="824" t="str">
        <f>IF(C8="","",VLOOKUP(C8,'Списки участников'!A:I,6,FALSE))</f>
        <v/>
      </c>
      <c r="E9" s="825">
        <v>1</v>
      </c>
      <c r="F9" s="826"/>
      <c r="G9" s="150" t="str">
        <f>IF(F9="","",VLOOKUP(F9,'Списки участников'!A:I,3,FALSE))</f>
        <v/>
      </c>
    </row>
    <row r="10" spans="2:12" ht="22.5" customHeight="1" x14ac:dyDescent="0.3">
      <c r="B10" s="827">
        <v>2</v>
      </c>
      <c r="C10" s="828"/>
      <c r="D10" s="829" t="str">
        <f>IF(C10="","",VLOOKUP(C10,'Списки участников'!A:I,3,FALSE))</f>
        <v/>
      </c>
      <c r="E10" s="830"/>
      <c r="F10" s="524"/>
      <c r="G10" s="911" t="s">
        <v>2598</v>
      </c>
      <c r="H10" s="825"/>
      <c r="I10" s="524"/>
    </row>
    <row r="11" spans="2:12" ht="24.95" customHeight="1" x14ac:dyDescent="0.3">
      <c r="B11" s="820"/>
      <c r="C11" s="820"/>
      <c r="D11" s="831" t="str">
        <f>IF(C10="","",VLOOKUP(C10,'Списки участников'!A:I,6,FALSE))</f>
        <v/>
      </c>
      <c r="E11" s="832"/>
      <c r="F11" s="524"/>
      <c r="G11" s="524"/>
      <c r="H11" s="833">
        <v>3</v>
      </c>
      <c r="I11" s="834"/>
      <c r="J11" s="822" t="str">
        <f>IF(I11="","",VLOOKUP(I11,'Списки участников'!A:I,3,FALSE))</f>
        <v/>
      </c>
      <c r="K11" s="515" t="s">
        <v>2478</v>
      </c>
    </row>
    <row r="12" spans="2:12" ht="22.5" customHeight="1" x14ac:dyDescent="0.3">
      <c r="B12" s="820">
        <v>3</v>
      </c>
      <c r="C12" s="821"/>
      <c r="D12" s="822" t="str">
        <f>IF(C12="","",VLOOKUP(C12,'Списки участников'!A:I,3,FALSE))</f>
        <v/>
      </c>
      <c r="E12" s="783"/>
      <c r="F12" s="524"/>
      <c r="G12" s="524"/>
      <c r="H12" s="835"/>
      <c r="I12" s="524"/>
      <c r="J12" s="836" t="str">
        <f>IF(I11="","",VLOOKUP(I11,'Списки участников'!A:I,6,FALSE))</f>
        <v/>
      </c>
      <c r="K12" s="832"/>
    </row>
    <row r="13" spans="2:12" ht="24.95" customHeight="1" x14ac:dyDescent="0.3">
      <c r="B13" s="823"/>
      <c r="C13" s="823"/>
      <c r="D13" s="824" t="str">
        <f>IF(C12="","",VLOOKUP(C12,'Списки участников'!A:I,6,FALSE))</f>
        <v/>
      </c>
      <c r="E13" s="825">
        <v>2</v>
      </c>
      <c r="F13" s="826"/>
      <c r="G13" s="837" t="str">
        <f>IF(F13="","",VLOOKUP(F13,'Списки участников'!A:I,3,FALSE))</f>
        <v/>
      </c>
      <c r="H13" s="830"/>
      <c r="I13" s="524"/>
      <c r="J13" s="838" t="s">
        <v>1106</v>
      </c>
    </row>
    <row r="14" spans="2:12" ht="22.5" customHeight="1" x14ac:dyDescent="0.3">
      <c r="B14" s="827">
        <v>4</v>
      </c>
      <c r="C14" s="828"/>
      <c r="D14" s="829" t="str">
        <f>IF(C14="","",VLOOKUP(C14,'Списки участников'!A:I,3,FALSE))</f>
        <v/>
      </c>
      <c r="E14" s="830"/>
      <c r="F14" s="524"/>
      <c r="G14" s="912" t="s">
        <v>1106</v>
      </c>
      <c r="J14" s="150"/>
    </row>
    <row r="15" spans="2:12" ht="24.95" customHeight="1" x14ac:dyDescent="0.3">
      <c r="D15" s="839" t="str">
        <f>IF(C14="","",VLOOKUP(C14,'Списки участников'!A:I,6,FALSE))</f>
        <v/>
      </c>
      <c r="H15" s="783">
        <v>-3</v>
      </c>
      <c r="I15" s="840" t="str">
        <f>IF(I11="","",IF(I11=F9,F13,IF(I11=F13,F9)))</f>
        <v/>
      </c>
      <c r="J15" s="829" t="str">
        <f>IF(I15="","",VLOOKUP(I15,'Списки участников'!A:I,3,FALSE))</f>
        <v/>
      </c>
      <c r="K15" s="841" t="s">
        <v>2479</v>
      </c>
    </row>
    <row r="16" spans="2:12" ht="24.95" customHeight="1" x14ac:dyDescent="0.25">
      <c r="J16" s="842" t="str">
        <f>IF(I15="","",VLOOKUP(I15,'Списки участников'!A:I,6,FALSE))</f>
        <v/>
      </c>
    </row>
    <row r="17" spans="4:11" ht="24.95" customHeight="1" x14ac:dyDescent="0.3">
      <c r="J17" s="150"/>
    </row>
    <row r="18" spans="4:11" ht="24.95" customHeight="1" x14ac:dyDescent="0.3">
      <c r="E18" s="843">
        <v>-1</v>
      </c>
      <c r="F18" s="844" t="str">
        <f>IF(F9="","",IF(F9=C8,C10,IF(F9=C10,C8)))</f>
        <v/>
      </c>
      <c r="G18" s="845" t="str">
        <f>IF(F18="","",VLOOKUP(F18,'Списки участников'!A:I,3,FALSE))</f>
        <v/>
      </c>
      <c r="H18" s="783"/>
      <c r="I18" s="524"/>
      <c r="J18" s="150"/>
    </row>
    <row r="19" spans="4:11" ht="24.95" customHeight="1" x14ac:dyDescent="0.3">
      <c r="E19" s="846"/>
      <c r="F19" s="846"/>
      <c r="G19" s="847"/>
      <c r="H19" s="848">
        <v>4</v>
      </c>
      <c r="I19" s="834"/>
      <c r="J19" s="849" t="str">
        <f>IF(I19="","",VLOOKUP(I19,'Списки участников'!A:I,3,FALSE))</f>
        <v/>
      </c>
      <c r="K19" s="841" t="s">
        <v>2480</v>
      </c>
    </row>
    <row r="20" spans="4:11" ht="24.95" customHeight="1" x14ac:dyDescent="0.3">
      <c r="E20" s="843">
        <v>-2</v>
      </c>
      <c r="F20" s="844" t="str">
        <f>IF(F13="","",IF(F13=C12,C14,IF(F13=C14,C12)))</f>
        <v/>
      </c>
      <c r="G20" s="845" t="str">
        <f>IF(F20="","",VLOOKUP(F20,'Списки участников'!A:I,3,FALSE))</f>
        <v/>
      </c>
      <c r="H20" s="830"/>
      <c r="I20" s="524"/>
      <c r="J20" s="850" t="str">
        <f>IF(I19="","",VLOOKUP(I19,'Списки участников'!A:I,6,FALSE))</f>
        <v/>
      </c>
      <c r="K20" s="515"/>
    </row>
    <row r="21" spans="4:11" ht="24.95" customHeight="1" x14ac:dyDescent="0.3">
      <c r="J21" s="838" t="s">
        <v>2598</v>
      </c>
      <c r="K21" s="515"/>
    </row>
    <row r="22" spans="4:11" ht="24.95" customHeight="1" x14ac:dyDescent="0.3">
      <c r="J22" s="150"/>
      <c r="K22" s="515"/>
    </row>
    <row r="23" spans="4:11" ht="24.95" customHeight="1" x14ac:dyDescent="0.3">
      <c r="H23" s="783">
        <v>-4</v>
      </c>
      <c r="I23" s="840" t="str">
        <f>IF(I19="","",IF(I19=F18,F20,IF(I19=F20,F18)))</f>
        <v/>
      </c>
      <c r="J23" s="829" t="str">
        <f>IF(I23="","",VLOOKUP(I23,'Списки участников'!A:I,3,FALSE))</f>
        <v/>
      </c>
      <c r="K23" s="841" t="s">
        <v>2481</v>
      </c>
    </row>
    <row r="24" spans="4:11" ht="24.95" customHeight="1" x14ac:dyDescent="0.25">
      <c r="J24" s="842" t="str">
        <f>IF(I23="","",VLOOKUP(I23,'Списки участников'!A:I,6,FALSE))</f>
        <v/>
      </c>
    </row>
    <row r="25" spans="4:11" ht="24.95" customHeight="1" x14ac:dyDescent="0.25"/>
    <row r="26" spans="4:11" ht="86.25" customHeight="1" x14ac:dyDescent="0.25"/>
    <row r="27" spans="4:11" ht="18.75" x14ac:dyDescent="0.3">
      <c r="D27" s="150" t="s">
        <v>791</v>
      </c>
      <c r="E27" s="150"/>
      <c r="F27" s="150"/>
      <c r="G27" s="851" t="str">
        <f>'Списки участников'!I121</f>
        <v>В.А. Коваль</v>
      </c>
    </row>
    <row r="28" spans="4:11" ht="18.75" x14ac:dyDescent="0.3">
      <c r="D28" s="150"/>
      <c r="E28" s="150"/>
      <c r="F28" s="150"/>
      <c r="G28" s="150"/>
    </row>
    <row r="29" spans="4:11" ht="18.75" x14ac:dyDescent="0.3">
      <c r="D29" s="150" t="s">
        <v>792</v>
      </c>
      <c r="E29" s="150"/>
      <c r="F29" s="150"/>
      <c r="G29" s="851" t="str">
        <f>'Списки участников'!I122</f>
        <v>А.С. Рожкова</v>
      </c>
    </row>
    <row r="53" ht="16.5" customHeight="1" x14ac:dyDescent="0.25"/>
    <row r="54" ht="17.25" customHeight="1" x14ac:dyDescent="0.25"/>
  </sheetData>
  <mergeCells count="3">
    <mergeCell ref="D1:K1"/>
    <mergeCell ref="D2:K2"/>
    <mergeCell ref="K3:L3"/>
  </mergeCells>
  <pageMargins left="0.7" right="0.7" top="0.75" bottom="0.75" header="0.3" footer="0.3"/>
  <pageSetup paperSize="9" scale="64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U107"/>
  <sheetViews>
    <sheetView view="pageBreakPreview" zoomScale="120" zoomScaleNormal="100" zoomScaleSheetLayoutView="120" workbookViewId="0">
      <selection activeCell="R9" sqref="R9:R105"/>
    </sheetView>
  </sheetViews>
  <sheetFormatPr defaultColWidth="9.33203125" defaultRowHeight="12.75" outlineLevelCol="1" x14ac:dyDescent="0.2"/>
  <cols>
    <col min="1" max="1" width="6.83203125" style="91" customWidth="1"/>
    <col min="2" max="2" width="6.83203125" style="91" hidden="1" customWidth="1" outlineLevel="1"/>
    <col min="3" max="3" width="33.5" style="91" customWidth="1" collapsed="1"/>
    <col min="4" max="4" width="26.6640625" style="91" customWidth="1"/>
    <col min="5" max="5" width="17.6640625" style="91" hidden="1" customWidth="1" outlineLevel="1"/>
    <col min="6" max="6" width="4.83203125" style="91" hidden="1" customWidth="1" outlineLevel="1"/>
    <col min="7" max="7" width="18.33203125" style="91" hidden="1" customWidth="1" outlineLevel="1"/>
    <col min="8" max="8" width="8.5" style="91" customWidth="1" collapsed="1"/>
    <col min="9" max="9" width="4.33203125" style="91" customWidth="1"/>
    <col min="10" max="10" width="9.1640625" style="91" customWidth="1"/>
    <col min="11" max="11" width="4.5" style="91" customWidth="1"/>
    <col min="12" max="12" width="10.33203125" style="91" customWidth="1"/>
    <col min="13" max="13" width="4.5" style="91" customWidth="1"/>
    <col min="14" max="14" width="10" style="91" hidden="1" customWidth="1"/>
    <col min="15" max="15" width="5" style="91" hidden="1" customWidth="1"/>
    <col min="16" max="16" width="9.33203125" style="91" customWidth="1"/>
    <col min="17" max="17" width="4.83203125" style="91" customWidth="1"/>
    <col min="18" max="18" width="9.33203125" style="91" customWidth="1"/>
    <col min="19" max="19" width="4.83203125" style="91" customWidth="1"/>
    <col min="20" max="20" width="5.33203125" style="91" customWidth="1"/>
    <col min="21" max="21" width="7.83203125" style="91" customWidth="1"/>
    <col min="22" max="16384" width="9.33203125" style="91"/>
  </cols>
  <sheetData>
    <row r="1" spans="1:21" ht="15.75" x14ac:dyDescent="0.25">
      <c r="A1" s="1430"/>
      <c r="B1" s="1430"/>
      <c r="C1" s="1430"/>
      <c r="D1" s="1430"/>
    </row>
    <row r="2" spans="1:21" ht="23.25" x14ac:dyDescent="0.35">
      <c r="A2" s="1431" t="str">
        <f>'Списки участников'!A1</f>
        <v>IV Мемориал Заслуженного тренера России В.А.Воробьева</v>
      </c>
      <c r="B2" s="1431"/>
      <c r="C2" s="1431"/>
      <c r="D2" s="1431"/>
      <c r="E2" s="1431"/>
      <c r="F2" s="1431"/>
      <c r="G2" s="1431"/>
      <c r="H2" s="1431"/>
      <c r="I2" s="1431"/>
      <c r="J2" s="1431"/>
      <c r="K2" s="1431"/>
      <c r="L2" s="1431"/>
      <c r="M2" s="1431"/>
      <c r="N2" s="1431"/>
      <c r="O2" s="1431"/>
      <c r="P2" s="1431"/>
      <c r="Q2" s="1431"/>
      <c r="R2" s="1431"/>
      <c r="S2" s="1431"/>
      <c r="T2" s="1431"/>
    </row>
    <row r="3" spans="1:21" ht="19.5" x14ac:dyDescent="0.2">
      <c r="A3" s="1432" t="str">
        <f>'Списки участников'!A2</f>
        <v>среди юношей и девушек 2002 г.р. и моложе</v>
      </c>
      <c r="B3" s="1432"/>
      <c r="C3" s="1432"/>
      <c r="D3" s="1432"/>
      <c r="E3" s="1432"/>
      <c r="F3" s="1432"/>
      <c r="G3" s="1432"/>
      <c r="H3" s="1432"/>
      <c r="I3" s="1432"/>
      <c r="J3" s="1432"/>
      <c r="K3" s="1432"/>
      <c r="L3" s="1432"/>
      <c r="M3" s="1432"/>
      <c r="N3" s="1432"/>
      <c r="O3" s="1432"/>
      <c r="P3" s="1432"/>
      <c r="Q3" s="1432"/>
      <c r="R3" s="1432"/>
      <c r="S3" s="1432"/>
      <c r="T3" s="1432"/>
    </row>
    <row r="4" spans="1:21" ht="15.75" x14ac:dyDescent="0.2">
      <c r="A4" s="738" t="s">
        <v>1144</v>
      </c>
      <c r="B4" s="738"/>
      <c r="C4" s="1436" t="s">
        <v>1145</v>
      </c>
      <c r="D4" s="1436"/>
      <c r="E4" s="1436"/>
      <c r="F4" s="1436"/>
      <c r="G4" s="1436"/>
      <c r="H4" s="1436"/>
      <c r="I4" s="1436"/>
      <c r="J4" s="810" t="str">
        <f>'Списки участников'!D6</f>
        <v>ЮНОШИ</v>
      </c>
      <c r="K4" s="738"/>
      <c r="L4" s="738"/>
      <c r="M4" s="738"/>
      <c r="N4" s="738"/>
      <c r="O4" s="738"/>
      <c r="P4" s="738"/>
      <c r="Q4" s="738"/>
      <c r="R4" s="738"/>
      <c r="S4" s="738"/>
      <c r="T4" s="738"/>
    </row>
    <row r="5" spans="1:21" ht="15.75" x14ac:dyDescent="0.25">
      <c r="A5" s="1433"/>
      <c r="B5" s="1433"/>
      <c r="C5" s="1433"/>
      <c r="D5" s="1433"/>
    </row>
    <row r="6" spans="1:21" ht="15.75" x14ac:dyDescent="0.25">
      <c r="C6" s="488" t="str">
        <f>'Списки участников'!C3</f>
        <v>26-29 мая 2016 г.</v>
      </c>
      <c r="D6" s="94"/>
      <c r="N6" s="1434"/>
      <c r="O6" s="1434"/>
      <c r="P6" s="1434"/>
      <c r="Q6" s="1434"/>
      <c r="R6" s="1435" t="str">
        <f>'Списки участников'!I3</f>
        <v>г. Москва</v>
      </c>
      <c r="S6" s="1435"/>
      <c r="T6" s="1435"/>
    </row>
    <row r="7" spans="1:21" ht="13.5" thickBot="1" x14ac:dyDescent="0.25">
      <c r="D7" s="94"/>
      <c r="H7" s="489"/>
      <c r="I7" s="489"/>
      <c r="J7" s="489"/>
      <c r="K7" s="489"/>
      <c r="L7" s="489"/>
      <c r="M7" s="489"/>
      <c r="N7" s="489"/>
      <c r="O7" s="489"/>
      <c r="P7" s="489"/>
      <c r="Q7" s="489"/>
      <c r="R7" s="489"/>
      <c r="S7" s="171"/>
    </row>
    <row r="8" spans="1:21" ht="54.75" customHeight="1" thickTop="1" thickBot="1" x14ac:dyDescent="0.25">
      <c r="A8" s="95" t="s">
        <v>3</v>
      </c>
      <c r="B8" s="96"/>
      <c r="C8" s="96" t="s">
        <v>4</v>
      </c>
      <c r="D8" s="95" t="s">
        <v>44</v>
      </c>
      <c r="E8" s="490"/>
      <c r="F8" s="489"/>
      <c r="G8" s="489"/>
      <c r="H8" s="181" t="s">
        <v>884</v>
      </c>
      <c r="I8" s="491" t="s">
        <v>100</v>
      </c>
      <c r="J8" s="181" t="s">
        <v>885</v>
      </c>
      <c r="K8" s="491" t="s">
        <v>100</v>
      </c>
      <c r="L8" s="181" t="s">
        <v>886</v>
      </c>
      <c r="M8" s="491" t="s">
        <v>887</v>
      </c>
      <c r="N8" s="181" t="s">
        <v>888</v>
      </c>
      <c r="O8" s="491" t="s">
        <v>887</v>
      </c>
      <c r="P8" s="181" t="s">
        <v>889</v>
      </c>
      <c r="Q8" s="491" t="s">
        <v>887</v>
      </c>
      <c r="R8" s="182" t="s">
        <v>890</v>
      </c>
      <c r="S8" s="183" t="s">
        <v>887</v>
      </c>
      <c r="T8" s="491" t="s">
        <v>999</v>
      </c>
      <c r="U8" s="183" t="s">
        <v>891</v>
      </c>
    </row>
    <row r="9" spans="1:21" ht="16.5" thickTop="1" x14ac:dyDescent="0.25">
      <c r="A9" s="184" t="s">
        <v>10</v>
      </c>
      <c r="B9" s="692"/>
      <c r="C9" s="105" t="str">
        <f>IF(B9="","",VLOOKUP(B9,'Списки участников'!A:L,3,FALSE))</f>
        <v/>
      </c>
      <c r="D9" s="102" t="str">
        <f>IF(B9="","",VLOOKUP(B9,'Списки участников'!A:L,6,FALSE))</f>
        <v/>
      </c>
      <c r="E9" s="104"/>
      <c r="F9" s="104"/>
      <c r="G9" s="104"/>
      <c r="H9" s="185"/>
      <c r="I9" s="186" t="str">
        <f t="shared" ref="I9:I40" si="0">IF(B9="","",RANK(H9,БЕГ,1))</f>
        <v/>
      </c>
      <c r="J9" s="185"/>
      <c r="K9" s="186" t="str">
        <f t="shared" ref="K9:K40" si="1">IF(B9="","",RANK(J9,ДЛИНА,))</f>
        <v/>
      </c>
      <c r="L9" s="185"/>
      <c r="M9" s="186" t="str">
        <f t="shared" ref="M9:M40" si="2">IF(B9="","",RANK(L9,СКАК,))</f>
        <v/>
      </c>
      <c r="N9" s="185"/>
      <c r="O9" s="186" t="e">
        <f t="shared" ref="O9:O31" si="3">IF(C9=0,"",RANK(N9,ОТЖИМ,))</f>
        <v>#N/A</v>
      </c>
      <c r="P9" s="185"/>
      <c r="Q9" s="186" t="str">
        <f t="shared" ref="Q9:Q40" si="4">IF(B9="","",RANK(P9,ПРЕСС,))</f>
        <v/>
      </c>
      <c r="R9" s="185"/>
      <c r="S9" s="186" t="str">
        <f t="shared" ref="S9:S40" si="5">IF(B9="","",RANK(R9,КВАДР,))</f>
        <v/>
      </c>
      <c r="T9" s="492" t="str">
        <f t="shared" ref="T9:T40" si="6">IF(B9="","",I9+K9+M9+Q9+S9)</f>
        <v/>
      </c>
      <c r="U9" s="493" t="str">
        <f t="shared" ref="U9:U40" si="7">IF(B9="","",RANK(T9,Сумма_мест,1))</f>
        <v/>
      </c>
    </row>
    <row r="10" spans="1:21" ht="15.75" x14ac:dyDescent="0.25">
      <c r="A10" s="184" t="s">
        <v>41</v>
      </c>
      <c r="B10" s="692"/>
      <c r="C10" s="105" t="str">
        <f>IF(B10="","",VLOOKUP(B10,'Списки участников'!A:L,3,FALSE))</f>
        <v/>
      </c>
      <c r="D10" s="102" t="str">
        <f>IF(B10="","",VLOOKUP(B10,'Списки участников'!A:L,6,FALSE))</f>
        <v/>
      </c>
      <c r="E10" s="104" t="e">
        <f t="shared" ref="E10:E16" si="8">MID(C10,1,SEARCH(" ",C10)-1)</f>
        <v>#VALUE!</v>
      </c>
      <c r="F10" s="104" t="e">
        <f t="shared" ref="F10:F16" si="9">MID(C10,SEARCH(" ",C10)+1,1)</f>
        <v>#VALUE!</v>
      </c>
      <c r="G10" s="104" t="e">
        <f t="shared" ref="G10:G16" si="10">CONCATENATE(E10," ",F10,".")</f>
        <v>#VALUE!</v>
      </c>
      <c r="H10" s="187"/>
      <c r="I10" s="186" t="str">
        <f t="shared" si="0"/>
        <v/>
      </c>
      <c r="J10" s="187"/>
      <c r="K10" s="186" t="str">
        <f t="shared" si="1"/>
        <v/>
      </c>
      <c r="L10" s="187"/>
      <c r="M10" s="186" t="str">
        <f t="shared" si="2"/>
        <v/>
      </c>
      <c r="N10" s="187"/>
      <c r="O10" s="186" t="e">
        <f t="shared" si="3"/>
        <v>#N/A</v>
      </c>
      <c r="P10" s="187"/>
      <c r="Q10" s="186" t="str">
        <f t="shared" si="4"/>
        <v/>
      </c>
      <c r="R10" s="187"/>
      <c r="S10" s="186" t="str">
        <f t="shared" si="5"/>
        <v/>
      </c>
      <c r="T10" s="492" t="str">
        <f t="shared" si="6"/>
        <v/>
      </c>
      <c r="U10" s="493" t="str">
        <f t="shared" si="7"/>
        <v/>
      </c>
    </row>
    <row r="11" spans="1:21" ht="15.75" x14ac:dyDescent="0.25">
      <c r="A11" s="184" t="s">
        <v>35</v>
      </c>
      <c r="B11" s="692"/>
      <c r="C11" s="105" t="str">
        <f>IF(B11="","",VLOOKUP(B11,'Списки участников'!A:L,3,FALSE))</f>
        <v/>
      </c>
      <c r="D11" s="102" t="str">
        <f>IF(B11="","",VLOOKUP(B11,'Списки участников'!A:L,6,FALSE))</f>
        <v/>
      </c>
      <c r="E11" s="104" t="e">
        <f t="shared" si="8"/>
        <v>#VALUE!</v>
      </c>
      <c r="F11" s="104" t="e">
        <f t="shared" si="9"/>
        <v>#VALUE!</v>
      </c>
      <c r="G11" s="104" t="e">
        <f t="shared" si="10"/>
        <v>#VALUE!</v>
      </c>
      <c r="H11" s="187"/>
      <c r="I11" s="186" t="str">
        <f t="shared" si="0"/>
        <v/>
      </c>
      <c r="J11" s="187"/>
      <c r="K11" s="186" t="str">
        <f t="shared" si="1"/>
        <v/>
      </c>
      <c r="L11" s="187"/>
      <c r="M11" s="186" t="str">
        <f t="shared" si="2"/>
        <v/>
      </c>
      <c r="N11" s="187"/>
      <c r="O11" s="186" t="e">
        <f t="shared" si="3"/>
        <v>#N/A</v>
      </c>
      <c r="P11" s="187"/>
      <c r="Q11" s="186" t="str">
        <f t="shared" si="4"/>
        <v/>
      </c>
      <c r="R11" s="187"/>
      <c r="S11" s="186" t="str">
        <f t="shared" si="5"/>
        <v/>
      </c>
      <c r="T11" s="492" t="str">
        <f t="shared" si="6"/>
        <v/>
      </c>
      <c r="U11" s="493" t="str">
        <f t="shared" si="7"/>
        <v/>
      </c>
    </row>
    <row r="12" spans="1:21" ht="15.75" x14ac:dyDescent="0.25">
      <c r="A12" s="184" t="s">
        <v>15</v>
      </c>
      <c r="B12" s="692"/>
      <c r="C12" s="105" t="str">
        <f>IF(B12="","",VLOOKUP(B12,'Списки участников'!A:L,3,FALSE))</f>
        <v/>
      </c>
      <c r="D12" s="102" t="str">
        <f>IF(B12="","",VLOOKUP(B12,'Списки участников'!A:L,6,FALSE))</f>
        <v/>
      </c>
      <c r="E12" s="104" t="e">
        <f t="shared" si="8"/>
        <v>#VALUE!</v>
      </c>
      <c r="F12" s="104" t="e">
        <f t="shared" si="9"/>
        <v>#VALUE!</v>
      </c>
      <c r="G12" s="104" t="e">
        <f t="shared" si="10"/>
        <v>#VALUE!</v>
      </c>
      <c r="H12" s="187"/>
      <c r="I12" s="186" t="str">
        <f t="shared" si="0"/>
        <v/>
      </c>
      <c r="J12" s="187"/>
      <c r="K12" s="186" t="str">
        <f t="shared" si="1"/>
        <v/>
      </c>
      <c r="L12" s="187"/>
      <c r="M12" s="186" t="str">
        <f t="shared" si="2"/>
        <v/>
      </c>
      <c r="N12" s="187"/>
      <c r="O12" s="186" t="e">
        <f t="shared" si="3"/>
        <v>#N/A</v>
      </c>
      <c r="P12" s="187"/>
      <c r="Q12" s="186" t="str">
        <f t="shared" si="4"/>
        <v/>
      </c>
      <c r="R12" s="187"/>
      <c r="S12" s="186" t="str">
        <f t="shared" si="5"/>
        <v/>
      </c>
      <c r="T12" s="492" t="str">
        <f t="shared" si="6"/>
        <v/>
      </c>
      <c r="U12" s="493" t="str">
        <f t="shared" si="7"/>
        <v/>
      </c>
    </row>
    <row r="13" spans="1:21" ht="15.75" x14ac:dyDescent="0.25">
      <c r="A13" s="184" t="s">
        <v>37</v>
      </c>
      <c r="B13" s="692"/>
      <c r="C13" s="105" t="str">
        <f>IF(B13="","",VLOOKUP(B13,'Списки участников'!A:L,3,FALSE))</f>
        <v/>
      </c>
      <c r="D13" s="102" t="str">
        <f>IF(B13="","",VLOOKUP(B13,'Списки участников'!A:L,6,FALSE))</f>
        <v/>
      </c>
      <c r="E13" s="104" t="e">
        <f t="shared" si="8"/>
        <v>#VALUE!</v>
      </c>
      <c r="F13" s="104" t="e">
        <f t="shared" si="9"/>
        <v>#VALUE!</v>
      </c>
      <c r="G13" s="104" t="e">
        <f t="shared" si="10"/>
        <v>#VALUE!</v>
      </c>
      <c r="H13" s="187"/>
      <c r="I13" s="186" t="str">
        <f t="shared" si="0"/>
        <v/>
      </c>
      <c r="J13" s="187"/>
      <c r="K13" s="186" t="str">
        <f t="shared" si="1"/>
        <v/>
      </c>
      <c r="L13" s="187"/>
      <c r="M13" s="186" t="str">
        <f t="shared" si="2"/>
        <v/>
      </c>
      <c r="N13" s="187"/>
      <c r="O13" s="186" t="e">
        <f t="shared" si="3"/>
        <v>#N/A</v>
      </c>
      <c r="P13" s="187"/>
      <c r="Q13" s="186" t="str">
        <f t="shared" si="4"/>
        <v/>
      </c>
      <c r="R13" s="187"/>
      <c r="S13" s="186" t="str">
        <f t="shared" si="5"/>
        <v/>
      </c>
      <c r="T13" s="492" t="str">
        <f t="shared" si="6"/>
        <v/>
      </c>
      <c r="U13" s="493" t="str">
        <f t="shared" si="7"/>
        <v/>
      </c>
    </row>
    <row r="14" spans="1:21" ht="15.75" x14ac:dyDescent="0.25">
      <c r="A14" s="184" t="s">
        <v>42</v>
      </c>
      <c r="B14" s="692"/>
      <c r="C14" s="105" t="str">
        <f>IF(B14="","",VLOOKUP(B14,'Списки участников'!A:L,3,FALSE))</f>
        <v/>
      </c>
      <c r="D14" s="102" t="str">
        <f>IF(B14="","",VLOOKUP(B14,'Списки участников'!A:L,6,FALSE))</f>
        <v/>
      </c>
      <c r="E14" s="104" t="e">
        <f t="shared" si="8"/>
        <v>#VALUE!</v>
      </c>
      <c r="F14" s="104" t="e">
        <f t="shared" si="9"/>
        <v>#VALUE!</v>
      </c>
      <c r="G14" s="104" t="e">
        <f t="shared" si="10"/>
        <v>#VALUE!</v>
      </c>
      <c r="H14" s="187"/>
      <c r="I14" s="186" t="str">
        <f t="shared" si="0"/>
        <v/>
      </c>
      <c r="J14" s="187"/>
      <c r="K14" s="186" t="str">
        <f t="shared" si="1"/>
        <v/>
      </c>
      <c r="L14" s="187"/>
      <c r="M14" s="186" t="str">
        <f t="shared" si="2"/>
        <v/>
      </c>
      <c r="N14" s="187"/>
      <c r="O14" s="186" t="e">
        <f t="shared" si="3"/>
        <v>#N/A</v>
      </c>
      <c r="P14" s="187"/>
      <c r="Q14" s="186" t="str">
        <f t="shared" si="4"/>
        <v/>
      </c>
      <c r="R14" s="187"/>
      <c r="S14" s="186" t="str">
        <f t="shared" si="5"/>
        <v/>
      </c>
      <c r="T14" s="492" t="str">
        <f t="shared" si="6"/>
        <v/>
      </c>
      <c r="U14" s="493" t="str">
        <f t="shared" si="7"/>
        <v/>
      </c>
    </row>
    <row r="15" spans="1:21" ht="15.75" x14ac:dyDescent="0.25">
      <c r="A15" s="184" t="s">
        <v>28</v>
      </c>
      <c r="B15" s="692"/>
      <c r="C15" s="105" t="str">
        <f>IF(B15="","",VLOOKUP(B15,'Списки участников'!A:L,3,FALSE))</f>
        <v/>
      </c>
      <c r="D15" s="102" t="str">
        <f>IF(B15="","",VLOOKUP(B15,'Списки участников'!A:L,6,FALSE))</f>
        <v/>
      </c>
      <c r="E15" s="104" t="e">
        <f t="shared" si="8"/>
        <v>#VALUE!</v>
      </c>
      <c r="F15" s="104" t="e">
        <f t="shared" si="9"/>
        <v>#VALUE!</v>
      </c>
      <c r="G15" s="104" t="e">
        <f t="shared" si="10"/>
        <v>#VALUE!</v>
      </c>
      <c r="H15" s="187"/>
      <c r="I15" s="186" t="str">
        <f t="shared" si="0"/>
        <v/>
      </c>
      <c r="J15" s="187"/>
      <c r="K15" s="186" t="str">
        <f t="shared" si="1"/>
        <v/>
      </c>
      <c r="L15" s="187"/>
      <c r="M15" s="186" t="str">
        <f t="shared" si="2"/>
        <v/>
      </c>
      <c r="N15" s="187"/>
      <c r="O15" s="186" t="e">
        <f t="shared" si="3"/>
        <v>#N/A</v>
      </c>
      <c r="P15" s="187"/>
      <c r="Q15" s="186" t="str">
        <f t="shared" si="4"/>
        <v/>
      </c>
      <c r="R15" s="187"/>
      <c r="S15" s="186" t="str">
        <f t="shared" si="5"/>
        <v/>
      </c>
      <c r="T15" s="492" t="str">
        <f t="shared" si="6"/>
        <v/>
      </c>
      <c r="U15" s="493" t="str">
        <f t="shared" si="7"/>
        <v/>
      </c>
    </row>
    <row r="16" spans="1:21" ht="15.75" x14ac:dyDescent="0.25">
      <c r="A16" s="184" t="s">
        <v>22</v>
      </c>
      <c r="B16" s="692"/>
      <c r="C16" s="105" t="str">
        <f>IF(B16="","",VLOOKUP(B16,'Списки участников'!A:L,3,FALSE))</f>
        <v/>
      </c>
      <c r="D16" s="102" t="str">
        <f>IF(B16="","",VLOOKUP(B16,'Списки участников'!A:L,6,FALSE))</f>
        <v/>
      </c>
      <c r="E16" s="104" t="e">
        <f t="shared" si="8"/>
        <v>#VALUE!</v>
      </c>
      <c r="F16" s="104" t="e">
        <f t="shared" si="9"/>
        <v>#VALUE!</v>
      </c>
      <c r="G16" s="104" t="e">
        <f t="shared" si="10"/>
        <v>#VALUE!</v>
      </c>
      <c r="H16" s="187"/>
      <c r="I16" s="186" t="str">
        <f t="shared" si="0"/>
        <v/>
      </c>
      <c r="J16" s="187"/>
      <c r="K16" s="186" t="str">
        <f t="shared" si="1"/>
        <v/>
      </c>
      <c r="L16" s="187"/>
      <c r="M16" s="186" t="str">
        <f t="shared" si="2"/>
        <v/>
      </c>
      <c r="N16" s="187"/>
      <c r="O16" s="186" t="e">
        <f t="shared" si="3"/>
        <v>#N/A</v>
      </c>
      <c r="P16" s="187"/>
      <c r="Q16" s="186" t="str">
        <f t="shared" si="4"/>
        <v/>
      </c>
      <c r="R16" s="187"/>
      <c r="S16" s="186" t="str">
        <f t="shared" si="5"/>
        <v/>
      </c>
      <c r="T16" s="492" t="str">
        <f t="shared" si="6"/>
        <v/>
      </c>
      <c r="U16" s="493" t="str">
        <f t="shared" si="7"/>
        <v/>
      </c>
    </row>
    <row r="17" spans="1:21" ht="15.75" x14ac:dyDescent="0.25">
      <c r="A17" s="184" t="s">
        <v>38</v>
      </c>
      <c r="B17" s="692"/>
      <c r="C17" s="105" t="str">
        <f>IF(B17="","",VLOOKUP(B17,'Списки участников'!A:L,3,FALSE))</f>
        <v/>
      </c>
      <c r="D17" s="102" t="str">
        <f>IF(B17="","",VLOOKUP(B17,'Списки участников'!A:L,6,FALSE))</f>
        <v/>
      </c>
      <c r="E17" s="104"/>
      <c r="F17" s="104"/>
      <c r="G17" s="104"/>
      <c r="H17" s="187"/>
      <c r="I17" s="186" t="str">
        <f t="shared" si="0"/>
        <v/>
      </c>
      <c r="J17" s="187"/>
      <c r="K17" s="186" t="str">
        <f t="shared" si="1"/>
        <v/>
      </c>
      <c r="L17" s="187"/>
      <c r="M17" s="186" t="str">
        <f t="shared" si="2"/>
        <v/>
      </c>
      <c r="N17" s="187"/>
      <c r="O17" s="186" t="e">
        <f t="shared" si="3"/>
        <v>#N/A</v>
      </c>
      <c r="P17" s="187"/>
      <c r="Q17" s="186" t="str">
        <f t="shared" si="4"/>
        <v/>
      </c>
      <c r="R17" s="187"/>
      <c r="S17" s="186" t="str">
        <f t="shared" si="5"/>
        <v/>
      </c>
      <c r="T17" s="492" t="str">
        <f t="shared" si="6"/>
        <v/>
      </c>
      <c r="U17" s="493" t="str">
        <f t="shared" si="7"/>
        <v/>
      </c>
    </row>
    <row r="18" spans="1:21" ht="15.75" x14ac:dyDescent="0.25">
      <c r="A18" s="184" t="s">
        <v>30</v>
      </c>
      <c r="B18" s="692"/>
      <c r="C18" s="105" t="str">
        <f>IF(B18="","",VLOOKUP(B18,'Списки участников'!A:L,3,FALSE))</f>
        <v/>
      </c>
      <c r="D18" s="102" t="str">
        <f>IF(B18="","",VLOOKUP(B18,'Списки участников'!A:L,6,FALSE))</f>
        <v/>
      </c>
      <c r="E18" s="104" t="e">
        <f>MID(C18,1,SEARCH(" ",C18)-1)</f>
        <v>#VALUE!</v>
      </c>
      <c r="F18" s="104" t="e">
        <f>MID(C18,SEARCH(" ",C18)+1,1)</f>
        <v>#VALUE!</v>
      </c>
      <c r="G18" s="104" t="e">
        <f>CONCATENATE(E18," ",F18,".")</f>
        <v>#VALUE!</v>
      </c>
      <c r="H18" s="187"/>
      <c r="I18" s="186" t="str">
        <f t="shared" si="0"/>
        <v/>
      </c>
      <c r="J18" s="187"/>
      <c r="K18" s="186" t="str">
        <f t="shared" si="1"/>
        <v/>
      </c>
      <c r="L18" s="187"/>
      <c r="M18" s="186" t="str">
        <f t="shared" si="2"/>
        <v/>
      </c>
      <c r="N18" s="187"/>
      <c r="O18" s="186" t="e">
        <f t="shared" si="3"/>
        <v>#N/A</v>
      </c>
      <c r="P18" s="187"/>
      <c r="Q18" s="186" t="str">
        <f t="shared" si="4"/>
        <v/>
      </c>
      <c r="R18" s="187"/>
      <c r="S18" s="186" t="str">
        <f t="shared" si="5"/>
        <v/>
      </c>
      <c r="T18" s="492" t="str">
        <f t="shared" si="6"/>
        <v/>
      </c>
      <c r="U18" s="493" t="str">
        <f t="shared" si="7"/>
        <v/>
      </c>
    </row>
    <row r="19" spans="1:21" ht="15.75" x14ac:dyDescent="0.25">
      <c r="A19" s="184" t="s">
        <v>25</v>
      </c>
      <c r="B19" s="692"/>
      <c r="C19" s="105" t="str">
        <f>IF(B19="","",VLOOKUP(B19,'Списки участников'!A:L,3,FALSE))</f>
        <v/>
      </c>
      <c r="D19" s="102" t="str">
        <f>IF(B19="","",VLOOKUP(B19,'Списки участников'!A:L,6,FALSE))</f>
        <v/>
      </c>
      <c r="E19" s="104"/>
      <c r="F19" s="104"/>
      <c r="G19" s="104"/>
      <c r="H19" s="187"/>
      <c r="I19" s="186" t="str">
        <f t="shared" si="0"/>
        <v/>
      </c>
      <c r="J19" s="187"/>
      <c r="K19" s="186" t="str">
        <f t="shared" si="1"/>
        <v/>
      </c>
      <c r="L19" s="187"/>
      <c r="M19" s="186" t="str">
        <f t="shared" si="2"/>
        <v/>
      </c>
      <c r="N19" s="187"/>
      <c r="O19" s="186" t="e">
        <f t="shared" si="3"/>
        <v>#N/A</v>
      </c>
      <c r="P19" s="187"/>
      <c r="Q19" s="186" t="str">
        <f t="shared" si="4"/>
        <v/>
      </c>
      <c r="R19" s="187"/>
      <c r="S19" s="186" t="str">
        <f t="shared" si="5"/>
        <v/>
      </c>
      <c r="T19" s="492" t="str">
        <f t="shared" si="6"/>
        <v/>
      </c>
      <c r="U19" s="493" t="str">
        <f t="shared" si="7"/>
        <v/>
      </c>
    </row>
    <row r="20" spans="1:21" ht="15.75" x14ac:dyDescent="0.25">
      <c r="A20" s="184" t="s">
        <v>17</v>
      </c>
      <c r="B20" s="692"/>
      <c r="C20" s="105" t="str">
        <f>IF(B20="","",VLOOKUP(B20,'Списки участников'!A:L,3,FALSE))</f>
        <v/>
      </c>
      <c r="D20" s="102" t="str">
        <f>IF(B20="","",VLOOKUP(B20,'Списки участников'!A:L,6,FALSE))</f>
        <v/>
      </c>
      <c r="E20" s="104"/>
      <c r="F20" s="104"/>
      <c r="G20" s="104"/>
      <c r="H20" s="187"/>
      <c r="I20" s="186" t="str">
        <f t="shared" si="0"/>
        <v/>
      </c>
      <c r="J20" s="187"/>
      <c r="K20" s="186" t="str">
        <f t="shared" si="1"/>
        <v/>
      </c>
      <c r="L20" s="187"/>
      <c r="M20" s="186" t="str">
        <f t="shared" si="2"/>
        <v/>
      </c>
      <c r="N20" s="187"/>
      <c r="O20" s="186" t="e">
        <f t="shared" si="3"/>
        <v>#N/A</v>
      </c>
      <c r="P20" s="187"/>
      <c r="Q20" s="186" t="str">
        <f t="shared" si="4"/>
        <v/>
      </c>
      <c r="R20" s="187"/>
      <c r="S20" s="186" t="str">
        <f t="shared" si="5"/>
        <v/>
      </c>
      <c r="T20" s="492" t="str">
        <f t="shared" si="6"/>
        <v/>
      </c>
      <c r="U20" s="493" t="str">
        <f t="shared" si="7"/>
        <v/>
      </c>
    </row>
    <row r="21" spans="1:21" ht="15.75" x14ac:dyDescent="0.25">
      <c r="A21" s="184" t="s">
        <v>23</v>
      </c>
      <c r="B21" s="692"/>
      <c r="C21" s="105" t="str">
        <f>IF(B21="","",VLOOKUP(B21,'Списки участников'!A:L,3,FALSE))</f>
        <v/>
      </c>
      <c r="D21" s="102" t="str">
        <f>IF(B21="","",VLOOKUP(B21,'Списки участников'!A:L,6,FALSE))</f>
        <v/>
      </c>
      <c r="E21" s="104" t="e">
        <f>MID(C21,1,SEARCH(" ",C21)-1)</f>
        <v>#VALUE!</v>
      </c>
      <c r="F21" s="104" t="e">
        <f>MID(C21,SEARCH(" ",C21)+1,1)</f>
        <v>#VALUE!</v>
      </c>
      <c r="G21" s="104" t="e">
        <f>CONCATENATE(E21," ",F21,".")</f>
        <v>#VALUE!</v>
      </c>
      <c r="H21" s="187"/>
      <c r="I21" s="186" t="str">
        <f t="shared" si="0"/>
        <v/>
      </c>
      <c r="J21" s="187"/>
      <c r="K21" s="186" t="str">
        <f t="shared" si="1"/>
        <v/>
      </c>
      <c r="L21" s="187"/>
      <c r="M21" s="186" t="str">
        <f t="shared" si="2"/>
        <v/>
      </c>
      <c r="N21" s="187"/>
      <c r="O21" s="186" t="e">
        <f t="shared" si="3"/>
        <v>#N/A</v>
      </c>
      <c r="P21" s="187"/>
      <c r="Q21" s="186" t="str">
        <f t="shared" si="4"/>
        <v/>
      </c>
      <c r="R21" s="187"/>
      <c r="S21" s="186" t="str">
        <f t="shared" si="5"/>
        <v/>
      </c>
      <c r="T21" s="492" t="str">
        <f t="shared" si="6"/>
        <v/>
      </c>
      <c r="U21" s="493" t="str">
        <f t="shared" si="7"/>
        <v/>
      </c>
    </row>
    <row r="22" spans="1:21" ht="15.75" x14ac:dyDescent="0.25">
      <c r="A22" s="184" t="s">
        <v>7</v>
      </c>
      <c r="B22" s="692"/>
      <c r="C22" s="105" t="str">
        <f>IF(B22="","",VLOOKUP(B22,'Списки участников'!A:L,3,FALSE))</f>
        <v/>
      </c>
      <c r="D22" s="102" t="str">
        <f>IF(B22="","",VLOOKUP(B22,'Списки участников'!A:L,6,FALSE))</f>
        <v/>
      </c>
      <c r="E22" s="104" t="e">
        <f>MID(C22,1,SEARCH(" ",C22)-1)</f>
        <v>#VALUE!</v>
      </c>
      <c r="F22" s="104" t="e">
        <f>MID(C22,SEARCH(" ",C22)+1,1)</f>
        <v>#VALUE!</v>
      </c>
      <c r="G22" s="104" t="e">
        <f>CONCATENATE(E22," ",F22,".")</f>
        <v>#VALUE!</v>
      </c>
      <c r="H22" s="187"/>
      <c r="I22" s="186" t="str">
        <f t="shared" si="0"/>
        <v/>
      </c>
      <c r="J22" s="187"/>
      <c r="K22" s="186" t="str">
        <f t="shared" si="1"/>
        <v/>
      </c>
      <c r="L22" s="187"/>
      <c r="M22" s="186" t="str">
        <f t="shared" si="2"/>
        <v/>
      </c>
      <c r="N22" s="187"/>
      <c r="O22" s="186" t="e">
        <f t="shared" si="3"/>
        <v>#N/A</v>
      </c>
      <c r="P22" s="187"/>
      <c r="Q22" s="186" t="str">
        <f t="shared" si="4"/>
        <v/>
      </c>
      <c r="R22" s="187"/>
      <c r="S22" s="186" t="str">
        <f t="shared" si="5"/>
        <v/>
      </c>
      <c r="T22" s="492" t="str">
        <f t="shared" si="6"/>
        <v/>
      </c>
      <c r="U22" s="493" t="str">
        <f t="shared" si="7"/>
        <v/>
      </c>
    </row>
    <row r="23" spans="1:21" ht="15.75" x14ac:dyDescent="0.25">
      <c r="A23" s="184" t="s">
        <v>12</v>
      </c>
      <c r="B23" s="692"/>
      <c r="C23" s="105" t="str">
        <f>IF(B23="","",VLOOKUP(B23,'Списки участников'!A:L,3,FALSE))</f>
        <v/>
      </c>
      <c r="D23" s="102" t="str">
        <f>IF(B23="","",VLOOKUP(B23,'Списки участников'!A:L,6,FALSE))</f>
        <v/>
      </c>
      <c r="E23" s="104"/>
      <c r="F23" s="104"/>
      <c r="G23" s="104"/>
      <c r="H23" s="187"/>
      <c r="I23" s="186" t="str">
        <f t="shared" si="0"/>
        <v/>
      </c>
      <c r="J23" s="187"/>
      <c r="K23" s="186" t="str">
        <f t="shared" si="1"/>
        <v/>
      </c>
      <c r="L23" s="187"/>
      <c r="M23" s="186" t="str">
        <f t="shared" si="2"/>
        <v/>
      </c>
      <c r="N23" s="187"/>
      <c r="O23" s="186" t="e">
        <f t="shared" si="3"/>
        <v>#N/A</v>
      </c>
      <c r="P23" s="187"/>
      <c r="Q23" s="186" t="str">
        <f t="shared" si="4"/>
        <v/>
      </c>
      <c r="R23" s="187"/>
      <c r="S23" s="186" t="str">
        <f t="shared" si="5"/>
        <v/>
      </c>
      <c r="T23" s="492" t="str">
        <f t="shared" si="6"/>
        <v/>
      </c>
      <c r="U23" s="493" t="str">
        <f t="shared" si="7"/>
        <v/>
      </c>
    </row>
    <row r="24" spans="1:21" ht="15.75" x14ac:dyDescent="0.25">
      <c r="A24" s="184" t="s">
        <v>29</v>
      </c>
      <c r="B24" s="692"/>
      <c r="C24" s="105" t="str">
        <f>IF(B24="","",VLOOKUP(B24,'Списки участников'!A:L,3,FALSE))</f>
        <v/>
      </c>
      <c r="D24" s="102" t="str">
        <f>IF(B24="","",VLOOKUP(B24,'Списки участников'!A:L,6,FALSE))</f>
        <v/>
      </c>
      <c r="E24" s="104" t="e">
        <f>MID(C24,1,SEARCH(" ",C24)-1)</f>
        <v>#VALUE!</v>
      </c>
      <c r="F24" s="104" t="e">
        <f>MID(C24,SEARCH(" ",C24)+1,1)</f>
        <v>#VALUE!</v>
      </c>
      <c r="G24" s="104" t="e">
        <f>CONCATENATE(E24," ",F24,".")</f>
        <v>#VALUE!</v>
      </c>
      <c r="H24" s="187"/>
      <c r="I24" s="186" t="str">
        <f t="shared" si="0"/>
        <v/>
      </c>
      <c r="J24" s="187"/>
      <c r="K24" s="186" t="str">
        <f t="shared" si="1"/>
        <v/>
      </c>
      <c r="L24" s="187"/>
      <c r="M24" s="186" t="str">
        <f t="shared" si="2"/>
        <v/>
      </c>
      <c r="N24" s="187"/>
      <c r="O24" s="186" t="e">
        <f t="shared" si="3"/>
        <v>#N/A</v>
      </c>
      <c r="P24" s="187"/>
      <c r="Q24" s="186" t="str">
        <f t="shared" si="4"/>
        <v/>
      </c>
      <c r="R24" s="187"/>
      <c r="S24" s="186" t="str">
        <f t="shared" si="5"/>
        <v/>
      </c>
      <c r="T24" s="492" t="str">
        <f t="shared" si="6"/>
        <v/>
      </c>
      <c r="U24" s="493" t="str">
        <f t="shared" si="7"/>
        <v/>
      </c>
    </row>
    <row r="25" spans="1:21" ht="15.75" x14ac:dyDescent="0.25">
      <c r="A25" s="184" t="s">
        <v>8</v>
      </c>
      <c r="B25" s="692"/>
      <c r="C25" s="105" t="str">
        <f>IF(B25="","",VLOOKUP(B25,'Списки участников'!A:L,3,FALSE))</f>
        <v/>
      </c>
      <c r="D25" s="102" t="str">
        <f>IF(B25="","",VLOOKUP(B25,'Списки участников'!A:L,6,FALSE))</f>
        <v/>
      </c>
      <c r="E25" s="104" t="e">
        <f>MID(C25,1,SEARCH(" ",C25)-1)</f>
        <v>#VALUE!</v>
      </c>
      <c r="F25" s="104" t="e">
        <f>MID(C25,SEARCH(" ",C25)+1,1)</f>
        <v>#VALUE!</v>
      </c>
      <c r="G25" s="104" t="e">
        <f>CONCATENATE(E25," ",F25,".")</f>
        <v>#VALUE!</v>
      </c>
      <c r="H25" s="187"/>
      <c r="I25" s="186" t="str">
        <f t="shared" si="0"/>
        <v/>
      </c>
      <c r="J25" s="187"/>
      <c r="K25" s="186" t="str">
        <f t="shared" si="1"/>
        <v/>
      </c>
      <c r="L25" s="187"/>
      <c r="M25" s="186" t="str">
        <f t="shared" si="2"/>
        <v/>
      </c>
      <c r="N25" s="187"/>
      <c r="O25" s="186" t="e">
        <f t="shared" si="3"/>
        <v>#N/A</v>
      </c>
      <c r="P25" s="187"/>
      <c r="Q25" s="186" t="str">
        <f t="shared" si="4"/>
        <v/>
      </c>
      <c r="R25" s="187"/>
      <c r="S25" s="186" t="str">
        <f t="shared" si="5"/>
        <v/>
      </c>
      <c r="T25" s="492" t="str">
        <f t="shared" si="6"/>
        <v/>
      </c>
      <c r="U25" s="493" t="str">
        <f t="shared" si="7"/>
        <v/>
      </c>
    </row>
    <row r="26" spans="1:21" ht="15.75" x14ac:dyDescent="0.25">
      <c r="A26" s="184" t="s">
        <v>14</v>
      </c>
      <c r="B26" s="692"/>
      <c r="C26" s="105" t="str">
        <f>IF(B26="","",VLOOKUP(B26,'Списки участников'!A:L,3,FALSE))</f>
        <v/>
      </c>
      <c r="D26" s="102" t="str">
        <f>IF(B26="","",VLOOKUP(B26,'Списки участников'!A:L,6,FALSE))</f>
        <v/>
      </c>
      <c r="E26" s="104" t="e">
        <f>MID(C26,1,SEARCH(" ",C26)-1)</f>
        <v>#VALUE!</v>
      </c>
      <c r="F26" s="104" t="e">
        <f>MID(C26,SEARCH(" ",C26)+1,1)</f>
        <v>#VALUE!</v>
      </c>
      <c r="G26" s="104" t="e">
        <f>CONCATENATE(E26," ",F26,".")</f>
        <v>#VALUE!</v>
      </c>
      <c r="H26" s="187"/>
      <c r="I26" s="186" t="str">
        <f t="shared" si="0"/>
        <v/>
      </c>
      <c r="J26" s="187"/>
      <c r="K26" s="186" t="str">
        <f t="shared" si="1"/>
        <v/>
      </c>
      <c r="L26" s="187"/>
      <c r="M26" s="186" t="str">
        <f t="shared" si="2"/>
        <v/>
      </c>
      <c r="N26" s="187"/>
      <c r="O26" s="186" t="e">
        <f t="shared" si="3"/>
        <v>#N/A</v>
      </c>
      <c r="P26" s="187"/>
      <c r="Q26" s="186" t="str">
        <f t="shared" si="4"/>
        <v/>
      </c>
      <c r="R26" s="187"/>
      <c r="S26" s="186" t="str">
        <f t="shared" si="5"/>
        <v/>
      </c>
      <c r="T26" s="492" t="str">
        <f t="shared" si="6"/>
        <v/>
      </c>
      <c r="U26" s="493" t="str">
        <f t="shared" si="7"/>
        <v/>
      </c>
    </row>
    <row r="27" spans="1:21" ht="15.75" x14ac:dyDescent="0.25">
      <c r="A27" s="184" t="s">
        <v>43</v>
      </c>
      <c r="B27" s="692"/>
      <c r="C27" s="105" t="str">
        <f>IF(B27="","",VLOOKUP(B27,'Списки участников'!A:L,3,FALSE))</f>
        <v/>
      </c>
      <c r="D27" s="102" t="str">
        <f>IF(B27="","",VLOOKUP(B27,'Списки участников'!A:L,6,FALSE))</f>
        <v/>
      </c>
      <c r="E27" s="104"/>
      <c r="F27" s="104"/>
      <c r="G27" s="104"/>
      <c r="H27" s="187"/>
      <c r="I27" s="186" t="str">
        <f t="shared" si="0"/>
        <v/>
      </c>
      <c r="J27" s="187"/>
      <c r="K27" s="186" t="str">
        <f t="shared" si="1"/>
        <v/>
      </c>
      <c r="L27" s="187"/>
      <c r="M27" s="186" t="str">
        <f t="shared" si="2"/>
        <v/>
      </c>
      <c r="N27" s="187"/>
      <c r="O27" s="186" t="e">
        <f t="shared" si="3"/>
        <v>#N/A</v>
      </c>
      <c r="P27" s="187"/>
      <c r="Q27" s="186" t="str">
        <f t="shared" si="4"/>
        <v/>
      </c>
      <c r="R27" s="187"/>
      <c r="S27" s="186" t="str">
        <f t="shared" si="5"/>
        <v/>
      </c>
      <c r="T27" s="492" t="str">
        <f t="shared" si="6"/>
        <v/>
      </c>
      <c r="U27" s="493" t="str">
        <f t="shared" si="7"/>
        <v/>
      </c>
    </row>
    <row r="28" spans="1:21" ht="15.75" x14ac:dyDescent="0.25">
      <c r="A28" s="184" t="s">
        <v>19</v>
      </c>
      <c r="B28" s="692"/>
      <c r="C28" s="105" t="str">
        <f>IF(B28="","",VLOOKUP(B28,'Списки участников'!A:L,3,FALSE))</f>
        <v/>
      </c>
      <c r="D28" s="102" t="str">
        <f>IF(B28="","",VLOOKUP(B28,'Списки участников'!A:L,6,FALSE))</f>
        <v/>
      </c>
      <c r="E28" s="104"/>
      <c r="F28" s="104"/>
      <c r="G28" s="104"/>
      <c r="H28" s="187"/>
      <c r="I28" s="186" t="str">
        <f t="shared" si="0"/>
        <v/>
      </c>
      <c r="J28" s="187"/>
      <c r="K28" s="186" t="str">
        <f t="shared" si="1"/>
        <v/>
      </c>
      <c r="L28" s="187"/>
      <c r="M28" s="186" t="str">
        <f t="shared" si="2"/>
        <v/>
      </c>
      <c r="N28" s="187"/>
      <c r="O28" s="186" t="e">
        <f t="shared" si="3"/>
        <v>#N/A</v>
      </c>
      <c r="P28" s="187"/>
      <c r="Q28" s="186" t="str">
        <f t="shared" si="4"/>
        <v/>
      </c>
      <c r="R28" s="187"/>
      <c r="S28" s="186" t="str">
        <f t="shared" si="5"/>
        <v/>
      </c>
      <c r="T28" s="492" t="str">
        <f t="shared" si="6"/>
        <v/>
      </c>
      <c r="U28" s="493" t="str">
        <f t="shared" si="7"/>
        <v/>
      </c>
    </row>
    <row r="29" spans="1:21" ht="15.75" x14ac:dyDescent="0.25">
      <c r="A29" s="184" t="s">
        <v>36</v>
      </c>
      <c r="B29" s="692"/>
      <c r="C29" s="105" t="str">
        <f>IF(B29="","",VLOOKUP(B29,'Списки участников'!A:L,3,FALSE))</f>
        <v/>
      </c>
      <c r="D29" s="102" t="str">
        <f>IF(B29="","",VLOOKUP(B29,'Списки участников'!A:L,6,FALSE))</f>
        <v/>
      </c>
      <c r="E29" s="104"/>
      <c r="F29" s="104"/>
      <c r="G29" s="104"/>
      <c r="H29" s="187"/>
      <c r="I29" s="186" t="str">
        <f t="shared" si="0"/>
        <v/>
      </c>
      <c r="J29" s="187"/>
      <c r="K29" s="186" t="str">
        <f t="shared" si="1"/>
        <v/>
      </c>
      <c r="L29" s="187"/>
      <c r="M29" s="186" t="str">
        <f t="shared" si="2"/>
        <v/>
      </c>
      <c r="N29" s="187"/>
      <c r="O29" s="186" t="e">
        <f t="shared" si="3"/>
        <v>#N/A</v>
      </c>
      <c r="P29" s="187"/>
      <c r="Q29" s="186" t="str">
        <f t="shared" si="4"/>
        <v/>
      </c>
      <c r="R29" s="187"/>
      <c r="S29" s="186" t="str">
        <f t="shared" si="5"/>
        <v/>
      </c>
      <c r="T29" s="492" t="str">
        <f t="shared" si="6"/>
        <v/>
      </c>
      <c r="U29" s="493" t="str">
        <f t="shared" si="7"/>
        <v/>
      </c>
    </row>
    <row r="30" spans="1:21" ht="15.75" x14ac:dyDescent="0.25">
      <c r="A30" s="184" t="s">
        <v>27</v>
      </c>
      <c r="B30" s="692"/>
      <c r="C30" s="105" t="str">
        <f>IF(B30="","",VLOOKUP(B30,'Списки участников'!A:L,3,FALSE))</f>
        <v/>
      </c>
      <c r="D30" s="102" t="str">
        <f>IF(B30="","",VLOOKUP(B30,'Списки участников'!A:L,6,FALSE))</f>
        <v/>
      </c>
      <c r="E30" s="104" t="e">
        <f>MID(C30,1,SEARCH(" ",C30)-1)</f>
        <v>#VALUE!</v>
      </c>
      <c r="F30" s="104" t="e">
        <f>MID(C30,SEARCH(" ",C30)+1,1)</f>
        <v>#VALUE!</v>
      </c>
      <c r="G30" s="104" t="e">
        <f>CONCATENATE(E30," ",F30,".")</f>
        <v>#VALUE!</v>
      </c>
      <c r="H30" s="187"/>
      <c r="I30" s="186" t="str">
        <f t="shared" si="0"/>
        <v/>
      </c>
      <c r="J30" s="187"/>
      <c r="K30" s="186" t="str">
        <f t="shared" si="1"/>
        <v/>
      </c>
      <c r="L30" s="187"/>
      <c r="M30" s="186" t="str">
        <f t="shared" si="2"/>
        <v/>
      </c>
      <c r="N30" s="187"/>
      <c r="O30" s="186" t="e">
        <f t="shared" si="3"/>
        <v>#N/A</v>
      </c>
      <c r="P30" s="187"/>
      <c r="Q30" s="186" t="str">
        <f t="shared" si="4"/>
        <v/>
      </c>
      <c r="R30" s="187"/>
      <c r="S30" s="186" t="str">
        <f t="shared" si="5"/>
        <v/>
      </c>
      <c r="T30" s="492" t="str">
        <f t="shared" si="6"/>
        <v/>
      </c>
      <c r="U30" s="493" t="str">
        <f t="shared" si="7"/>
        <v/>
      </c>
    </row>
    <row r="31" spans="1:21" ht="15.75" x14ac:dyDescent="0.25">
      <c r="A31" s="184" t="s">
        <v>40</v>
      </c>
      <c r="B31" s="692"/>
      <c r="C31" s="105" t="str">
        <f>IF(B31="","",VLOOKUP(B31,'Списки участников'!A:L,3,FALSE))</f>
        <v/>
      </c>
      <c r="D31" s="102" t="str">
        <f>IF(B31="","",VLOOKUP(B31,'Списки участников'!A:L,6,FALSE))</f>
        <v/>
      </c>
      <c r="E31" s="104"/>
      <c r="F31" s="104"/>
      <c r="G31" s="104"/>
      <c r="H31" s="187"/>
      <c r="I31" s="186" t="str">
        <f t="shared" si="0"/>
        <v/>
      </c>
      <c r="J31" s="187"/>
      <c r="K31" s="186" t="str">
        <f t="shared" si="1"/>
        <v/>
      </c>
      <c r="L31" s="187"/>
      <c r="M31" s="186" t="str">
        <f t="shared" si="2"/>
        <v/>
      </c>
      <c r="N31" s="187"/>
      <c r="O31" s="186" t="e">
        <f t="shared" si="3"/>
        <v>#N/A</v>
      </c>
      <c r="P31" s="187"/>
      <c r="Q31" s="186" t="str">
        <f t="shared" si="4"/>
        <v/>
      </c>
      <c r="R31" s="187"/>
      <c r="S31" s="186" t="str">
        <f t="shared" si="5"/>
        <v/>
      </c>
      <c r="T31" s="492" t="str">
        <f t="shared" si="6"/>
        <v/>
      </c>
      <c r="U31" s="493" t="str">
        <f t="shared" si="7"/>
        <v/>
      </c>
    </row>
    <row r="32" spans="1:21" ht="15.75" x14ac:dyDescent="0.25">
      <c r="A32" s="184" t="s">
        <v>9</v>
      </c>
      <c r="B32" s="692"/>
      <c r="C32" s="105" t="str">
        <f>IF(B32="","",VLOOKUP(B32,'Списки участников'!A:L,3,FALSE))</f>
        <v/>
      </c>
      <c r="D32" s="102" t="str">
        <f>IF(B32="","",VLOOKUP(B32,'Списки участников'!A:L,6,FALSE))</f>
        <v/>
      </c>
      <c r="E32" s="886"/>
      <c r="F32" s="886"/>
      <c r="G32" s="886"/>
      <c r="H32" s="187"/>
      <c r="I32" s="186" t="str">
        <f t="shared" si="0"/>
        <v/>
      </c>
      <c r="J32" s="187"/>
      <c r="K32" s="186" t="str">
        <f t="shared" si="1"/>
        <v/>
      </c>
      <c r="L32" s="187"/>
      <c r="M32" s="186" t="str">
        <f t="shared" si="2"/>
        <v/>
      </c>
      <c r="N32" s="187"/>
      <c r="O32" s="186"/>
      <c r="P32" s="187"/>
      <c r="Q32" s="186" t="str">
        <f t="shared" si="4"/>
        <v/>
      </c>
      <c r="R32" s="187"/>
      <c r="S32" s="186" t="str">
        <f t="shared" si="5"/>
        <v/>
      </c>
      <c r="T32" s="492" t="str">
        <f t="shared" si="6"/>
        <v/>
      </c>
      <c r="U32" s="493" t="str">
        <f t="shared" si="7"/>
        <v/>
      </c>
    </row>
    <row r="33" spans="1:21" ht="15.75" x14ac:dyDescent="0.25">
      <c r="A33" s="184" t="s">
        <v>18</v>
      </c>
      <c r="B33" s="692"/>
      <c r="C33" s="105" t="str">
        <f>IF(B33="","",VLOOKUP(B33,'Списки участников'!A:L,3,FALSE))</f>
        <v/>
      </c>
      <c r="D33" s="102" t="str">
        <f>IF(B33="","",VLOOKUP(B33,'Списки участников'!A:L,6,FALSE))</f>
        <v/>
      </c>
      <c r="E33" s="104" t="e">
        <f>MID(C33,1,SEARCH(" ",C33)-1)</f>
        <v>#VALUE!</v>
      </c>
      <c r="F33" s="104" t="e">
        <f>MID(C33,SEARCH(" ",C33)+1,1)</f>
        <v>#VALUE!</v>
      </c>
      <c r="G33" s="104" t="e">
        <f>CONCATENATE(E33," ",F33,".")</f>
        <v>#VALUE!</v>
      </c>
      <c r="H33" s="187"/>
      <c r="I33" s="186" t="str">
        <f t="shared" si="0"/>
        <v/>
      </c>
      <c r="J33" s="187"/>
      <c r="K33" s="186" t="str">
        <f t="shared" si="1"/>
        <v/>
      </c>
      <c r="L33" s="187"/>
      <c r="M33" s="186" t="str">
        <f t="shared" si="2"/>
        <v/>
      </c>
      <c r="N33" s="187"/>
      <c r="O33" s="186" t="e">
        <f>IF(C33=0,"",RANK(N33,ОТЖИМ,))</f>
        <v>#N/A</v>
      </c>
      <c r="P33" s="187"/>
      <c r="Q33" s="186" t="str">
        <f t="shared" si="4"/>
        <v/>
      </c>
      <c r="R33" s="187"/>
      <c r="S33" s="186" t="str">
        <f t="shared" si="5"/>
        <v/>
      </c>
      <c r="T33" s="492" t="str">
        <f t="shared" si="6"/>
        <v/>
      </c>
      <c r="U33" s="493" t="str">
        <f t="shared" si="7"/>
        <v/>
      </c>
    </row>
    <row r="34" spans="1:21" ht="15.75" x14ac:dyDescent="0.25">
      <c r="A34" s="184" t="s">
        <v>33</v>
      </c>
      <c r="B34" s="692"/>
      <c r="C34" s="105" t="str">
        <f>IF(B34="","",VLOOKUP(B34,'Списки участников'!A:L,3,FALSE))</f>
        <v/>
      </c>
      <c r="D34" s="102" t="str">
        <f>IF(B34="","",VLOOKUP(B34,'Списки участников'!A:L,6,FALSE))</f>
        <v/>
      </c>
      <c r="E34" s="104" t="e">
        <f>MID(C34,1,SEARCH(" ",C34)-1)</f>
        <v>#VALUE!</v>
      </c>
      <c r="F34" s="104" t="e">
        <f>MID(C34,SEARCH(" ",C34)+1,1)</f>
        <v>#VALUE!</v>
      </c>
      <c r="G34" s="104" t="e">
        <f>CONCATENATE(E34," ",F34,".")</f>
        <v>#VALUE!</v>
      </c>
      <c r="H34" s="187"/>
      <c r="I34" s="186" t="str">
        <f t="shared" si="0"/>
        <v/>
      </c>
      <c r="J34" s="187"/>
      <c r="K34" s="186" t="str">
        <f t="shared" si="1"/>
        <v/>
      </c>
      <c r="L34" s="187"/>
      <c r="M34" s="186" t="str">
        <f t="shared" si="2"/>
        <v/>
      </c>
      <c r="N34" s="187"/>
      <c r="O34" s="186" t="e">
        <f>IF(C34=0,"",RANK(N34,ОТЖИМ,))</f>
        <v>#N/A</v>
      </c>
      <c r="P34" s="187"/>
      <c r="Q34" s="186" t="str">
        <f t="shared" si="4"/>
        <v/>
      </c>
      <c r="R34" s="187"/>
      <c r="S34" s="186" t="str">
        <f t="shared" si="5"/>
        <v/>
      </c>
      <c r="T34" s="492" t="str">
        <f t="shared" si="6"/>
        <v/>
      </c>
      <c r="U34" s="493" t="str">
        <f t="shared" si="7"/>
        <v/>
      </c>
    </row>
    <row r="35" spans="1:21" ht="15.75" x14ac:dyDescent="0.25">
      <c r="A35" s="184" t="s">
        <v>39</v>
      </c>
      <c r="B35" s="692"/>
      <c r="C35" s="105" t="str">
        <f>IF(B35="","",VLOOKUP(B35,'Списки участников'!A:L,3,FALSE))</f>
        <v/>
      </c>
      <c r="D35" s="102" t="str">
        <f>IF(B35="","",VLOOKUP(B35,'Списки участников'!A:L,6,FALSE))</f>
        <v/>
      </c>
      <c r="E35" s="104" t="e">
        <f>MID(C35,1,SEARCH(" ",C35)-1)</f>
        <v>#VALUE!</v>
      </c>
      <c r="F35" s="104" t="e">
        <f>MID(C35,SEARCH(" ",C35)+1,1)</f>
        <v>#VALUE!</v>
      </c>
      <c r="G35" s="104" t="e">
        <f>CONCATENATE(E35," ",F35,".")</f>
        <v>#VALUE!</v>
      </c>
      <c r="H35" s="187"/>
      <c r="I35" s="186" t="str">
        <f t="shared" si="0"/>
        <v/>
      </c>
      <c r="J35" s="187"/>
      <c r="K35" s="186" t="str">
        <f t="shared" si="1"/>
        <v/>
      </c>
      <c r="L35" s="187"/>
      <c r="M35" s="186" t="str">
        <f t="shared" si="2"/>
        <v/>
      </c>
      <c r="N35" s="187"/>
      <c r="O35" s="186" t="e">
        <f>IF(C35=0,"",RANK(N35,ОТЖИМ,))</f>
        <v>#N/A</v>
      </c>
      <c r="P35" s="187"/>
      <c r="Q35" s="186" t="str">
        <f t="shared" si="4"/>
        <v/>
      </c>
      <c r="R35" s="187"/>
      <c r="S35" s="186" t="str">
        <f t="shared" si="5"/>
        <v/>
      </c>
      <c r="T35" s="492" t="str">
        <f t="shared" si="6"/>
        <v/>
      </c>
      <c r="U35" s="493" t="str">
        <f t="shared" si="7"/>
        <v/>
      </c>
    </row>
    <row r="36" spans="1:21" ht="15.75" x14ac:dyDescent="0.25">
      <c r="A36" s="184" t="s">
        <v>26</v>
      </c>
      <c r="B36" s="692"/>
      <c r="C36" s="105" t="str">
        <f>IF(B36="","",VLOOKUP(B36,'Списки участников'!A:L,3,FALSE))</f>
        <v/>
      </c>
      <c r="D36" s="102" t="str">
        <f>IF(B36="","",VLOOKUP(B36,'Списки участников'!A:L,6,FALSE))</f>
        <v/>
      </c>
      <c r="E36" s="104" t="e">
        <f>MID(C36,1,SEARCH(" ",C36)-1)</f>
        <v>#VALUE!</v>
      </c>
      <c r="F36" s="104" t="e">
        <f>MID(C36,SEARCH(" ",C36)+1,1)</f>
        <v>#VALUE!</v>
      </c>
      <c r="G36" s="104" t="e">
        <f>CONCATENATE(E36," ",F36,".")</f>
        <v>#VALUE!</v>
      </c>
      <c r="H36" s="187"/>
      <c r="I36" s="186" t="str">
        <f t="shared" si="0"/>
        <v/>
      </c>
      <c r="J36" s="187"/>
      <c r="K36" s="186" t="str">
        <f t="shared" si="1"/>
        <v/>
      </c>
      <c r="L36" s="187"/>
      <c r="M36" s="186" t="str">
        <f t="shared" si="2"/>
        <v/>
      </c>
      <c r="N36" s="187"/>
      <c r="O36" s="186" t="e">
        <f>IF(C36=0,"",RANK(N36,ОТЖИМ,))</f>
        <v>#N/A</v>
      </c>
      <c r="P36" s="187"/>
      <c r="Q36" s="186" t="str">
        <f t="shared" si="4"/>
        <v/>
      </c>
      <c r="R36" s="187"/>
      <c r="S36" s="186" t="str">
        <f t="shared" si="5"/>
        <v/>
      </c>
      <c r="T36" s="492" t="str">
        <f t="shared" si="6"/>
        <v/>
      </c>
      <c r="U36" s="493" t="str">
        <f t="shared" si="7"/>
        <v/>
      </c>
    </row>
    <row r="37" spans="1:21" ht="15.75" x14ac:dyDescent="0.25">
      <c r="A37" s="184" t="s">
        <v>13</v>
      </c>
      <c r="B37" s="692"/>
      <c r="C37" s="105" t="str">
        <f>IF(B37="","",VLOOKUP(B37,'Списки участников'!A:L,3,FALSE))</f>
        <v/>
      </c>
      <c r="D37" s="102" t="str">
        <f>IF(B37="","",VLOOKUP(B37,'Списки участников'!A:L,6,FALSE))</f>
        <v/>
      </c>
      <c r="E37" s="104" t="e">
        <f>MID(C37,1,SEARCH(" ",C37)-1)</f>
        <v>#VALUE!</v>
      </c>
      <c r="F37" s="104" t="e">
        <f>MID(C37,SEARCH(" ",C37)+1,1)</f>
        <v>#VALUE!</v>
      </c>
      <c r="G37" s="104" t="e">
        <f>CONCATENATE(E37," ",F37,".")</f>
        <v>#VALUE!</v>
      </c>
      <c r="H37" s="187"/>
      <c r="I37" s="186" t="str">
        <f t="shared" si="0"/>
        <v/>
      </c>
      <c r="J37" s="187"/>
      <c r="K37" s="186" t="str">
        <f t="shared" si="1"/>
        <v/>
      </c>
      <c r="L37" s="187"/>
      <c r="M37" s="186" t="str">
        <f t="shared" si="2"/>
        <v/>
      </c>
      <c r="N37" s="187"/>
      <c r="O37" s="186" t="e">
        <f>IF(C37=0,"",RANK(N37,ОТЖИМ,))</f>
        <v>#N/A</v>
      </c>
      <c r="P37" s="187"/>
      <c r="Q37" s="186" t="str">
        <f t="shared" si="4"/>
        <v/>
      </c>
      <c r="R37" s="187"/>
      <c r="S37" s="186" t="str">
        <f t="shared" si="5"/>
        <v/>
      </c>
      <c r="T37" s="492" t="str">
        <f t="shared" si="6"/>
        <v/>
      </c>
      <c r="U37" s="493" t="str">
        <f t="shared" si="7"/>
        <v/>
      </c>
    </row>
    <row r="38" spans="1:21" ht="15.75" x14ac:dyDescent="0.25">
      <c r="A38" s="184" t="s">
        <v>32</v>
      </c>
      <c r="B38" s="692"/>
      <c r="C38" s="105" t="str">
        <f>IF(B38="","",VLOOKUP(B38,'Списки участников'!A:L,3,FALSE))</f>
        <v/>
      </c>
      <c r="D38" s="102" t="str">
        <f>IF(B38="","",VLOOKUP(B38,'Списки участников'!A:L,6,FALSE))</f>
        <v/>
      </c>
      <c r="E38" s="886"/>
      <c r="F38" s="886"/>
      <c r="G38" s="886"/>
      <c r="H38" s="187"/>
      <c r="I38" s="186" t="str">
        <f t="shared" si="0"/>
        <v/>
      </c>
      <c r="J38" s="187"/>
      <c r="K38" s="186" t="str">
        <f t="shared" si="1"/>
        <v/>
      </c>
      <c r="L38" s="187"/>
      <c r="M38" s="186" t="str">
        <f t="shared" si="2"/>
        <v/>
      </c>
      <c r="N38" s="187"/>
      <c r="O38" s="186"/>
      <c r="P38" s="187"/>
      <c r="Q38" s="186" t="str">
        <f t="shared" si="4"/>
        <v/>
      </c>
      <c r="R38" s="187"/>
      <c r="S38" s="186" t="str">
        <f t="shared" si="5"/>
        <v/>
      </c>
      <c r="T38" s="492" t="str">
        <f t="shared" si="6"/>
        <v/>
      </c>
      <c r="U38" s="493" t="str">
        <f t="shared" si="7"/>
        <v/>
      </c>
    </row>
    <row r="39" spans="1:21" ht="15.75" x14ac:dyDescent="0.25">
      <c r="A39" s="184" t="s">
        <v>31</v>
      </c>
      <c r="B39" s="692"/>
      <c r="C39" s="105" t="str">
        <f>IF(B39="","",VLOOKUP(B39,'Списки участников'!A:L,3,FALSE))</f>
        <v/>
      </c>
      <c r="D39" s="102" t="str">
        <f>IF(B39="","",VLOOKUP(B39,'Списки участников'!A:L,6,FALSE))</f>
        <v/>
      </c>
      <c r="E39" s="104" t="e">
        <f>MID(C39,1,SEARCH(" ",C39)-1)</f>
        <v>#VALUE!</v>
      </c>
      <c r="F39" s="104" t="e">
        <f>MID(C39,SEARCH(" ",C39)+1,1)</f>
        <v>#VALUE!</v>
      </c>
      <c r="G39" s="104" t="e">
        <f>CONCATENATE(E39," ",F39,".")</f>
        <v>#VALUE!</v>
      </c>
      <c r="H39" s="187"/>
      <c r="I39" s="186" t="str">
        <f t="shared" si="0"/>
        <v/>
      </c>
      <c r="J39" s="187"/>
      <c r="K39" s="186" t="str">
        <f t="shared" si="1"/>
        <v/>
      </c>
      <c r="L39" s="187"/>
      <c r="M39" s="186" t="str">
        <f t="shared" si="2"/>
        <v/>
      </c>
      <c r="N39" s="187"/>
      <c r="O39" s="186" t="e">
        <f>IF(C39=0,"",RANK(N39,ОТЖИМ,))</f>
        <v>#N/A</v>
      </c>
      <c r="P39" s="187"/>
      <c r="Q39" s="186" t="str">
        <f t="shared" si="4"/>
        <v/>
      </c>
      <c r="R39" s="187"/>
      <c r="S39" s="186" t="str">
        <f t="shared" si="5"/>
        <v/>
      </c>
      <c r="T39" s="492" t="str">
        <f t="shared" si="6"/>
        <v/>
      </c>
      <c r="U39" s="493" t="str">
        <f t="shared" si="7"/>
        <v/>
      </c>
    </row>
    <row r="40" spans="1:21" ht="15.75" x14ac:dyDescent="0.25">
      <c r="A40" s="184" t="s">
        <v>34</v>
      </c>
      <c r="B40" s="692"/>
      <c r="C40" s="105" t="str">
        <f>IF(B40="","",VLOOKUP(B40,'Списки участников'!A:L,3,FALSE))</f>
        <v/>
      </c>
      <c r="D40" s="102" t="str">
        <f>IF(B40="","",VLOOKUP(B40,'Списки участников'!A:L,6,FALSE))</f>
        <v/>
      </c>
      <c r="E40" s="104" t="e">
        <f>MID(C40,1,SEARCH(" ",C40)-1)</f>
        <v>#VALUE!</v>
      </c>
      <c r="F40" s="104" t="e">
        <f>MID(C40,SEARCH(" ",C40)+1,1)</f>
        <v>#VALUE!</v>
      </c>
      <c r="G40" s="104" t="e">
        <f>CONCATENATE(E40," ",F40,".")</f>
        <v>#VALUE!</v>
      </c>
      <c r="H40" s="187"/>
      <c r="I40" s="186" t="str">
        <f t="shared" si="0"/>
        <v/>
      </c>
      <c r="J40" s="187"/>
      <c r="K40" s="186" t="str">
        <f t="shared" si="1"/>
        <v/>
      </c>
      <c r="L40" s="187"/>
      <c r="M40" s="186" t="str">
        <f t="shared" si="2"/>
        <v/>
      </c>
      <c r="N40" s="187"/>
      <c r="O40" s="186" t="e">
        <f>IF(C40=0,"",RANK(N40,ОТЖИМ,))</f>
        <v>#N/A</v>
      </c>
      <c r="P40" s="187"/>
      <c r="Q40" s="186" t="str">
        <f t="shared" si="4"/>
        <v/>
      </c>
      <c r="R40" s="187"/>
      <c r="S40" s="186" t="str">
        <f t="shared" si="5"/>
        <v/>
      </c>
      <c r="T40" s="492" t="str">
        <f t="shared" si="6"/>
        <v/>
      </c>
      <c r="U40" s="493" t="str">
        <f t="shared" si="7"/>
        <v/>
      </c>
    </row>
    <row r="41" spans="1:21" ht="15.75" x14ac:dyDescent="0.25">
      <c r="A41" s="184" t="s">
        <v>24</v>
      </c>
      <c r="B41" s="692"/>
      <c r="C41" s="105" t="str">
        <f>IF(B41="","",VLOOKUP(B41,'Списки участников'!A:L,3,FALSE))</f>
        <v/>
      </c>
      <c r="D41" s="102" t="str">
        <f>IF(B41="","",VLOOKUP(B41,'Списки участников'!A:L,6,FALSE))</f>
        <v/>
      </c>
      <c r="E41" s="104" t="e">
        <f>MID(C41,1,SEARCH(" ",C41)-1)</f>
        <v>#VALUE!</v>
      </c>
      <c r="F41" s="104" t="e">
        <f>MID(C41,SEARCH(" ",C41)+1,1)</f>
        <v>#VALUE!</v>
      </c>
      <c r="G41" s="104" t="e">
        <f>CONCATENATE(E41," ",F41,".")</f>
        <v>#VALUE!</v>
      </c>
      <c r="H41" s="187"/>
      <c r="I41" s="186" t="str">
        <f t="shared" ref="I41:I72" si="11">IF(B41="","",RANK(H41,БЕГ,1))</f>
        <v/>
      </c>
      <c r="J41" s="187"/>
      <c r="K41" s="186" t="str">
        <f t="shared" ref="K41:K72" si="12">IF(B41="","",RANK(J41,ДЛИНА,))</f>
        <v/>
      </c>
      <c r="L41" s="187"/>
      <c r="M41" s="186" t="str">
        <f t="shared" ref="M41:M72" si="13">IF(B41="","",RANK(L41,СКАК,))</f>
        <v/>
      </c>
      <c r="N41" s="187"/>
      <c r="O41" s="186" t="e">
        <f>IF(C41=0,"",RANK(N41,ОТЖИМ,))</f>
        <v>#N/A</v>
      </c>
      <c r="P41" s="187"/>
      <c r="Q41" s="186" t="str">
        <f t="shared" ref="Q41:Q72" si="14">IF(B41="","",RANK(P41,ПРЕСС,))</f>
        <v/>
      </c>
      <c r="R41" s="187"/>
      <c r="S41" s="186" t="str">
        <f t="shared" ref="S41:S72" si="15">IF(B41="","",RANK(R41,КВАДР,))</f>
        <v/>
      </c>
      <c r="T41" s="492" t="str">
        <f t="shared" ref="T41:T72" si="16">IF(B41="","",I41+K41+M41+Q41+S41)</f>
        <v/>
      </c>
      <c r="U41" s="493" t="str">
        <f t="shared" ref="U41:U72" si="17">IF(B41="","",RANK(T41,Сумма_мест,1))</f>
        <v/>
      </c>
    </row>
    <row r="42" spans="1:21" ht="15.75" x14ac:dyDescent="0.25">
      <c r="A42" s="184" t="s">
        <v>20</v>
      </c>
      <c r="B42" s="692"/>
      <c r="C42" s="105" t="str">
        <f>IF(B42="","",VLOOKUP(B42,'Списки участников'!A:L,3,FALSE))</f>
        <v/>
      </c>
      <c r="D42" s="102" t="str">
        <f>IF(B42="","",VLOOKUP(B42,'Списки участников'!A:L,6,FALSE))</f>
        <v/>
      </c>
      <c r="E42" s="886"/>
      <c r="F42" s="886"/>
      <c r="G42" s="886"/>
      <c r="H42" s="187"/>
      <c r="I42" s="186" t="str">
        <f t="shared" si="11"/>
        <v/>
      </c>
      <c r="J42" s="187"/>
      <c r="K42" s="186" t="str">
        <f t="shared" si="12"/>
        <v/>
      </c>
      <c r="L42" s="187"/>
      <c r="M42" s="186" t="str">
        <f t="shared" si="13"/>
        <v/>
      </c>
      <c r="N42" s="187"/>
      <c r="O42" s="186"/>
      <c r="P42" s="187"/>
      <c r="Q42" s="186" t="str">
        <f t="shared" si="14"/>
        <v/>
      </c>
      <c r="R42" s="187"/>
      <c r="S42" s="186" t="str">
        <f t="shared" si="15"/>
        <v/>
      </c>
      <c r="T42" s="492" t="str">
        <f t="shared" si="16"/>
        <v/>
      </c>
      <c r="U42" s="493" t="str">
        <f t="shared" si="17"/>
        <v/>
      </c>
    </row>
    <row r="43" spans="1:21" ht="15.75" x14ac:dyDescent="0.25">
      <c r="A43" s="184" t="s">
        <v>16</v>
      </c>
      <c r="B43" s="692"/>
      <c r="C43" s="105" t="str">
        <f>IF(B43="","",VLOOKUP(B43,'Списки участников'!A:L,3,FALSE))</f>
        <v/>
      </c>
      <c r="D43" s="102" t="str">
        <f>IF(B43="","",VLOOKUP(B43,'Списки участников'!A:L,6,FALSE))</f>
        <v/>
      </c>
      <c r="E43" s="104"/>
      <c r="F43" s="104"/>
      <c r="G43" s="104"/>
      <c r="H43" s="187"/>
      <c r="I43" s="186" t="str">
        <f t="shared" si="11"/>
        <v/>
      </c>
      <c r="J43" s="187"/>
      <c r="K43" s="186" t="str">
        <f t="shared" si="12"/>
        <v/>
      </c>
      <c r="L43" s="187"/>
      <c r="M43" s="186" t="str">
        <f t="shared" si="13"/>
        <v/>
      </c>
      <c r="N43" s="187"/>
      <c r="O43" s="186" t="e">
        <f t="shared" ref="O43:O54" si="18">IF(C43=0,"",RANK(N43,ОТЖИМ,))</f>
        <v>#N/A</v>
      </c>
      <c r="P43" s="187"/>
      <c r="Q43" s="186" t="str">
        <f t="shared" si="14"/>
        <v/>
      </c>
      <c r="R43" s="187"/>
      <c r="S43" s="186" t="str">
        <f t="shared" si="15"/>
        <v/>
      </c>
      <c r="T43" s="492" t="str">
        <f t="shared" si="16"/>
        <v/>
      </c>
      <c r="U43" s="493" t="str">
        <f t="shared" si="17"/>
        <v/>
      </c>
    </row>
    <row r="44" spans="1:21" ht="15.75" x14ac:dyDescent="0.25">
      <c r="A44" s="184" t="s">
        <v>11</v>
      </c>
      <c r="B44" s="692"/>
      <c r="C44" s="105" t="str">
        <f>IF(B44="","",VLOOKUP(B44,'Списки участников'!A:L,3,FALSE))</f>
        <v/>
      </c>
      <c r="D44" s="102" t="str">
        <f>IF(B44="","",VLOOKUP(B44,'Списки участников'!A:L,6,FALSE))</f>
        <v/>
      </c>
      <c r="E44" s="104" t="e">
        <f>MID(C44,1,SEARCH(" ",C44)-1)</f>
        <v>#VALUE!</v>
      </c>
      <c r="F44" s="104" t="e">
        <f>MID(C44,SEARCH(" ",C44)+1,1)</f>
        <v>#VALUE!</v>
      </c>
      <c r="G44" s="104" t="e">
        <f>CONCATENATE(E44," ",F44,".")</f>
        <v>#VALUE!</v>
      </c>
      <c r="H44" s="187"/>
      <c r="I44" s="186" t="str">
        <f t="shared" si="11"/>
        <v/>
      </c>
      <c r="J44" s="187"/>
      <c r="K44" s="186" t="str">
        <f t="shared" si="12"/>
        <v/>
      </c>
      <c r="L44" s="187"/>
      <c r="M44" s="186" t="str">
        <f t="shared" si="13"/>
        <v/>
      </c>
      <c r="N44" s="187"/>
      <c r="O44" s="186" t="e">
        <f t="shared" si="18"/>
        <v>#N/A</v>
      </c>
      <c r="P44" s="187"/>
      <c r="Q44" s="186" t="str">
        <f t="shared" si="14"/>
        <v/>
      </c>
      <c r="R44" s="187"/>
      <c r="S44" s="186" t="str">
        <f t="shared" si="15"/>
        <v/>
      </c>
      <c r="T44" s="492" t="str">
        <f t="shared" si="16"/>
        <v/>
      </c>
      <c r="U44" s="493" t="str">
        <f t="shared" si="17"/>
        <v/>
      </c>
    </row>
    <row r="45" spans="1:21" ht="15.75" x14ac:dyDescent="0.25">
      <c r="A45" s="184" t="s">
        <v>21</v>
      </c>
      <c r="B45" s="692"/>
      <c r="C45" s="105" t="str">
        <f>IF(B45="","",VLOOKUP(B45,'Списки участников'!A:L,3,FALSE))</f>
        <v/>
      </c>
      <c r="D45" s="102" t="str">
        <f>IF(B45="","",VLOOKUP(B45,'Списки участников'!A:L,6,FALSE))</f>
        <v/>
      </c>
      <c r="E45" s="104"/>
      <c r="F45" s="104"/>
      <c r="G45" s="104"/>
      <c r="H45" s="187"/>
      <c r="I45" s="186" t="str">
        <f t="shared" si="11"/>
        <v/>
      </c>
      <c r="J45" s="187"/>
      <c r="K45" s="186" t="str">
        <f t="shared" si="12"/>
        <v/>
      </c>
      <c r="L45" s="187"/>
      <c r="M45" s="186" t="str">
        <f t="shared" si="13"/>
        <v/>
      </c>
      <c r="N45" s="187"/>
      <c r="O45" s="186" t="e">
        <f t="shared" si="18"/>
        <v>#N/A</v>
      </c>
      <c r="P45" s="187"/>
      <c r="Q45" s="186" t="str">
        <f t="shared" si="14"/>
        <v/>
      </c>
      <c r="R45" s="187"/>
      <c r="S45" s="186" t="str">
        <f t="shared" si="15"/>
        <v/>
      </c>
      <c r="T45" s="492" t="str">
        <f t="shared" si="16"/>
        <v/>
      </c>
      <c r="U45" s="493" t="str">
        <f t="shared" si="17"/>
        <v/>
      </c>
    </row>
    <row r="46" spans="1:21" ht="15.75" x14ac:dyDescent="0.25">
      <c r="A46" s="184" t="s">
        <v>45</v>
      </c>
      <c r="B46" s="692"/>
      <c r="C46" s="105" t="str">
        <f>IF(B46="","",VLOOKUP(B46,'Списки участников'!A:L,3,FALSE))</f>
        <v/>
      </c>
      <c r="D46" s="102" t="str">
        <f>IF(B46="","",VLOOKUP(B46,'Списки участников'!A:L,6,FALSE))</f>
        <v/>
      </c>
      <c r="E46" s="104" t="e">
        <f>MID(C46,1,SEARCH(" ",C46)-1)</f>
        <v>#VALUE!</v>
      </c>
      <c r="F46" s="104" t="e">
        <f>MID(C46,SEARCH(" ",C46)+1,1)</f>
        <v>#VALUE!</v>
      </c>
      <c r="G46" s="104" t="e">
        <f>CONCATENATE(E46," ",F46,".")</f>
        <v>#VALUE!</v>
      </c>
      <c r="H46" s="187"/>
      <c r="I46" s="186" t="str">
        <f t="shared" si="11"/>
        <v/>
      </c>
      <c r="J46" s="187"/>
      <c r="K46" s="186" t="str">
        <f t="shared" si="12"/>
        <v/>
      </c>
      <c r="L46" s="187"/>
      <c r="M46" s="186" t="str">
        <f t="shared" si="13"/>
        <v/>
      </c>
      <c r="N46" s="187"/>
      <c r="O46" s="186" t="e">
        <f t="shared" si="18"/>
        <v>#N/A</v>
      </c>
      <c r="P46" s="187"/>
      <c r="Q46" s="186" t="str">
        <f t="shared" si="14"/>
        <v/>
      </c>
      <c r="R46" s="187"/>
      <c r="S46" s="186" t="str">
        <f t="shared" si="15"/>
        <v/>
      </c>
      <c r="T46" s="492" t="str">
        <f t="shared" si="16"/>
        <v/>
      </c>
      <c r="U46" s="493" t="str">
        <f t="shared" si="17"/>
        <v/>
      </c>
    </row>
    <row r="47" spans="1:21" ht="15.75" x14ac:dyDescent="0.25">
      <c r="A47" s="184" t="s">
        <v>46</v>
      </c>
      <c r="B47" s="692"/>
      <c r="C47" s="105" t="str">
        <f>IF(B47="","",VLOOKUP(B47,'Списки участников'!A:L,3,FALSE))</f>
        <v/>
      </c>
      <c r="D47" s="102" t="str">
        <f>IF(B47="","",VLOOKUP(B47,'Списки участников'!A:L,6,FALSE))</f>
        <v/>
      </c>
      <c r="E47" s="104" t="e">
        <f>MID(C47,1,SEARCH(" ",C47)-1)</f>
        <v>#VALUE!</v>
      </c>
      <c r="F47" s="104" t="e">
        <f>MID(C47,SEARCH(" ",C47)+1,1)</f>
        <v>#VALUE!</v>
      </c>
      <c r="G47" s="104" t="e">
        <f>CONCATENATE(E47," ",F47,".")</f>
        <v>#VALUE!</v>
      </c>
      <c r="H47" s="187"/>
      <c r="I47" s="186" t="str">
        <f t="shared" si="11"/>
        <v/>
      </c>
      <c r="J47" s="187"/>
      <c r="K47" s="186" t="str">
        <f t="shared" si="12"/>
        <v/>
      </c>
      <c r="L47" s="187"/>
      <c r="M47" s="186" t="str">
        <f t="shared" si="13"/>
        <v/>
      </c>
      <c r="N47" s="187"/>
      <c r="O47" s="186" t="e">
        <f t="shared" si="18"/>
        <v>#N/A</v>
      </c>
      <c r="P47" s="187"/>
      <c r="Q47" s="186" t="str">
        <f t="shared" si="14"/>
        <v/>
      </c>
      <c r="R47" s="187"/>
      <c r="S47" s="186" t="str">
        <f t="shared" si="15"/>
        <v/>
      </c>
      <c r="T47" s="492" t="str">
        <f t="shared" si="16"/>
        <v/>
      </c>
      <c r="U47" s="493" t="str">
        <f t="shared" si="17"/>
        <v/>
      </c>
    </row>
    <row r="48" spans="1:21" ht="15.75" x14ac:dyDescent="0.25">
      <c r="A48" s="184" t="s">
        <v>47</v>
      </c>
      <c r="B48" s="692"/>
      <c r="C48" s="105" t="str">
        <f>IF(B48="","",VLOOKUP(B48,'Списки участников'!A:L,3,FALSE))</f>
        <v/>
      </c>
      <c r="D48" s="102" t="str">
        <f>IF(B48="","",VLOOKUP(B48,'Списки участников'!A:L,6,FALSE))</f>
        <v/>
      </c>
      <c r="E48" s="104"/>
      <c r="F48" s="104"/>
      <c r="G48" s="104"/>
      <c r="H48" s="187"/>
      <c r="I48" s="186" t="str">
        <f t="shared" si="11"/>
        <v/>
      </c>
      <c r="J48" s="187"/>
      <c r="K48" s="186" t="str">
        <f t="shared" si="12"/>
        <v/>
      </c>
      <c r="L48" s="187"/>
      <c r="M48" s="186" t="str">
        <f t="shared" si="13"/>
        <v/>
      </c>
      <c r="N48" s="187"/>
      <c r="O48" s="186" t="e">
        <f t="shared" si="18"/>
        <v>#N/A</v>
      </c>
      <c r="P48" s="187"/>
      <c r="Q48" s="186" t="str">
        <f t="shared" si="14"/>
        <v/>
      </c>
      <c r="R48" s="187"/>
      <c r="S48" s="186" t="str">
        <f t="shared" si="15"/>
        <v/>
      </c>
      <c r="T48" s="492" t="str">
        <f t="shared" si="16"/>
        <v/>
      </c>
      <c r="U48" s="493" t="str">
        <f t="shared" si="17"/>
        <v/>
      </c>
    </row>
    <row r="49" spans="1:21" ht="15.75" x14ac:dyDescent="0.25">
      <c r="A49" s="184" t="s">
        <v>48</v>
      </c>
      <c r="B49" s="692"/>
      <c r="C49" s="105" t="str">
        <f>IF(B49="","",VLOOKUP(B49,'Списки участников'!A:L,3,FALSE))</f>
        <v/>
      </c>
      <c r="D49" s="102" t="str">
        <f>IF(B49="","",VLOOKUP(B49,'Списки участников'!A:L,6,FALSE))</f>
        <v/>
      </c>
      <c r="E49" s="104" t="e">
        <f>MID(C49,1,SEARCH(" ",C49)-1)</f>
        <v>#VALUE!</v>
      </c>
      <c r="F49" s="104" t="e">
        <f>MID(C49,SEARCH(" ",C49)+1,1)</f>
        <v>#VALUE!</v>
      </c>
      <c r="G49" s="104" t="e">
        <f>CONCATENATE(E49," ",F49,".")</f>
        <v>#VALUE!</v>
      </c>
      <c r="H49" s="187"/>
      <c r="I49" s="186" t="str">
        <f t="shared" si="11"/>
        <v/>
      </c>
      <c r="J49" s="187"/>
      <c r="K49" s="186" t="str">
        <f t="shared" si="12"/>
        <v/>
      </c>
      <c r="L49" s="187"/>
      <c r="M49" s="186" t="str">
        <f t="shared" si="13"/>
        <v/>
      </c>
      <c r="N49" s="187"/>
      <c r="O49" s="186" t="e">
        <f t="shared" si="18"/>
        <v>#N/A</v>
      </c>
      <c r="P49" s="187"/>
      <c r="Q49" s="186" t="str">
        <f t="shared" si="14"/>
        <v/>
      </c>
      <c r="R49" s="187"/>
      <c r="S49" s="186" t="str">
        <f t="shared" si="15"/>
        <v/>
      </c>
      <c r="T49" s="492" t="str">
        <f t="shared" si="16"/>
        <v/>
      </c>
      <c r="U49" s="493" t="str">
        <f t="shared" si="17"/>
        <v/>
      </c>
    </row>
    <row r="50" spans="1:21" ht="15.75" x14ac:dyDescent="0.25">
      <c r="A50" s="184" t="s">
        <v>49</v>
      </c>
      <c r="B50" s="692"/>
      <c r="C50" s="105" t="str">
        <f>IF(B50="","",VLOOKUP(B50,'Списки участников'!A:L,3,FALSE))</f>
        <v/>
      </c>
      <c r="D50" s="102" t="str">
        <f>IF(B50="","",VLOOKUP(B50,'Списки участников'!A:L,6,FALSE))</f>
        <v/>
      </c>
      <c r="E50" s="104"/>
      <c r="F50" s="104"/>
      <c r="G50" s="104"/>
      <c r="H50" s="187"/>
      <c r="I50" s="186" t="str">
        <f t="shared" si="11"/>
        <v/>
      </c>
      <c r="J50" s="187"/>
      <c r="K50" s="186" t="str">
        <f t="shared" si="12"/>
        <v/>
      </c>
      <c r="L50" s="187"/>
      <c r="M50" s="186" t="str">
        <f t="shared" si="13"/>
        <v/>
      </c>
      <c r="N50" s="187"/>
      <c r="O50" s="186" t="e">
        <f t="shared" si="18"/>
        <v>#N/A</v>
      </c>
      <c r="P50" s="187"/>
      <c r="Q50" s="186" t="str">
        <f t="shared" si="14"/>
        <v/>
      </c>
      <c r="R50" s="187"/>
      <c r="S50" s="186" t="str">
        <f t="shared" si="15"/>
        <v/>
      </c>
      <c r="T50" s="492" t="str">
        <f t="shared" si="16"/>
        <v/>
      </c>
      <c r="U50" s="493" t="str">
        <f t="shared" si="17"/>
        <v/>
      </c>
    </row>
    <row r="51" spans="1:21" ht="15.75" x14ac:dyDescent="0.25">
      <c r="A51" s="184" t="s">
        <v>50</v>
      </c>
      <c r="B51" s="692"/>
      <c r="C51" s="105" t="str">
        <f>IF(B51="","",VLOOKUP(B51,'Списки участников'!A:L,3,FALSE))</f>
        <v/>
      </c>
      <c r="D51" s="102" t="str">
        <f>IF(B51="","",VLOOKUP(B51,'Списки участников'!A:L,6,FALSE))</f>
        <v/>
      </c>
      <c r="E51" s="104" t="e">
        <f>MID(C51,1,SEARCH(" ",C51)-1)</f>
        <v>#VALUE!</v>
      </c>
      <c r="F51" s="104" t="e">
        <f>MID(C51,SEARCH(" ",C51)+1,1)</f>
        <v>#VALUE!</v>
      </c>
      <c r="G51" s="104" t="e">
        <f>CONCATENATE(E51," ",F51,".")</f>
        <v>#VALUE!</v>
      </c>
      <c r="H51" s="187"/>
      <c r="I51" s="186" t="str">
        <f t="shared" si="11"/>
        <v/>
      </c>
      <c r="J51" s="187"/>
      <c r="K51" s="186" t="str">
        <f t="shared" si="12"/>
        <v/>
      </c>
      <c r="L51" s="187"/>
      <c r="M51" s="186" t="str">
        <f t="shared" si="13"/>
        <v/>
      </c>
      <c r="N51" s="187"/>
      <c r="O51" s="186" t="e">
        <f t="shared" si="18"/>
        <v>#N/A</v>
      </c>
      <c r="P51" s="187"/>
      <c r="Q51" s="186" t="str">
        <f t="shared" si="14"/>
        <v/>
      </c>
      <c r="R51" s="187"/>
      <c r="S51" s="186" t="str">
        <f t="shared" si="15"/>
        <v/>
      </c>
      <c r="T51" s="492" t="str">
        <f t="shared" si="16"/>
        <v/>
      </c>
      <c r="U51" s="493" t="str">
        <f t="shared" si="17"/>
        <v/>
      </c>
    </row>
    <row r="52" spans="1:21" ht="15.75" x14ac:dyDescent="0.25">
      <c r="A52" s="184" t="s">
        <v>51</v>
      </c>
      <c r="B52" s="692"/>
      <c r="C52" s="105" t="str">
        <f>IF(B52="","",VLOOKUP(B52,'Списки участников'!A:L,3,FALSE))</f>
        <v/>
      </c>
      <c r="D52" s="102" t="str">
        <f>IF(B52="","",VLOOKUP(B52,'Списки участников'!A:L,6,FALSE))</f>
        <v/>
      </c>
      <c r="E52" s="104"/>
      <c r="F52" s="104"/>
      <c r="G52" s="104"/>
      <c r="H52" s="187"/>
      <c r="I52" s="186" t="str">
        <f t="shared" si="11"/>
        <v/>
      </c>
      <c r="J52" s="187"/>
      <c r="K52" s="186" t="str">
        <f t="shared" si="12"/>
        <v/>
      </c>
      <c r="L52" s="187"/>
      <c r="M52" s="186" t="str">
        <f t="shared" si="13"/>
        <v/>
      </c>
      <c r="N52" s="187"/>
      <c r="O52" s="186" t="e">
        <f t="shared" si="18"/>
        <v>#N/A</v>
      </c>
      <c r="P52" s="187"/>
      <c r="Q52" s="186" t="str">
        <f t="shared" si="14"/>
        <v/>
      </c>
      <c r="R52" s="187"/>
      <c r="S52" s="186" t="str">
        <f t="shared" si="15"/>
        <v/>
      </c>
      <c r="T52" s="492" t="str">
        <f t="shared" si="16"/>
        <v/>
      </c>
      <c r="U52" s="493" t="str">
        <f t="shared" si="17"/>
        <v/>
      </c>
    </row>
    <row r="53" spans="1:21" ht="15.75" x14ac:dyDescent="0.25">
      <c r="A53" s="184" t="s">
        <v>52</v>
      </c>
      <c r="B53" s="692"/>
      <c r="C53" s="105" t="str">
        <f>IF(B53="","",VLOOKUP(B53,'Списки участников'!A:L,3,FALSE))</f>
        <v/>
      </c>
      <c r="D53" s="102" t="str">
        <f>IF(B53="","",VLOOKUP(B53,'Списки участников'!A:L,6,FALSE))</f>
        <v/>
      </c>
      <c r="E53" s="104" t="e">
        <f>MID(C53,1,SEARCH(" ",C53)-1)</f>
        <v>#VALUE!</v>
      </c>
      <c r="F53" s="104" t="e">
        <f>MID(C53,SEARCH(" ",C53)+1,1)</f>
        <v>#VALUE!</v>
      </c>
      <c r="G53" s="104" t="e">
        <f>CONCATENATE(E53," ",F53,".")</f>
        <v>#VALUE!</v>
      </c>
      <c r="H53" s="187"/>
      <c r="I53" s="186" t="str">
        <f t="shared" si="11"/>
        <v/>
      </c>
      <c r="J53" s="187"/>
      <c r="K53" s="186" t="str">
        <f t="shared" si="12"/>
        <v/>
      </c>
      <c r="L53" s="187"/>
      <c r="M53" s="186" t="str">
        <f t="shared" si="13"/>
        <v/>
      </c>
      <c r="N53" s="187"/>
      <c r="O53" s="186" t="e">
        <f t="shared" si="18"/>
        <v>#N/A</v>
      </c>
      <c r="P53" s="187"/>
      <c r="Q53" s="186" t="str">
        <f t="shared" si="14"/>
        <v/>
      </c>
      <c r="R53" s="187"/>
      <c r="S53" s="186" t="str">
        <f t="shared" si="15"/>
        <v/>
      </c>
      <c r="T53" s="492" t="str">
        <f t="shared" si="16"/>
        <v/>
      </c>
      <c r="U53" s="493" t="str">
        <f t="shared" si="17"/>
        <v/>
      </c>
    </row>
    <row r="54" spans="1:21" ht="15.75" x14ac:dyDescent="0.25">
      <c r="A54" s="184" t="s">
        <v>53</v>
      </c>
      <c r="B54" s="692"/>
      <c r="C54" s="105" t="str">
        <f>IF(B54="","",VLOOKUP(B54,'Списки участников'!A:L,3,FALSE))</f>
        <v/>
      </c>
      <c r="D54" s="102" t="str">
        <f>IF(B54="","",VLOOKUP(B54,'Списки участников'!A:L,6,FALSE))</f>
        <v/>
      </c>
      <c r="E54" s="104"/>
      <c r="F54" s="104"/>
      <c r="G54" s="104"/>
      <c r="H54" s="187"/>
      <c r="I54" s="186" t="str">
        <f t="shared" si="11"/>
        <v/>
      </c>
      <c r="J54" s="187"/>
      <c r="K54" s="186" t="str">
        <f t="shared" si="12"/>
        <v/>
      </c>
      <c r="L54" s="187"/>
      <c r="M54" s="186" t="str">
        <f t="shared" si="13"/>
        <v/>
      </c>
      <c r="N54" s="187"/>
      <c r="O54" s="186" t="e">
        <f t="shared" si="18"/>
        <v>#N/A</v>
      </c>
      <c r="P54" s="187"/>
      <c r="Q54" s="186" t="str">
        <f t="shared" si="14"/>
        <v/>
      </c>
      <c r="R54" s="187"/>
      <c r="S54" s="186" t="str">
        <f t="shared" si="15"/>
        <v/>
      </c>
      <c r="T54" s="492" t="str">
        <f t="shared" si="16"/>
        <v/>
      </c>
      <c r="U54" s="493" t="str">
        <f t="shared" si="17"/>
        <v/>
      </c>
    </row>
    <row r="55" spans="1:21" ht="15.75" x14ac:dyDescent="0.25">
      <c r="A55" s="184" t="s">
        <v>54</v>
      </c>
      <c r="B55" s="692"/>
      <c r="C55" s="105" t="str">
        <f>IF(B55="","",VLOOKUP(B55,'Списки участников'!A:L,3,FALSE))</f>
        <v/>
      </c>
      <c r="D55" s="102" t="str">
        <f>IF(B55="","",VLOOKUP(B55,'Списки участников'!A:L,6,FALSE))</f>
        <v/>
      </c>
      <c r="E55" s="886"/>
      <c r="F55" s="886"/>
      <c r="G55" s="886"/>
      <c r="H55" s="187"/>
      <c r="I55" s="186" t="str">
        <f t="shared" si="11"/>
        <v/>
      </c>
      <c r="J55" s="187"/>
      <c r="K55" s="186" t="str">
        <f t="shared" si="12"/>
        <v/>
      </c>
      <c r="L55" s="187"/>
      <c r="M55" s="186" t="str">
        <f t="shared" si="13"/>
        <v/>
      </c>
      <c r="N55" s="187"/>
      <c r="O55" s="186"/>
      <c r="P55" s="187"/>
      <c r="Q55" s="186" t="str">
        <f t="shared" si="14"/>
        <v/>
      </c>
      <c r="R55" s="187"/>
      <c r="S55" s="186" t="str">
        <f t="shared" si="15"/>
        <v/>
      </c>
      <c r="T55" s="492" t="str">
        <f t="shared" si="16"/>
        <v/>
      </c>
      <c r="U55" s="493" t="str">
        <f t="shared" si="17"/>
        <v/>
      </c>
    </row>
    <row r="56" spans="1:21" ht="15.75" x14ac:dyDescent="0.25">
      <c r="A56" s="184" t="s">
        <v>55</v>
      </c>
      <c r="B56" s="692"/>
      <c r="C56" s="105" t="str">
        <f>IF(B56="","",VLOOKUP(B56,'Списки участников'!A:L,3,FALSE))</f>
        <v/>
      </c>
      <c r="D56" s="102" t="str">
        <f>IF(B56="","",VLOOKUP(B56,'Списки участников'!A:L,6,FALSE))</f>
        <v/>
      </c>
      <c r="E56" s="104"/>
      <c r="F56" s="104"/>
      <c r="G56" s="104"/>
      <c r="H56" s="187"/>
      <c r="I56" s="186" t="str">
        <f t="shared" si="11"/>
        <v/>
      </c>
      <c r="J56" s="187"/>
      <c r="K56" s="186" t="str">
        <f t="shared" si="12"/>
        <v/>
      </c>
      <c r="L56" s="187"/>
      <c r="M56" s="186" t="str">
        <f t="shared" si="13"/>
        <v/>
      </c>
      <c r="N56" s="187"/>
      <c r="O56" s="186" t="e">
        <f t="shared" ref="O56:O87" si="19">IF(C56=0,"",RANK(N56,ОТЖИМ,))</f>
        <v>#N/A</v>
      </c>
      <c r="P56" s="187"/>
      <c r="Q56" s="186" t="str">
        <f t="shared" si="14"/>
        <v/>
      </c>
      <c r="R56" s="187"/>
      <c r="S56" s="186" t="str">
        <f t="shared" si="15"/>
        <v/>
      </c>
      <c r="T56" s="492" t="str">
        <f t="shared" si="16"/>
        <v/>
      </c>
      <c r="U56" s="493" t="str">
        <f t="shared" si="17"/>
        <v/>
      </c>
    </row>
    <row r="57" spans="1:21" ht="15.75" x14ac:dyDescent="0.25">
      <c r="A57" s="184" t="s">
        <v>59</v>
      </c>
      <c r="B57" s="692"/>
      <c r="C57" s="105" t="str">
        <f>IF(B57="","",VLOOKUP(B57,'Списки участников'!A:L,3,FALSE))</f>
        <v/>
      </c>
      <c r="D57" s="102" t="str">
        <f>IF(B57="","",VLOOKUP(B57,'Списки участников'!A:L,6,FALSE))</f>
        <v/>
      </c>
      <c r="E57" s="104" t="e">
        <f>MID(C57,1,SEARCH(" ",C57)-1)</f>
        <v>#VALUE!</v>
      </c>
      <c r="F57" s="104" t="e">
        <f>MID(C57,SEARCH(" ",C57)+1,1)</f>
        <v>#VALUE!</v>
      </c>
      <c r="G57" s="104" t="e">
        <f>CONCATENATE(E57," ",F57,".")</f>
        <v>#VALUE!</v>
      </c>
      <c r="H57" s="187"/>
      <c r="I57" s="186" t="str">
        <f t="shared" si="11"/>
        <v/>
      </c>
      <c r="J57" s="187"/>
      <c r="K57" s="186" t="str">
        <f t="shared" si="12"/>
        <v/>
      </c>
      <c r="L57" s="187"/>
      <c r="M57" s="186" t="str">
        <f t="shared" si="13"/>
        <v/>
      </c>
      <c r="N57" s="187"/>
      <c r="O57" s="186" t="e">
        <f t="shared" si="19"/>
        <v>#N/A</v>
      </c>
      <c r="P57" s="187"/>
      <c r="Q57" s="186" t="str">
        <f t="shared" si="14"/>
        <v/>
      </c>
      <c r="R57" s="187"/>
      <c r="S57" s="186" t="str">
        <f t="shared" si="15"/>
        <v/>
      </c>
      <c r="T57" s="492" t="str">
        <f t="shared" si="16"/>
        <v/>
      </c>
      <c r="U57" s="493" t="str">
        <f t="shared" si="17"/>
        <v/>
      </c>
    </row>
    <row r="58" spans="1:21" ht="15.75" x14ac:dyDescent="0.25">
      <c r="A58" s="184" t="s">
        <v>60</v>
      </c>
      <c r="B58" s="692"/>
      <c r="C58" s="105" t="str">
        <f>IF(B58="","",VLOOKUP(B58,'Списки участников'!A:L,3,FALSE))</f>
        <v/>
      </c>
      <c r="D58" s="102" t="str">
        <f>IF(B58="","",VLOOKUP(B58,'Списки участников'!A:L,6,FALSE))</f>
        <v/>
      </c>
      <c r="E58" s="104" t="e">
        <f>MID(C58,1,SEARCH(" ",C58)-1)</f>
        <v>#VALUE!</v>
      </c>
      <c r="F58" s="104" t="e">
        <f>MID(C58,SEARCH(" ",C58)+1,1)</f>
        <v>#VALUE!</v>
      </c>
      <c r="G58" s="104" t="e">
        <f>CONCATENATE(E58," ",F58,".")</f>
        <v>#VALUE!</v>
      </c>
      <c r="H58" s="187"/>
      <c r="I58" s="186" t="str">
        <f t="shared" si="11"/>
        <v/>
      </c>
      <c r="J58" s="187"/>
      <c r="K58" s="186" t="str">
        <f t="shared" si="12"/>
        <v/>
      </c>
      <c r="L58" s="187"/>
      <c r="M58" s="186" t="str">
        <f t="shared" si="13"/>
        <v/>
      </c>
      <c r="N58" s="187"/>
      <c r="O58" s="186" t="e">
        <f t="shared" si="19"/>
        <v>#N/A</v>
      </c>
      <c r="P58" s="187"/>
      <c r="Q58" s="186" t="str">
        <f t="shared" si="14"/>
        <v/>
      </c>
      <c r="R58" s="187"/>
      <c r="S58" s="186" t="str">
        <f t="shared" si="15"/>
        <v/>
      </c>
      <c r="T58" s="492" t="str">
        <f t="shared" si="16"/>
        <v/>
      </c>
      <c r="U58" s="493" t="str">
        <f t="shared" si="17"/>
        <v/>
      </c>
    </row>
    <row r="59" spans="1:21" ht="15.75" x14ac:dyDescent="0.25">
      <c r="A59" s="184" t="s">
        <v>61</v>
      </c>
      <c r="B59" s="692"/>
      <c r="C59" s="105" t="str">
        <f>IF(B59="","",VLOOKUP(B59,'Списки участников'!A:L,3,FALSE))</f>
        <v/>
      </c>
      <c r="D59" s="102" t="str">
        <f>IF(B59="","",VLOOKUP(B59,'Списки участников'!A:L,6,FALSE))</f>
        <v/>
      </c>
      <c r="E59" s="104"/>
      <c r="F59" s="104"/>
      <c r="G59" s="104"/>
      <c r="H59" s="187"/>
      <c r="I59" s="186" t="str">
        <f t="shared" si="11"/>
        <v/>
      </c>
      <c r="J59" s="187"/>
      <c r="K59" s="186" t="str">
        <f t="shared" si="12"/>
        <v/>
      </c>
      <c r="L59" s="187"/>
      <c r="M59" s="186" t="str">
        <f t="shared" si="13"/>
        <v/>
      </c>
      <c r="N59" s="187"/>
      <c r="O59" s="186" t="e">
        <f t="shared" si="19"/>
        <v>#N/A</v>
      </c>
      <c r="P59" s="187"/>
      <c r="Q59" s="186" t="str">
        <f t="shared" si="14"/>
        <v/>
      </c>
      <c r="R59" s="187"/>
      <c r="S59" s="186" t="str">
        <f t="shared" si="15"/>
        <v/>
      </c>
      <c r="T59" s="492" t="str">
        <f t="shared" si="16"/>
        <v/>
      </c>
      <c r="U59" s="493" t="str">
        <f t="shared" si="17"/>
        <v/>
      </c>
    </row>
    <row r="60" spans="1:21" ht="15.75" x14ac:dyDescent="0.25">
      <c r="A60" s="184" t="s">
        <v>62</v>
      </c>
      <c r="B60" s="692"/>
      <c r="C60" s="105" t="str">
        <f>IF(B60="","",VLOOKUP(B60,'Списки участников'!A:L,3,FALSE))</f>
        <v/>
      </c>
      <c r="D60" s="102" t="str">
        <f>IF(B60="","",VLOOKUP(B60,'Списки участников'!A:L,6,FALSE))</f>
        <v/>
      </c>
      <c r="E60" s="104" t="e">
        <f>MID(C60,1,SEARCH(" ",C60)-1)</f>
        <v>#VALUE!</v>
      </c>
      <c r="F60" s="104" t="e">
        <f>MID(C60,SEARCH(" ",C60)+1,1)</f>
        <v>#VALUE!</v>
      </c>
      <c r="G60" s="104" t="e">
        <f>CONCATENATE(E60," ",F60,".")</f>
        <v>#VALUE!</v>
      </c>
      <c r="H60" s="187"/>
      <c r="I60" s="186" t="str">
        <f t="shared" si="11"/>
        <v/>
      </c>
      <c r="J60" s="187"/>
      <c r="K60" s="186" t="str">
        <f t="shared" si="12"/>
        <v/>
      </c>
      <c r="L60" s="187"/>
      <c r="M60" s="186" t="str">
        <f t="shared" si="13"/>
        <v/>
      </c>
      <c r="N60" s="187"/>
      <c r="O60" s="186" t="e">
        <f t="shared" si="19"/>
        <v>#N/A</v>
      </c>
      <c r="P60" s="187"/>
      <c r="Q60" s="186" t="str">
        <f t="shared" si="14"/>
        <v/>
      </c>
      <c r="R60" s="187"/>
      <c r="S60" s="186" t="str">
        <f t="shared" si="15"/>
        <v/>
      </c>
      <c r="T60" s="492" t="str">
        <f t="shared" si="16"/>
        <v/>
      </c>
      <c r="U60" s="493" t="str">
        <f t="shared" si="17"/>
        <v/>
      </c>
    </row>
    <row r="61" spans="1:21" ht="15.75" x14ac:dyDescent="0.25">
      <c r="A61" s="184" t="s">
        <v>63</v>
      </c>
      <c r="B61" s="692"/>
      <c r="C61" s="105" t="str">
        <f>IF(B61="","",VLOOKUP(B61,'Списки участников'!A:L,3,FALSE))</f>
        <v/>
      </c>
      <c r="D61" s="102" t="str">
        <f>IF(B61="","",VLOOKUP(B61,'Списки участников'!A:L,6,FALSE))</f>
        <v/>
      </c>
      <c r="E61" s="104"/>
      <c r="F61" s="104"/>
      <c r="G61" s="104"/>
      <c r="H61" s="187"/>
      <c r="I61" s="186" t="str">
        <f t="shared" si="11"/>
        <v/>
      </c>
      <c r="J61" s="187"/>
      <c r="K61" s="186" t="str">
        <f t="shared" si="12"/>
        <v/>
      </c>
      <c r="L61" s="187"/>
      <c r="M61" s="186" t="str">
        <f t="shared" si="13"/>
        <v/>
      </c>
      <c r="N61" s="187"/>
      <c r="O61" s="186" t="e">
        <f t="shared" si="19"/>
        <v>#N/A</v>
      </c>
      <c r="P61" s="187"/>
      <c r="Q61" s="186" t="str">
        <f t="shared" si="14"/>
        <v/>
      </c>
      <c r="R61" s="187"/>
      <c r="S61" s="186" t="str">
        <f t="shared" si="15"/>
        <v/>
      </c>
      <c r="T61" s="492" t="str">
        <f t="shared" si="16"/>
        <v/>
      </c>
      <c r="U61" s="493" t="str">
        <f t="shared" si="17"/>
        <v/>
      </c>
    </row>
    <row r="62" spans="1:21" ht="15.75" x14ac:dyDescent="0.25">
      <c r="A62" s="184" t="s">
        <v>64</v>
      </c>
      <c r="B62" s="692"/>
      <c r="C62" s="105" t="str">
        <f>IF(B62="","",VLOOKUP(B62,'Списки участников'!A:L,3,FALSE))</f>
        <v/>
      </c>
      <c r="D62" s="102" t="str">
        <f>IF(B62="","",VLOOKUP(B62,'Списки участников'!A:L,6,FALSE))</f>
        <v/>
      </c>
      <c r="E62" s="104"/>
      <c r="F62" s="104"/>
      <c r="G62" s="104"/>
      <c r="H62" s="187"/>
      <c r="I62" s="186" t="str">
        <f t="shared" si="11"/>
        <v/>
      </c>
      <c r="J62" s="187"/>
      <c r="K62" s="186" t="str">
        <f t="shared" si="12"/>
        <v/>
      </c>
      <c r="L62" s="187"/>
      <c r="M62" s="186" t="str">
        <f t="shared" si="13"/>
        <v/>
      </c>
      <c r="N62" s="187"/>
      <c r="O62" s="186" t="e">
        <f t="shared" si="19"/>
        <v>#N/A</v>
      </c>
      <c r="P62" s="187"/>
      <c r="Q62" s="186" t="str">
        <f t="shared" si="14"/>
        <v/>
      </c>
      <c r="R62" s="187"/>
      <c r="S62" s="186" t="str">
        <f t="shared" si="15"/>
        <v/>
      </c>
      <c r="T62" s="492" t="str">
        <f t="shared" si="16"/>
        <v/>
      </c>
      <c r="U62" s="493" t="str">
        <f t="shared" si="17"/>
        <v/>
      </c>
    </row>
    <row r="63" spans="1:21" ht="15.75" x14ac:dyDescent="0.25">
      <c r="A63" s="184" t="s">
        <v>65</v>
      </c>
      <c r="B63" s="692"/>
      <c r="C63" s="105" t="str">
        <f>IF(B63="","",VLOOKUP(B63,'Списки участников'!A:L,3,FALSE))</f>
        <v/>
      </c>
      <c r="D63" s="102" t="str">
        <f>IF(B63="","",VLOOKUP(B63,'Списки участников'!A:L,6,FALSE))</f>
        <v/>
      </c>
      <c r="E63" s="104"/>
      <c r="F63" s="104"/>
      <c r="G63" s="104"/>
      <c r="H63" s="187"/>
      <c r="I63" s="186" t="str">
        <f t="shared" si="11"/>
        <v/>
      </c>
      <c r="J63" s="187"/>
      <c r="K63" s="186" t="str">
        <f t="shared" si="12"/>
        <v/>
      </c>
      <c r="L63" s="187"/>
      <c r="M63" s="186" t="str">
        <f t="shared" si="13"/>
        <v/>
      </c>
      <c r="N63" s="187"/>
      <c r="O63" s="186" t="e">
        <f t="shared" si="19"/>
        <v>#N/A</v>
      </c>
      <c r="P63" s="187"/>
      <c r="Q63" s="186" t="str">
        <f t="shared" si="14"/>
        <v/>
      </c>
      <c r="R63" s="187"/>
      <c r="S63" s="186" t="str">
        <f t="shared" si="15"/>
        <v/>
      </c>
      <c r="T63" s="492" t="str">
        <f t="shared" si="16"/>
        <v/>
      </c>
      <c r="U63" s="493" t="str">
        <f t="shared" si="17"/>
        <v/>
      </c>
    </row>
    <row r="64" spans="1:21" ht="15.75" x14ac:dyDescent="0.25">
      <c r="A64" s="184" t="s">
        <v>66</v>
      </c>
      <c r="B64" s="692"/>
      <c r="C64" s="105" t="str">
        <f>IF(B64="","",VLOOKUP(B64,'Списки участников'!A:L,3,FALSE))</f>
        <v/>
      </c>
      <c r="D64" s="102" t="str">
        <f>IF(B64="","",VLOOKUP(B64,'Списки участников'!A:L,6,FALSE))</f>
        <v/>
      </c>
      <c r="E64" s="104" t="e">
        <f>MID(C64,1,SEARCH(" ",C64)-1)</f>
        <v>#VALUE!</v>
      </c>
      <c r="F64" s="104" t="e">
        <f>MID(C64,SEARCH(" ",C64)+1,1)</f>
        <v>#VALUE!</v>
      </c>
      <c r="G64" s="104" t="e">
        <f>CONCATENATE(E64," ",F64,".")</f>
        <v>#VALUE!</v>
      </c>
      <c r="H64" s="187"/>
      <c r="I64" s="186" t="str">
        <f t="shared" si="11"/>
        <v/>
      </c>
      <c r="J64" s="187"/>
      <c r="K64" s="186" t="str">
        <f t="shared" si="12"/>
        <v/>
      </c>
      <c r="L64" s="187"/>
      <c r="M64" s="186" t="str">
        <f t="shared" si="13"/>
        <v/>
      </c>
      <c r="N64" s="187"/>
      <c r="O64" s="186" t="e">
        <f t="shared" si="19"/>
        <v>#N/A</v>
      </c>
      <c r="P64" s="187"/>
      <c r="Q64" s="186" t="str">
        <f t="shared" si="14"/>
        <v/>
      </c>
      <c r="R64" s="187"/>
      <c r="S64" s="186" t="str">
        <f t="shared" si="15"/>
        <v/>
      </c>
      <c r="T64" s="492" t="str">
        <f t="shared" si="16"/>
        <v/>
      </c>
      <c r="U64" s="493" t="str">
        <f t="shared" si="17"/>
        <v/>
      </c>
    </row>
    <row r="65" spans="1:21" ht="15.75" x14ac:dyDescent="0.25">
      <c r="A65" s="184" t="s">
        <v>67</v>
      </c>
      <c r="B65" s="692"/>
      <c r="C65" s="105" t="str">
        <f>IF(B65="","",VLOOKUP(B65,'Списки участников'!A:L,3,FALSE))</f>
        <v/>
      </c>
      <c r="D65" s="102" t="str">
        <f>IF(B65="","",VLOOKUP(B65,'Списки участников'!A:L,6,FALSE))</f>
        <v/>
      </c>
      <c r="E65" s="104" t="e">
        <f>MID(C65,1,SEARCH(" ",C65)-1)</f>
        <v>#VALUE!</v>
      </c>
      <c r="F65" s="104" t="e">
        <f>MID(C65,SEARCH(" ",C65)+1,1)</f>
        <v>#VALUE!</v>
      </c>
      <c r="G65" s="104" t="e">
        <f>CONCATENATE(E65," ",F65,".")</f>
        <v>#VALUE!</v>
      </c>
      <c r="H65" s="187"/>
      <c r="I65" s="186" t="str">
        <f t="shared" si="11"/>
        <v/>
      </c>
      <c r="J65" s="187"/>
      <c r="K65" s="186" t="str">
        <f t="shared" si="12"/>
        <v/>
      </c>
      <c r="L65" s="187"/>
      <c r="M65" s="186" t="str">
        <f t="shared" si="13"/>
        <v/>
      </c>
      <c r="N65" s="187"/>
      <c r="O65" s="186" t="e">
        <f t="shared" si="19"/>
        <v>#N/A</v>
      </c>
      <c r="P65" s="187"/>
      <c r="Q65" s="186" t="str">
        <f t="shared" si="14"/>
        <v/>
      </c>
      <c r="R65" s="187"/>
      <c r="S65" s="186" t="str">
        <f t="shared" si="15"/>
        <v/>
      </c>
      <c r="T65" s="492" t="str">
        <f t="shared" si="16"/>
        <v/>
      </c>
      <c r="U65" s="493" t="str">
        <f t="shared" si="17"/>
        <v/>
      </c>
    </row>
    <row r="66" spans="1:21" ht="15.75" x14ac:dyDescent="0.25">
      <c r="A66" s="184" t="s">
        <v>758</v>
      </c>
      <c r="B66" s="692"/>
      <c r="C66" s="105" t="str">
        <f>IF(B66="","",VLOOKUP(B66,'Списки участников'!A:L,3,FALSE))</f>
        <v/>
      </c>
      <c r="D66" s="102" t="str">
        <f>IF(B66="","",VLOOKUP(B66,'Списки участников'!A:L,6,FALSE))</f>
        <v/>
      </c>
      <c r="E66" s="104" t="e">
        <f>MID(C66,1,SEARCH(" ",C66)-1)</f>
        <v>#VALUE!</v>
      </c>
      <c r="F66" s="104" t="e">
        <f>MID(C66,SEARCH(" ",C66)+1,1)</f>
        <v>#VALUE!</v>
      </c>
      <c r="G66" s="104" t="e">
        <f>CONCATENATE(E66," ",F66,".")</f>
        <v>#VALUE!</v>
      </c>
      <c r="H66" s="187"/>
      <c r="I66" s="186" t="str">
        <f t="shared" si="11"/>
        <v/>
      </c>
      <c r="J66" s="187"/>
      <c r="K66" s="186" t="str">
        <f t="shared" si="12"/>
        <v/>
      </c>
      <c r="L66" s="187"/>
      <c r="M66" s="186" t="str">
        <f t="shared" si="13"/>
        <v/>
      </c>
      <c r="N66" s="187"/>
      <c r="O66" s="186" t="e">
        <f t="shared" si="19"/>
        <v>#N/A</v>
      </c>
      <c r="P66" s="187"/>
      <c r="Q66" s="186" t="str">
        <f t="shared" si="14"/>
        <v/>
      </c>
      <c r="R66" s="187"/>
      <c r="S66" s="186" t="str">
        <f t="shared" si="15"/>
        <v/>
      </c>
      <c r="T66" s="492" t="str">
        <f t="shared" si="16"/>
        <v/>
      </c>
      <c r="U66" s="493" t="str">
        <f t="shared" si="17"/>
        <v/>
      </c>
    </row>
    <row r="67" spans="1:21" ht="15.75" x14ac:dyDescent="0.25">
      <c r="A67" s="184" t="s">
        <v>759</v>
      </c>
      <c r="B67" s="692"/>
      <c r="C67" s="105" t="str">
        <f>IF(B67="","",VLOOKUP(B67,'Списки участников'!A:L,3,FALSE))</f>
        <v/>
      </c>
      <c r="D67" s="102" t="str">
        <f>IF(B67="","",VLOOKUP(B67,'Списки участников'!A:L,6,FALSE))</f>
        <v/>
      </c>
      <c r="E67" s="104"/>
      <c r="F67" s="104"/>
      <c r="G67" s="104"/>
      <c r="H67" s="187"/>
      <c r="I67" s="186" t="str">
        <f t="shared" si="11"/>
        <v/>
      </c>
      <c r="J67" s="187"/>
      <c r="K67" s="186" t="str">
        <f t="shared" si="12"/>
        <v/>
      </c>
      <c r="L67" s="187"/>
      <c r="M67" s="186" t="str">
        <f t="shared" si="13"/>
        <v/>
      </c>
      <c r="N67" s="187"/>
      <c r="O67" s="186" t="e">
        <f t="shared" si="19"/>
        <v>#N/A</v>
      </c>
      <c r="P67" s="187"/>
      <c r="Q67" s="186" t="str">
        <f t="shared" si="14"/>
        <v/>
      </c>
      <c r="R67" s="187"/>
      <c r="S67" s="186" t="str">
        <f t="shared" si="15"/>
        <v/>
      </c>
      <c r="T67" s="492" t="str">
        <f t="shared" si="16"/>
        <v/>
      </c>
      <c r="U67" s="493" t="str">
        <f t="shared" si="17"/>
        <v/>
      </c>
    </row>
    <row r="68" spans="1:21" ht="15.75" x14ac:dyDescent="0.25">
      <c r="A68" s="184" t="s">
        <v>760</v>
      </c>
      <c r="B68" s="692"/>
      <c r="C68" s="105" t="str">
        <f>IF(B68="","",VLOOKUP(B68,'Списки участников'!A:L,3,FALSE))</f>
        <v/>
      </c>
      <c r="D68" s="102" t="str">
        <f>IF(B68="","",VLOOKUP(B68,'Списки участников'!A:L,6,FALSE))</f>
        <v/>
      </c>
      <c r="E68" s="104" t="e">
        <f>MID(C68,1,SEARCH(" ",C68)-1)</f>
        <v>#VALUE!</v>
      </c>
      <c r="F68" s="104" t="e">
        <f>MID(C68,SEARCH(" ",C68)+1,1)</f>
        <v>#VALUE!</v>
      </c>
      <c r="G68" s="104" t="e">
        <f>CONCATENATE(E68," ",F68,".")</f>
        <v>#VALUE!</v>
      </c>
      <c r="H68" s="187"/>
      <c r="I68" s="186" t="str">
        <f t="shared" si="11"/>
        <v/>
      </c>
      <c r="J68" s="187"/>
      <c r="K68" s="186" t="str">
        <f t="shared" si="12"/>
        <v/>
      </c>
      <c r="L68" s="187"/>
      <c r="M68" s="186" t="str">
        <f t="shared" si="13"/>
        <v/>
      </c>
      <c r="N68" s="187"/>
      <c r="O68" s="186" t="e">
        <f t="shared" si="19"/>
        <v>#N/A</v>
      </c>
      <c r="P68" s="187"/>
      <c r="Q68" s="186" t="str">
        <f t="shared" si="14"/>
        <v/>
      </c>
      <c r="R68" s="187"/>
      <c r="S68" s="186" t="str">
        <f t="shared" si="15"/>
        <v/>
      </c>
      <c r="T68" s="492" t="str">
        <f t="shared" si="16"/>
        <v/>
      </c>
      <c r="U68" s="493" t="str">
        <f t="shared" si="17"/>
        <v/>
      </c>
    </row>
    <row r="69" spans="1:21" ht="15" customHeight="1" x14ac:dyDescent="0.25">
      <c r="A69" s="184" t="s">
        <v>761</v>
      </c>
      <c r="B69" s="692"/>
      <c r="C69" s="105" t="str">
        <f>IF(B69="","",VLOOKUP(B69,'Списки участников'!A:L,3,FALSE))</f>
        <v/>
      </c>
      <c r="D69" s="102" t="str">
        <f>IF(B69="","",VLOOKUP(B69,'Списки участников'!A:L,6,FALSE))</f>
        <v/>
      </c>
      <c r="E69" s="104" t="e">
        <f>MID(C69,1,SEARCH(" ",C69)-1)</f>
        <v>#VALUE!</v>
      </c>
      <c r="F69" s="104" t="e">
        <f>MID(C69,SEARCH(" ",C69)+1,1)</f>
        <v>#VALUE!</v>
      </c>
      <c r="G69" s="104" t="e">
        <f>CONCATENATE(E69," ",F69,".")</f>
        <v>#VALUE!</v>
      </c>
      <c r="H69" s="187"/>
      <c r="I69" s="186" t="str">
        <f t="shared" si="11"/>
        <v/>
      </c>
      <c r="J69" s="187"/>
      <c r="K69" s="186" t="str">
        <f t="shared" si="12"/>
        <v/>
      </c>
      <c r="L69" s="187"/>
      <c r="M69" s="186" t="str">
        <f t="shared" si="13"/>
        <v/>
      </c>
      <c r="N69" s="187"/>
      <c r="O69" s="186" t="e">
        <f t="shared" si="19"/>
        <v>#N/A</v>
      </c>
      <c r="P69" s="187"/>
      <c r="Q69" s="186" t="str">
        <f t="shared" si="14"/>
        <v/>
      </c>
      <c r="R69" s="187"/>
      <c r="S69" s="186" t="str">
        <f t="shared" si="15"/>
        <v/>
      </c>
      <c r="T69" s="492" t="str">
        <f t="shared" si="16"/>
        <v/>
      </c>
      <c r="U69" s="493" t="str">
        <f t="shared" si="17"/>
        <v/>
      </c>
    </row>
    <row r="70" spans="1:21" ht="15.75" x14ac:dyDescent="0.25">
      <c r="A70" s="184" t="s">
        <v>762</v>
      </c>
      <c r="B70" s="692"/>
      <c r="C70" s="105" t="str">
        <f>IF(B70="","",VLOOKUP(B70,'Списки участников'!A:L,3,FALSE))</f>
        <v/>
      </c>
      <c r="D70" s="102" t="str">
        <f>IF(B70="","",VLOOKUP(B70,'Списки участников'!A:L,6,FALSE))</f>
        <v/>
      </c>
      <c r="E70" s="104"/>
      <c r="F70" s="104"/>
      <c r="G70" s="104"/>
      <c r="H70" s="187"/>
      <c r="I70" s="186" t="str">
        <f t="shared" si="11"/>
        <v/>
      </c>
      <c r="J70" s="187"/>
      <c r="K70" s="186" t="str">
        <f t="shared" si="12"/>
        <v/>
      </c>
      <c r="L70" s="187"/>
      <c r="M70" s="186" t="str">
        <f t="shared" si="13"/>
        <v/>
      </c>
      <c r="N70" s="187"/>
      <c r="O70" s="186" t="e">
        <f t="shared" si="19"/>
        <v>#N/A</v>
      </c>
      <c r="P70" s="187"/>
      <c r="Q70" s="186" t="str">
        <f t="shared" si="14"/>
        <v/>
      </c>
      <c r="R70" s="187"/>
      <c r="S70" s="186" t="str">
        <f t="shared" si="15"/>
        <v/>
      </c>
      <c r="T70" s="492" t="str">
        <f t="shared" si="16"/>
        <v/>
      </c>
      <c r="U70" s="493" t="str">
        <f t="shared" si="17"/>
        <v/>
      </c>
    </row>
    <row r="71" spans="1:21" ht="15.75" x14ac:dyDescent="0.25">
      <c r="A71" s="184" t="s">
        <v>68</v>
      </c>
      <c r="B71" s="692"/>
      <c r="C71" s="105" t="str">
        <f>IF(B71="","",VLOOKUP(B71,'Списки участников'!A:L,3,FALSE))</f>
        <v/>
      </c>
      <c r="D71" s="102" t="str">
        <f>IF(B71="","",VLOOKUP(B71,'Списки участников'!A:L,6,FALSE))</f>
        <v/>
      </c>
      <c r="E71" s="104"/>
      <c r="F71" s="104"/>
      <c r="G71" s="104"/>
      <c r="H71" s="187"/>
      <c r="I71" s="186" t="str">
        <f t="shared" si="11"/>
        <v/>
      </c>
      <c r="J71" s="187"/>
      <c r="K71" s="186" t="str">
        <f t="shared" si="12"/>
        <v/>
      </c>
      <c r="L71" s="187"/>
      <c r="M71" s="186" t="str">
        <f t="shared" si="13"/>
        <v/>
      </c>
      <c r="N71" s="187"/>
      <c r="O71" s="186" t="e">
        <f t="shared" si="19"/>
        <v>#N/A</v>
      </c>
      <c r="P71" s="187"/>
      <c r="Q71" s="186" t="str">
        <f t="shared" si="14"/>
        <v/>
      </c>
      <c r="R71" s="187"/>
      <c r="S71" s="186" t="str">
        <f t="shared" si="15"/>
        <v/>
      </c>
      <c r="T71" s="492" t="str">
        <f t="shared" si="16"/>
        <v/>
      </c>
      <c r="U71" s="493" t="str">
        <f t="shared" si="17"/>
        <v/>
      </c>
    </row>
    <row r="72" spans="1:21" ht="15.75" x14ac:dyDescent="0.25">
      <c r="A72" s="184" t="s">
        <v>69</v>
      </c>
      <c r="B72" s="692"/>
      <c r="C72" s="105" t="str">
        <f>IF(B72="","",VLOOKUP(B72,'Списки участников'!A:L,3,FALSE))</f>
        <v/>
      </c>
      <c r="D72" s="102" t="str">
        <f>IF(B72="","",VLOOKUP(B72,'Списки участников'!A:L,6,FALSE))</f>
        <v/>
      </c>
      <c r="E72" s="104"/>
      <c r="F72" s="104"/>
      <c r="G72" s="104"/>
      <c r="H72" s="187"/>
      <c r="I72" s="186" t="str">
        <f t="shared" si="11"/>
        <v/>
      </c>
      <c r="J72" s="187"/>
      <c r="K72" s="186" t="str">
        <f t="shared" si="12"/>
        <v/>
      </c>
      <c r="L72" s="187"/>
      <c r="M72" s="186" t="str">
        <f t="shared" si="13"/>
        <v/>
      </c>
      <c r="N72" s="187"/>
      <c r="O72" s="186" t="e">
        <f t="shared" si="19"/>
        <v>#N/A</v>
      </c>
      <c r="P72" s="187"/>
      <c r="Q72" s="186" t="str">
        <f t="shared" si="14"/>
        <v/>
      </c>
      <c r="R72" s="187"/>
      <c r="S72" s="186" t="str">
        <f t="shared" si="15"/>
        <v/>
      </c>
      <c r="T72" s="492" t="str">
        <f t="shared" si="16"/>
        <v/>
      </c>
      <c r="U72" s="493" t="str">
        <f t="shared" si="17"/>
        <v/>
      </c>
    </row>
    <row r="73" spans="1:21" ht="15.75" x14ac:dyDescent="0.25">
      <c r="A73" s="184" t="s">
        <v>763</v>
      </c>
      <c r="B73" s="692"/>
      <c r="C73" s="105" t="str">
        <f>IF(B73="","",VLOOKUP(B73,'Списки участников'!A:L,3,FALSE))</f>
        <v/>
      </c>
      <c r="D73" s="102" t="str">
        <f>IF(B73="","",VLOOKUP(B73,'Списки участников'!A:L,6,FALSE))</f>
        <v/>
      </c>
      <c r="E73" s="104"/>
      <c r="F73" s="104"/>
      <c r="G73" s="104"/>
      <c r="H73" s="187"/>
      <c r="I73" s="186" t="str">
        <f t="shared" ref="I73:I104" si="20">IF(B73="","",RANK(H73,БЕГ,1))</f>
        <v/>
      </c>
      <c r="J73" s="187"/>
      <c r="K73" s="186" t="str">
        <f t="shared" ref="K73:K104" si="21">IF(B73="","",RANK(J73,ДЛИНА,))</f>
        <v/>
      </c>
      <c r="L73" s="187"/>
      <c r="M73" s="186" t="str">
        <f t="shared" ref="M73:M104" si="22">IF(B73="","",RANK(L73,СКАК,))</f>
        <v/>
      </c>
      <c r="N73" s="187"/>
      <c r="O73" s="186" t="e">
        <f t="shared" si="19"/>
        <v>#N/A</v>
      </c>
      <c r="P73" s="187"/>
      <c r="Q73" s="186" t="str">
        <f t="shared" ref="Q73:Q104" si="23">IF(B73="","",RANK(P73,ПРЕСС,))</f>
        <v/>
      </c>
      <c r="R73" s="187"/>
      <c r="S73" s="186" t="str">
        <f t="shared" ref="S73:S104" si="24">IF(B73="","",RANK(R73,КВАДР,))</f>
        <v/>
      </c>
      <c r="T73" s="492" t="str">
        <f t="shared" ref="T73:T104" si="25">IF(B73="","",I73+K73+M73+Q73+S73)</f>
        <v/>
      </c>
      <c r="U73" s="493" t="str">
        <f t="shared" ref="U73:U104" si="26">IF(B73="","",RANK(T73,Сумма_мест,1))</f>
        <v/>
      </c>
    </row>
    <row r="74" spans="1:21" ht="15.75" x14ac:dyDescent="0.25">
      <c r="A74" s="184" t="s">
        <v>77</v>
      </c>
      <c r="B74" s="692"/>
      <c r="C74" s="105" t="str">
        <f>IF(B74="","",VLOOKUP(B74,'Списки участников'!A:L,3,FALSE))</f>
        <v/>
      </c>
      <c r="D74" s="102" t="str">
        <f>IF(B74="","",VLOOKUP(B74,'Списки участников'!A:L,6,FALSE))</f>
        <v/>
      </c>
      <c r="E74" s="104" t="e">
        <f>MID(C74,1,SEARCH(" ",C74)-1)</f>
        <v>#VALUE!</v>
      </c>
      <c r="F74" s="104" t="e">
        <f>MID(C74,SEARCH(" ",C74)+1,1)</f>
        <v>#VALUE!</v>
      </c>
      <c r="G74" s="104" t="e">
        <f>CONCATENATE(E74," ",F74,".")</f>
        <v>#VALUE!</v>
      </c>
      <c r="H74" s="187"/>
      <c r="I74" s="186" t="str">
        <f t="shared" si="20"/>
        <v/>
      </c>
      <c r="J74" s="187"/>
      <c r="K74" s="186" t="str">
        <f t="shared" si="21"/>
        <v/>
      </c>
      <c r="L74" s="187"/>
      <c r="M74" s="186" t="str">
        <f t="shared" si="22"/>
        <v/>
      </c>
      <c r="N74" s="187"/>
      <c r="O74" s="186" t="e">
        <f t="shared" si="19"/>
        <v>#N/A</v>
      </c>
      <c r="P74" s="187"/>
      <c r="Q74" s="186" t="str">
        <f t="shared" si="23"/>
        <v/>
      </c>
      <c r="R74" s="187"/>
      <c r="S74" s="186" t="str">
        <f t="shared" si="24"/>
        <v/>
      </c>
      <c r="T74" s="492" t="str">
        <f t="shared" si="25"/>
        <v/>
      </c>
      <c r="U74" s="493" t="str">
        <f t="shared" si="26"/>
        <v/>
      </c>
    </row>
    <row r="75" spans="1:21" ht="15.75" x14ac:dyDescent="0.25">
      <c r="A75" s="184" t="s">
        <v>78</v>
      </c>
      <c r="B75" s="692"/>
      <c r="C75" s="105" t="str">
        <f>IF(B75="","",VLOOKUP(B75,'Списки участников'!A:L,3,FALSE))</f>
        <v/>
      </c>
      <c r="D75" s="102" t="str">
        <f>IF(B75="","",VLOOKUP(B75,'Списки участников'!A:L,6,FALSE))</f>
        <v/>
      </c>
      <c r="E75" s="104" t="e">
        <f>MID(C75,1,SEARCH(" ",C75)-1)</f>
        <v>#VALUE!</v>
      </c>
      <c r="F75" s="104" t="e">
        <f>MID(C75,SEARCH(" ",C75)+1,1)</f>
        <v>#VALUE!</v>
      </c>
      <c r="G75" s="104" t="e">
        <f>CONCATENATE(E75," ",F75,".")</f>
        <v>#VALUE!</v>
      </c>
      <c r="H75" s="187"/>
      <c r="I75" s="186" t="str">
        <f t="shared" si="20"/>
        <v/>
      </c>
      <c r="J75" s="187"/>
      <c r="K75" s="186" t="str">
        <f t="shared" si="21"/>
        <v/>
      </c>
      <c r="L75" s="187"/>
      <c r="M75" s="186" t="str">
        <f t="shared" si="22"/>
        <v/>
      </c>
      <c r="N75" s="187"/>
      <c r="O75" s="186" t="e">
        <f t="shared" si="19"/>
        <v>#N/A</v>
      </c>
      <c r="P75" s="187"/>
      <c r="Q75" s="186" t="str">
        <f t="shared" si="23"/>
        <v/>
      </c>
      <c r="R75" s="187"/>
      <c r="S75" s="186" t="str">
        <f t="shared" si="24"/>
        <v/>
      </c>
      <c r="T75" s="492" t="str">
        <f t="shared" si="25"/>
        <v/>
      </c>
      <c r="U75" s="493" t="str">
        <f t="shared" si="26"/>
        <v/>
      </c>
    </row>
    <row r="76" spans="1:21" ht="15.75" x14ac:dyDescent="0.25">
      <c r="A76" s="184" t="s">
        <v>79</v>
      </c>
      <c r="B76" s="692"/>
      <c r="C76" s="105" t="str">
        <f>IF(B76="","",VLOOKUP(B76,'Списки участников'!A:L,3,FALSE))</f>
        <v/>
      </c>
      <c r="D76" s="102" t="str">
        <f>IF(B76="","",VLOOKUP(B76,'Списки участников'!A:L,6,FALSE))</f>
        <v/>
      </c>
      <c r="E76" s="104"/>
      <c r="F76" s="104"/>
      <c r="G76" s="104"/>
      <c r="H76" s="187"/>
      <c r="I76" s="186" t="str">
        <f t="shared" si="20"/>
        <v/>
      </c>
      <c r="J76" s="187"/>
      <c r="K76" s="186" t="str">
        <f t="shared" si="21"/>
        <v/>
      </c>
      <c r="L76" s="187"/>
      <c r="M76" s="186" t="str">
        <f t="shared" si="22"/>
        <v/>
      </c>
      <c r="N76" s="187"/>
      <c r="O76" s="186" t="e">
        <f t="shared" si="19"/>
        <v>#N/A</v>
      </c>
      <c r="P76" s="187"/>
      <c r="Q76" s="186" t="str">
        <f t="shared" si="23"/>
        <v/>
      </c>
      <c r="R76" s="187"/>
      <c r="S76" s="186" t="str">
        <f t="shared" si="24"/>
        <v/>
      </c>
      <c r="T76" s="492" t="str">
        <f t="shared" si="25"/>
        <v/>
      </c>
      <c r="U76" s="493" t="str">
        <f t="shared" si="26"/>
        <v/>
      </c>
    </row>
    <row r="77" spans="1:21" ht="15.75" x14ac:dyDescent="0.25">
      <c r="A77" s="184" t="s">
        <v>764</v>
      </c>
      <c r="B77" s="692"/>
      <c r="C77" s="105" t="str">
        <f>IF(B77="","",VLOOKUP(B77,'Списки участников'!A:L,3,FALSE))</f>
        <v/>
      </c>
      <c r="D77" s="102" t="str">
        <f>IF(B77="","",VLOOKUP(B77,'Списки участников'!A:L,6,FALSE))</f>
        <v/>
      </c>
      <c r="E77" s="104" t="e">
        <f>MID(C77,1,SEARCH(" ",C77)-1)</f>
        <v>#VALUE!</v>
      </c>
      <c r="F77" s="104" t="e">
        <f>MID(C77,SEARCH(" ",C77)+1,1)</f>
        <v>#VALUE!</v>
      </c>
      <c r="G77" s="104" t="e">
        <f>CONCATENATE(E77," ",F77,".")</f>
        <v>#VALUE!</v>
      </c>
      <c r="H77" s="187"/>
      <c r="I77" s="186" t="str">
        <f t="shared" si="20"/>
        <v/>
      </c>
      <c r="J77" s="187"/>
      <c r="K77" s="186" t="str">
        <f t="shared" si="21"/>
        <v/>
      </c>
      <c r="L77" s="187"/>
      <c r="M77" s="186" t="str">
        <f t="shared" si="22"/>
        <v/>
      </c>
      <c r="N77" s="187"/>
      <c r="O77" s="186" t="e">
        <f t="shared" si="19"/>
        <v>#N/A</v>
      </c>
      <c r="P77" s="187"/>
      <c r="Q77" s="186" t="str">
        <f t="shared" si="23"/>
        <v/>
      </c>
      <c r="R77" s="187"/>
      <c r="S77" s="186" t="str">
        <f t="shared" si="24"/>
        <v/>
      </c>
      <c r="T77" s="492" t="str">
        <f t="shared" si="25"/>
        <v/>
      </c>
      <c r="U77" s="493" t="str">
        <f t="shared" si="26"/>
        <v/>
      </c>
    </row>
    <row r="78" spans="1:21" ht="15.75" x14ac:dyDescent="0.25">
      <c r="A78" s="184" t="s">
        <v>81</v>
      </c>
      <c r="B78" s="692"/>
      <c r="C78" s="105" t="str">
        <f>IF(B78="","",VLOOKUP(B78,'Списки участников'!A:L,3,FALSE))</f>
        <v/>
      </c>
      <c r="D78" s="102" t="str">
        <f>IF(B78="","",VLOOKUP(B78,'Списки участников'!A:L,6,FALSE))</f>
        <v/>
      </c>
      <c r="E78" s="104"/>
      <c r="F78" s="104"/>
      <c r="G78" s="104"/>
      <c r="H78" s="187"/>
      <c r="I78" s="186" t="str">
        <f t="shared" si="20"/>
        <v/>
      </c>
      <c r="J78" s="187"/>
      <c r="K78" s="186" t="str">
        <f t="shared" si="21"/>
        <v/>
      </c>
      <c r="L78" s="187"/>
      <c r="M78" s="186" t="str">
        <f t="shared" si="22"/>
        <v/>
      </c>
      <c r="N78" s="187"/>
      <c r="O78" s="186" t="e">
        <f t="shared" si="19"/>
        <v>#N/A</v>
      </c>
      <c r="P78" s="187"/>
      <c r="Q78" s="186" t="str">
        <f t="shared" si="23"/>
        <v/>
      </c>
      <c r="R78" s="187"/>
      <c r="S78" s="186" t="str">
        <f t="shared" si="24"/>
        <v/>
      </c>
      <c r="T78" s="492" t="str">
        <f t="shared" si="25"/>
        <v/>
      </c>
      <c r="U78" s="493" t="str">
        <f t="shared" si="26"/>
        <v/>
      </c>
    </row>
    <row r="79" spans="1:21" ht="15.75" x14ac:dyDescent="0.25">
      <c r="A79" s="184" t="s">
        <v>82</v>
      </c>
      <c r="B79" s="692"/>
      <c r="C79" s="105" t="str">
        <f>IF(B79="","",VLOOKUP(B79,'Списки участников'!A:L,3,FALSE))</f>
        <v/>
      </c>
      <c r="D79" s="102" t="str">
        <f>IF(B79="","",VLOOKUP(B79,'Списки участников'!A:L,6,FALSE))</f>
        <v/>
      </c>
      <c r="E79" s="104"/>
      <c r="F79" s="104"/>
      <c r="G79" s="104"/>
      <c r="H79" s="187"/>
      <c r="I79" s="186" t="str">
        <f t="shared" si="20"/>
        <v/>
      </c>
      <c r="J79" s="187"/>
      <c r="K79" s="186" t="str">
        <f t="shared" si="21"/>
        <v/>
      </c>
      <c r="L79" s="187"/>
      <c r="M79" s="186" t="str">
        <f t="shared" si="22"/>
        <v/>
      </c>
      <c r="N79" s="187"/>
      <c r="O79" s="186" t="e">
        <f t="shared" si="19"/>
        <v>#N/A</v>
      </c>
      <c r="P79" s="187"/>
      <c r="Q79" s="186" t="str">
        <f t="shared" si="23"/>
        <v/>
      </c>
      <c r="R79" s="187"/>
      <c r="S79" s="186" t="str">
        <f t="shared" si="24"/>
        <v/>
      </c>
      <c r="T79" s="492" t="str">
        <f t="shared" si="25"/>
        <v/>
      </c>
      <c r="U79" s="493" t="str">
        <f t="shared" si="26"/>
        <v/>
      </c>
    </row>
    <row r="80" spans="1:21" ht="15.75" x14ac:dyDescent="0.25">
      <c r="A80" s="184" t="s">
        <v>86</v>
      </c>
      <c r="B80" s="692"/>
      <c r="C80" s="105" t="str">
        <f>IF(B80="","",VLOOKUP(B80,'Списки участников'!A:L,3,FALSE))</f>
        <v/>
      </c>
      <c r="D80" s="102" t="str">
        <f>IF(B80="","",VLOOKUP(B80,'Списки участников'!A:L,6,FALSE))</f>
        <v/>
      </c>
      <c r="E80" s="104" t="e">
        <f>MID(C80,1,SEARCH(" ",C80)-1)</f>
        <v>#VALUE!</v>
      </c>
      <c r="F80" s="104" t="e">
        <f>MID(C80,SEARCH(" ",C80)+1,1)</f>
        <v>#VALUE!</v>
      </c>
      <c r="G80" s="104" t="e">
        <f>CONCATENATE(E80," ",F80,".")</f>
        <v>#VALUE!</v>
      </c>
      <c r="H80" s="187"/>
      <c r="I80" s="186" t="str">
        <f t="shared" si="20"/>
        <v/>
      </c>
      <c r="J80" s="187"/>
      <c r="K80" s="186" t="str">
        <f t="shared" si="21"/>
        <v/>
      </c>
      <c r="L80" s="187"/>
      <c r="M80" s="186" t="str">
        <f t="shared" si="22"/>
        <v/>
      </c>
      <c r="N80" s="187"/>
      <c r="O80" s="186" t="e">
        <f t="shared" si="19"/>
        <v>#N/A</v>
      </c>
      <c r="P80" s="187"/>
      <c r="Q80" s="186" t="str">
        <f t="shared" si="23"/>
        <v/>
      </c>
      <c r="R80" s="187"/>
      <c r="S80" s="186" t="str">
        <f t="shared" si="24"/>
        <v/>
      </c>
      <c r="T80" s="492" t="str">
        <f t="shared" si="25"/>
        <v/>
      </c>
      <c r="U80" s="493" t="str">
        <f t="shared" si="26"/>
        <v/>
      </c>
    </row>
    <row r="81" spans="1:21" ht="15.75" x14ac:dyDescent="0.25">
      <c r="A81" s="184" t="s">
        <v>87</v>
      </c>
      <c r="B81" s="692"/>
      <c r="C81" s="105" t="str">
        <f>IF(B81="","",VLOOKUP(B81,'Списки участников'!A:L,3,FALSE))</f>
        <v/>
      </c>
      <c r="D81" s="102" t="str">
        <f>IF(B81="","",VLOOKUP(B81,'Списки участников'!A:L,6,FALSE))</f>
        <v/>
      </c>
      <c r="E81" s="104" t="e">
        <f>MID(C81,1,SEARCH(" ",C81)-1)</f>
        <v>#VALUE!</v>
      </c>
      <c r="F81" s="104" t="e">
        <f>MID(C81,SEARCH(" ",C81)+1,1)</f>
        <v>#VALUE!</v>
      </c>
      <c r="G81" s="104" t="e">
        <f>CONCATENATE(E81," ",F81,".")</f>
        <v>#VALUE!</v>
      </c>
      <c r="H81" s="187"/>
      <c r="I81" s="186" t="str">
        <f t="shared" si="20"/>
        <v/>
      </c>
      <c r="J81" s="187"/>
      <c r="K81" s="186" t="str">
        <f t="shared" si="21"/>
        <v/>
      </c>
      <c r="L81" s="187"/>
      <c r="M81" s="186" t="str">
        <f t="shared" si="22"/>
        <v/>
      </c>
      <c r="N81" s="187"/>
      <c r="O81" s="186" t="e">
        <f t="shared" si="19"/>
        <v>#N/A</v>
      </c>
      <c r="P81" s="187"/>
      <c r="Q81" s="186" t="str">
        <f t="shared" si="23"/>
        <v/>
      </c>
      <c r="R81" s="187"/>
      <c r="S81" s="186" t="str">
        <f t="shared" si="24"/>
        <v/>
      </c>
      <c r="T81" s="492" t="str">
        <f t="shared" si="25"/>
        <v/>
      </c>
      <c r="U81" s="493" t="str">
        <f t="shared" si="26"/>
        <v/>
      </c>
    </row>
    <row r="82" spans="1:21" ht="15.75" x14ac:dyDescent="0.25">
      <c r="A82" s="184" t="s">
        <v>88</v>
      </c>
      <c r="B82" s="692"/>
      <c r="C82" s="105" t="str">
        <f>IF(B82="","",VLOOKUP(B82,'Списки участников'!A:L,3,FALSE))</f>
        <v/>
      </c>
      <c r="D82" s="102" t="str">
        <f>IF(B82="","",VLOOKUP(B82,'Списки участников'!A:L,6,FALSE))</f>
        <v/>
      </c>
      <c r="E82" s="104" t="e">
        <f>MID(C82,1,SEARCH(" ",C82)-1)</f>
        <v>#VALUE!</v>
      </c>
      <c r="F82" s="104" t="e">
        <f>MID(C82,SEARCH(" ",C82)+1,1)</f>
        <v>#VALUE!</v>
      </c>
      <c r="G82" s="104" t="e">
        <f>CONCATENATE(E82," ",F82,".")</f>
        <v>#VALUE!</v>
      </c>
      <c r="H82" s="187"/>
      <c r="I82" s="186" t="str">
        <f t="shared" si="20"/>
        <v/>
      </c>
      <c r="J82" s="187"/>
      <c r="K82" s="186" t="str">
        <f t="shared" si="21"/>
        <v/>
      </c>
      <c r="L82" s="187"/>
      <c r="M82" s="186" t="str">
        <f t="shared" si="22"/>
        <v/>
      </c>
      <c r="N82" s="187"/>
      <c r="O82" s="186" t="e">
        <f t="shared" si="19"/>
        <v>#N/A</v>
      </c>
      <c r="P82" s="187"/>
      <c r="Q82" s="186" t="str">
        <f t="shared" si="23"/>
        <v/>
      </c>
      <c r="R82" s="187"/>
      <c r="S82" s="186" t="str">
        <f t="shared" si="24"/>
        <v/>
      </c>
      <c r="T82" s="492" t="str">
        <f t="shared" si="25"/>
        <v/>
      </c>
      <c r="U82" s="493" t="str">
        <f t="shared" si="26"/>
        <v/>
      </c>
    </row>
    <row r="83" spans="1:21" ht="15.75" x14ac:dyDescent="0.25">
      <c r="A83" s="184" t="s">
        <v>892</v>
      </c>
      <c r="B83" s="692"/>
      <c r="C83" s="105" t="str">
        <f>IF(B83="","",VLOOKUP(B83,'Списки участников'!A:L,3,FALSE))</f>
        <v/>
      </c>
      <c r="D83" s="102" t="str">
        <f>IF(B83="","",VLOOKUP(B83,'Списки участников'!A:L,6,FALSE))</f>
        <v/>
      </c>
      <c r="E83" s="104"/>
      <c r="F83" s="104"/>
      <c r="G83" s="104"/>
      <c r="H83" s="187"/>
      <c r="I83" s="186" t="str">
        <f t="shared" si="20"/>
        <v/>
      </c>
      <c r="J83" s="187"/>
      <c r="K83" s="186" t="str">
        <f t="shared" si="21"/>
        <v/>
      </c>
      <c r="L83" s="187"/>
      <c r="M83" s="186" t="str">
        <f t="shared" si="22"/>
        <v/>
      </c>
      <c r="N83" s="187"/>
      <c r="O83" s="186" t="e">
        <f t="shared" si="19"/>
        <v>#N/A</v>
      </c>
      <c r="P83" s="187"/>
      <c r="Q83" s="186" t="str">
        <f t="shared" si="23"/>
        <v/>
      </c>
      <c r="R83" s="187"/>
      <c r="S83" s="186" t="str">
        <f t="shared" si="24"/>
        <v/>
      </c>
      <c r="T83" s="492" t="str">
        <f t="shared" si="25"/>
        <v/>
      </c>
      <c r="U83" s="493" t="str">
        <f t="shared" si="26"/>
        <v/>
      </c>
    </row>
    <row r="84" spans="1:21" ht="15.75" x14ac:dyDescent="0.25">
      <c r="A84" s="184" t="s">
        <v>893</v>
      </c>
      <c r="B84" s="692"/>
      <c r="C84" s="105" t="str">
        <f>IF(B84="","",VLOOKUP(B84,'Списки участников'!A:L,3,FALSE))</f>
        <v/>
      </c>
      <c r="D84" s="102" t="str">
        <f>IF(B84="","",VLOOKUP(B84,'Списки участников'!A:L,6,FALSE))</f>
        <v/>
      </c>
      <c r="E84" s="104" t="e">
        <f t="shared" ref="E84:E89" si="27">MID(C84,1,SEARCH(" ",C84)-1)</f>
        <v>#VALUE!</v>
      </c>
      <c r="F84" s="104" t="e">
        <f t="shared" ref="F84:F89" si="28">MID(C84,SEARCH(" ",C84)+1,1)</f>
        <v>#VALUE!</v>
      </c>
      <c r="G84" s="104" t="e">
        <f t="shared" ref="G84:G89" si="29">CONCATENATE(E84," ",F84,".")</f>
        <v>#VALUE!</v>
      </c>
      <c r="H84" s="187"/>
      <c r="I84" s="186" t="str">
        <f t="shared" si="20"/>
        <v/>
      </c>
      <c r="J84" s="187"/>
      <c r="K84" s="186" t="str">
        <f t="shared" si="21"/>
        <v/>
      </c>
      <c r="L84" s="187"/>
      <c r="M84" s="186" t="str">
        <f t="shared" si="22"/>
        <v/>
      </c>
      <c r="N84" s="187"/>
      <c r="O84" s="186" t="e">
        <f t="shared" si="19"/>
        <v>#N/A</v>
      </c>
      <c r="P84" s="187"/>
      <c r="Q84" s="186" t="str">
        <f t="shared" si="23"/>
        <v/>
      </c>
      <c r="R84" s="187"/>
      <c r="S84" s="186" t="str">
        <f t="shared" si="24"/>
        <v/>
      </c>
      <c r="T84" s="492" t="str">
        <f t="shared" si="25"/>
        <v/>
      </c>
      <c r="U84" s="493" t="str">
        <f t="shared" si="26"/>
        <v/>
      </c>
    </row>
    <row r="85" spans="1:21" ht="15.75" x14ac:dyDescent="0.25">
      <c r="A85" s="184" t="s">
        <v>894</v>
      </c>
      <c r="B85" s="692"/>
      <c r="C85" s="105" t="str">
        <f>IF(B85="","",VLOOKUP(B85,'Списки участников'!A:L,3,FALSE))</f>
        <v/>
      </c>
      <c r="D85" s="102" t="str">
        <f>IF(B85="","",VLOOKUP(B85,'Списки участников'!A:L,6,FALSE))</f>
        <v/>
      </c>
      <c r="E85" s="104" t="e">
        <f t="shared" si="27"/>
        <v>#VALUE!</v>
      </c>
      <c r="F85" s="104" t="e">
        <f t="shared" si="28"/>
        <v>#VALUE!</v>
      </c>
      <c r="G85" s="104" t="e">
        <f t="shared" si="29"/>
        <v>#VALUE!</v>
      </c>
      <c r="H85" s="187"/>
      <c r="I85" s="186" t="str">
        <f t="shared" si="20"/>
        <v/>
      </c>
      <c r="J85" s="187"/>
      <c r="K85" s="186" t="str">
        <f t="shared" si="21"/>
        <v/>
      </c>
      <c r="L85" s="187"/>
      <c r="M85" s="186" t="str">
        <f t="shared" si="22"/>
        <v/>
      </c>
      <c r="N85" s="187"/>
      <c r="O85" s="186" t="e">
        <f t="shared" si="19"/>
        <v>#N/A</v>
      </c>
      <c r="P85" s="187"/>
      <c r="Q85" s="186" t="str">
        <f t="shared" si="23"/>
        <v/>
      </c>
      <c r="R85" s="187"/>
      <c r="S85" s="186" t="str">
        <f t="shared" si="24"/>
        <v/>
      </c>
      <c r="T85" s="492" t="str">
        <f t="shared" si="25"/>
        <v/>
      </c>
      <c r="U85" s="493" t="str">
        <f t="shared" si="26"/>
        <v/>
      </c>
    </row>
    <row r="86" spans="1:21" ht="15.75" x14ac:dyDescent="0.25">
      <c r="A86" s="184" t="s">
        <v>895</v>
      </c>
      <c r="B86" s="692"/>
      <c r="C86" s="105" t="str">
        <f>IF(B86="","",VLOOKUP(B86,'Списки участников'!A:L,3,FALSE))</f>
        <v/>
      </c>
      <c r="D86" s="102" t="str">
        <f>IF(B86="","",VLOOKUP(B86,'Списки участников'!A:L,6,FALSE))</f>
        <v/>
      </c>
      <c r="E86" s="104" t="e">
        <f t="shared" si="27"/>
        <v>#VALUE!</v>
      </c>
      <c r="F86" s="104" t="e">
        <f t="shared" si="28"/>
        <v>#VALUE!</v>
      </c>
      <c r="G86" s="104" t="e">
        <f t="shared" si="29"/>
        <v>#VALUE!</v>
      </c>
      <c r="H86" s="187"/>
      <c r="I86" s="186" t="str">
        <f t="shared" si="20"/>
        <v/>
      </c>
      <c r="J86" s="187"/>
      <c r="K86" s="186" t="str">
        <f t="shared" si="21"/>
        <v/>
      </c>
      <c r="L86" s="187"/>
      <c r="M86" s="186" t="str">
        <f t="shared" si="22"/>
        <v/>
      </c>
      <c r="N86" s="187"/>
      <c r="O86" s="186" t="e">
        <f t="shared" si="19"/>
        <v>#N/A</v>
      </c>
      <c r="P86" s="187"/>
      <c r="Q86" s="186" t="str">
        <f t="shared" si="23"/>
        <v/>
      </c>
      <c r="R86" s="187"/>
      <c r="S86" s="186" t="str">
        <f t="shared" si="24"/>
        <v/>
      </c>
      <c r="T86" s="492" t="str">
        <f t="shared" si="25"/>
        <v/>
      </c>
      <c r="U86" s="493" t="str">
        <f t="shared" si="26"/>
        <v/>
      </c>
    </row>
    <row r="87" spans="1:21" ht="15.75" x14ac:dyDescent="0.25">
      <c r="A87" s="184" t="s">
        <v>896</v>
      </c>
      <c r="B87" s="692"/>
      <c r="C87" s="105" t="str">
        <f>IF(B87="","",VLOOKUP(B87,'Списки участников'!A:L,3,FALSE))</f>
        <v/>
      </c>
      <c r="D87" s="102" t="str">
        <f>IF(B87="","",VLOOKUP(B87,'Списки участников'!A:L,6,FALSE))</f>
        <v/>
      </c>
      <c r="E87" s="104" t="e">
        <f t="shared" si="27"/>
        <v>#VALUE!</v>
      </c>
      <c r="F87" s="104" t="e">
        <f t="shared" si="28"/>
        <v>#VALUE!</v>
      </c>
      <c r="G87" s="104" t="e">
        <f t="shared" si="29"/>
        <v>#VALUE!</v>
      </c>
      <c r="H87" s="187"/>
      <c r="I87" s="186" t="str">
        <f t="shared" si="20"/>
        <v/>
      </c>
      <c r="J87" s="187"/>
      <c r="K87" s="186" t="str">
        <f t="shared" si="21"/>
        <v/>
      </c>
      <c r="L87" s="187"/>
      <c r="M87" s="186" t="str">
        <f t="shared" si="22"/>
        <v/>
      </c>
      <c r="N87" s="187"/>
      <c r="O87" s="186" t="e">
        <f t="shared" si="19"/>
        <v>#N/A</v>
      </c>
      <c r="P87" s="187"/>
      <c r="Q87" s="186" t="str">
        <f t="shared" si="23"/>
        <v/>
      </c>
      <c r="R87" s="187"/>
      <c r="S87" s="186" t="str">
        <f t="shared" si="24"/>
        <v/>
      </c>
      <c r="T87" s="492" t="str">
        <f t="shared" si="25"/>
        <v/>
      </c>
      <c r="U87" s="493" t="str">
        <f t="shared" si="26"/>
        <v/>
      </c>
    </row>
    <row r="88" spans="1:21" ht="15.75" x14ac:dyDescent="0.25">
      <c r="A88" s="184" t="s">
        <v>897</v>
      </c>
      <c r="B88" s="692"/>
      <c r="C88" s="105" t="str">
        <f>IF(B88="","",VLOOKUP(B88,'Списки участников'!A:L,3,FALSE))</f>
        <v/>
      </c>
      <c r="D88" s="102" t="str">
        <f>IF(B88="","",VLOOKUP(B88,'Списки участников'!A:L,6,FALSE))</f>
        <v/>
      </c>
      <c r="E88" s="104" t="e">
        <f t="shared" si="27"/>
        <v>#VALUE!</v>
      </c>
      <c r="F88" s="104" t="e">
        <f t="shared" si="28"/>
        <v>#VALUE!</v>
      </c>
      <c r="G88" s="104" t="e">
        <f t="shared" si="29"/>
        <v>#VALUE!</v>
      </c>
      <c r="H88" s="187"/>
      <c r="I88" s="186" t="str">
        <f t="shared" si="20"/>
        <v/>
      </c>
      <c r="J88" s="187"/>
      <c r="K88" s="186" t="str">
        <f t="shared" si="21"/>
        <v/>
      </c>
      <c r="L88" s="187"/>
      <c r="M88" s="186" t="str">
        <f t="shared" si="22"/>
        <v/>
      </c>
      <c r="N88" s="187"/>
      <c r="O88" s="186" t="e">
        <f t="shared" ref="O88:O105" si="30">IF(C88=0,"",RANK(N88,ОТЖИМ,))</f>
        <v>#N/A</v>
      </c>
      <c r="P88" s="187"/>
      <c r="Q88" s="186" t="str">
        <f t="shared" si="23"/>
        <v/>
      </c>
      <c r="R88" s="187"/>
      <c r="S88" s="186" t="str">
        <f t="shared" si="24"/>
        <v/>
      </c>
      <c r="T88" s="492" t="str">
        <f t="shared" si="25"/>
        <v/>
      </c>
      <c r="U88" s="493" t="str">
        <f t="shared" si="26"/>
        <v/>
      </c>
    </row>
    <row r="89" spans="1:21" ht="15.75" x14ac:dyDescent="0.25">
      <c r="A89" s="184" t="s">
        <v>898</v>
      </c>
      <c r="B89" s="692"/>
      <c r="C89" s="105" t="str">
        <f>IF(B89="","",VLOOKUP(B89,'Списки участников'!A:L,3,FALSE))</f>
        <v/>
      </c>
      <c r="D89" s="102" t="str">
        <f>IF(B89="","",VLOOKUP(B89,'Списки участников'!A:L,6,FALSE))</f>
        <v/>
      </c>
      <c r="E89" s="104" t="e">
        <f t="shared" si="27"/>
        <v>#VALUE!</v>
      </c>
      <c r="F89" s="104" t="e">
        <f t="shared" si="28"/>
        <v>#VALUE!</v>
      </c>
      <c r="G89" s="104" t="e">
        <f t="shared" si="29"/>
        <v>#VALUE!</v>
      </c>
      <c r="H89" s="187"/>
      <c r="I89" s="186" t="str">
        <f t="shared" si="20"/>
        <v/>
      </c>
      <c r="J89" s="187"/>
      <c r="K89" s="186" t="str">
        <f t="shared" si="21"/>
        <v/>
      </c>
      <c r="L89" s="187"/>
      <c r="M89" s="186" t="str">
        <f t="shared" si="22"/>
        <v/>
      </c>
      <c r="N89" s="187"/>
      <c r="O89" s="186" t="e">
        <f t="shared" si="30"/>
        <v>#N/A</v>
      </c>
      <c r="P89" s="187"/>
      <c r="Q89" s="186" t="str">
        <f t="shared" si="23"/>
        <v/>
      </c>
      <c r="R89" s="187"/>
      <c r="S89" s="186" t="str">
        <f t="shared" si="24"/>
        <v/>
      </c>
      <c r="T89" s="492" t="str">
        <f t="shared" si="25"/>
        <v/>
      </c>
      <c r="U89" s="493" t="str">
        <f t="shared" si="26"/>
        <v/>
      </c>
    </row>
    <row r="90" spans="1:21" ht="15.75" x14ac:dyDescent="0.25">
      <c r="A90" s="184" t="s">
        <v>899</v>
      </c>
      <c r="B90" s="692"/>
      <c r="C90" s="105" t="str">
        <f>IF(B90="","",VLOOKUP(B90,'Списки участников'!A:L,3,FALSE))</f>
        <v/>
      </c>
      <c r="D90" s="102" t="str">
        <f>IF(B90="","",VLOOKUP(B90,'Списки участников'!A:L,6,FALSE))</f>
        <v/>
      </c>
      <c r="E90" s="104"/>
      <c r="F90" s="104"/>
      <c r="G90" s="104"/>
      <c r="H90" s="187"/>
      <c r="I90" s="186" t="str">
        <f t="shared" si="20"/>
        <v/>
      </c>
      <c r="J90" s="187"/>
      <c r="K90" s="186" t="str">
        <f t="shared" si="21"/>
        <v/>
      </c>
      <c r="L90" s="187"/>
      <c r="M90" s="186" t="str">
        <f t="shared" si="22"/>
        <v/>
      </c>
      <c r="N90" s="187"/>
      <c r="O90" s="186" t="e">
        <f t="shared" si="30"/>
        <v>#N/A</v>
      </c>
      <c r="P90" s="187"/>
      <c r="Q90" s="186" t="str">
        <f t="shared" si="23"/>
        <v/>
      </c>
      <c r="R90" s="187"/>
      <c r="S90" s="186" t="str">
        <f t="shared" si="24"/>
        <v/>
      </c>
      <c r="T90" s="492" t="str">
        <f t="shared" si="25"/>
        <v/>
      </c>
      <c r="U90" s="493" t="str">
        <f t="shared" si="26"/>
        <v/>
      </c>
    </row>
    <row r="91" spans="1:21" ht="15.75" x14ac:dyDescent="0.25">
      <c r="A91" s="184" t="s">
        <v>94</v>
      </c>
      <c r="B91" s="692"/>
      <c r="C91" s="105" t="str">
        <f>IF(B91="","",VLOOKUP(B91,'Списки участников'!A:L,3,FALSE))</f>
        <v/>
      </c>
      <c r="D91" s="102" t="str">
        <f>IF(B91="","",VLOOKUP(B91,'Списки участников'!A:L,6,FALSE))</f>
        <v/>
      </c>
      <c r="E91" s="104" t="e">
        <f t="shared" ref="E91:E96" si="31">MID(C91,1,SEARCH(" ",C91)-1)</f>
        <v>#VALUE!</v>
      </c>
      <c r="F91" s="104" t="e">
        <f t="shared" ref="F91:F96" si="32">MID(C91,SEARCH(" ",C91)+1,1)</f>
        <v>#VALUE!</v>
      </c>
      <c r="G91" s="104" t="e">
        <f t="shared" ref="G91:G96" si="33">CONCATENATE(E91," ",F91,".")</f>
        <v>#VALUE!</v>
      </c>
      <c r="H91" s="187"/>
      <c r="I91" s="186" t="str">
        <f t="shared" si="20"/>
        <v/>
      </c>
      <c r="J91" s="187"/>
      <c r="K91" s="186" t="str">
        <f t="shared" si="21"/>
        <v/>
      </c>
      <c r="L91" s="187"/>
      <c r="M91" s="186" t="str">
        <f t="shared" si="22"/>
        <v/>
      </c>
      <c r="N91" s="187"/>
      <c r="O91" s="186" t="e">
        <f t="shared" si="30"/>
        <v>#N/A</v>
      </c>
      <c r="P91" s="187"/>
      <c r="Q91" s="186" t="str">
        <f t="shared" si="23"/>
        <v/>
      </c>
      <c r="R91" s="187"/>
      <c r="S91" s="186" t="str">
        <f t="shared" si="24"/>
        <v/>
      </c>
      <c r="T91" s="492" t="str">
        <f t="shared" si="25"/>
        <v/>
      </c>
      <c r="U91" s="493" t="str">
        <f t="shared" si="26"/>
        <v/>
      </c>
    </row>
    <row r="92" spans="1:21" ht="15.75" x14ac:dyDescent="0.25">
      <c r="A92" s="184" t="s">
        <v>95</v>
      </c>
      <c r="B92" s="692"/>
      <c r="C92" s="105" t="str">
        <f>IF(B92="","",VLOOKUP(B92,'Списки участников'!A:L,3,FALSE))</f>
        <v/>
      </c>
      <c r="D92" s="102" t="str">
        <f>IF(B92="","",VLOOKUP(B92,'Списки участников'!A:L,6,FALSE))</f>
        <v/>
      </c>
      <c r="E92" s="104" t="e">
        <f t="shared" si="31"/>
        <v>#VALUE!</v>
      </c>
      <c r="F92" s="104" t="e">
        <f t="shared" si="32"/>
        <v>#VALUE!</v>
      </c>
      <c r="G92" s="104" t="e">
        <f t="shared" si="33"/>
        <v>#VALUE!</v>
      </c>
      <c r="H92" s="187"/>
      <c r="I92" s="186" t="str">
        <f t="shared" si="20"/>
        <v/>
      </c>
      <c r="J92" s="187"/>
      <c r="K92" s="186" t="str">
        <f t="shared" si="21"/>
        <v/>
      </c>
      <c r="L92" s="187"/>
      <c r="M92" s="186" t="str">
        <f t="shared" si="22"/>
        <v/>
      </c>
      <c r="N92" s="187"/>
      <c r="O92" s="186" t="e">
        <f t="shared" si="30"/>
        <v>#N/A</v>
      </c>
      <c r="P92" s="187"/>
      <c r="Q92" s="186" t="str">
        <f t="shared" si="23"/>
        <v/>
      </c>
      <c r="R92" s="187"/>
      <c r="S92" s="186" t="str">
        <f t="shared" si="24"/>
        <v/>
      </c>
      <c r="T92" s="492" t="str">
        <f t="shared" si="25"/>
        <v/>
      </c>
      <c r="U92" s="493" t="str">
        <f t="shared" si="26"/>
        <v/>
      </c>
    </row>
    <row r="93" spans="1:21" ht="15.75" x14ac:dyDescent="0.25">
      <c r="A93" s="184" t="s">
        <v>96</v>
      </c>
      <c r="B93" s="692"/>
      <c r="C93" s="105" t="str">
        <f>IF(B93="","",VLOOKUP(B93,'Списки участников'!A:L,3,FALSE))</f>
        <v/>
      </c>
      <c r="D93" s="102" t="str">
        <f>IF(B93="","",VLOOKUP(B93,'Списки участников'!A:L,6,FALSE))</f>
        <v/>
      </c>
      <c r="E93" s="104" t="e">
        <f t="shared" si="31"/>
        <v>#VALUE!</v>
      </c>
      <c r="F93" s="104" t="e">
        <f t="shared" si="32"/>
        <v>#VALUE!</v>
      </c>
      <c r="G93" s="104" t="e">
        <f t="shared" si="33"/>
        <v>#VALUE!</v>
      </c>
      <c r="H93" s="187"/>
      <c r="I93" s="186" t="str">
        <f t="shared" si="20"/>
        <v/>
      </c>
      <c r="J93" s="187"/>
      <c r="K93" s="186" t="str">
        <f t="shared" si="21"/>
        <v/>
      </c>
      <c r="L93" s="187"/>
      <c r="M93" s="186" t="str">
        <f t="shared" si="22"/>
        <v/>
      </c>
      <c r="N93" s="187"/>
      <c r="O93" s="186" t="e">
        <f t="shared" si="30"/>
        <v>#N/A</v>
      </c>
      <c r="P93" s="187"/>
      <c r="Q93" s="186" t="str">
        <f t="shared" si="23"/>
        <v/>
      </c>
      <c r="R93" s="187"/>
      <c r="S93" s="186" t="str">
        <f t="shared" si="24"/>
        <v/>
      </c>
      <c r="T93" s="492" t="str">
        <f t="shared" si="25"/>
        <v/>
      </c>
      <c r="U93" s="493" t="str">
        <f t="shared" si="26"/>
        <v/>
      </c>
    </row>
    <row r="94" spans="1:21" ht="15.75" x14ac:dyDescent="0.25">
      <c r="A94" s="184" t="s">
        <v>97</v>
      </c>
      <c r="B94" s="692"/>
      <c r="C94" s="105" t="str">
        <f>IF(B94="","",VLOOKUP(B94,'Списки участников'!A:L,3,FALSE))</f>
        <v/>
      </c>
      <c r="D94" s="102" t="str">
        <f>IF(B94="","",VLOOKUP(B94,'Списки участников'!A:L,6,FALSE))</f>
        <v/>
      </c>
      <c r="E94" s="104" t="e">
        <f t="shared" si="31"/>
        <v>#VALUE!</v>
      </c>
      <c r="F94" s="104" t="e">
        <f t="shared" si="32"/>
        <v>#VALUE!</v>
      </c>
      <c r="G94" s="104" t="e">
        <f t="shared" si="33"/>
        <v>#VALUE!</v>
      </c>
      <c r="H94" s="187"/>
      <c r="I94" s="186" t="str">
        <f t="shared" si="20"/>
        <v/>
      </c>
      <c r="J94" s="187"/>
      <c r="K94" s="186" t="str">
        <f t="shared" si="21"/>
        <v/>
      </c>
      <c r="L94" s="187"/>
      <c r="M94" s="186" t="str">
        <f t="shared" si="22"/>
        <v/>
      </c>
      <c r="N94" s="187"/>
      <c r="O94" s="186" t="e">
        <f t="shared" si="30"/>
        <v>#N/A</v>
      </c>
      <c r="P94" s="187"/>
      <c r="Q94" s="186" t="str">
        <f t="shared" si="23"/>
        <v/>
      </c>
      <c r="R94" s="187"/>
      <c r="S94" s="186" t="str">
        <f t="shared" si="24"/>
        <v/>
      </c>
      <c r="T94" s="492" t="str">
        <f t="shared" si="25"/>
        <v/>
      </c>
      <c r="U94" s="493" t="str">
        <f t="shared" si="26"/>
        <v/>
      </c>
    </row>
    <row r="95" spans="1:21" ht="15.75" x14ac:dyDescent="0.25">
      <c r="A95" s="184" t="s">
        <v>900</v>
      </c>
      <c r="B95" s="692"/>
      <c r="C95" s="105" t="str">
        <f>IF(B95="","",VLOOKUP(B95,'Списки участников'!A:L,3,FALSE))</f>
        <v/>
      </c>
      <c r="D95" s="102" t="str">
        <f>IF(B95="","",VLOOKUP(B95,'Списки участников'!A:L,6,FALSE))</f>
        <v/>
      </c>
      <c r="E95" s="104" t="e">
        <f t="shared" si="31"/>
        <v>#VALUE!</v>
      </c>
      <c r="F95" s="104" t="e">
        <f t="shared" si="32"/>
        <v>#VALUE!</v>
      </c>
      <c r="G95" s="104" t="e">
        <f t="shared" si="33"/>
        <v>#VALUE!</v>
      </c>
      <c r="H95" s="187"/>
      <c r="I95" s="186" t="str">
        <f t="shared" si="20"/>
        <v/>
      </c>
      <c r="J95" s="187"/>
      <c r="K95" s="186" t="str">
        <f t="shared" si="21"/>
        <v/>
      </c>
      <c r="L95" s="187"/>
      <c r="M95" s="186" t="str">
        <f t="shared" si="22"/>
        <v/>
      </c>
      <c r="N95" s="187"/>
      <c r="O95" s="186" t="e">
        <f t="shared" si="30"/>
        <v>#N/A</v>
      </c>
      <c r="P95" s="187"/>
      <c r="Q95" s="186" t="str">
        <f t="shared" si="23"/>
        <v/>
      </c>
      <c r="R95" s="187"/>
      <c r="S95" s="186" t="str">
        <f t="shared" si="24"/>
        <v/>
      </c>
      <c r="T95" s="492" t="str">
        <f t="shared" si="25"/>
        <v/>
      </c>
      <c r="U95" s="493" t="str">
        <f t="shared" si="26"/>
        <v/>
      </c>
    </row>
    <row r="96" spans="1:21" ht="15.75" x14ac:dyDescent="0.25">
      <c r="A96" s="184" t="s">
        <v>901</v>
      </c>
      <c r="B96" s="692"/>
      <c r="C96" s="105" t="str">
        <f>IF(B96="","",VLOOKUP(B96,'Списки участников'!A:L,3,FALSE))</f>
        <v/>
      </c>
      <c r="D96" s="102" t="str">
        <f>IF(B96="","",VLOOKUP(B96,'Списки участников'!A:L,6,FALSE))</f>
        <v/>
      </c>
      <c r="E96" s="104" t="e">
        <f t="shared" si="31"/>
        <v>#VALUE!</v>
      </c>
      <c r="F96" s="104" t="e">
        <f t="shared" si="32"/>
        <v>#VALUE!</v>
      </c>
      <c r="G96" s="104" t="e">
        <f t="shared" si="33"/>
        <v>#VALUE!</v>
      </c>
      <c r="H96" s="187"/>
      <c r="I96" s="186" t="str">
        <f t="shared" si="20"/>
        <v/>
      </c>
      <c r="J96" s="187"/>
      <c r="K96" s="186" t="str">
        <f t="shared" si="21"/>
        <v/>
      </c>
      <c r="L96" s="187"/>
      <c r="M96" s="186" t="str">
        <f t="shared" si="22"/>
        <v/>
      </c>
      <c r="N96" s="187"/>
      <c r="O96" s="186" t="e">
        <f t="shared" si="30"/>
        <v>#N/A</v>
      </c>
      <c r="P96" s="187"/>
      <c r="Q96" s="186" t="str">
        <f t="shared" si="23"/>
        <v/>
      </c>
      <c r="R96" s="187"/>
      <c r="S96" s="186" t="str">
        <f t="shared" si="24"/>
        <v/>
      </c>
      <c r="T96" s="492" t="str">
        <f t="shared" si="25"/>
        <v/>
      </c>
      <c r="U96" s="493" t="str">
        <f t="shared" si="26"/>
        <v/>
      </c>
    </row>
    <row r="97" spans="1:21" ht="15.75" x14ac:dyDescent="0.25">
      <c r="A97" s="184" t="s">
        <v>902</v>
      </c>
      <c r="B97" s="692"/>
      <c r="C97" s="105" t="str">
        <f>IF(B97="","",VLOOKUP(B97,'Списки участников'!A:L,3,FALSE))</f>
        <v/>
      </c>
      <c r="D97" s="102" t="str">
        <f>IF(B97="","",VLOOKUP(B97,'Списки участников'!A:L,6,FALSE))</f>
        <v/>
      </c>
      <c r="E97" s="104"/>
      <c r="F97" s="104"/>
      <c r="G97" s="104"/>
      <c r="H97" s="187"/>
      <c r="I97" s="186" t="str">
        <f t="shared" si="20"/>
        <v/>
      </c>
      <c r="J97" s="187"/>
      <c r="K97" s="186" t="str">
        <f t="shared" si="21"/>
        <v/>
      </c>
      <c r="L97" s="187"/>
      <c r="M97" s="186" t="str">
        <f t="shared" si="22"/>
        <v/>
      </c>
      <c r="N97" s="187"/>
      <c r="O97" s="186" t="e">
        <f t="shared" si="30"/>
        <v>#N/A</v>
      </c>
      <c r="P97" s="187"/>
      <c r="Q97" s="186" t="str">
        <f t="shared" si="23"/>
        <v/>
      </c>
      <c r="R97" s="187"/>
      <c r="S97" s="186" t="str">
        <f t="shared" si="24"/>
        <v/>
      </c>
      <c r="T97" s="492" t="str">
        <f t="shared" si="25"/>
        <v/>
      </c>
      <c r="U97" s="493" t="str">
        <f t="shared" si="26"/>
        <v/>
      </c>
    </row>
    <row r="98" spans="1:21" ht="15.75" x14ac:dyDescent="0.25">
      <c r="A98" s="184" t="s">
        <v>903</v>
      </c>
      <c r="B98" s="692"/>
      <c r="C98" s="105" t="str">
        <f>IF(B98="","",VLOOKUP(B98,'Списки участников'!A:L,3,FALSE))</f>
        <v/>
      </c>
      <c r="D98" s="102" t="str">
        <f>IF(B98="","",VLOOKUP(B98,'Списки участников'!A:L,6,FALSE))</f>
        <v/>
      </c>
      <c r="E98" s="104"/>
      <c r="F98" s="104"/>
      <c r="G98" s="104"/>
      <c r="H98" s="187"/>
      <c r="I98" s="186" t="str">
        <f t="shared" si="20"/>
        <v/>
      </c>
      <c r="J98" s="187"/>
      <c r="K98" s="186" t="str">
        <f t="shared" si="21"/>
        <v/>
      </c>
      <c r="L98" s="187"/>
      <c r="M98" s="186" t="str">
        <f t="shared" si="22"/>
        <v/>
      </c>
      <c r="N98" s="187"/>
      <c r="O98" s="186" t="e">
        <f t="shared" si="30"/>
        <v>#N/A</v>
      </c>
      <c r="P98" s="187"/>
      <c r="Q98" s="186" t="str">
        <f t="shared" si="23"/>
        <v/>
      </c>
      <c r="R98" s="187"/>
      <c r="S98" s="186" t="str">
        <f t="shared" si="24"/>
        <v/>
      </c>
      <c r="T98" s="492" t="str">
        <f t="shared" si="25"/>
        <v/>
      </c>
      <c r="U98" s="493" t="str">
        <f t="shared" si="26"/>
        <v/>
      </c>
    </row>
    <row r="99" spans="1:21" ht="15.75" x14ac:dyDescent="0.25">
      <c r="A99" s="184" t="s">
        <v>904</v>
      </c>
      <c r="B99" s="692"/>
      <c r="C99" s="105" t="str">
        <f>IF(B99="","",VLOOKUP(B99,'Списки участников'!A:L,3,FALSE))</f>
        <v/>
      </c>
      <c r="D99" s="102" t="str">
        <f>IF(B99="","",VLOOKUP(B99,'Списки участников'!A:L,6,FALSE))</f>
        <v/>
      </c>
      <c r="E99" s="104" t="e">
        <f>MID(C99,1,SEARCH(" ",C99)-1)</f>
        <v>#VALUE!</v>
      </c>
      <c r="F99" s="104" t="e">
        <f>MID(C99,SEARCH(" ",C99)+1,1)</f>
        <v>#VALUE!</v>
      </c>
      <c r="G99" s="104" t="e">
        <f>CONCATENATE(E99," ",F99,".")</f>
        <v>#VALUE!</v>
      </c>
      <c r="H99" s="187"/>
      <c r="I99" s="186" t="str">
        <f t="shared" si="20"/>
        <v/>
      </c>
      <c r="J99" s="187"/>
      <c r="K99" s="186" t="str">
        <f t="shared" si="21"/>
        <v/>
      </c>
      <c r="L99" s="187"/>
      <c r="M99" s="186" t="str">
        <f t="shared" si="22"/>
        <v/>
      </c>
      <c r="N99" s="187"/>
      <c r="O99" s="186" t="e">
        <f t="shared" si="30"/>
        <v>#N/A</v>
      </c>
      <c r="P99" s="187"/>
      <c r="Q99" s="186" t="str">
        <f t="shared" si="23"/>
        <v/>
      </c>
      <c r="R99" s="187"/>
      <c r="S99" s="186" t="str">
        <f t="shared" si="24"/>
        <v/>
      </c>
      <c r="T99" s="492" t="str">
        <f t="shared" si="25"/>
        <v/>
      </c>
      <c r="U99" s="493" t="str">
        <f t="shared" si="26"/>
        <v/>
      </c>
    </row>
    <row r="100" spans="1:21" ht="15" customHeight="1" x14ac:dyDescent="0.25">
      <c r="A100" s="184" t="s">
        <v>905</v>
      </c>
      <c r="B100" s="692"/>
      <c r="C100" s="105" t="str">
        <f>IF(B100="","",VLOOKUP(B100,'Списки участников'!A:L,3,FALSE))</f>
        <v/>
      </c>
      <c r="D100" s="102" t="str">
        <f>IF(B100="","",VLOOKUP(B100,'Списки участников'!A:L,6,FALSE))</f>
        <v/>
      </c>
      <c r="E100" s="104"/>
      <c r="F100" s="104"/>
      <c r="G100" s="104"/>
      <c r="H100" s="187"/>
      <c r="I100" s="186" t="str">
        <f t="shared" si="20"/>
        <v/>
      </c>
      <c r="J100" s="187"/>
      <c r="K100" s="186" t="str">
        <f t="shared" si="21"/>
        <v/>
      </c>
      <c r="L100" s="187"/>
      <c r="M100" s="186" t="str">
        <f t="shared" si="22"/>
        <v/>
      </c>
      <c r="N100" s="187"/>
      <c r="O100" s="186" t="e">
        <f t="shared" si="30"/>
        <v>#N/A</v>
      </c>
      <c r="P100" s="187"/>
      <c r="Q100" s="186" t="str">
        <f t="shared" si="23"/>
        <v/>
      </c>
      <c r="R100" s="187"/>
      <c r="S100" s="186" t="str">
        <f t="shared" si="24"/>
        <v/>
      </c>
      <c r="T100" s="492" t="str">
        <f t="shared" si="25"/>
        <v/>
      </c>
      <c r="U100" s="493" t="str">
        <f t="shared" si="26"/>
        <v/>
      </c>
    </row>
    <row r="101" spans="1:21" ht="15.75" x14ac:dyDescent="0.25">
      <c r="A101" s="184" t="s">
        <v>906</v>
      </c>
      <c r="B101" s="870"/>
      <c r="C101" s="105" t="str">
        <f>IF(B101="","",VLOOKUP(B101,'Списки участников'!A:L,3,FALSE))</f>
        <v/>
      </c>
      <c r="D101" s="866" t="str">
        <f>IF(B101="","",VLOOKUP(B101,'Списки участников'!A:L,6,FALSE))</f>
        <v/>
      </c>
      <c r="E101" s="104" t="e">
        <f>MID(C101,1,SEARCH(" ",C101)-1)</f>
        <v>#VALUE!</v>
      </c>
      <c r="F101" s="104" t="e">
        <f>MID(C101,SEARCH(" ",C101)+1,1)</f>
        <v>#VALUE!</v>
      </c>
      <c r="G101" s="104" t="e">
        <f>CONCATENATE(E101," ",F101,".")</f>
        <v>#VALUE!</v>
      </c>
      <c r="H101" s="871"/>
      <c r="I101" s="872" t="str">
        <f t="shared" si="20"/>
        <v/>
      </c>
      <c r="J101" s="871"/>
      <c r="K101" s="872" t="str">
        <f t="shared" si="21"/>
        <v/>
      </c>
      <c r="L101" s="871"/>
      <c r="M101" s="872" t="str">
        <f t="shared" si="22"/>
        <v/>
      </c>
      <c r="N101" s="871"/>
      <c r="O101" s="872" t="e">
        <f t="shared" si="30"/>
        <v>#N/A</v>
      </c>
      <c r="P101" s="871"/>
      <c r="Q101" s="872" t="str">
        <f t="shared" si="23"/>
        <v/>
      </c>
      <c r="R101" s="871"/>
      <c r="S101" s="872" t="str">
        <f t="shared" si="24"/>
        <v/>
      </c>
      <c r="T101" s="873" t="str">
        <f t="shared" si="25"/>
        <v/>
      </c>
      <c r="U101" s="874" t="str">
        <f t="shared" si="26"/>
        <v/>
      </c>
    </row>
    <row r="102" spans="1:21" ht="15.75" x14ac:dyDescent="0.25">
      <c r="A102" s="184" t="s">
        <v>907</v>
      </c>
      <c r="B102" s="880"/>
      <c r="C102" s="105" t="str">
        <f>IF(B102="","",VLOOKUP(B102,'Списки участников'!A:L,3,FALSE))</f>
        <v/>
      </c>
      <c r="D102" s="881" t="str">
        <f>IF(B102="","",VLOOKUP(B102,'Списки участников'!A:L,6,FALSE))</f>
        <v/>
      </c>
      <c r="E102" s="882" t="e">
        <f>MID(C102,1,SEARCH(" ",C102)-1)</f>
        <v>#VALUE!</v>
      </c>
      <c r="F102" s="882" t="e">
        <f>MID(C102,SEARCH(" ",C102)+1,1)</f>
        <v>#VALUE!</v>
      </c>
      <c r="G102" s="882" t="e">
        <f>CONCATENATE(E102," ",F102,".")</f>
        <v>#VALUE!</v>
      </c>
      <c r="H102" s="871"/>
      <c r="I102" s="883" t="str">
        <f t="shared" si="20"/>
        <v/>
      </c>
      <c r="J102" s="871"/>
      <c r="K102" s="883" t="str">
        <f t="shared" si="21"/>
        <v/>
      </c>
      <c r="L102" s="871"/>
      <c r="M102" s="883" t="str">
        <f t="shared" si="22"/>
        <v/>
      </c>
      <c r="N102" s="871"/>
      <c r="O102" s="883" t="e">
        <f t="shared" si="30"/>
        <v>#N/A</v>
      </c>
      <c r="P102" s="871"/>
      <c r="Q102" s="883" t="str">
        <f t="shared" si="23"/>
        <v/>
      </c>
      <c r="R102" s="871"/>
      <c r="S102" s="883" t="str">
        <f t="shared" si="24"/>
        <v/>
      </c>
      <c r="T102" s="884" t="str">
        <f t="shared" si="25"/>
        <v/>
      </c>
      <c r="U102" s="885" t="str">
        <f t="shared" si="26"/>
        <v/>
      </c>
    </row>
    <row r="103" spans="1:21" ht="15.75" x14ac:dyDescent="0.25">
      <c r="A103" s="184" t="s">
        <v>908</v>
      </c>
      <c r="B103" s="875"/>
      <c r="C103" s="105" t="str">
        <f>IF(B103="","",VLOOKUP(B103,'Списки участников'!A:L,3,FALSE))</f>
        <v/>
      </c>
      <c r="D103" s="868" t="str">
        <f>IF(B103="","",VLOOKUP(B103,'Списки участников'!A:L,6,FALSE))</f>
        <v/>
      </c>
      <c r="E103" s="869"/>
      <c r="F103" s="869"/>
      <c r="G103" s="869"/>
      <c r="H103" s="187"/>
      <c r="I103" s="876" t="str">
        <f t="shared" si="20"/>
        <v/>
      </c>
      <c r="J103" s="187"/>
      <c r="K103" s="876" t="str">
        <f t="shared" si="21"/>
        <v/>
      </c>
      <c r="L103" s="187"/>
      <c r="M103" s="876" t="str">
        <f t="shared" si="22"/>
        <v/>
      </c>
      <c r="N103" s="187"/>
      <c r="O103" s="876" t="e">
        <f t="shared" si="30"/>
        <v>#N/A</v>
      </c>
      <c r="P103" s="187"/>
      <c r="Q103" s="876" t="str">
        <f t="shared" si="23"/>
        <v/>
      </c>
      <c r="R103" s="187"/>
      <c r="S103" s="876" t="str">
        <f t="shared" si="24"/>
        <v/>
      </c>
      <c r="T103" s="877" t="str">
        <f t="shared" si="25"/>
        <v/>
      </c>
      <c r="U103" s="878" t="str">
        <f t="shared" si="26"/>
        <v/>
      </c>
    </row>
    <row r="104" spans="1:21" ht="15.75" x14ac:dyDescent="0.25">
      <c r="A104" s="184" t="s">
        <v>909</v>
      </c>
      <c r="B104" s="875"/>
      <c r="C104" s="105" t="str">
        <f>IF(B104="","",VLOOKUP(B104,'Списки участников'!A:L,3,FALSE))</f>
        <v/>
      </c>
      <c r="D104" s="868" t="str">
        <f>IF(B104="","",VLOOKUP(B104,'Списки участников'!A:L,6,FALSE))</f>
        <v/>
      </c>
      <c r="E104" s="869"/>
      <c r="F104" s="869"/>
      <c r="G104" s="869"/>
      <c r="H104" s="187"/>
      <c r="I104" s="876" t="str">
        <f t="shared" si="20"/>
        <v/>
      </c>
      <c r="J104" s="187"/>
      <c r="K104" s="876" t="str">
        <f t="shared" si="21"/>
        <v/>
      </c>
      <c r="L104" s="187"/>
      <c r="M104" s="876" t="str">
        <f t="shared" si="22"/>
        <v/>
      </c>
      <c r="N104" s="187"/>
      <c r="O104" s="876" t="e">
        <f t="shared" si="30"/>
        <v>#N/A</v>
      </c>
      <c r="P104" s="187"/>
      <c r="Q104" s="876" t="str">
        <f t="shared" si="23"/>
        <v/>
      </c>
      <c r="R104" s="187"/>
      <c r="S104" s="876" t="str">
        <f t="shared" si="24"/>
        <v/>
      </c>
      <c r="T104" s="877" t="str">
        <f t="shared" si="25"/>
        <v/>
      </c>
      <c r="U104" s="878" t="str">
        <f t="shared" si="26"/>
        <v/>
      </c>
    </row>
    <row r="105" spans="1:21" ht="15.75" x14ac:dyDescent="0.25">
      <c r="A105" s="184" t="s">
        <v>910</v>
      </c>
      <c r="B105" s="875"/>
      <c r="C105" s="105" t="str">
        <f>IF(B105="","",VLOOKUP(B105,'Списки участников'!A:L,3,FALSE))</f>
        <v/>
      </c>
      <c r="D105" s="868" t="str">
        <f>IF(B105="","",VLOOKUP(B105,'Списки участников'!A:L,6,FALSE))</f>
        <v/>
      </c>
      <c r="E105" s="869" t="e">
        <f>MID(C105,1,SEARCH(" ",C105)-1)</f>
        <v>#VALUE!</v>
      </c>
      <c r="F105" s="869" t="e">
        <f>MID(C105,SEARCH(" ",C105)+1,1)</f>
        <v>#VALUE!</v>
      </c>
      <c r="G105" s="869" t="e">
        <f>CONCATENATE(E105," ",F105,".")</f>
        <v>#VALUE!</v>
      </c>
      <c r="H105" s="187"/>
      <c r="I105" s="876" t="str">
        <f t="shared" ref="I105" si="34">IF(B105="","",RANK(H105,БЕГ,1))</f>
        <v/>
      </c>
      <c r="J105" s="187"/>
      <c r="K105" s="876" t="str">
        <f t="shared" ref="K105" si="35">IF(B105="","",RANK(J105,ДЛИНА,))</f>
        <v/>
      </c>
      <c r="L105" s="187"/>
      <c r="M105" s="876" t="str">
        <f t="shared" ref="M105" si="36">IF(B105="","",RANK(L105,СКАК,))</f>
        <v/>
      </c>
      <c r="N105" s="187"/>
      <c r="O105" s="876" t="e">
        <f t="shared" si="30"/>
        <v>#N/A</v>
      </c>
      <c r="P105" s="187"/>
      <c r="Q105" s="876" t="str">
        <f t="shared" ref="Q105" si="37">IF(B105="","",RANK(P105,ПРЕСС,))</f>
        <v/>
      </c>
      <c r="R105" s="187"/>
      <c r="S105" s="876" t="str">
        <f t="shared" ref="S105" si="38">IF(B105="","",RANK(R105,КВАДР,))</f>
        <v/>
      </c>
      <c r="T105" s="877" t="str">
        <f t="shared" ref="T105" si="39">IF(B105="","",I105+K105+M105+Q105+S105)</f>
        <v/>
      </c>
      <c r="U105" s="878" t="str">
        <f t="shared" ref="U105" si="40">IF(B105="","",RANK(T105,Сумма_мест,1))</f>
        <v/>
      </c>
    </row>
    <row r="106" spans="1:21" ht="19.5" x14ac:dyDescent="0.35">
      <c r="C106" s="494" t="s">
        <v>0</v>
      </c>
      <c r="D106" s="494"/>
      <c r="E106" s="494"/>
      <c r="F106" s="494"/>
      <c r="G106" s="494"/>
      <c r="H106" s="494"/>
      <c r="I106" s="494"/>
      <c r="J106" s="494" t="str">
        <f>'Списки участников'!I121</f>
        <v>В.А. Коваль</v>
      </c>
      <c r="K106" s="494"/>
    </row>
    <row r="107" spans="1:21" ht="19.5" x14ac:dyDescent="0.35">
      <c r="C107" s="494" t="s">
        <v>1</v>
      </c>
      <c r="D107" s="494"/>
      <c r="E107" s="494"/>
      <c r="F107" s="494" t="s">
        <v>914</v>
      </c>
      <c r="J107" s="494" t="str">
        <f>'Списки участников'!I122</f>
        <v>А.С. Рожкова</v>
      </c>
    </row>
  </sheetData>
  <sortState ref="B9:U105">
    <sortCondition ref="U9:U105"/>
  </sortState>
  <mergeCells count="7">
    <mergeCell ref="A1:D1"/>
    <mergeCell ref="A2:T2"/>
    <mergeCell ref="A3:T3"/>
    <mergeCell ref="A5:D5"/>
    <mergeCell ref="N6:Q6"/>
    <mergeCell ref="R6:T6"/>
    <mergeCell ref="C4:I4"/>
  </mergeCells>
  <printOptions horizontalCentered="1"/>
  <pageMargins left="0.31496062992125984" right="0.11811023622047245" top="0.15748031496062992" bottom="0.15748031496062992" header="0.31496062992125984" footer="0.31496062992125984"/>
  <pageSetup paperSize="9" scale="6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B69" zoomScale="60" zoomScaleNormal="100" workbookViewId="0">
      <selection activeCell="B3" sqref="B3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2484</v>
      </c>
      <c r="C2" s="1199"/>
      <c r="D2" s="955"/>
      <c r="E2" s="956"/>
      <c r="G2" s="1199" t="str">
        <f>B2</f>
        <v>полуфинал</v>
      </c>
      <c r="H2" s="1199"/>
      <c r="I2" s="955"/>
      <c r="J2" s="956"/>
      <c r="L2" s="1199" t="str">
        <f>B2</f>
        <v>полуфинал</v>
      </c>
      <c r="M2" s="1199"/>
      <c r="N2" s="961"/>
    </row>
    <row r="3" spans="1:14" x14ac:dyDescent="0.3">
      <c r="B3" s="957" t="s">
        <v>11956</v>
      </c>
      <c r="C3" s="958">
        <v>1</v>
      </c>
      <c r="D3" s="962"/>
      <c r="E3" s="963"/>
      <c r="G3" s="957" t="s">
        <v>11956</v>
      </c>
      <c r="H3" s="958">
        <f>C3</f>
        <v>1</v>
      </c>
      <c r="I3" s="962"/>
      <c r="J3" s="963"/>
      <c r="L3" s="957" t="s">
        <v>11956</v>
      </c>
      <c r="M3" s="958">
        <f>C3</f>
        <v>1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'2 этап'!C7</f>
        <v>АВЕРИН Тимофей</v>
      </c>
      <c r="C5" s="960" t="str">
        <f>'2 этап'!C15</f>
        <v>РОТНОВ Егор</v>
      </c>
      <c r="D5" s="961"/>
      <c r="E5" s="966"/>
      <c r="G5" s="960" t="str">
        <f>'2 этап'!C9</f>
        <v>МАНЦУРОВ Тихон</v>
      </c>
      <c r="H5" s="960" t="str">
        <f>'2 этап'!C13</f>
        <v>САТДАРОВ Артем</v>
      </c>
      <c r="I5" s="961"/>
      <c r="J5" s="966"/>
      <c r="L5" s="960" t="str">
        <f>'2 этап'!C5</f>
        <v>БОКОВ Максим Андреевич</v>
      </c>
      <c r="M5" s="960" t="str">
        <f>'2 этап'!C17</f>
        <v>СТАРОСТИН Максим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полуфинал</v>
      </c>
      <c r="C17" s="1199"/>
      <c r="D17" s="955"/>
      <c r="E17" s="956"/>
      <c r="G17" s="1199" t="str">
        <f>B2</f>
        <v>полуфинал</v>
      </c>
      <c r="H17" s="1199"/>
      <c r="I17" s="955"/>
      <c r="J17" s="956"/>
      <c r="L17" s="1199" t="str">
        <f>B2</f>
        <v>полуфинал</v>
      </c>
      <c r="M17" s="1199"/>
      <c r="N17" s="961"/>
    </row>
    <row r="18" spans="1:14" x14ac:dyDescent="0.3">
      <c r="B18" s="957" t="s">
        <v>11956</v>
      </c>
      <c r="C18" s="958">
        <f>C3</f>
        <v>1</v>
      </c>
      <c r="D18" s="962"/>
      <c r="E18" s="963"/>
      <c r="G18" s="957" t="s">
        <v>11956</v>
      </c>
      <c r="H18" s="958">
        <f>C3</f>
        <v>1</v>
      </c>
      <c r="I18" s="962"/>
      <c r="J18" s="963"/>
      <c r="L18" s="957" t="s">
        <v>11956</v>
      </c>
      <c r="M18" s="958">
        <f>C3</f>
        <v>1</v>
      </c>
      <c r="N18" s="961"/>
    </row>
    <row r="19" spans="1:14" x14ac:dyDescent="0.3">
      <c r="B19" s="957" t="s">
        <v>11957</v>
      </c>
      <c r="C19" s="959" t="s">
        <v>11958</v>
      </c>
      <c r="D19" s="961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960" t="str">
        <f>'2 этап'!C11</f>
        <v>МАЛОВ Илья</v>
      </c>
      <c r="C20" s="960" t="str">
        <f>'2 этап'!C19</f>
        <v>РОДИОНОВ Всеволод</v>
      </c>
      <c r="D20" s="961"/>
      <c r="E20" s="966"/>
      <c r="G20" s="960" t="str">
        <f>'2 этап'!C13</f>
        <v>САТДАРОВ Артем</v>
      </c>
      <c r="H20" s="960" t="str">
        <f>'2 этап'!C7</f>
        <v>АВЕРИН Тимофей</v>
      </c>
      <c r="I20" s="961"/>
      <c r="J20" s="966"/>
      <c r="L20" s="960" t="str">
        <f>'2 этап'!C15</f>
        <v>РОТНОВ Егор</v>
      </c>
      <c r="M20" s="960" t="str">
        <f>'2 этап'!C5</f>
        <v>БОКОВ Максим Андреевич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полуфинал</v>
      </c>
      <c r="C32" s="1199"/>
      <c r="D32" s="955"/>
      <c r="E32" s="956"/>
      <c r="G32" s="1199" t="str">
        <f>B2</f>
        <v>полуфинал</v>
      </c>
      <c r="H32" s="1199"/>
      <c r="I32" s="955"/>
      <c r="J32" s="956"/>
      <c r="L32" s="1199" t="str">
        <f>B2</f>
        <v>полуфинал</v>
      </c>
      <c r="M32" s="1199"/>
      <c r="N32" s="961"/>
    </row>
    <row r="33" spans="1:14" x14ac:dyDescent="0.3">
      <c r="B33" s="957" t="s">
        <v>11956</v>
      </c>
      <c r="C33" s="958">
        <f>C3</f>
        <v>1</v>
      </c>
      <c r="D33" s="962"/>
      <c r="E33" s="963"/>
      <c r="G33" s="957" t="s">
        <v>11956</v>
      </c>
      <c r="H33" s="958">
        <f>C3</f>
        <v>1</v>
      </c>
      <c r="I33" s="962"/>
      <c r="J33" s="963"/>
      <c r="L33" s="957" t="s">
        <v>11956</v>
      </c>
      <c r="M33" s="958">
        <f>C3</f>
        <v>1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'2 этап'!C19</f>
        <v>РОДИОНОВ Всеволод</v>
      </c>
      <c r="C35" s="960" t="str">
        <f>'2 этап'!C9</f>
        <v>МАНЦУРОВ Тихон</v>
      </c>
      <c r="D35" s="961"/>
      <c r="E35" s="966"/>
      <c r="G35" s="960" t="str">
        <f>'2 этап'!C17</f>
        <v>СТАРОСТИН Максим</v>
      </c>
      <c r="H35" s="960" t="str">
        <f>'2 этап'!C11</f>
        <v>МАЛОВ Илья</v>
      </c>
      <c r="I35" s="961"/>
      <c r="J35" s="966"/>
      <c r="L35" s="960" t="str">
        <f>'2 этап'!C5</f>
        <v>БОКОВ Максим Андреевич</v>
      </c>
      <c r="M35" s="960" t="str">
        <f>'2 этап'!C13</f>
        <v>САТДАРОВ Артем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полуфинал</v>
      </c>
      <c r="C47" s="1199"/>
      <c r="D47" s="955"/>
      <c r="E47" s="956"/>
      <c r="G47" s="1199" t="str">
        <f>B2</f>
        <v>полуфинал</v>
      </c>
      <c r="H47" s="1199"/>
      <c r="I47" s="955"/>
      <c r="J47" s="956"/>
      <c r="L47" s="1199" t="str">
        <f>B2</f>
        <v>полуфинал</v>
      </c>
      <c r="M47" s="1199"/>
      <c r="N47" s="961"/>
    </row>
    <row r="48" spans="1:14" x14ac:dyDescent="0.3">
      <c r="B48" s="957" t="s">
        <v>11956</v>
      </c>
      <c r="C48" s="958">
        <f>C3</f>
        <v>1</v>
      </c>
      <c r="D48" s="962"/>
      <c r="E48" s="963"/>
      <c r="G48" s="957" t="s">
        <v>11956</v>
      </c>
      <c r="H48" s="958">
        <f>C3</f>
        <v>1</v>
      </c>
      <c r="I48" s="962"/>
      <c r="J48" s="963"/>
      <c r="L48" s="957" t="s">
        <v>11956</v>
      </c>
      <c r="M48" s="958">
        <f>C3</f>
        <v>1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'2 этап'!C7</f>
        <v>АВЕРИН Тимофей</v>
      </c>
      <c r="C50" s="960" t="str">
        <f>'2 этап'!C19</f>
        <v>РОДИОНОВ Всеволод</v>
      </c>
      <c r="D50" s="961"/>
      <c r="E50" s="966"/>
      <c r="G50" s="960" t="str">
        <f>'2 этап'!C11</f>
        <v>МАЛОВ Илья</v>
      </c>
      <c r="H50" s="960" t="str">
        <f>'2 этап'!C15</f>
        <v>РОТНОВ Егор</v>
      </c>
      <c r="I50" s="961"/>
      <c r="J50" s="966"/>
      <c r="L50" s="960" t="str">
        <f>'2 этап'!C9</f>
        <v>МАНЦУРОВ Тихон</v>
      </c>
      <c r="M50" s="960" t="str">
        <f>'2 этап'!C17</f>
        <v>СТАРОСТИН Максим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полуфинал</v>
      </c>
      <c r="C62" s="1199"/>
      <c r="D62" s="955"/>
      <c r="E62" s="956"/>
      <c r="G62" s="1199" t="str">
        <f>B2</f>
        <v>полуфинал</v>
      </c>
      <c r="H62" s="1199"/>
      <c r="I62" s="955"/>
      <c r="J62" s="956"/>
      <c r="L62" s="1199" t="str">
        <f>B2</f>
        <v>полуфинал</v>
      </c>
      <c r="M62" s="1199"/>
      <c r="N62" s="961"/>
    </row>
    <row r="63" spans="1:14" x14ac:dyDescent="0.3">
      <c r="B63" s="957" t="s">
        <v>11956</v>
      </c>
      <c r="C63" s="958">
        <f>C3</f>
        <v>1</v>
      </c>
      <c r="D63" s="962"/>
      <c r="E63" s="963"/>
      <c r="G63" s="957" t="s">
        <v>11956</v>
      </c>
      <c r="H63" s="958">
        <f>C3</f>
        <v>1</v>
      </c>
      <c r="I63" s="962"/>
      <c r="J63" s="963"/>
      <c r="L63" s="957" t="s">
        <v>11956</v>
      </c>
      <c r="M63" s="958">
        <f>C3</f>
        <v>1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'2 этап'!C19</f>
        <v>РОДИОНОВ Всеволод</v>
      </c>
      <c r="C65" s="960" t="str">
        <f>'2 этап'!C5</f>
        <v>БОКОВ Максим Андреевич</v>
      </c>
      <c r="D65" s="961"/>
      <c r="E65" s="966"/>
      <c r="G65" s="960" t="str">
        <f>'2 этап'!C13</f>
        <v>САТДАРОВ Артем</v>
      </c>
      <c r="H65" s="960" t="str">
        <f>'2 этап'!C11</f>
        <v>МАЛОВ Илья</v>
      </c>
      <c r="I65" s="961"/>
      <c r="J65" s="966"/>
      <c r="L65" s="960" t="str">
        <f>'2 этап'!C17</f>
        <v>СТАРОСТИН Максим</v>
      </c>
      <c r="M65" s="960" t="str">
        <f>'2 этап'!C7</f>
        <v>АВЕРИН Тимофей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полуфинал</v>
      </c>
      <c r="C77" s="1199"/>
      <c r="D77" s="955"/>
      <c r="E77" s="956"/>
      <c r="G77" s="1199" t="str">
        <f>B2</f>
        <v>полуфинал</v>
      </c>
      <c r="H77" s="1199"/>
      <c r="I77" s="955"/>
      <c r="J77" s="956"/>
      <c r="L77" s="1199" t="str">
        <f>B2</f>
        <v>полуфинал</v>
      </c>
      <c r="M77" s="1199"/>
      <c r="N77" s="961"/>
    </row>
    <row r="78" spans="1:14" x14ac:dyDescent="0.3">
      <c r="B78" s="957" t="s">
        <v>11956</v>
      </c>
      <c r="C78" s="958">
        <f>C3</f>
        <v>1</v>
      </c>
      <c r="D78" s="962"/>
      <c r="E78" s="963"/>
      <c r="G78" s="957" t="s">
        <v>11956</v>
      </c>
      <c r="H78" s="958">
        <f>C3</f>
        <v>1</v>
      </c>
      <c r="I78" s="962"/>
      <c r="J78" s="963"/>
      <c r="L78" s="957" t="s">
        <v>11956</v>
      </c>
      <c r="M78" s="958">
        <f>C3</f>
        <v>1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'2 этап'!C15</f>
        <v>РОТНОВ Егор</v>
      </c>
      <c r="C80" s="960" t="str">
        <f>'2 этап'!C9</f>
        <v>МАНЦУРОВ Тихон</v>
      </c>
      <c r="D80" s="961"/>
      <c r="E80" s="966"/>
      <c r="G80" s="960" t="str">
        <f>'2 этап'!C5</f>
        <v>БОКОВ Максим Андреевич</v>
      </c>
      <c r="H80" s="960" t="str">
        <f>'2 этап'!C9</f>
        <v>МАНЦУРОВ Тихон</v>
      </c>
      <c r="I80" s="961"/>
      <c r="J80" s="966"/>
      <c r="L80" s="960" t="str">
        <f>'2 этап'!C7</f>
        <v>АВЕРИН Тимофей</v>
      </c>
      <c r="M80" s="960" t="str">
        <f>'2 этап'!C11</f>
        <v>МАЛОВ Илья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полуфинал</v>
      </c>
      <c r="C92" s="1199"/>
      <c r="D92" s="955"/>
      <c r="E92" s="956"/>
      <c r="G92" s="1199" t="str">
        <f>B2</f>
        <v>полуфинал</v>
      </c>
      <c r="H92" s="1199"/>
      <c r="I92" s="955"/>
      <c r="J92" s="956"/>
      <c r="L92" s="1199" t="str">
        <f>B2</f>
        <v>полуфинал</v>
      </c>
      <c r="M92" s="1199"/>
      <c r="N92" s="961"/>
    </row>
    <row r="93" spans="1:14" x14ac:dyDescent="0.3">
      <c r="B93" s="957" t="s">
        <v>11956</v>
      </c>
      <c r="C93" s="958">
        <f>C3</f>
        <v>1</v>
      </c>
      <c r="D93" s="962"/>
      <c r="E93" s="963"/>
      <c r="G93" s="957" t="s">
        <v>11956</v>
      </c>
      <c r="H93" s="958">
        <f>C3</f>
        <v>1</v>
      </c>
      <c r="I93" s="962"/>
      <c r="J93" s="963"/>
      <c r="L93" s="957" t="s">
        <v>11956</v>
      </c>
      <c r="M93" s="958">
        <f>C3</f>
        <v>1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'2 этап'!C13</f>
        <v>САТДАРОВ Артем</v>
      </c>
      <c r="C95" s="960" t="str">
        <f>'2 этап'!C17</f>
        <v>СТАРОСТИН Максим</v>
      </c>
      <c r="D95" s="961"/>
      <c r="E95" s="966"/>
      <c r="G95" s="960" t="str">
        <f>'2 этап'!C15</f>
        <v>РОТНОВ Егор</v>
      </c>
      <c r="H95" s="960" t="str">
        <f>'2 этап'!C19</f>
        <v>РОДИОНОВ Всеволод</v>
      </c>
      <c r="I95" s="961"/>
      <c r="J95" s="966"/>
      <c r="L95" s="960" t="str">
        <f>'2 этап'!C11</f>
        <v>МАЛОВ Илья</v>
      </c>
      <c r="M95" s="960" t="str">
        <f>'2 этап'!C5</f>
        <v>БОКОВ Максим Андреевич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полуфинал</v>
      </c>
      <c r="C107" s="1199"/>
      <c r="D107" s="955"/>
      <c r="E107" s="956"/>
      <c r="G107" s="1199" t="str">
        <f>B2</f>
        <v>полуфинал</v>
      </c>
      <c r="H107" s="1199"/>
      <c r="I107" s="955"/>
      <c r="J107" s="956"/>
      <c r="L107" s="1199" t="str">
        <f>B2</f>
        <v>полуфинал</v>
      </c>
      <c r="M107" s="1199"/>
      <c r="N107" s="961"/>
    </row>
    <row r="108" spans="1:14" x14ac:dyDescent="0.3">
      <c r="B108" s="957" t="s">
        <v>11956</v>
      </c>
      <c r="C108" s="958">
        <f>C3</f>
        <v>1</v>
      </c>
      <c r="D108" s="962"/>
      <c r="E108" s="963"/>
      <c r="G108" s="957" t="s">
        <v>11956</v>
      </c>
      <c r="H108" s="958">
        <f>C3</f>
        <v>1</v>
      </c>
      <c r="I108" s="962"/>
      <c r="J108" s="963"/>
      <c r="L108" s="957" t="s">
        <v>11956</v>
      </c>
      <c r="M108" s="958">
        <f>C3</f>
        <v>1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'2 этап'!C9</f>
        <v>МАНЦУРОВ Тихон</v>
      </c>
      <c r="C110" s="960" t="str">
        <f>'2 этап'!C7</f>
        <v>АВЕРИН Тимофей</v>
      </c>
      <c r="D110" s="961"/>
      <c r="E110" s="966"/>
      <c r="G110" s="960" t="str">
        <f>'2 этап'!C17</f>
        <v>СТАРОСТИН Максим</v>
      </c>
      <c r="H110" s="960" t="str">
        <f>'2 этап'!C15</f>
        <v>РОТНОВ Егор</v>
      </c>
      <c r="I110" s="961"/>
      <c r="J110" s="966"/>
      <c r="L110" s="960" t="str">
        <f>'2 этап'!C19</f>
        <v>РОДИОНОВ Всеволод</v>
      </c>
      <c r="M110" s="960" t="str">
        <f>'2 этап'!C13</f>
        <v>САТДАРОВ Артем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полуфинал</v>
      </c>
      <c r="C122" s="1199"/>
      <c r="D122" s="955"/>
      <c r="E122" s="956"/>
      <c r="G122" s="1199" t="str">
        <f>B2</f>
        <v>полуфинал</v>
      </c>
      <c r="H122" s="1199"/>
      <c r="I122" s="955"/>
      <c r="J122" s="956"/>
      <c r="L122" s="1199" t="str">
        <f>B2</f>
        <v>полуфинал</v>
      </c>
      <c r="M122" s="1199"/>
      <c r="N122" s="961"/>
    </row>
    <row r="123" spans="1:14" x14ac:dyDescent="0.3">
      <c r="B123" s="957" t="s">
        <v>11956</v>
      </c>
      <c r="C123" s="958">
        <f>C3</f>
        <v>1</v>
      </c>
      <c r="D123" s="962"/>
      <c r="E123" s="963"/>
      <c r="G123" s="957" t="s">
        <v>11956</v>
      </c>
      <c r="H123" s="958">
        <f>C3</f>
        <v>1</v>
      </c>
      <c r="I123" s="962"/>
      <c r="J123" s="963"/>
      <c r="L123" s="957" t="s">
        <v>11956</v>
      </c>
      <c r="M123" s="958">
        <f>C3</f>
        <v>1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'2 этап'!C5</f>
        <v>БОКОВ Максим Андреевич</v>
      </c>
      <c r="C125" s="960" t="str">
        <f>'2 этап'!C7</f>
        <v>АВЕРИН Тимофей</v>
      </c>
      <c r="D125" s="961"/>
      <c r="E125" s="966"/>
      <c r="G125" s="960" t="str">
        <f>'2 этап'!C9</f>
        <v>МАНЦУРОВ Тихон</v>
      </c>
      <c r="H125" s="960" t="str">
        <f>'2 этап'!C11</f>
        <v>МАЛОВ Илья</v>
      </c>
      <c r="I125" s="961"/>
      <c r="J125" s="966"/>
      <c r="L125" s="960" t="str">
        <f>'2 этап'!C13</f>
        <v>САТДАРОВ Артем</v>
      </c>
      <c r="M125" s="960" t="str">
        <f>'2 этап'!C15</f>
        <v>РОТНОВ Егор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полуфинал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 t="s">
        <v>11956</v>
      </c>
      <c r="C138" s="975">
        <f>C3</f>
        <v>1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'2 этап'!C17</f>
        <v>СТАРОСТИН Максим</v>
      </c>
      <c r="C140" s="960" t="str">
        <f>'2 этап'!C19</f>
        <v>РОДИОНОВ Всеволод</v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4" manualBreakCount="4">
    <brk id="30" max="16383" man="1"/>
    <brk id="60" max="16383" man="1"/>
    <brk id="90" max="16383" man="1"/>
    <brk id="120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B30" zoomScale="60" zoomScaleNormal="100" workbookViewId="0">
      <selection activeCell="B3" sqref="B3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2484</v>
      </c>
      <c r="C2" s="1199"/>
      <c r="D2" s="955"/>
      <c r="E2" s="956"/>
      <c r="G2" s="1199" t="str">
        <f>B2</f>
        <v>полуфинал</v>
      </c>
      <c r="H2" s="1199"/>
      <c r="I2" s="955"/>
      <c r="J2" s="956"/>
      <c r="L2" s="1199" t="str">
        <f>B2</f>
        <v>полуфинал</v>
      </c>
      <c r="M2" s="1199"/>
      <c r="N2" s="961"/>
    </row>
    <row r="3" spans="1:14" x14ac:dyDescent="0.3">
      <c r="B3" s="957" t="s">
        <v>11956</v>
      </c>
      <c r="C3" s="958">
        <v>2</v>
      </c>
      <c r="D3" s="962"/>
      <c r="E3" s="963"/>
      <c r="G3" s="957" t="s">
        <v>11956</v>
      </c>
      <c r="H3" s="958">
        <f>C3</f>
        <v>2</v>
      </c>
      <c r="I3" s="962"/>
      <c r="J3" s="963"/>
      <c r="L3" s="957" t="s">
        <v>11956</v>
      </c>
      <c r="M3" s="958">
        <f>C3</f>
        <v>2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'2 этап'!C27</f>
        <v>КАЛИМУЛЛИН Камиль</v>
      </c>
      <c r="C5" s="960" t="str">
        <f>'2 этап'!C35</f>
        <v>МОСПАНОВ Илья</v>
      </c>
      <c r="D5" s="961"/>
      <c r="E5" s="966"/>
      <c r="G5" s="960" t="str">
        <f>'2 этап'!C29</f>
        <v xml:space="preserve">СУЛТАНОВ Артур </v>
      </c>
      <c r="H5" s="960" t="str">
        <f>'2 этап'!C33</f>
        <v>БАКШИНСКИЙ Илья</v>
      </c>
      <c r="I5" s="961"/>
      <c r="J5" s="966"/>
      <c r="L5" s="960" t="str">
        <f>'2 этап'!C25</f>
        <v>СОДЫЛЬ Максим</v>
      </c>
      <c r="M5" s="960" t="str">
        <f>'2 этап'!C37</f>
        <v>ПОДЛАЗОВ Владислав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полуфинал</v>
      </c>
      <c r="C17" s="1199"/>
      <c r="D17" s="955"/>
      <c r="E17" s="956"/>
      <c r="G17" s="1199" t="str">
        <f>B2</f>
        <v>полуфинал</v>
      </c>
      <c r="H17" s="1199"/>
      <c r="I17" s="955"/>
      <c r="J17" s="956"/>
      <c r="L17" s="1199" t="str">
        <f>B2</f>
        <v>полуфинал</v>
      </c>
      <c r="M17" s="1199"/>
      <c r="N17" s="961"/>
    </row>
    <row r="18" spans="1:14" x14ac:dyDescent="0.3">
      <c r="B18" s="957" t="s">
        <v>11956</v>
      </c>
      <c r="C18" s="958">
        <f>C3</f>
        <v>2</v>
      </c>
      <c r="D18" s="962"/>
      <c r="E18" s="963"/>
      <c r="G18" s="957" t="s">
        <v>11956</v>
      </c>
      <c r="H18" s="958">
        <f>C3</f>
        <v>2</v>
      </c>
      <c r="I18" s="962"/>
      <c r="J18" s="963"/>
      <c r="L18" s="957" t="s">
        <v>11956</v>
      </c>
      <c r="M18" s="958">
        <f>C3</f>
        <v>2</v>
      </c>
      <c r="N18" s="961"/>
    </row>
    <row r="19" spans="1:14" x14ac:dyDescent="0.3">
      <c r="B19" s="957" t="s">
        <v>11957</v>
      </c>
      <c r="C19" s="959" t="s">
        <v>11958</v>
      </c>
      <c r="D19" s="961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960" t="str">
        <f>'2 этап'!C31</f>
        <v>АВЕРИН Владимир</v>
      </c>
      <c r="C20" s="960" t="str">
        <f>'2 этап'!C39</f>
        <v>ПРОХОРОВ Кирилл</v>
      </c>
      <c r="D20" s="961"/>
      <c r="E20" s="966"/>
      <c r="G20" s="960" t="str">
        <f>'2 этап'!C33</f>
        <v>БАКШИНСКИЙ Илья</v>
      </c>
      <c r="H20" s="960" t="str">
        <f>'2 этап'!C27</f>
        <v>КАЛИМУЛЛИН Камиль</v>
      </c>
      <c r="I20" s="961"/>
      <c r="J20" s="966"/>
      <c r="L20" s="960" t="str">
        <f>'2 этап'!C35</f>
        <v>МОСПАНОВ Илья</v>
      </c>
      <c r="M20" s="960" t="str">
        <f>'2 этап'!C25</f>
        <v>СОДЫЛЬ Максим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полуфинал</v>
      </c>
      <c r="C32" s="1199"/>
      <c r="D32" s="955"/>
      <c r="E32" s="956"/>
      <c r="G32" s="1199" t="str">
        <f>B2</f>
        <v>полуфинал</v>
      </c>
      <c r="H32" s="1199"/>
      <c r="I32" s="955"/>
      <c r="J32" s="956"/>
      <c r="L32" s="1199" t="str">
        <f>B2</f>
        <v>полуфинал</v>
      </c>
      <c r="M32" s="1199"/>
      <c r="N32" s="961"/>
    </row>
    <row r="33" spans="1:14" x14ac:dyDescent="0.3">
      <c r="B33" s="957" t="s">
        <v>11956</v>
      </c>
      <c r="C33" s="958">
        <f>C3</f>
        <v>2</v>
      </c>
      <c r="D33" s="962"/>
      <c r="E33" s="963"/>
      <c r="G33" s="957" t="s">
        <v>11956</v>
      </c>
      <c r="H33" s="958">
        <f>C3</f>
        <v>2</v>
      </c>
      <c r="I33" s="962"/>
      <c r="J33" s="963"/>
      <c r="L33" s="957" t="s">
        <v>11956</v>
      </c>
      <c r="M33" s="958">
        <f>C3</f>
        <v>2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'2 этап'!C39</f>
        <v>ПРОХОРОВ Кирилл</v>
      </c>
      <c r="C35" s="960" t="str">
        <f>'2 этап'!C29</f>
        <v xml:space="preserve">СУЛТАНОВ Артур </v>
      </c>
      <c r="D35" s="961"/>
      <c r="E35" s="966"/>
      <c r="G35" s="960" t="str">
        <f>'2 этап'!C37</f>
        <v>ПОДЛАЗОВ Владислав</v>
      </c>
      <c r="H35" s="960" t="str">
        <f>'2 этап'!C31</f>
        <v>АВЕРИН Владимир</v>
      </c>
      <c r="I35" s="961"/>
      <c r="J35" s="966"/>
      <c r="L35" s="960" t="str">
        <f>'2 этап'!C25</f>
        <v>СОДЫЛЬ Максим</v>
      </c>
      <c r="M35" s="960" t="str">
        <f>'2 этап'!C33</f>
        <v>БАКШИНСКИЙ Илья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полуфинал</v>
      </c>
      <c r="C47" s="1199"/>
      <c r="D47" s="955"/>
      <c r="E47" s="956"/>
      <c r="G47" s="1199" t="str">
        <f>B2</f>
        <v>полуфинал</v>
      </c>
      <c r="H47" s="1199"/>
      <c r="I47" s="955"/>
      <c r="J47" s="956"/>
      <c r="L47" s="1199" t="str">
        <f>B2</f>
        <v>полуфинал</v>
      </c>
      <c r="M47" s="1199"/>
      <c r="N47" s="961"/>
    </row>
    <row r="48" spans="1:14" x14ac:dyDescent="0.3">
      <c r="B48" s="957" t="s">
        <v>11956</v>
      </c>
      <c r="C48" s="958">
        <f>C3</f>
        <v>2</v>
      </c>
      <c r="D48" s="962"/>
      <c r="E48" s="963"/>
      <c r="G48" s="957" t="s">
        <v>11956</v>
      </c>
      <c r="H48" s="958">
        <f>C3</f>
        <v>2</v>
      </c>
      <c r="I48" s="962"/>
      <c r="J48" s="963"/>
      <c r="L48" s="957" t="s">
        <v>11956</v>
      </c>
      <c r="M48" s="958">
        <f>C3</f>
        <v>2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'2 этап'!C27</f>
        <v>КАЛИМУЛЛИН Камиль</v>
      </c>
      <c r="C50" s="960" t="str">
        <f>'2 этап'!C39</f>
        <v>ПРОХОРОВ Кирилл</v>
      </c>
      <c r="D50" s="961"/>
      <c r="E50" s="966"/>
      <c r="G50" s="960" t="str">
        <f>'2 этап'!C31</f>
        <v>АВЕРИН Владимир</v>
      </c>
      <c r="H50" s="960" t="str">
        <f>'2 этап'!C35</f>
        <v>МОСПАНОВ Илья</v>
      </c>
      <c r="I50" s="961"/>
      <c r="J50" s="966"/>
      <c r="L50" s="960" t="str">
        <f>'2 этап'!C29</f>
        <v xml:space="preserve">СУЛТАНОВ Артур </v>
      </c>
      <c r="M50" s="960" t="str">
        <f>'2 этап'!C37</f>
        <v>ПОДЛАЗОВ Владислав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полуфинал</v>
      </c>
      <c r="C62" s="1199"/>
      <c r="D62" s="955"/>
      <c r="E62" s="956"/>
      <c r="G62" s="1199" t="str">
        <f>B2</f>
        <v>полуфинал</v>
      </c>
      <c r="H62" s="1199"/>
      <c r="I62" s="955"/>
      <c r="J62" s="956"/>
      <c r="L62" s="1199" t="str">
        <f>B2</f>
        <v>полуфинал</v>
      </c>
      <c r="M62" s="1199"/>
      <c r="N62" s="961"/>
    </row>
    <row r="63" spans="1:14" x14ac:dyDescent="0.3">
      <c r="B63" s="957" t="s">
        <v>11956</v>
      </c>
      <c r="C63" s="958">
        <f>C3</f>
        <v>2</v>
      </c>
      <c r="D63" s="962"/>
      <c r="E63" s="963"/>
      <c r="G63" s="957" t="s">
        <v>11956</v>
      </c>
      <c r="H63" s="958">
        <f>C3</f>
        <v>2</v>
      </c>
      <c r="I63" s="962"/>
      <c r="J63" s="963"/>
      <c r="L63" s="957" t="s">
        <v>11956</v>
      </c>
      <c r="M63" s="958">
        <f>C3</f>
        <v>2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'2 этап'!C39</f>
        <v>ПРОХОРОВ Кирилл</v>
      </c>
      <c r="C65" s="960" t="str">
        <f>'2 этап'!C25</f>
        <v>СОДЫЛЬ Максим</v>
      </c>
      <c r="D65" s="961"/>
      <c r="E65" s="966"/>
      <c r="G65" s="960" t="str">
        <f>'2 этап'!C33</f>
        <v>БАКШИНСКИЙ Илья</v>
      </c>
      <c r="H65" s="960" t="str">
        <f>'2 этап'!C31</f>
        <v>АВЕРИН Владимир</v>
      </c>
      <c r="I65" s="961"/>
      <c r="J65" s="966"/>
      <c r="L65" s="960" t="str">
        <f>'2 этап'!C37</f>
        <v>ПОДЛАЗОВ Владислав</v>
      </c>
      <c r="M65" s="960" t="str">
        <f>'2 этап'!C27</f>
        <v>КАЛИМУЛЛИН Камиль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полуфинал</v>
      </c>
      <c r="C77" s="1199"/>
      <c r="D77" s="955"/>
      <c r="E77" s="956"/>
      <c r="G77" s="1199" t="str">
        <f>B2</f>
        <v>полуфинал</v>
      </c>
      <c r="H77" s="1199"/>
      <c r="I77" s="955"/>
      <c r="J77" s="956"/>
      <c r="L77" s="1199" t="str">
        <f>B2</f>
        <v>полуфинал</v>
      </c>
      <c r="M77" s="1199"/>
      <c r="N77" s="961"/>
    </row>
    <row r="78" spans="1:14" x14ac:dyDescent="0.3">
      <c r="B78" s="957" t="s">
        <v>11956</v>
      </c>
      <c r="C78" s="958">
        <f>C3</f>
        <v>2</v>
      </c>
      <c r="D78" s="962"/>
      <c r="E78" s="963"/>
      <c r="G78" s="957" t="s">
        <v>11956</v>
      </c>
      <c r="H78" s="958">
        <f>C3</f>
        <v>2</v>
      </c>
      <c r="I78" s="962"/>
      <c r="J78" s="963"/>
      <c r="L78" s="957" t="s">
        <v>11956</v>
      </c>
      <c r="M78" s="958">
        <f>C3</f>
        <v>2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'2 этап'!C35</f>
        <v>МОСПАНОВ Илья</v>
      </c>
      <c r="C80" s="960" t="str">
        <f>'2 этап'!C29</f>
        <v xml:space="preserve">СУЛТАНОВ Артур </v>
      </c>
      <c r="D80" s="961"/>
      <c r="E80" s="966"/>
      <c r="G80" s="960" t="str">
        <f>'2 этап'!C25</f>
        <v>СОДЫЛЬ Максим</v>
      </c>
      <c r="H80" s="960" t="str">
        <f>'2 этап'!C29</f>
        <v xml:space="preserve">СУЛТАНОВ Артур </v>
      </c>
      <c r="I80" s="961"/>
      <c r="J80" s="966"/>
      <c r="L80" s="960" t="str">
        <f>'2 этап'!C27</f>
        <v>КАЛИМУЛЛИН Камиль</v>
      </c>
      <c r="M80" s="960" t="str">
        <f>'2 этап'!C31</f>
        <v>АВЕРИН Владимир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полуфинал</v>
      </c>
      <c r="C92" s="1199"/>
      <c r="D92" s="955"/>
      <c r="E92" s="956"/>
      <c r="G92" s="1199" t="str">
        <f>B2</f>
        <v>полуфинал</v>
      </c>
      <c r="H92" s="1199"/>
      <c r="I92" s="955"/>
      <c r="J92" s="956"/>
      <c r="L92" s="1199" t="str">
        <f>B2</f>
        <v>полуфинал</v>
      </c>
      <c r="M92" s="1199"/>
      <c r="N92" s="961"/>
    </row>
    <row r="93" spans="1:14" x14ac:dyDescent="0.3">
      <c r="B93" s="957" t="s">
        <v>11956</v>
      </c>
      <c r="C93" s="958">
        <f>C3</f>
        <v>2</v>
      </c>
      <c r="D93" s="962"/>
      <c r="E93" s="963"/>
      <c r="G93" s="957" t="s">
        <v>11956</v>
      </c>
      <c r="H93" s="958">
        <f>C3</f>
        <v>2</v>
      </c>
      <c r="I93" s="962"/>
      <c r="J93" s="963"/>
      <c r="L93" s="957" t="s">
        <v>11956</v>
      </c>
      <c r="M93" s="958">
        <f>C3</f>
        <v>2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'2 этап'!C33</f>
        <v>БАКШИНСКИЙ Илья</v>
      </c>
      <c r="C95" s="960" t="str">
        <f>'2 этап'!C37</f>
        <v>ПОДЛАЗОВ Владислав</v>
      </c>
      <c r="D95" s="961"/>
      <c r="E95" s="966"/>
      <c r="G95" s="960" t="str">
        <f>'2 этап'!C35</f>
        <v>МОСПАНОВ Илья</v>
      </c>
      <c r="H95" s="960" t="str">
        <f>'2 этап'!C39</f>
        <v>ПРОХОРОВ Кирилл</v>
      </c>
      <c r="I95" s="961"/>
      <c r="J95" s="966"/>
      <c r="L95" s="960" t="str">
        <f>'2 этап'!C31</f>
        <v>АВЕРИН Владимир</v>
      </c>
      <c r="M95" s="960" t="str">
        <f>'2 этап'!C25</f>
        <v>СОДЫЛЬ Максим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полуфинал</v>
      </c>
      <c r="C107" s="1199"/>
      <c r="D107" s="955"/>
      <c r="E107" s="956"/>
      <c r="G107" s="1199" t="str">
        <f>B2</f>
        <v>полуфинал</v>
      </c>
      <c r="H107" s="1199"/>
      <c r="I107" s="955"/>
      <c r="J107" s="956"/>
      <c r="L107" s="1199" t="str">
        <f>B2</f>
        <v>полуфинал</v>
      </c>
      <c r="M107" s="1199"/>
      <c r="N107" s="961"/>
    </row>
    <row r="108" spans="1:14" x14ac:dyDescent="0.3">
      <c r="B108" s="957" t="s">
        <v>11956</v>
      </c>
      <c r="C108" s="958">
        <f>C3</f>
        <v>2</v>
      </c>
      <c r="D108" s="962"/>
      <c r="E108" s="963"/>
      <c r="G108" s="957" t="s">
        <v>11956</v>
      </c>
      <c r="H108" s="958">
        <f>C3</f>
        <v>2</v>
      </c>
      <c r="I108" s="962"/>
      <c r="J108" s="963"/>
      <c r="L108" s="957" t="s">
        <v>11956</v>
      </c>
      <c r="M108" s="958">
        <f>C3</f>
        <v>2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'2 этап'!C29</f>
        <v xml:space="preserve">СУЛТАНОВ Артур </v>
      </c>
      <c r="C110" s="960" t="str">
        <f>'2 этап'!C27</f>
        <v>КАЛИМУЛЛИН Камиль</v>
      </c>
      <c r="D110" s="961"/>
      <c r="E110" s="966"/>
      <c r="G110" s="960" t="str">
        <f>'2 этап'!C37</f>
        <v>ПОДЛАЗОВ Владислав</v>
      </c>
      <c r="H110" s="960" t="str">
        <f>'2 этап'!C35</f>
        <v>МОСПАНОВ Илья</v>
      </c>
      <c r="I110" s="961"/>
      <c r="J110" s="966"/>
      <c r="L110" s="960" t="str">
        <f>'2 этап'!C39</f>
        <v>ПРОХОРОВ Кирилл</v>
      </c>
      <c r="M110" s="960" t="str">
        <f>'2 этап'!C33</f>
        <v>БАКШИНСКИЙ Илья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полуфинал</v>
      </c>
      <c r="C122" s="1199"/>
      <c r="D122" s="955"/>
      <c r="E122" s="956"/>
      <c r="G122" s="1199" t="str">
        <f>B2</f>
        <v>полуфинал</v>
      </c>
      <c r="H122" s="1199"/>
      <c r="I122" s="955"/>
      <c r="J122" s="956"/>
      <c r="L122" s="1199" t="str">
        <f>B2</f>
        <v>полуфинал</v>
      </c>
      <c r="M122" s="1199"/>
      <c r="N122" s="961"/>
    </row>
    <row r="123" spans="1:14" x14ac:dyDescent="0.3">
      <c r="B123" s="957" t="s">
        <v>11956</v>
      </c>
      <c r="C123" s="958">
        <f>C3</f>
        <v>2</v>
      </c>
      <c r="D123" s="962"/>
      <c r="E123" s="963"/>
      <c r="G123" s="957" t="s">
        <v>11956</v>
      </c>
      <c r="H123" s="958">
        <f>C3</f>
        <v>2</v>
      </c>
      <c r="I123" s="962"/>
      <c r="J123" s="963"/>
      <c r="L123" s="957" t="s">
        <v>11956</v>
      </c>
      <c r="M123" s="958">
        <f>C3</f>
        <v>2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'2 этап'!C25</f>
        <v>СОДЫЛЬ Максим</v>
      </c>
      <c r="C125" s="960" t="str">
        <f>'2 этап'!C27</f>
        <v>КАЛИМУЛЛИН Камиль</v>
      </c>
      <c r="D125" s="961"/>
      <c r="E125" s="966"/>
      <c r="G125" s="960" t="str">
        <f>'2 этап'!C29</f>
        <v xml:space="preserve">СУЛТАНОВ Артур </v>
      </c>
      <c r="H125" s="960" t="str">
        <f>'2 этап'!C31</f>
        <v>АВЕРИН Владимир</v>
      </c>
      <c r="I125" s="961"/>
      <c r="J125" s="966"/>
      <c r="L125" s="960" t="str">
        <f>'2 этап'!C33</f>
        <v>БАКШИНСКИЙ Илья</v>
      </c>
      <c r="M125" s="960" t="str">
        <f>'2 этап'!C35</f>
        <v>МОСПАНОВ Илья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полуфинал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 t="s">
        <v>11956</v>
      </c>
      <c r="C138" s="975">
        <f>C3</f>
        <v>2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'2 этап'!C37</f>
        <v>ПОДЛАЗОВ Владислав</v>
      </c>
      <c r="C140" s="960" t="str">
        <f>'2 этап'!C39</f>
        <v>ПРОХОРОВ Кирилл</v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4" manualBreakCount="4">
    <brk id="30" max="16383" man="1"/>
    <brk id="60" max="16383" man="1"/>
    <brk id="90" max="16383" man="1"/>
    <brk id="120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B54" zoomScale="60" zoomScaleNormal="100" workbookViewId="0">
      <selection activeCell="B3" sqref="B3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2484</v>
      </c>
      <c r="C2" s="1199"/>
      <c r="D2" s="955"/>
      <c r="E2" s="956"/>
      <c r="G2" s="1199" t="str">
        <f>B2</f>
        <v>полуфинал</v>
      </c>
      <c r="H2" s="1199"/>
      <c r="I2" s="955"/>
      <c r="J2" s="956"/>
      <c r="L2" s="1199" t="str">
        <f>B2</f>
        <v>полуфинал</v>
      </c>
      <c r="M2" s="1199"/>
      <c r="N2" s="961"/>
    </row>
    <row r="3" spans="1:14" x14ac:dyDescent="0.3">
      <c r="B3" s="957" t="s">
        <v>11956</v>
      </c>
      <c r="C3" s="958">
        <v>3</v>
      </c>
      <c r="D3" s="962"/>
      <c r="E3" s="963"/>
      <c r="G3" s="957" t="s">
        <v>11956</v>
      </c>
      <c r="H3" s="958">
        <f>C3</f>
        <v>3</v>
      </c>
      <c r="I3" s="962"/>
      <c r="J3" s="963"/>
      <c r="L3" s="957" t="s">
        <v>11956</v>
      </c>
      <c r="M3" s="958">
        <f>C3</f>
        <v>3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'2 этап'!C47</f>
        <v>БАТАЛОВ Анатолий</v>
      </c>
      <c r="C5" s="960" t="str">
        <f>'2 этап'!C55</f>
        <v>НИКИШАЕВ Матвей</v>
      </c>
      <c r="D5" s="961"/>
      <c r="E5" s="966"/>
      <c r="G5" s="960" t="str">
        <f>'2 этап'!C49</f>
        <v>ПАНФИЛОВ Федор</v>
      </c>
      <c r="H5" s="960" t="str">
        <f>'2 этап'!C53</f>
        <v>КУРОЧКИН Егор</v>
      </c>
      <c r="I5" s="961"/>
      <c r="J5" s="966"/>
      <c r="L5" s="960" t="str">
        <f>'2 этап'!C45</f>
        <v>РАМС Сергей</v>
      </c>
      <c r="M5" s="960" t="str">
        <f>'2 этап'!C57</f>
        <v>КЛЕСТОВ Евгений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полуфинал</v>
      </c>
      <c r="C17" s="1199"/>
      <c r="D17" s="955"/>
      <c r="E17" s="956"/>
      <c r="G17" s="1199" t="str">
        <f>B2</f>
        <v>полуфинал</v>
      </c>
      <c r="H17" s="1199"/>
      <c r="I17" s="955"/>
      <c r="J17" s="956"/>
      <c r="L17" s="1199" t="str">
        <f>B2</f>
        <v>полуфинал</v>
      </c>
      <c r="M17" s="1199"/>
      <c r="N17" s="961"/>
    </row>
    <row r="18" spans="1:14" x14ac:dyDescent="0.3">
      <c r="B18" s="957" t="s">
        <v>11956</v>
      </c>
      <c r="C18" s="958">
        <f>C3</f>
        <v>3</v>
      </c>
      <c r="D18" s="962"/>
      <c r="E18" s="963"/>
      <c r="G18" s="957" t="s">
        <v>11956</v>
      </c>
      <c r="H18" s="958">
        <f>C3</f>
        <v>3</v>
      </c>
      <c r="I18" s="962"/>
      <c r="J18" s="963"/>
      <c r="L18" s="957" t="s">
        <v>11956</v>
      </c>
      <c r="M18" s="958">
        <f>C3</f>
        <v>3</v>
      </c>
      <c r="N18" s="961"/>
    </row>
    <row r="19" spans="1:14" x14ac:dyDescent="0.3">
      <c r="B19" s="957" t="s">
        <v>11957</v>
      </c>
      <c r="C19" s="959" t="s">
        <v>11958</v>
      </c>
      <c r="D19" s="961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960" t="str">
        <f>'2 этап'!C51</f>
        <v>ЛАЗАРЕВ Василий</v>
      </c>
      <c r="C20" s="960" t="str">
        <f>'2 этап'!C59</f>
        <v>ПЕРФИЛЬЕВ Алексей</v>
      </c>
      <c r="D20" s="961"/>
      <c r="E20" s="966"/>
      <c r="G20" s="960" t="str">
        <f>'2 этап'!C53</f>
        <v>КУРОЧКИН Егор</v>
      </c>
      <c r="H20" s="960" t="str">
        <f>'2 этап'!C47</f>
        <v>БАТАЛОВ Анатолий</v>
      </c>
      <c r="I20" s="961"/>
      <c r="J20" s="966"/>
      <c r="L20" s="960" t="str">
        <f>'2 этап'!C55</f>
        <v>НИКИШАЕВ Матвей</v>
      </c>
      <c r="M20" s="960" t="str">
        <f>'2 этап'!C45</f>
        <v>РАМС Сергей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полуфинал</v>
      </c>
      <c r="C32" s="1199"/>
      <c r="D32" s="955"/>
      <c r="E32" s="956"/>
      <c r="G32" s="1199" t="str">
        <f>B2</f>
        <v>полуфинал</v>
      </c>
      <c r="H32" s="1199"/>
      <c r="I32" s="955"/>
      <c r="J32" s="956"/>
      <c r="L32" s="1199" t="str">
        <f>B2</f>
        <v>полуфинал</v>
      </c>
      <c r="M32" s="1199"/>
      <c r="N32" s="961"/>
    </row>
    <row r="33" spans="1:14" x14ac:dyDescent="0.3">
      <c r="B33" s="957" t="s">
        <v>11956</v>
      </c>
      <c r="C33" s="958">
        <f>C3</f>
        <v>3</v>
      </c>
      <c r="D33" s="962"/>
      <c r="E33" s="963"/>
      <c r="G33" s="957" t="s">
        <v>11956</v>
      </c>
      <c r="H33" s="958">
        <f>C3</f>
        <v>3</v>
      </c>
      <c r="I33" s="962"/>
      <c r="J33" s="963"/>
      <c r="L33" s="957" t="s">
        <v>11956</v>
      </c>
      <c r="M33" s="958">
        <f>C3</f>
        <v>3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'2 этап'!C59</f>
        <v>ПЕРФИЛЬЕВ Алексей</v>
      </c>
      <c r="C35" s="960" t="str">
        <f>'2 этап'!C49</f>
        <v>ПАНФИЛОВ Федор</v>
      </c>
      <c r="D35" s="961"/>
      <c r="E35" s="966"/>
      <c r="G35" s="960" t="str">
        <f>'2 этап'!C57</f>
        <v>КЛЕСТОВ Евгений</v>
      </c>
      <c r="H35" s="960" t="str">
        <f>'2 этап'!C51</f>
        <v>ЛАЗАРЕВ Василий</v>
      </c>
      <c r="I35" s="961"/>
      <c r="J35" s="966"/>
      <c r="L35" s="960" t="str">
        <f>'2 этап'!C45</f>
        <v>РАМС Сергей</v>
      </c>
      <c r="M35" s="960" t="str">
        <f>'2 этап'!C53</f>
        <v>КУРОЧКИН Егор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полуфинал</v>
      </c>
      <c r="C47" s="1199"/>
      <c r="D47" s="955"/>
      <c r="E47" s="956"/>
      <c r="G47" s="1199" t="str">
        <f>B2</f>
        <v>полуфинал</v>
      </c>
      <c r="H47" s="1199"/>
      <c r="I47" s="955"/>
      <c r="J47" s="956"/>
      <c r="L47" s="1199" t="str">
        <f>B2</f>
        <v>полуфинал</v>
      </c>
      <c r="M47" s="1199"/>
      <c r="N47" s="961"/>
    </row>
    <row r="48" spans="1:14" x14ac:dyDescent="0.3">
      <c r="B48" s="957" t="s">
        <v>11956</v>
      </c>
      <c r="C48" s="958">
        <f>C3</f>
        <v>3</v>
      </c>
      <c r="D48" s="962"/>
      <c r="E48" s="963"/>
      <c r="G48" s="957" t="s">
        <v>11956</v>
      </c>
      <c r="H48" s="958">
        <f>C3</f>
        <v>3</v>
      </c>
      <c r="I48" s="962"/>
      <c r="J48" s="963"/>
      <c r="L48" s="957" t="s">
        <v>11956</v>
      </c>
      <c r="M48" s="958">
        <f>C3</f>
        <v>3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'2 этап'!C47</f>
        <v>БАТАЛОВ Анатолий</v>
      </c>
      <c r="C50" s="960" t="str">
        <f>'2 этап'!C59</f>
        <v>ПЕРФИЛЬЕВ Алексей</v>
      </c>
      <c r="D50" s="961"/>
      <c r="E50" s="966"/>
      <c r="G50" s="960" t="str">
        <f>'2 этап'!C51</f>
        <v>ЛАЗАРЕВ Василий</v>
      </c>
      <c r="H50" s="960" t="str">
        <f>'2 этап'!C55</f>
        <v>НИКИШАЕВ Матвей</v>
      </c>
      <c r="I50" s="961"/>
      <c r="J50" s="966"/>
      <c r="L50" s="960" t="str">
        <f>'2 этап'!C49</f>
        <v>ПАНФИЛОВ Федор</v>
      </c>
      <c r="M50" s="960" t="str">
        <f>'2 этап'!C57</f>
        <v>КЛЕСТОВ Евгений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полуфинал</v>
      </c>
      <c r="C62" s="1199"/>
      <c r="D62" s="955"/>
      <c r="E62" s="956"/>
      <c r="G62" s="1199" t="str">
        <f>B2</f>
        <v>полуфинал</v>
      </c>
      <c r="H62" s="1199"/>
      <c r="I62" s="955"/>
      <c r="J62" s="956"/>
      <c r="L62" s="1199" t="str">
        <f>B2</f>
        <v>полуфинал</v>
      </c>
      <c r="M62" s="1199"/>
      <c r="N62" s="961"/>
    </row>
    <row r="63" spans="1:14" x14ac:dyDescent="0.3">
      <c r="B63" s="957" t="s">
        <v>11956</v>
      </c>
      <c r="C63" s="958">
        <f>C3</f>
        <v>3</v>
      </c>
      <c r="D63" s="962"/>
      <c r="E63" s="963"/>
      <c r="G63" s="957" t="s">
        <v>11956</v>
      </c>
      <c r="H63" s="958">
        <f>C3</f>
        <v>3</v>
      </c>
      <c r="I63" s="962"/>
      <c r="J63" s="963"/>
      <c r="L63" s="957" t="s">
        <v>11956</v>
      </c>
      <c r="M63" s="958">
        <f>C3</f>
        <v>3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'2 этап'!C59</f>
        <v>ПЕРФИЛЬЕВ Алексей</v>
      </c>
      <c r="C65" s="960" t="str">
        <f>'2 этап'!C45</f>
        <v>РАМС Сергей</v>
      </c>
      <c r="D65" s="961"/>
      <c r="E65" s="966"/>
      <c r="G65" s="960" t="str">
        <f>'2 этап'!C53</f>
        <v>КУРОЧКИН Егор</v>
      </c>
      <c r="H65" s="960" t="str">
        <f>'2 этап'!C51</f>
        <v>ЛАЗАРЕВ Василий</v>
      </c>
      <c r="I65" s="961"/>
      <c r="J65" s="966"/>
      <c r="L65" s="960" t="str">
        <f>'2 этап'!C57</f>
        <v>КЛЕСТОВ Евгений</v>
      </c>
      <c r="M65" s="960" t="str">
        <f>'2 этап'!C47</f>
        <v>БАТАЛОВ Анатолий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полуфинал</v>
      </c>
      <c r="C77" s="1199"/>
      <c r="D77" s="955"/>
      <c r="E77" s="956"/>
      <c r="G77" s="1199" t="str">
        <f>B2</f>
        <v>полуфинал</v>
      </c>
      <c r="H77" s="1199"/>
      <c r="I77" s="955"/>
      <c r="J77" s="956"/>
      <c r="L77" s="1199" t="str">
        <f>B2</f>
        <v>полуфинал</v>
      </c>
      <c r="M77" s="1199"/>
      <c r="N77" s="961"/>
    </row>
    <row r="78" spans="1:14" x14ac:dyDescent="0.3">
      <c r="B78" s="957" t="s">
        <v>11956</v>
      </c>
      <c r="C78" s="958">
        <f>C3</f>
        <v>3</v>
      </c>
      <c r="D78" s="962"/>
      <c r="E78" s="963"/>
      <c r="G78" s="957" t="s">
        <v>11956</v>
      </c>
      <c r="H78" s="958">
        <f>C3</f>
        <v>3</v>
      </c>
      <c r="I78" s="962"/>
      <c r="J78" s="963"/>
      <c r="L78" s="957" t="s">
        <v>11956</v>
      </c>
      <c r="M78" s="958">
        <f>C3</f>
        <v>3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'2 этап'!C55</f>
        <v>НИКИШАЕВ Матвей</v>
      </c>
      <c r="C80" s="960" t="str">
        <f>'2 этап'!C49</f>
        <v>ПАНФИЛОВ Федор</v>
      </c>
      <c r="D80" s="961"/>
      <c r="E80" s="966"/>
      <c r="G80" s="960" t="str">
        <f>'2 этап'!C45</f>
        <v>РАМС Сергей</v>
      </c>
      <c r="H80" s="960" t="str">
        <f>'2 этап'!C49</f>
        <v>ПАНФИЛОВ Федор</v>
      </c>
      <c r="I80" s="961"/>
      <c r="J80" s="966"/>
      <c r="L80" s="960" t="str">
        <f>'2 этап'!C47</f>
        <v>БАТАЛОВ Анатолий</v>
      </c>
      <c r="M80" s="960" t="str">
        <f>'2 этап'!C51</f>
        <v>ЛАЗАРЕВ Василий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полуфинал</v>
      </c>
      <c r="C92" s="1199"/>
      <c r="D92" s="955"/>
      <c r="E92" s="956"/>
      <c r="G92" s="1199" t="str">
        <f>B2</f>
        <v>полуфинал</v>
      </c>
      <c r="H92" s="1199"/>
      <c r="I92" s="955"/>
      <c r="J92" s="956"/>
      <c r="L92" s="1199" t="str">
        <f>B2</f>
        <v>полуфинал</v>
      </c>
      <c r="M92" s="1199"/>
      <c r="N92" s="961"/>
    </row>
    <row r="93" spans="1:14" x14ac:dyDescent="0.3">
      <c r="B93" s="957" t="s">
        <v>11956</v>
      </c>
      <c r="C93" s="958">
        <f>C3</f>
        <v>3</v>
      </c>
      <c r="D93" s="962"/>
      <c r="E93" s="963"/>
      <c r="G93" s="957" t="s">
        <v>11956</v>
      </c>
      <c r="H93" s="958">
        <f>C3</f>
        <v>3</v>
      </c>
      <c r="I93" s="962"/>
      <c r="J93" s="963"/>
      <c r="L93" s="957" t="s">
        <v>11956</v>
      </c>
      <c r="M93" s="958">
        <f>C3</f>
        <v>3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'2 этап'!C53</f>
        <v>КУРОЧКИН Егор</v>
      </c>
      <c r="C95" s="960" t="str">
        <f>'2 этап'!C57</f>
        <v>КЛЕСТОВ Евгений</v>
      </c>
      <c r="D95" s="961"/>
      <c r="E95" s="966"/>
      <c r="G95" s="960" t="str">
        <f>'2 этап'!C55</f>
        <v>НИКИШАЕВ Матвей</v>
      </c>
      <c r="H95" s="960" t="str">
        <f>'2 этап'!C59</f>
        <v>ПЕРФИЛЬЕВ Алексей</v>
      </c>
      <c r="I95" s="961"/>
      <c r="J95" s="966"/>
      <c r="L95" s="960" t="str">
        <f>'2 этап'!C51</f>
        <v>ЛАЗАРЕВ Василий</v>
      </c>
      <c r="M95" s="960" t="str">
        <f>'2 этап'!C45</f>
        <v>РАМС Сергей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полуфинал</v>
      </c>
      <c r="C107" s="1199"/>
      <c r="D107" s="955"/>
      <c r="E107" s="956"/>
      <c r="G107" s="1199" t="str">
        <f>B2</f>
        <v>полуфинал</v>
      </c>
      <c r="H107" s="1199"/>
      <c r="I107" s="955"/>
      <c r="J107" s="956"/>
      <c r="L107" s="1199" t="str">
        <f>B2</f>
        <v>полуфинал</v>
      </c>
      <c r="M107" s="1199"/>
      <c r="N107" s="961"/>
    </row>
    <row r="108" spans="1:14" x14ac:dyDescent="0.3">
      <c r="B108" s="957" t="s">
        <v>11956</v>
      </c>
      <c r="C108" s="958">
        <f>C3</f>
        <v>3</v>
      </c>
      <c r="D108" s="962"/>
      <c r="E108" s="963"/>
      <c r="G108" s="957" t="s">
        <v>11956</v>
      </c>
      <c r="H108" s="958">
        <f>C3</f>
        <v>3</v>
      </c>
      <c r="I108" s="962"/>
      <c r="J108" s="963"/>
      <c r="L108" s="957" t="s">
        <v>11956</v>
      </c>
      <c r="M108" s="958">
        <f>C3</f>
        <v>3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'2 этап'!C49</f>
        <v>ПАНФИЛОВ Федор</v>
      </c>
      <c r="C110" s="960" t="str">
        <f>'2 этап'!C47</f>
        <v>БАТАЛОВ Анатолий</v>
      </c>
      <c r="D110" s="961"/>
      <c r="E110" s="966"/>
      <c r="G110" s="960" t="str">
        <f>'2 этап'!C57</f>
        <v>КЛЕСТОВ Евгений</v>
      </c>
      <c r="H110" s="960" t="str">
        <f>'2 этап'!C55</f>
        <v>НИКИШАЕВ Матвей</v>
      </c>
      <c r="I110" s="961"/>
      <c r="J110" s="966"/>
      <c r="L110" s="960" t="str">
        <f>'2 этап'!C59</f>
        <v>ПЕРФИЛЬЕВ Алексей</v>
      </c>
      <c r="M110" s="960" t="str">
        <f>'2 этап'!C53</f>
        <v>КУРОЧКИН Егор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полуфинал</v>
      </c>
      <c r="C122" s="1199"/>
      <c r="D122" s="955"/>
      <c r="E122" s="956"/>
      <c r="G122" s="1199" t="str">
        <f>B2</f>
        <v>полуфинал</v>
      </c>
      <c r="H122" s="1199"/>
      <c r="I122" s="955"/>
      <c r="J122" s="956"/>
      <c r="L122" s="1199" t="str">
        <f>B2</f>
        <v>полуфинал</v>
      </c>
      <c r="M122" s="1199"/>
      <c r="N122" s="961"/>
    </row>
    <row r="123" spans="1:14" x14ac:dyDescent="0.3">
      <c r="B123" s="957" t="s">
        <v>11956</v>
      </c>
      <c r="C123" s="958">
        <f>C3</f>
        <v>3</v>
      </c>
      <c r="D123" s="962"/>
      <c r="E123" s="963"/>
      <c r="G123" s="957" t="s">
        <v>11956</v>
      </c>
      <c r="H123" s="958">
        <f>C3</f>
        <v>3</v>
      </c>
      <c r="I123" s="962"/>
      <c r="J123" s="963"/>
      <c r="L123" s="957" t="s">
        <v>11956</v>
      </c>
      <c r="M123" s="958">
        <f>C3</f>
        <v>3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'2 этап'!C45</f>
        <v>РАМС Сергей</v>
      </c>
      <c r="C125" s="960" t="str">
        <f>'2 этап'!C47</f>
        <v>БАТАЛОВ Анатолий</v>
      </c>
      <c r="D125" s="961"/>
      <c r="E125" s="966"/>
      <c r="G125" s="960" t="str">
        <f>'2 этап'!C49</f>
        <v>ПАНФИЛОВ Федор</v>
      </c>
      <c r="H125" s="960" t="str">
        <f>'2 этап'!C51</f>
        <v>ЛАЗАРЕВ Василий</v>
      </c>
      <c r="I125" s="961"/>
      <c r="J125" s="966"/>
      <c r="L125" s="960" t="str">
        <f>'2 этап'!C53</f>
        <v>КУРОЧКИН Егор</v>
      </c>
      <c r="M125" s="960" t="str">
        <f>'2 этап'!C55</f>
        <v>НИКИШАЕВ Матвей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полуфинал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 t="s">
        <v>11956</v>
      </c>
      <c r="C138" s="975">
        <f>C3</f>
        <v>3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'2 этап'!C57</f>
        <v>КЛЕСТОВ Евгений</v>
      </c>
      <c r="C140" s="960" t="str">
        <f>'2 этап'!C59</f>
        <v>ПЕРФИЛЬЕВ Алексей</v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4" manualBreakCount="4">
    <brk id="30" max="16383" man="1"/>
    <brk id="60" max="16383" man="1"/>
    <brk id="90" max="16383" man="1"/>
    <brk id="120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B93" zoomScale="60" zoomScaleNormal="100" workbookViewId="0">
      <selection activeCell="B3" sqref="B3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12175</v>
      </c>
      <c r="C2" s="1199"/>
      <c r="D2" s="955"/>
      <c r="E2" s="956"/>
      <c r="G2" s="1199" t="str">
        <f>B2</f>
        <v>полуфнал</v>
      </c>
      <c r="H2" s="1199"/>
      <c r="I2" s="955"/>
      <c r="J2" s="956"/>
      <c r="L2" s="1199" t="str">
        <f>B2</f>
        <v>полуфнал</v>
      </c>
      <c r="M2" s="1199"/>
      <c r="N2" s="961"/>
    </row>
    <row r="3" spans="1:14" x14ac:dyDescent="0.3">
      <c r="B3" s="957" t="s">
        <v>11956</v>
      </c>
      <c r="C3" s="958">
        <v>4</v>
      </c>
      <c r="D3" s="962"/>
      <c r="E3" s="963"/>
      <c r="G3" s="957" t="s">
        <v>11956</v>
      </c>
      <c r="H3" s="958">
        <f>C3</f>
        <v>4</v>
      </c>
      <c r="I3" s="962"/>
      <c r="J3" s="963"/>
      <c r="L3" s="957" t="s">
        <v>11956</v>
      </c>
      <c r="M3" s="958">
        <f>C3</f>
        <v>4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'2 этап'!C67</f>
        <v>МИРОНОВ Егор</v>
      </c>
      <c r="C5" s="960" t="str">
        <f>'2 этап'!C75</f>
        <v>МУКОВ Руслан</v>
      </c>
      <c r="D5" s="961"/>
      <c r="E5" s="966"/>
      <c r="G5" s="960" t="str">
        <f>'2 этап'!C69</f>
        <v>ПОЛЯКОВ Василий</v>
      </c>
      <c r="H5" s="960" t="str">
        <f>'2 этап'!C73</f>
        <v>ШУКЛИН Александр</v>
      </c>
      <c r="I5" s="961"/>
      <c r="J5" s="966"/>
      <c r="L5" s="960" t="str">
        <f>'2 этап'!C65</f>
        <v>СТАШКОВСКИЙ Глеб</v>
      </c>
      <c r="M5" s="960" t="str">
        <f>'2 этап'!C77</f>
        <v>ПЛАХОТНИК Александр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полуфнал</v>
      </c>
      <c r="C17" s="1199"/>
      <c r="D17" s="955"/>
      <c r="E17" s="956"/>
      <c r="G17" s="1199" t="str">
        <f>B2</f>
        <v>полуфнал</v>
      </c>
      <c r="H17" s="1199"/>
      <c r="I17" s="955"/>
      <c r="J17" s="956"/>
      <c r="L17" s="1199" t="str">
        <f>B2</f>
        <v>полуфнал</v>
      </c>
      <c r="M17" s="1199"/>
      <c r="N17" s="961"/>
    </row>
    <row r="18" spans="1:14" x14ac:dyDescent="0.3">
      <c r="B18" s="957" t="s">
        <v>11956</v>
      </c>
      <c r="C18" s="958">
        <f>C3</f>
        <v>4</v>
      </c>
      <c r="D18" s="962"/>
      <c r="E18" s="963"/>
      <c r="G18" s="957" t="s">
        <v>11956</v>
      </c>
      <c r="H18" s="958">
        <f>C3</f>
        <v>4</v>
      </c>
      <c r="I18" s="962"/>
      <c r="J18" s="963"/>
      <c r="L18" s="957" t="s">
        <v>11956</v>
      </c>
      <c r="M18" s="958">
        <f>C3</f>
        <v>4</v>
      </c>
      <c r="N18" s="961"/>
    </row>
    <row r="19" spans="1:14" x14ac:dyDescent="0.3">
      <c r="B19" s="957" t="s">
        <v>11957</v>
      </c>
      <c r="C19" s="959" t="s">
        <v>11958</v>
      </c>
      <c r="D19" s="961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960" t="str">
        <f>'2 этап'!C71</f>
        <v>ПОРТНОВ Фадей</v>
      </c>
      <c r="C20" s="960" t="str">
        <f>'2 этап'!C79</f>
        <v>КОРОЛЬ Владислав</v>
      </c>
      <c r="D20" s="961"/>
      <c r="E20" s="966"/>
      <c r="G20" s="960" t="str">
        <f>'2 этап'!C73</f>
        <v>ШУКЛИН Александр</v>
      </c>
      <c r="H20" s="960" t="str">
        <f>'2 этап'!C67</f>
        <v>МИРОНОВ Егор</v>
      </c>
      <c r="I20" s="961"/>
      <c r="J20" s="966"/>
      <c r="L20" s="960" t="str">
        <f>'2 этап'!C75</f>
        <v>МУКОВ Руслан</v>
      </c>
      <c r="M20" s="960" t="str">
        <f>'2 этап'!C65</f>
        <v>СТАШКОВСКИЙ Глеб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полуфнал</v>
      </c>
      <c r="C32" s="1199"/>
      <c r="D32" s="955"/>
      <c r="E32" s="956"/>
      <c r="G32" s="1199" t="str">
        <f>B2</f>
        <v>полуфнал</v>
      </c>
      <c r="H32" s="1199"/>
      <c r="I32" s="955"/>
      <c r="J32" s="956"/>
      <c r="L32" s="1199" t="str">
        <f>B2</f>
        <v>полуфнал</v>
      </c>
      <c r="M32" s="1199"/>
      <c r="N32" s="961"/>
    </row>
    <row r="33" spans="1:14" x14ac:dyDescent="0.3">
      <c r="B33" s="957" t="s">
        <v>11956</v>
      </c>
      <c r="C33" s="958">
        <f>C3</f>
        <v>4</v>
      </c>
      <c r="D33" s="962"/>
      <c r="E33" s="963"/>
      <c r="G33" s="957" t="s">
        <v>11956</v>
      </c>
      <c r="H33" s="958">
        <f>C3</f>
        <v>4</v>
      </c>
      <c r="I33" s="962"/>
      <c r="J33" s="963"/>
      <c r="L33" s="957" t="s">
        <v>11956</v>
      </c>
      <c r="M33" s="958">
        <f>C3</f>
        <v>4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'2 этап'!C79</f>
        <v>КОРОЛЬ Владислав</v>
      </c>
      <c r="C35" s="960" t="str">
        <f>'2 этап'!C69</f>
        <v>ПОЛЯКОВ Василий</v>
      </c>
      <c r="D35" s="961"/>
      <c r="E35" s="966"/>
      <c r="G35" s="960" t="str">
        <f>'2 этап'!C77</f>
        <v>ПЛАХОТНИК Александр</v>
      </c>
      <c r="H35" s="960" t="str">
        <f>'2 этап'!C71</f>
        <v>ПОРТНОВ Фадей</v>
      </c>
      <c r="I35" s="961"/>
      <c r="J35" s="966"/>
      <c r="L35" s="960" t="str">
        <f>'2 этап'!C65</f>
        <v>СТАШКОВСКИЙ Глеб</v>
      </c>
      <c r="M35" s="960" t="str">
        <f>'2 этап'!C73</f>
        <v>ШУКЛИН Александр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полуфнал</v>
      </c>
      <c r="C47" s="1199"/>
      <c r="D47" s="955"/>
      <c r="E47" s="956"/>
      <c r="G47" s="1199" t="str">
        <f>B2</f>
        <v>полуфнал</v>
      </c>
      <c r="H47" s="1199"/>
      <c r="I47" s="955"/>
      <c r="J47" s="956"/>
      <c r="L47" s="1199" t="str">
        <f>B2</f>
        <v>полуфнал</v>
      </c>
      <c r="M47" s="1199"/>
      <c r="N47" s="961"/>
    </row>
    <row r="48" spans="1:14" x14ac:dyDescent="0.3">
      <c r="B48" s="957" t="s">
        <v>11956</v>
      </c>
      <c r="C48" s="958">
        <f>C3</f>
        <v>4</v>
      </c>
      <c r="D48" s="962"/>
      <c r="E48" s="963"/>
      <c r="G48" s="957" t="s">
        <v>11956</v>
      </c>
      <c r="H48" s="958">
        <f>C3</f>
        <v>4</v>
      </c>
      <c r="I48" s="962"/>
      <c r="J48" s="963"/>
      <c r="L48" s="957" t="s">
        <v>11956</v>
      </c>
      <c r="M48" s="958">
        <f>C3</f>
        <v>4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'2 этап'!C67</f>
        <v>МИРОНОВ Егор</v>
      </c>
      <c r="C50" s="960" t="str">
        <f>'2 этап'!C79</f>
        <v>КОРОЛЬ Владислав</v>
      </c>
      <c r="D50" s="961"/>
      <c r="E50" s="966"/>
      <c r="G50" s="960" t="str">
        <f>'2 этап'!C71</f>
        <v>ПОРТНОВ Фадей</v>
      </c>
      <c r="H50" s="960" t="str">
        <f>'2 этап'!C75</f>
        <v>МУКОВ Руслан</v>
      </c>
      <c r="I50" s="961"/>
      <c r="J50" s="966"/>
      <c r="L50" s="960" t="str">
        <f>'2 этап'!C69</f>
        <v>ПОЛЯКОВ Василий</v>
      </c>
      <c r="M50" s="960" t="str">
        <f>'2 этап'!C77</f>
        <v>ПЛАХОТНИК Александр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полуфнал</v>
      </c>
      <c r="C62" s="1199"/>
      <c r="D62" s="955"/>
      <c r="E62" s="956"/>
      <c r="G62" s="1199" t="str">
        <f>B2</f>
        <v>полуфнал</v>
      </c>
      <c r="H62" s="1199"/>
      <c r="I62" s="955"/>
      <c r="J62" s="956"/>
      <c r="L62" s="1199" t="str">
        <f>B2</f>
        <v>полуфнал</v>
      </c>
      <c r="M62" s="1199"/>
      <c r="N62" s="961"/>
    </row>
    <row r="63" spans="1:14" x14ac:dyDescent="0.3">
      <c r="B63" s="957" t="s">
        <v>11956</v>
      </c>
      <c r="C63" s="958">
        <f>C3</f>
        <v>4</v>
      </c>
      <c r="D63" s="962"/>
      <c r="E63" s="963"/>
      <c r="G63" s="957" t="s">
        <v>11956</v>
      </c>
      <c r="H63" s="958">
        <f>C3</f>
        <v>4</v>
      </c>
      <c r="I63" s="962"/>
      <c r="J63" s="963"/>
      <c r="L63" s="957" t="s">
        <v>11956</v>
      </c>
      <c r="M63" s="958">
        <f>C3</f>
        <v>4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'2 этап'!C79</f>
        <v>КОРОЛЬ Владислав</v>
      </c>
      <c r="C65" s="960" t="str">
        <f>'2 этап'!C65</f>
        <v>СТАШКОВСКИЙ Глеб</v>
      </c>
      <c r="D65" s="961"/>
      <c r="E65" s="966"/>
      <c r="G65" s="960" t="str">
        <f>'2 этап'!C73</f>
        <v>ШУКЛИН Александр</v>
      </c>
      <c r="H65" s="960" t="str">
        <f>'2 этап'!C71</f>
        <v>ПОРТНОВ Фадей</v>
      </c>
      <c r="I65" s="961"/>
      <c r="J65" s="966"/>
      <c r="L65" s="960" t="str">
        <f>'2 этап'!C77</f>
        <v>ПЛАХОТНИК Александр</v>
      </c>
      <c r="M65" s="960" t="str">
        <f>'2 этап'!C67</f>
        <v>МИРОНОВ Егор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полуфнал</v>
      </c>
      <c r="C77" s="1199"/>
      <c r="D77" s="955"/>
      <c r="E77" s="956"/>
      <c r="G77" s="1199" t="str">
        <f>B2</f>
        <v>полуфнал</v>
      </c>
      <c r="H77" s="1199"/>
      <c r="I77" s="955"/>
      <c r="J77" s="956"/>
      <c r="L77" s="1199" t="str">
        <f>B2</f>
        <v>полуфнал</v>
      </c>
      <c r="M77" s="1199"/>
      <c r="N77" s="961"/>
    </row>
    <row r="78" spans="1:14" x14ac:dyDescent="0.3">
      <c r="B78" s="957" t="s">
        <v>11956</v>
      </c>
      <c r="C78" s="958">
        <f>C3</f>
        <v>4</v>
      </c>
      <c r="D78" s="962"/>
      <c r="E78" s="963"/>
      <c r="G78" s="957" t="s">
        <v>11956</v>
      </c>
      <c r="H78" s="958">
        <f>C3</f>
        <v>4</v>
      </c>
      <c r="I78" s="962"/>
      <c r="J78" s="963"/>
      <c r="L78" s="957" t="s">
        <v>11956</v>
      </c>
      <c r="M78" s="958">
        <f>C3</f>
        <v>4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'2 этап'!C75</f>
        <v>МУКОВ Руслан</v>
      </c>
      <c r="C80" s="960" t="str">
        <f>'2 этап'!C69</f>
        <v>ПОЛЯКОВ Василий</v>
      </c>
      <c r="D80" s="961"/>
      <c r="E80" s="966"/>
      <c r="G80" s="960" t="str">
        <f>'2 этап'!C65</f>
        <v>СТАШКОВСКИЙ Глеб</v>
      </c>
      <c r="H80" s="960" t="str">
        <f>'2 этап'!C69</f>
        <v>ПОЛЯКОВ Василий</v>
      </c>
      <c r="I80" s="961"/>
      <c r="J80" s="966"/>
      <c r="L80" s="960" t="str">
        <f>'2 этап'!C67</f>
        <v>МИРОНОВ Егор</v>
      </c>
      <c r="M80" s="960" t="str">
        <f>'2 этап'!C71</f>
        <v>ПОРТНОВ Фадей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полуфнал</v>
      </c>
      <c r="C92" s="1199"/>
      <c r="D92" s="955"/>
      <c r="E92" s="956"/>
      <c r="G92" s="1199" t="str">
        <f>B2</f>
        <v>полуфнал</v>
      </c>
      <c r="H92" s="1199"/>
      <c r="I92" s="955"/>
      <c r="J92" s="956"/>
      <c r="L92" s="1199" t="str">
        <f>B2</f>
        <v>полуфнал</v>
      </c>
      <c r="M92" s="1199"/>
      <c r="N92" s="961"/>
    </row>
    <row r="93" spans="1:14" x14ac:dyDescent="0.3">
      <c r="B93" s="957" t="s">
        <v>11956</v>
      </c>
      <c r="C93" s="958">
        <f>C3</f>
        <v>4</v>
      </c>
      <c r="D93" s="962"/>
      <c r="E93" s="963"/>
      <c r="G93" s="957" t="s">
        <v>11956</v>
      </c>
      <c r="H93" s="958">
        <f>C3</f>
        <v>4</v>
      </c>
      <c r="I93" s="962"/>
      <c r="J93" s="963"/>
      <c r="L93" s="957" t="s">
        <v>11956</v>
      </c>
      <c r="M93" s="958">
        <f>C3</f>
        <v>4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'2 этап'!C73</f>
        <v>ШУКЛИН Александр</v>
      </c>
      <c r="C95" s="960" t="str">
        <f>'2 этап'!C77</f>
        <v>ПЛАХОТНИК Александр</v>
      </c>
      <c r="D95" s="961"/>
      <c r="E95" s="966"/>
      <c r="G95" s="960" t="str">
        <f>'2 этап'!C75</f>
        <v>МУКОВ Руслан</v>
      </c>
      <c r="H95" s="960" t="str">
        <f>'2 этап'!C79</f>
        <v>КОРОЛЬ Владислав</v>
      </c>
      <c r="I95" s="961"/>
      <c r="J95" s="966"/>
      <c r="L95" s="960" t="str">
        <f>'2 этап'!C71</f>
        <v>ПОРТНОВ Фадей</v>
      </c>
      <c r="M95" s="960" t="str">
        <f>'2 этап'!C65</f>
        <v>СТАШКОВСКИЙ Глеб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полуфнал</v>
      </c>
      <c r="C107" s="1199"/>
      <c r="D107" s="955"/>
      <c r="E107" s="956"/>
      <c r="G107" s="1199" t="str">
        <f>B2</f>
        <v>полуфнал</v>
      </c>
      <c r="H107" s="1199"/>
      <c r="I107" s="955"/>
      <c r="J107" s="956"/>
      <c r="L107" s="1199" t="str">
        <f>B2</f>
        <v>полуфнал</v>
      </c>
      <c r="M107" s="1199"/>
      <c r="N107" s="961"/>
    </row>
    <row r="108" spans="1:14" x14ac:dyDescent="0.3">
      <c r="B108" s="957" t="s">
        <v>11956</v>
      </c>
      <c r="C108" s="958">
        <f>C3</f>
        <v>4</v>
      </c>
      <c r="D108" s="962"/>
      <c r="E108" s="963"/>
      <c r="G108" s="957" t="s">
        <v>11956</v>
      </c>
      <c r="H108" s="958">
        <f>C3</f>
        <v>4</v>
      </c>
      <c r="I108" s="962"/>
      <c r="J108" s="963"/>
      <c r="L108" s="957" t="s">
        <v>11956</v>
      </c>
      <c r="M108" s="958">
        <f>C3</f>
        <v>4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'2 этап'!C69</f>
        <v>ПОЛЯКОВ Василий</v>
      </c>
      <c r="C110" s="960" t="str">
        <f>'2 этап'!C67</f>
        <v>МИРОНОВ Егор</v>
      </c>
      <c r="D110" s="961"/>
      <c r="E110" s="966"/>
      <c r="G110" s="960" t="str">
        <f>'2 этап'!C77</f>
        <v>ПЛАХОТНИК Александр</v>
      </c>
      <c r="H110" s="960" t="str">
        <f>'2 этап'!C75</f>
        <v>МУКОВ Руслан</v>
      </c>
      <c r="I110" s="961"/>
      <c r="J110" s="966"/>
      <c r="L110" s="960" t="str">
        <f>'2 этап'!C79</f>
        <v>КОРОЛЬ Владислав</v>
      </c>
      <c r="M110" s="960" t="str">
        <f>'2 этап'!C73</f>
        <v>ШУКЛИН Александр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полуфнал</v>
      </c>
      <c r="C122" s="1199"/>
      <c r="D122" s="955"/>
      <c r="E122" s="956"/>
      <c r="G122" s="1199" t="str">
        <f>B2</f>
        <v>полуфнал</v>
      </c>
      <c r="H122" s="1199"/>
      <c r="I122" s="955"/>
      <c r="J122" s="956"/>
      <c r="L122" s="1199" t="str">
        <f>B2</f>
        <v>полуфнал</v>
      </c>
      <c r="M122" s="1199"/>
      <c r="N122" s="961"/>
    </row>
    <row r="123" spans="1:14" x14ac:dyDescent="0.3">
      <c r="B123" s="957" t="s">
        <v>11956</v>
      </c>
      <c r="C123" s="958">
        <f>C3</f>
        <v>4</v>
      </c>
      <c r="D123" s="962"/>
      <c r="E123" s="963"/>
      <c r="G123" s="957" t="s">
        <v>11956</v>
      </c>
      <c r="H123" s="958">
        <f>C3</f>
        <v>4</v>
      </c>
      <c r="I123" s="962"/>
      <c r="J123" s="963"/>
      <c r="L123" s="957" t="s">
        <v>11956</v>
      </c>
      <c r="M123" s="958">
        <f>C3</f>
        <v>4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'2 этап'!C65</f>
        <v>СТАШКОВСКИЙ Глеб</v>
      </c>
      <c r="C125" s="960" t="str">
        <f>'2 этап'!C67</f>
        <v>МИРОНОВ Егор</v>
      </c>
      <c r="D125" s="961"/>
      <c r="E125" s="966"/>
      <c r="G125" s="960" t="str">
        <f>'2 этап'!C69</f>
        <v>ПОЛЯКОВ Василий</v>
      </c>
      <c r="H125" s="960" t="str">
        <f>'2 этап'!C71</f>
        <v>ПОРТНОВ Фадей</v>
      </c>
      <c r="I125" s="961"/>
      <c r="J125" s="966"/>
      <c r="L125" s="960" t="str">
        <f>'2 этап'!C73</f>
        <v>ШУКЛИН Александр</v>
      </c>
      <c r="M125" s="960" t="str">
        <f>'2 этап'!C75</f>
        <v>МУКОВ Руслан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полуфнал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 t="s">
        <v>11956</v>
      </c>
      <c r="C138" s="975">
        <f>C3</f>
        <v>4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'2 этап'!C77</f>
        <v>ПЛАХОТНИК Александр</v>
      </c>
      <c r="C140" s="960" t="str">
        <f>'2 этап'!C79</f>
        <v>КОРОЛЬ Владислав</v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4" manualBreakCount="4">
    <brk id="30" max="16383" man="1"/>
    <brk id="60" max="16383" man="1"/>
    <brk id="90" max="16383" man="1"/>
    <brk id="120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H84"/>
  <sheetViews>
    <sheetView view="pageBreakPreview" topLeftCell="A19" zoomScaleNormal="100" zoomScaleSheetLayoutView="100" workbookViewId="0">
      <selection activeCell="AJ31" sqref="AJ31"/>
    </sheetView>
  </sheetViews>
  <sheetFormatPr defaultRowHeight="12.75" outlineLevelRow="1" outlineLevelCol="1" x14ac:dyDescent="0.2"/>
  <cols>
    <col min="1" max="1" width="5.6640625" style="91" customWidth="1"/>
    <col min="2" max="2" width="5" style="91" hidden="1" customWidth="1" outlineLevel="1"/>
    <col min="3" max="3" width="30" style="91" customWidth="1" collapsed="1"/>
    <col min="4" max="27" width="2.83203125" style="91" customWidth="1"/>
    <col min="28" max="30" width="2.83203125" style="91" hidden="1" customWidth="1" outlineLevel="1"/>
    <col min="31" max="31" width="3.5" style="91" customWidth="1" collapsed="1"/>
    <col min="32" max="32" width="3.5" style="91" customWidth="1"/>
    <col min="33" max="33" width="9.5" style="91" customWidth="1"/>
    <col min="34" max="34" width="7.83203125" style="91" customWidth="1"/>
  </cols>
  <sheetData>
    <row r="1" spans="1:34" ht="15.75" x14ac:dyDescent="0.25">
      <c r="C1" s="1123" t="str">
        <f>'Списки участников'!A1</f>
        <v>IV Мемориал Заслуженного тренера России В.А.Воробьева</v>
      </c>
      <c r="D1" s="1123"/>
      <c r="E1" s="1123"/>
      <c r="F1" s="1123"/>
      <c r="G1" s="1123"/>
      <c r="H1" s="1123"/>
      <c r="I1" s="1123"/>
      <c r="J1" s="1123"/>
      <c r="K1" s="1123"/>
      <c r="L1" s="1123"/>
      <c r="M1" s="1123"/>
      <c r="N1" s="1123"/>
      <c r="O1" s="1123"/>
      <c r="P1" s="1123"/>
      <c r="Q1" s="1123"/>
      <c r="R1" s="1123"/>
      <c r="S1" s="1123"/>
      <c r="T1" s="1123"/>
      <c r="U1" s="1123"/>
      <c r="V1" s="1123"/>
      <c r="W1" s="1123"/>
      <c r="X1" s="1123"/>
      <c r="Y1" s="1123"/>
      <c r="Z1" s="1123"/>
      <c r="AA1" s="1123"/>
      <c r="AB1" s="1123"/>
      <c r="AC1" s="1123"/>
      <c r="AD1" s="1123"/>
      <c r="AE1" s="1123"/>
      <c r="AF1" s="1123"/>
      <c r="AG1" s="1123"/>
    </row>
    <row r="2" spans="1:34" ht="15.75" x14ac:dyDescent="0.25">
      <c r="C2" s="453" t="str">
        <f>'Списки участников'!C3</f>
        <v>26-29 мая 2016 г.</v>
      </c>
      <c r="D2" s="1123" t="str">
        <f>'Списки участников'!A2</f>
        <v>среди юношей и девушек 2002 г.р. и моложе</v>
      </c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  <c r="X2" s="1123"/>
      <c r="Y2" s="1123"/>
      <c r="Z2" s="1123"/>
      <c r="AA2" s="1123"/>
      <c r="AB2" s="1156" t="str">
        <f>'Списки участников'!I3</f>
        <v>г. Москва</v>
      </c>
      <c r="AC2" s="1156"/>
      <c r="AD2" s="1156"/>
      <c r="AE2" s="1156"/>
      <c r="AF2" s="1156"/>
      <c r="AG2" s="1156"/>
    </row>
    <row r="3" spans="1:34" ht="15.75" x14ac:dyDescent="0.25">
      <c r="A3" s="135"/>
      <c r="B3" s="135"/>
      <c r="C3" s="804" t="str">
        <f>'Списки участников'!D6</f>
        <v>ЮНОШИ</v>
      </c>
      <c r="D3" s="135"/>
      <c r="E3" s="135"/>
      <c r="F3" s="135"/>
      <c r="G3" s="1157" t="s">
        <v>9450</v>
      </c>
      <c r="H3" s="1157"/>
      <c r="I3" s="1157"/>
      <c r="J3" s="1157"/>
      <c r="K3" s="1157"/>
      <c r="L3" s="1157"/>
      <c r="M3" s="1157"/>
      <c r="N3" s="1157"/>
      <c r="O3" s="1157"/>
      <c r="P3" s="1157"/>
      <c r="Q3" s="1157"/>
      <c r="R3" s="1157"/>
      <c r="S3" s="1157"/>
      <c r="T3" s="1157"/>
      <c r="U3" s="1157"/>
      <c r="V3" s="1157"/>
      <c r="W3" s="1157"/>
      <c r="X3" s="1157"/>
      <c r="Y3" s="1157"/>
      <c r="Z3" s="1157"/>
      <c r="AA3" s="1157"/>
      <c r="AB3" s="135"/>
      <c r="AC3" s="135"/>
      <c r="AD3" s="135"/>
      <c r="AE3" s="135"/>
      <c r="AF3" s="135"/>
      <c r="AG3" s="135"/>
      <c r="AH3" s="135"/>
    </row>
    <row r="4" spans="1:34" ht="15" x14ac:dyDescent="0.2">
      <c r="A4" s="136" t="s">
        <v>3</v>
      </c>
      <c r="B4" s="938"/>
      <c r="C4" s="138" t="s">
        <v>788</v>
      </c>
      <c r="D4" s="1158">
        <v>1</v>
      </c>
      <c r="E4" s="1159"/>
      <c r="F4" s="1160"/>
      <c r="G4" s="1158">
        <v>2</v>
      </c>
      <c r="H4" s="1159"/>
      <c r="I4" s="1160"/>
      <c r="J4" s="1158">
        <v>3</v>
      </c>
      <c r="K4" s="1159"/>
      <c r="L4" s="1160"/>
      <c r="M4" s="1158">
        <v>4</v>
      </c>
      <c r="N4" s="1159"/>
      <c r="O4" s="1160"/>
      <c r="P4" s="1158">
        <v>5</v>
      </c>
      <c r="Q4" s="1159"/>
      <c r="R4" s="1160"/>
      <c r="S4" s="1158">
        <v>6</v>
      </c>
      <c r="T4" s="1159"/>
      <c r="U4" s="1160"/>
      <c r="V4" s="1158">
        <v>7</v>
      </c>
      <c r="W4" s="1159"/>
      <c r="X4" s="1160"/>
      <c r="Y4" s="1158">
        <v>8</v>
      </c>
      <c r="Z4" s="1159"/>
      <c r="AA4" s="1160"/>
      <c r="AB4" s="1158">
        <v>9</v>
      </c>
      <c r="AC4" s="1159"/>
      <c r="AD4" s="1160"/>
      <c r="AE4" s="1161" t="s">
        <v>789</v>
      </c>
      <c r="AF4" s="1162"/>
      <c r="AG4" s="939" t="s">
        <v>790</v>
      </c>
      <c r="AH4" s="455" t="s">
        <v>100</v>
      </c>
    </row>
    <row r="5" spans="1:34" ht="15" x14ac:dyDescent="0.2">
      <c r="A5" s="1163">
        <v>1</v>
      </c>
      <c r="B5" s="1165">
        <v>1</v>
      </c>
      <c r="C5" s="456" t="str">
        <f>IF(B5="","",VLOOKUP(B5,'Списки участников'!A:I,3,FALSE))</f>
        <v>БОКОВ Максим Андреевич</v>
      </c>
      <c r="D5" s="1167"/>
      <c r="E5" s="1167"/>
      <c r="F5" s="1168"/>
      <c r="G5" s="1171">
        <v>1</v>
      </c>
      <c r="H5" s="1172"/>
      <c r="I5" s="1173"/>
      <c r="J5" s="1171">
        <v>2</v>
      </c>
      <c r="K5" s="1172"/>
      <c r="L5" s="1173"/>
      <c r="M5" s="1171">
        <v>1</v>
      </c>
      <c r="N5" s="1172"/>
      <c r="O5" s="1173"/>
      <c r="P5" s="1171">
        <v>2</v>
      </c>
      <c r="Q5" s="1172"/>
      <c r="R5" s="1173"/>
      <c r="S5" s="1171">
        <v>2</v>
      </c>
      <c r="T5" s="1172"/>
      <c r="U5" s="1173"/>
      <c r="V5" s="1171">
        <v>2</v>
      </c>
      <c r="W5" s="1172"/>
      <c r="X5" s="1173"/>
      <c r="Y5" s="1171">
        <v>2</v>
      </c>
      <c r="Z5" s="1172"/>
      <c r="AA5" s="1173"/>
      <c r="AB5" s="1171"/>
      <c r="AC5" s="1172"/>
      <c r="AD5" s="1173"/>
      <c r="AE5" s="1184">
        <f>IF(B5="","",SUM(G5,J5,M5,P5,S5,V5,Y5,AB5,))</f>
        <v>12</v>
      </c>
      <c r="AF5" s="1185"/>
      <c r="AG5" s="1175"/>
      <c r="AH5" s="1174">
        <f>IF(B5="","",RANK(AE5,ГР1О))</f>
        <v>2</v>
      </c>
    </row>
    <row r="6" spans="1:34" ht="15" x14ac:dyDescent="0.2">
      <c r="A6" s="1164"/>
      <c r="B6" s="1166"/>
      <c r="C6" s="457" t="str">
        <f>IF(B5="","",VLOOKUP(B5,'Списки участников'!A:I,6,FALSE))</f>
        <v>Москва</v>
      </c>
      <c r="D6" s="1169"/>
      <c r="E6" s="1169"/>
      <c r="F6" s="1170"/>
      <c r="G6" s="458">
        <v>1</v>
      </c>
      <c r="H6" s="459" t="str">
        <f>IF(G5="","",":")</f>
        <v>:</v>
      </c>
      <c r="I6" s="460">
        <v>3</v>
      </c>
      <c r="J6" s="458">
        <v>3</v>
      </c>
      <c r="K6" s="459" t="str">
        <f>IF(J5="","",":")</f>
        <v>:</v>
      </c>
      <c r="L6" s="460">
        <v>0</v>
      </c>
      <c r="M6" s="458">
        <v>0</v>
      </c>
      <c r="N6" s="459" t="str">
        <f>IF(M6="","",":")</f>
        <v>:</v>
      </c>
      <c r="O6" s="460">
        <v>3</v>
      </c>
      <c r="P6" s="458">
        <v>3</v>
      </c>
      <c r="Q6" s="459" t="str">
        <f>IF(P6="","",":")</f>
        <v>:</v>
      </c>
      <c r="R6" s="460">
        <v>0</v>
      </c>
      <c r="S6" s="458">
        <v>3</v>
      </c>
      <c r="T6" s="459" t="str">
        <f>IF(S6="","",":")</f>
        <v>:</v>
      </c>
      <c r="U6" s="460">
        <v>0</v>
      </c>
      <c r="V6" s="458">
        <v>3</v>
      </c>
      <c r="W6" s="459" t="str">
        <f>IF(V6="","",":")</f>
        <v>:</v>
      </c>
      <c r="X6" s="460">
        <v>1</v>
      </c>
      <c r="Y6" s="458">
        <v>3</v>
      </c>
      <c r="Z6" s="459" t="str">
        <f>IF(Y6="","",":")</f>
        <v>:</v>
      </c>
      <c r="AA6" s="460">
        <v>0</v>
      </c>
      <c r="AB6" s="458"/>
      <c r="AC6" s="459" t="str">
        <f>IF(AB6="","",":")</f>
        <v/>
      </c>
      <c r="AD6" s="460"/>
      <c r="AE6" s="1186"/>
      <c r="AF6" s="1187"/>
      <c r="AG6" s="1176"/>
      <c r="AH6" s="1174"/>
    </row>
    <row r="7" spans="1:34" ht="15" x14ac:dyDescent="0.2">
      <c r="A7" s="1163">
        <v>2</v>
      </c>
      <c r="B7" s="1165">
        <v>2</v>
      </c>
      <c r="C7" s="456" t="str">
        <f>IF(B7="","",VLOOKUP(B7,'Списки участников'!A:I,3,FALSE))</f>
        <v>СОДЫЛЬ Максим</v>
      </c>
      <c r="D7" s="1177">
        <f>IF(G5="","",IF(G6="W",0,IF(G5=2,1,IF(G5=1,2,IF(G5=0,2)))))</f>
        <v>2</v>
      </c>
      <c r="E7" s="1178"/>
      <c r="F7" s="1179"/>
      <c r="G7" s="1180"/>
      <c r="H7" s="1181"/>
      <c r="I7" s="1182"/>
      <c r="J7" s="1171">
        <v>2</v>
      </c>
      <c r="K7" s="1172"/>
      <c r="L7" s="1173"/>
      <c r="M7" s="1171">
        <v>2</v>
      </c>
      <c r="N7" s="1172"/>
      <c r="O7" s="1173"/>
      <c r="P7" s="1171">
        <v>2</v>
      </c>
      <c r="Q7" s="1172"/>
      <c r="R7" s="1173"/>
      <c r="S7" s="1171">
        <v>2</v>
      </c>
      <c r="T7" s="1172"/>
      <c r="U7" s="1173"/>
      <c r="V7" s="1171">
        <v>2</v>
      </c>
      <c r="W7" s="1172"/>
      <c r="X7" s="1173"/>
      <c r="Y7" s="1171">
        <v>2</v>
      </c>
      <c r="Z7" s="1172"/>
      <c r="AA7" s="1173"/>
      <c r="AB7" s="1171"/>
      <c r="AC7" s="1172"/>
      <c r="AD7" s="1173"/>
      <c r="AE7" s="1184">
        <f>IF(B7="","",SUM(D7,J7,M7,P7,S7,V7,Y7,AB7,))</f>
        <v>14</v>
      </c>
      <c r="AF7" s="1185"/>
      <c r="AG7" s="1175"/>
      <c r="AH7" s="1174">
        <f>IF(B7="","",RANK(AE7,ГР1О))</f>
        <v>1</v>
      </c>
    </row>
    <row r="8" spans="1:34" ht="15" x14ac:dyDescent="0.2">
      <c r="A8" s="1164"/>
      <c r="B8" s="1166"/>
      <c r="C8" s="457" t="str">
        <f>IF(B7="","",VLOOKUP(B7,'Списки участников'!A:I,6,FALSE))</f>
        <v>Москва</v>
      </c>
      <c r="D8" s="461">
        <f>IF(G6="","",IF(I6="l","W",I6))</f>
        <v>3</v>
      </c>
      <c r="E8" s="462" t="str">
        <f>IF(G5="","",":")</f>
        <v>:</v>
      </c>
      <c r="F8" s="463">
        <f>IF(I6="","",IF(G6="W","L",G6))</f>
        <v>1</v>
      </c>
      <c r="G8" s="1183"/>
      <c r="H8" s="1169"/>
      <c r="I8" s="1170"/>
      <c r="J8" s="458">
        <v>3</v>
      </c>
      <c r="K8" s="459" t="str">
        <f>IF(J7="","",":")</f>
        <v>:</v>
      </c>
      <c r="L8" s="460">
        <v>1</v>
      </c>
      <c r="M8" s="458">
        <v>3</v>
      </c>
      <c r="N8" s="459" t="str">
        <f>IF(M7="","",":")</f>
        <v>:</v>
      </c>
      <c r="O8" s="460">
        <v>0</v>
      </c>
      <c r="P8" s="458">
        <v>3</v>
      </c>
      <c r="Q8" s="459" t="str">
        <f>IF(P7="","",":")</f>
        <v>:</v>
      </c>
      <c r="R8" s="460">
        <v>0</v>
      </c>
      <c r="S8" s="458">
        <v>3</v>
      </c>
      <c r="T8" s="459" t="str">
        <f>IF(S8="","",":")</f>
        <v>:</v>
      </c>
      <c r="U8" s="460">
        <v>0</v>
      </c>
      <c r="V8" s="458">
        <v>3</v>
      </c>
      <c r="W8" s="459" t="str">
        <f>IF(V8="","",":")</f>
        <v>:</v>
      </c>
      <c r="X8" s="460">
        <v>0</v>
      </c>
      <c r="Y8" s="458">
        <v>3</v>
      </c>
      <c r="Z8" s="459" t="str">
        <f>IF(Y8="","",":")</f>
        <v>:</v>
      </c>
      <c r="AA8" s="460">
        <v>0</v>
      </c>
      <c r="AB8" s="458"/>
      <c r="AC8" s="459" t="str">
        <f>IF(AB8="","",":")</f>
        <v/>
      </c>
      <c r="AD8" s="460"/>
      <c r="AE8" s="1186"/>
      <c r="AF8" s="1187"/>
      <c r="AG8" s="1176"/>
      <c r="AH8" s="1174"/>
    </row>
    <row r="9" spans="1:34" ht="15" x14ac:dyDescent="0.2">
      <c r="A9" s="1163">
        <v>3</v>
      </c>
      <c r="B9" s="1165">
        <v>6</v>
      </c>
      <c r="C9" s="456" t="str">
        <f>IF(B9="","",VLOOKUP(B9,'Списки участников'!A:I,3,FALSE))</f>
        <v>БАТАЛОВ Анатолий</v>
      </c>
      <c r="D9" s="1177">
        <f>IF(J5="","",IF(J6="W",0,IF(J5=2,1,IF(J5=1,2,IF(J5=0,2)))))</f>
        <v>1</v>
      </c>
      <c r="E9" s="1178"/>
      <c r="F9" s="1179"/>
      <c r="G9" s="1171">
        <f>IF(J7="","",IF(J8="W",0,IF(J7=2,1,IF(J7=1,2,IF(J7=0,2)))))</f>
        <v>1</v>
      </c>
      <c r="H9" s="1172"/>
      <c r="I9" s="1173"/>
      <c r="J9" s="1180"/>
      <c r="K9" s="1181"/>
      <c r="L9" s="1182"/>
      <c r="M9" s="1171">
        <v>2</v>
      </c>
      <c r="N9" s="1172"/>
      <c r="O9" s="1173"/>
      <c r="P9" s="1171">
        <v>2</v>
      </c>
      <c r="Q9" s="1172"/>
      <c r="R9" s="1173"/>
      <c r="S9" s="1171">
        <v>2</v>
      </c>
      <c r="T9" s="1172"/>
      <c r="U9" s="1173"/>
      <c r="V9" s="1171">
        <v>2</v>
      </c>
      <c r="W9" s="1172"/>
      <c r="X9" s="1173"/>
      <c r="Y9" s="1171">
        <v>1</v>
      </c>
      <c r="Z9" s="1172"/>
      <c r="AA9" s="1173"/>
      <c r="AB9" s="1171"/>
      <c r="AC9" s="1172"/>
      <c r="AD9" s="1173"/>
      <c r="AE9" s="1184">
        <f>IF(B9="","",SUM(D9,G9,M9,P9,S9,V9,Y9,AB9,))</f>
        <v>11</v>
      </c>
      <c r="AF9" s="1185"/>
      <c r="AG9" s="1188"/>
      <c r="AH9" s="1174">
        <f>IF(B9="","",RANK(AE9,ГР1О))</f>
        <v>4</v>
      </c>
    </row>
    <row r="10" spans="1:34" ht="15" x14ac:dyDescent="0.2">
      <c r="A10" s="1164"/>
      <c r="B10" s="1166"/>
      <c r="C10" s="457" t="str">
        <f>IF(B9="","",VLOOKUP(B9,'Списки участников'!A:I,6,FALSE))</f>
        <v>Жуковский</v>
      </c>
      <c r="D10" s="464">
        <f>IF(J6="","",IF(L6="l","W",L6))</f>
        <v>0</v>
      </c>
      <c r="E10" s="459" t="str">
        <f>IF(K6="","",":")</f>
        <v>:</v>
      </c>
      <c r="F10" s="465">
        <f>IF(L6="","",IF(J6="W","L",J6))</f>
        <v>3</v>
      </c>
      <c r="G10" s="464">
        <f>IF(J8="","",IF(L8="l","W",L8))</f>
        <v>1</v>
      </c>
      <c r="H10" s="459" t="str">
        <f>IF(K8="","",":")</f>
        <v>:</v>
      </c>
      <c r="I10" s="465">
        <f>IF(L8="","",IF(J8="W","L",J8))</f>
        <v>3</v>
      </c>
      <c r="J10" s="1183"/>
      <c r="K10" s="1169"/>
      <c r="L10" s="1170"/>
      <c r="M10" s="458">
        <v>3</v>
      </c>
      <c r="N10" s="459" t="str">
        <f>IF(M9="","",":")</f>
        <v>:</v>
      </c>
      <c r="O10" s="460">
        <v>2</v>
      </c>
      <c r="P10" s="458">
        <v>3</v>
      </c>
      <c r="Q10" s="459" t="str">
        <f>IF(P9="","",":")</f>
        <v>:</v>
      </c>
      <c r="R10" s="460">
        <v>1</v>
      </c>
      <c r="S10" s="458">
        <v>3</v>
      </c>
      <c r="T10" s="459" t="str">
        <f>IF(S9="","",":")</f>
        <v>:</v>
      </c>
      <c r="U10" s="460">
        <v>2</v>
      </c>
      <c r="V10" s="458">
        <v>3</v>
      </c>
      <c r="W10" s="459" t="str">
        <f>IF(V10="","",":")</f>
        <v>:</v>
      </c>
      <c r="X10" s="460">
        <v>1</v>
      </c>
      <c r="Y10" s="458">
        <v>0</v>
      </c>
      <c r="Z10" s="459" t="str">
        <f>IF(Y10="","",":")</f>
        <v>:</v>
      </c>
      <c r="AA10" s="460">
        <v>3</v>
      </c>
      <c r="AB10" s="458"/>
      <c r="AC10" s="459" t="str">
        <f>IF(AB10="","",":")</f>
        <v/>
      </c>
      <c r="AD10" s="460"/>
      <c r="AE10" s="1186"/>
      <c r="AF10" s="1187"/>
      <c r="AG10" s="1189"/>
      <c r="AH10" s="1174"/>
    </row>
    <row r="11" spans="1:34" ht="15" x14ac:dyDescent="0.2">
      <c r="A11" s="1163">
        <v>4</v>
      </c>
      <c r="B11" s="1165">
        <v>4</v>
      </c>
      <c r="C11" s="456" t="str">
        <f>IF(B11="","",VLOOKUP(B11,'Списки участников'!A:I,3,FALSE))</f>
        <v>СТАШКОВСКИЙ Глеб</v>
      </c>
      <c r="D11" s="1171">
        <f>IF(M5="","",IF(M6="W",0,IF(M5=2,1,IF(M5=1,2,IF(M5=0,2)))))</f>
        <v>2</v>
      </c>
      <c r="E11" s="1172"/>
      <c r="F11" s="1173"/>
      <c r="G11" s="1171">
        <f>IF(M7="","",IF(M8="W",0,IF(M7=2,1,IF(M7=1,2,IF(M7=0,2)))))</f>
        <v>1</v>
      </c>
      <c r="H11" s="1172"/>
      <c r="I11" s="1173"/>
      <c r="J11" s="1171">
        <f>IF(M9="","",IF(M10="W",0,IF(M9=2,1,IF(M9=1,2,IF(M9=0,2)))))</f>
        <v>1</v>
      </c>
      <c r="K11" s="1172"/>
      <c r="L11" s="1173"/>
      <c r="M11" s="1181"/>
      <c r="N11" s="1181"/>
      <c r="O11" s="1181"/>
      <c r="P11" s="1171">
        <v>2</v>
      </c>
      <c r="Q11" s="1172"/>
      <c r="R11" s="1173"/>
      <c r="S11" s="1171">
        <v>2</v>
      </c>
      <c r="T11" s="1172"/>
      <c r="U11" s="1173"/>
      <c r="V11" s="1171">
        <v>2</v>
      </c>
      <c r="W11" s="1172"/>
      <c r="X11" s="1173"/>
      <c r="Y11" s="1171">
        <v>2</v>
      </c>
      <c r="Z11" s="1172"/>
      <c r="AA11" s="1173"/>
      <c r="AB11" s="1171"/>
      <c r="AC11" s="1172"/>
      <c r="AD11" s="1173"/>
      <c r="AE11" s="1184">
        <f>IF(B11="","",SUM(D11,J11,G11,P11,S11,V11,Y11,AB11,))</f>
        <v>12</v>
      </c>
      <c r="AF11" s="1185"/>
      <c r="AG11" s="1188"/>
      <c r="AH11" s="1174">
        <f>IF(B11="","",RANK(AE11,ГР1О))</f>
        <v>2</v>
      </c>
    </row>
    <row r="12" spans="1:34" ht="15" x14ac:dyDescent="0.2">
      <c r="A12" s="1164"/>
      <c r="B12" s="1166"/>
      <c r="C12" s="457" t="str">
        <f>IF(B11="","",VLOOKUP(B11,'Списки участников'!A:I,6,FALSE))</f>
        <v>Реутов, Мос. Обл.</v>
      </c>
      <c r="D12" s="464">
        <f>IF(M6="","",IF(O6="l","W",O6))</f>
        <v>3</v>
      </c>
      <c r="E12" s="459" t="str">
        <f>IF(N6="","",":")</f>
        <v>:</v>
      </c>
      <c r="F12" s="465">
        <f>IF(O6="","",IF(M6="W","L",M6))</f>
        <v>0</v>
      </c>
      <c r="G12" s="464">
        <f>IF(M8="","",IF(O8="l","W",O8))</f>
        <v>0</v>
      </c>
      <c r="H12" s="459" t="str">
        <f>IF(N8="","",":")</f>
        <v>:</v>
      </c>
      <c r="I12" s="465">
        <f>IF(O8="","",IF(M8="W","L",M8))</f>
        <v>3</v>
      </c>
      <c r="J12" s="464">
        <f>IF(M10="","",IF(O10="l","W",O10))</f>
        <v>2</v>
      </c>
      <c r="K12" s="459" t="str">
        <f>IF(N10="","",":")</f>
        <v>:</v>
      </c>
      <c r="L12" s="465">
        <f>IF(O10="","",IF(M10="W","L",M10))</f>
        <v>3</v>
      </c>
      <c r="M12" s="1190"/>
      <c r="N12" s="1190"/>
      <c r="O12" s="1190"/>
      <c r="P12" s="458">
        <v>3</v>
      </c>
      <c r="Q12" s="459" t="str">
        <f>IF(P11="","",":")</f>
        <v>:</v>
      </c>
      <c r="R12" s="460">
        <v>0</v>
      </c>
      <c r="S12" s="458">
        <v>3</v>
      </c>
      <c r="T12" s="459" t="str">
        <f>IF(S11="","",":")</f>
        <v>:</v>
      </c>
      <c r="U12" s="460">
        <v>2</v>
      </c>
      <c r="V12" s="458">
        <v>3</v>
      </c>
      <c r="W12" s="459" t="str">
        <f>IF(V11="","",":")</f>
        <v>:</v>
      </c>
      <c r="X12" s="460">
        <v>0</v>
      </c>
      <c r="Y12" s="458">
        <v>3</v>
      </c>
      <c r="Z12" s="459" t="str">
        <f>IF(Y12="","",":")</f>
        <v>:</v>
      </c>
      <c r="AA12" s="460">
        <v>2</v>
      </c>
      <c r="AB12" s="458"/>
      <c r="AC12" s="459" t="str">
        <f>IF(AB12="","",":")</f>
        <v/>
      </c>
      <c r="AD12" s="460"/>
      <c r="AE12" s="1186"/>
      <c r="AF12" s="1187"/>
      <c r="AG12" s="1189"/>
      <c r="AH12" s="1174"/>
    </row>
    <row r="13" spans="1:34" ht="15" x14ac:dyDescent="0.2">
      <c r="A13" s="1163">
        <v>5</v>
      </c>
      <c r="B13" s="1165">
        <v>11</v>
      </c>
      <c r="C13" s="456" t="str">
        <f>IF(B13="","",VLOOKUP(B13,'Списки участников'!A:I,3,FALSE))</f>
        <v>ПАНФИЛОВ Федор</v>
      </c>
      <c r="D13" s="1171">
        <f>IF(P5="","",IF(P6="W",0,IF(P5=2,1,IF(P5=1,2,IF(P5=0,2)))))</f>
        <v>1</v>
      </c>
      <c r="E13" s="1172"/>
      <c r="F13" s="1173"/>
      <c r="G13" s="1171">
        <f>IF(P7="","",IF(P8="W",0,IF(P7=2,1,IF(P7=1,2,IF(P7=0,2)))))</f>
        <v>1</v>
      </c>
      <c r="H13" s="1172"/>
      <c r="I13" s="1173"/>
      <c r="J13" s="1171">
        <f>IF(P9="","",IF(P10="W",0,IF(P9=2,1,IF(P9=1,2,IF(P9=0,2)))))</f>
        <v>1</v>
      </c>
      <c r="K13" s="1172"/>
      <c r="L13" s="1173"/>
      <c r="M13" s="1171">
        <f>IF(P11="","",IF(P12="W",0,IF(P11=2,1,IF(P11=1,2,IF(P11=0,2)))))</f>
        <v>1</v>
      </c>
      <c r="N13" s="1172"/>
      <c r="O13" s="1173"/>
      <c r="P13" s="1180"/>
      <c r="Q13" s="1181"/>
      <c r="R13" s="1182"/>
      <c r="S13" s="1171">
        <v>1</v>
      </c>
      <c r="T13" s="1172"/>
      <c r="U13" s="1173"/>
      <c r="V13" s="1171">
        <v>2</v>
      </c>
      <c r="W13" s="1172"/>
      <c r="X13" s="1173"/>
      <c r="Y13" s="1171">
        <v>2</v>
      </c>
      <c r="Z13" s="1172"/>
      <c r="AA13" s="1173"/>
      <c r="AB13" s="1171"/>
      <c r="AC13" s="1172"/>
      <c r="AD13" s="1173"/>
      <c r="AE13" s="1184">
        <f>IF(B13="","",SUM(D13,J13,M13,G13,S13,V13,Y13,AB13,))</f>
        <v>9</v>
      </c>
      <c r="AF13" s="1185"/>
      <c r="AG13" s="1188"/>
      <c r="AH13" s="1174">
        <f>IF(B13="","",RANK(AE13,ГР1О))</f>
        <v>6</v>
      </c>
    </row>
    <row r="14" spans="1:34" ht="15" x14ac:dyDescent="0.2">
      <c r="A14" s="1164"/>
      <c r="B14" s="1166"/>
      <c r="C14" s="457" t="str">
        <f>IF(B13="","",VLOOKUP(B13,'Списки участников'!A:I,6,FALSE))</f>
        <v>Москва</v>
      </c>
      <c r="D14" s="464">
        <f>IF(P6="","",IF(R6="l","W",R6))</f>
        <v>0</v>
      </c>
      <c r="E14" s="459" t="str">
        <f>IF(Q6="","",":")</f>
        <v>:</v>
      </c>
      <c r="F14" s="465">
        <f>IF(R6="","",IF(P6="W","L",P6))</f>
        <v>3</v>
      </c>
      <c r="G14" s="464">
        <f>IF(P8="","",IF(R8="l","W",R8))</f>
        <v>0</v>
      </c>
      <c r="H14" s="459" t="str">
        <f>IF(Q8="","",":")</f>
        <v>:</v>
      </c>
      <c r="I14" s="465">
        <f>IF(R8="","",IF(P8="W","L",P8))</f>
        <v>3</v>
      </c>
      <c r="J14" s="464">
        <f>IF(P10="","",IF(R10="l","W",R10))</f>
        <v>1</v>
      </c>
      <c r="K14" s="459" t="str">
        <f>IF(Q10="","",":")</f>
        <v>:</v>
      </c>
      <c r="L14" s="465">
        <f>IF(R10="","",IF(P10="W","L",P10))</f>
        <v>3</v>
      </c>
      <c r="M14" s="464">
        <f>IF(P12="","",IF(R12="l","W",R12))</f>
        <v>0</v>
      </c>
      <c r="N14" s="459" t="str">
        <f>IF(Q12="","",":")</f>
        <v>:</v>
      </c>
      <c r="O14" s="465">
        <f>IF(R12="","",IF(P12="W","L",P12))</f>
        <v>3</v>
      </c>
      <c r="P14" s="1183"/>
      <c r="Q14" s="1169"/>
      <c r="R14" s="1170"/>
      <c r="S14" s="458">
        <v>1</v>
      </c>
      <c r="T14" s="459" t="str">
        <f>IF(S13="","",":")</f>
        <v>:</v>
      </c>
      <c r="U14" s="460">
        <v>3</v>
      </c>
      <c r="V14" s="458">
        <v>3</v>
      </c>
      <c r="W14" s="459" t="str">
        <f>IF(V13="","",":")</f>
        <v>:</v>
      </c>
      <c r="X14" s="460">
        <v>0</v>
      </c>
      <c r="Y14" s="458">
        <v>3</v>
      </c>
      <c r="Z14" s="459" t="str">
        <f>IF(Y13="","",":")</f>
        <v>:</v>
      </c>
      <c r="AA14" s="460">
        <v>1</v>
      </c>
      <c r="AB14" s="458"/>
      <c r="AC14" s="459" t="str">
        <f>IF(AB14="","",":")</f>
        <v/>
      </c>
      <c r="AD14" s="460"/>
      <c r="AE14" s="1186"/>
      <c r="AF14" s="1187"/>
      <c r="AG14" s="1189"/>
      <c r="AH14" s="1174"/>
    </row>
    <row r="15" spans="1:34" ht="15" x14ac:dyDescent="0.2">
      <c r="A15" s="1163">
        <v>6</v>
      </c>
      <c r="B15" s="1165">
        <v>10</v>
      </c>
      <c r="C15" s="456" t="str">
        <f>IF(B15="","",VLOOKUP(B15,'Списки участников'!A:I,3,FALSE))</f>
        <v xml:space="preserve">СУЛТАНОВ Артур </v>
      </c>
      <c r="D15" s="1171">
        <f>IF(S5="","",IF(S6="W",0,IF(S5=2,1,IF(S5=1,2,IF(S5=0,2)))))</f>
        <v>1</v>
      </c>
      <c r="E15" s="1172"/>
      <c r="F15" s="1173"/>
      <c r="G15" s="1171">
        <f>IF(S7="","",IF(S8="W",0,IF(S7=2,1,IF(S7=1,2,IF(S7=0,2)))))</f>
        <v>1</v>
      </c>
      <c r="H15" s="1172"/>
      <c r="I15" s="1173"/>
      <c r="J15" s="1171">
        <f>IF(S9="","",IF(S10="W",0,IF(S9=2,1,IF(S9=1,2,IF(S9=0,2)))))</f>
        <v>1</v>
      </c>
      <c r="K15" s="1172"/>
      <c r="L15" s="1173"/>
      <c r="M15" s="1171">
        <f>IF(S11="","",IF(S12="W",0,IF(S11=2,1,IF(S11=1,2,IF(S11=0,2)))))</f>
        <v>1</v>
      </c>
      <c r="N15" s="1172"/>
      <c r="O15" s="1173"/>
      <c r="P15" s="1171">
        <f>IF(S13="","",IF(S14="W",0,IF(S13=2,1,IF(S13=1,2,IF(S13=0,2)))))</f>
        <v>2</v>
      </c>
      <c r="Q15" s="1172"/>
      <c r="R15" s="1173"/>
      <c r="S15" s="1180"/>
      <c r="T15" s="1181"/>
      <c r="U15" s="1182"/>
      <c r="V15" s="1171">
        <v>2</v>
      </c>
      <c r="W15" s="1172"/>
      <c r="X15" s="1173"/>
      <c r="Y15" s="1171">
        <v>2</v>
      </c>
      <c r="Z15" s="1172"/>
      <c r="AA15" s="1173"/>
      <c r="AB15" s="1171"/>
      <c r="AC15" s="1172"/>
      <c r="AD15" s="1173"/>
      <c r="AE15" s="1184">
        <f>IF(B15="","",SUM(D15,J15,M15,P15,G15,V15,Y15,AB15,))</f>
        <v>10</v>
      </c>
      <c r="AF15" s="1185"/>
      <c r="AG15" s="1188"/>
      <c r="AH15" s="1174">
        <f>IF(B15="","",RANK(AE15,ГР1О))</f>
        <v>5</v>
      </c>
    </row>
    <row r="16" spans="1:34" ht="15" x14ac:dyDescent="0.2">
      <c r="A16" s="1164"/>
      <c r="B16" s="1166"/>
      <c r="C16" s="457" t="str">
        <f>IF(B15="","",VLOOKUP(B15,'Списки участников'!A:I,6,FALSE))</f>
        <v>Пермь</v>
      </c>
      <c r="D16" s="464">
        <f>IF(S6="","",IF(U6="l","W",U6))</f>
        <v>0</v>
      </c>
      <c r="E16" s="459" t="str">
        <f>IF(T6="","",":")</f>
        <v>:</v>
      </c>
      <c r="F16" s="465">
        <f>IF(U6="","",IF(S6="W","L",S6))</f>
        <v>3</v>
      </c>
      <c r="G16" s="464">
        <f>IF(S8="","",IF(U8="l","W",U8))</f>
        <v>0</v>
      </c>
      <c r="H16" s="459" t="str">
        <f>IF(Q8="","",":")</f>
        <v>:</v>
      </c>
      <c r="I16" s="465">
        <f>IF(U8="","",IF(S8="W","L",S8))</f>
        <v>3</v>
      </c>
      <c r="J16" s="464">
        <f>IF(S10="","",IF(U10="l","W",U10))</f>
        <v>2</v>
      </c>
      <c r="K16" s="459" t="str">
        <f>IF(T10="","",":")</f>
        <v>:</v>
      </c>
      <c r="L16" s="465">
        <f>IF(U10="","",IF(S10="W","L",S10))</f>
        <v>3</v>
      </c>
      <c r="M16" s="464">
        <f>IF(S12="","",IF(U12="l","W",U12))</f>
        <v>2</v>
      </c>
      <c r="N16" s="459" t="str">
        <f>IF(T12="","",":")</f>
        <v>:</v>
      </c>
      <c r="O16" s="465">
        <f>IF(U12="","",IF(S12="W","L",S12))</f>
        <v>3</v>
      </c>
      <c r="P16" s="464">
        <f>IF(S14="","",IF(U14="l","W",U14))</f>
        <v>3</v>
      </c>
      <c r="Q16" s="459" t="str">
        <f>IF(T14="","",":")</f>
        <v>:</v>
      </c>
      <c r="R16" s="465">
        <f>IF(U14="","",IF(S14="W","L",S14))</f>
        <v>1</v>
      </c>
      <c r="S16" s="1183"/>
      <c r="T16" s="1169"/>
      <c r="U16" s="1170"/>
      <c r="V16" s="458">
        <v>3</v>
      </c>
      <c r="W16" s="459" t="str">
        <f>IF(V15="","",":")</f>
        <v>:</v>
      </c>
      <c r="X16" s="460">
        <v>2</v>
      </c>
      <c r="Y16" s="458">
        <v>3</v>
      </c>
      <c r="Z16" s="459" t="str">
        <f>IF(Y15="","",":")</f>
        <v>:</v>
      </c>
      <c r="AA16" s="460">
        <v>2</v>
      </c>
      <c r="AB16" s="458"/>
      <c r="AC16" s="459" t="str">
        <f>IF(AB15="","",":")</f>
        <v/>
      </c>
      <c r="AD16" s="460"/>
      <c r="AE16" s="1186"/>
      <c r="AF16" s="1187"/>
      <c r="AG16" s="1189"/>
      <c r="AH16" s="1174"/>
    </row>
    <row r="17" spans="1:34" ht="15" x14ac:dyDescent="0.2">
      <c r="A17" s="1163">
        <v>7</v>
      </c>
      <c r="B17" s="1165">
        <v>17</v>
      </c>
      <c r="C17" s="456" t="str">
        <f>IF(B17="","",VLOOKUP(B17,'Списки участников'!A:I,3,FALSE))</f>
        <v>МАЛОВ Илья</v>
      </c>
      <c r="D17" s="1171">
        <f>IF(V5="","",IF(V6="W",0,IF(V5=2,1,IF(V5=1,2,IF(V5=0,2)))))</f>
        <v>1</v>
      </c>
      <c r="E17" s="1172"/>
      <c r="F17" s="1173"/>
      <c r="G17" s="1171">
        <f>IF(V7="","",IF(V8="W",0,IF(V7=2,1,IF(V7=1,2,IF(V7=0,2)))))</f>
        <v>1</v>
      </c>
      <c r="H17" s="1172"/>
      <c r="I17" s="1173"/>
      <c r="J17" s="1171">
        <f>IF(V9="","",IF(V10="W",0,IF(V9=2,1,IF(V9=1,2,IF(V9=0,2)))))</f>
        <v>1</v>
      </c>
      <c r="K17" s="1172"/>
      <c r="L17" s="1173"/>
      <c r="M17" s="1171">
        <f>IF(V11="","",IF(V12="W",0,IF(V11=2,1,IF(V11=1,2,IF(V11=0,2)))))</f>
        <v>1</v>
      </c>
      <c r="N17" s="1172"/>
      <c r="O17" s="1173"/>
      <c r="P17" s="1171">
        <f>IF(V13="","",IF(V14="W",0,IF(V13=2,1,IF(V13=1,2,IF(V13=0,2)))))</f>
        <v>1</v>
      </c>
      <c r="Q17" s="1172"/>
      <c r="R17" s="1173"/>
      <c r="S17" s="1171">
        <f>IF(V15="","",IF(V16="W",0,IF(V15=2,1,IF(V15=1,2,IF(V15=0,2)))))</f>
        <v>1</v>
      </c>
      <c r="T17" s="1172"/>
      <c r="U17" s="1173"/>
      <c r="V17" s="1191"/>
      <c r="W17" s="1167"/>
      <c r="X17" s="1168"/>
      <c r="Y17" s="1171">
        <v>1</v>
      </c>
      <c r="Z17" s="1172"/>
      <c r="AA17" s="1173"/>
      <c r="AB17" s="1171"/>
      <c r="AC17" s="1172"/>
      <c r="AD17" s="1173"/>
      <c r="AE17" s="1184">
        <f>IF(B17="","",SUM(D17,J17,M17,P17,S17,G17,Y17,AB17,))</f>
        <v>7</v>
      </c>
      <c r="AF17" s="1185"/>
      <c r="AG17" s="1188"/>
      <c r="AH17" s="1174">
        <f>IF(B17="","",RANK(AE17,ГР1О))</f>
        <v>8</v>
      </c>
    </row>
    <row r="18" spans="1:34" ht="15" x14ac:dyDescent="0.2">
      <c r="A18" s="1164"/>
      <c r="B18" s="1166"/>
      <c r="C18" s="457" t="str">
        <f>IF(B17="","",VLOOKUP(B17,'Списки участников'!A:I,6,FALSE))</f>
        <v>Москва</v>
      </c>
      <c r="D18" s="464">
        <f>IF(V6="","",IF(X6="l","W",X6))</f>
        <v>1</v>
      </c>
      <c r="E18" s="459" t="str">
        <f>IF(W6="","",":")</f>
        <v>:</v>
      </c>
      <c r="F18" s="465">
        <f>IF(X6="","",IF(V6="W","L",V6))</f>
        <v>3</v>
      </c>
      <c r="G18" s="464">
        <f>IF(V8="","",IF(X8="l","W",X8))</f>
        <v>0</v>
      </c>
      <c r="H18" s="459" t="str">
        <f>IF(W8="","",":")</f>
        <v>:</v>
      </c>
      <c r="I18" s="465">
        <f>IF(X8="","",IF(V8="W","L",V8))</f>
        <v>3</v>
      </c>
      <c r="J18" s="464">
        <f>IF(V10="","",IF(X10="l","W",X10))</f>
        <v>1</v>
      </c>
      <c r="K18" s="459" t="str">
        <f>IF(W10="","",":")</f>
        <v>:</v>
      </c>
      <c r="L18" s="465">
        <f>IF(X10="","",IF(V10="W","L",V10))</f>
        <v>3</v>
      </c>
      <c r="M18" s="464">
        <f>IF(V12="","",IF(X12="l","W",X12))</f>
        <v>0</v>
      </c>
      <c r="N18" s="459" t="str">
        <f>IF(W12="","",":")</f>
        <v>:</v>
      </c>
      <c r="O18" s="465">
        <f>IF(X12="","",IF(V12="W","L",V12))</f>
        <v>3</v>
      </c>
      <c r="P18" s="464">
        <f>IF(V14="","",IF(X14="l","W",X14))</f>
        <v>0</v>
      </c>
      <c r="Q18" s="459" t="str">
        <f>IF(W14="","",":")</f>
        <v>:</v>
      </c>
      <c r="R18" s="465">
        <f>IF(X14="","",IF(V14="W","L",V14))</f>
        <v>3</v>
      </c>
      <c r="S18" s="464">
        <f>IF(V16="","",IF(X16="l","W",X16))</f>
        <v>2</v>
      </c>
      <c r="T18" s="459" t="str">
        <f>IF(W16="","",":")</f>
        <v>:</v>
      </c>
      <c r="U18" s="465">
        <f>IF(X16="","",IF(V16="W","L",V16))</f>
        <v>3</v>
      </c>
      <c r="V18" s="1183"/>
      <c r="W18" s="1169"/>
      <c r="X18" s="1170"/>
      <c r="Y18" s="458">
        <v>0</v>
      </c>
      <c r="Z18" s="459" t="str">
        <f>IF(Y17="","",":")</f>
        <v>:</v>
      </c>
      <c r="AA18" s="460">
        <v>3</v>
      </c>
      <c r="AB18" s="458"/>
      <c r="AC18" s="459" t="str">
        <f>IF(AB17="","",":")</f>
        <v/>
      </c>
      <c r="AD18" s="460"/>
      <c r="AE18" s="1186"/>
      <c r="AF18" s="1187"/>
      <c r="AG18" s="1189"/>
      <c r="AH18" s="1174"/>
    </row>
    <row r="19" spans="1:34" ht="15" x14ac:dyDescent="0.2">
      <c r="A19" s="1163">
        <v>8</v>
      </c>
      <c r="B19" s="1165">
        <v>5</v>
      </c>
      <c r="C19" s="456" t="str">
        <f>IF(B19="","",VLOOKUP(B19,'Списки участников'!A:I,3,FALSE))</f>
        <v>МИРОНОВ Егор</v>
      </c>
      <c r="D19" s="1171">
        <f>IF(Y5="","",IF(Y6="W",0,IF(Y5=2,1,IF(Y5=1,2,IF(Y5=0,2)))))</f>
        <v>1</v>
      </c>
      <c r="E19" s="1172"/>
      <c r="F19" s="1173"/>
      <c r="G19" s="1171">
        <f>IF(Y7="","",IF(Y8="W",0,IF(Y7=2,1,IF(Y7=1,2,IF(Y7=0,2)))))</f>
        <v>1</v>
      </c>
      <c r="H19" s="1172"/>
      <c r="I19" s="1173"/>
      <c r="J19" s="1171">
        <f>IF(Y9="","",IF(Y10="W",0,IF(Y9=2,1,IF(Y9=1,2,IF(Y9=0,2)))))</f>
        <v>2</v>
      </c>
      <c r="K19" s="1172"/>
      <c r="L19" s="1173"/>
      <c r="M19" s="1171">
        <f>IF(Y11="","",IF(Y12="W",0,IF(Y11=2,1,IF(Y11=1,2,IF(Y11=0,2)))))</f>
        <v>1</v>
      </c>
      <c r="N19" s="1172"/>
      <c r="O19" s="1173"/>
      <c r="P19" s="1171">
        <f>IF(Y13="","",IF(Y14="W",0,IF(Y13=2,1,IF(Y13=1,2,IF(Y13=0,2)))))</f>
        <v>1</v>
      </c>
      <c r="Q19" s="1172"/>
      <c r="R19" s="1173"/>
      <c r="S19" s="1171">
        <f>IF(Y15="","",IF(Y16="W",0,IF(Y15=2,1,IF(Y15=1,2,IF(Y15=0,2)))))</f>
        <v>1</v>
      </c>
      <c r="T19" s="1172"/>
      <c r="U19" s="1173"/>
      <c r="V19" s="1171">
        <f>IF(Y17="","",IF(Y18="W",0,IF(Y17=2,1,IF(Y17=1,2,IF(Y17=0,2)))))</f>
        <v>2</v>
      </c>
      <c r="W19" s="1172"/>
      <c r="X19" s="1173"/>
      <c r="Y19" s="1180"/>
      <c r="Z19" s="1181"/>
      <c r="AA19" s="1182"/>
      <c r="AB19" s="1171"/>
      <c r="AC19" s="1172"/>
      <c r="AD19" s="1173"/>
      <c r="AE19" s="1184">
        <f>IF(B19="","",SUM(D19,J19,M19,P19,S19,V19,G19,AB19,))</f>
        <v>9</v>
      </c>
      <c r="AF19" s="1185"/>
      <c r="AG19" s="1188"/>
      <c r="AH19" s="1174">
        <f>IF(B19="","",RANK(AE19,ГР1О))</f>
        <v>6</v>
      </c>
    </row>
    <row r="20" spans="1:34" ht="15" x14ac:dyDescent="0.2">
      <c r="A20" s="1164"/>
      <c r="B20" s="1166"/>
      <c r="C20" s="457" t="str">
        <f>IF(B19="","",VLOOKUP(B19,'Списки участников'!A:I,6,FALSE))</f>
        <v>Москва</v>
      </c>
      <c r="D20" s="464">
        <f>IF(Y6="","",IF(AA6="l","W",AA6))</f>
        <v>0</v>
      </c>
      <c r="E20" s="459" t="str">
        <f>IF(Z6="","",":")</f>
        <v>:</v>
      </c>
      <c r="F20" s="465">
        <f>IF(AA6="","",IF(Y6="W","L",Y6))</f>
        <v>3</v>
      </c>
      <c r="G20" s="464">
        <f>IF(Y8="","",IF(AA8="l","W",AA8))</f>
        <v>0</v>
      </c>
      <c r="H20" s="459" t="str">
        <f>IF(Z8="","",":")</f>
        <v>:</v>
      </c>
      <c r="I20" s="465">
        <f>IF(AA8="","",IF(Y8="W","L",Y8))</f>
        <v>3</v>
      </c>
      <c r="J20" s="464">
        <f>IF(Y10="","",IF(AA10="l","W",AA10))</f>
        <v>3</v>
      </c>
      <c r="K20" s="459" t="str">
        <f>IF(Z10="","",":")</f>
        <v>:</v>
      </c>
      <c r="L20" s="465">
        <f>IF(AA10="","",IF(Y10="W","L",Y10))</f>
        <v>0</v>
      </c>
      <c r="M20" s="464">
        <f>IF(Y12="","",IF(AA12="l","W",AA12))</f>
        <v>2</v>
      </c>
      <c r="N20" s="459" t="str">
        <f>IF(Z12="","",":")</f>
        <v>:</v>
      </c>
      <c r="O20" s="465">
        <f>IF(AA12="","",IF(Y12="W","L",Y12))</f>
        <v>3</v>
      </c>
      <c r="P20" s="464">
        <f>IF(Y14="","",IF(AA14="l","W",AA14))</f>
        <v>1</v>
      </c>
      <c r="Q20" s="459" t="str">
        <f>IF(Z14="","",":")</f>
        <v>:</v>
      </c>
      <c r="R20" s="465">
        <f>IF(AA14="","",IF(Y14="W","L",Y14))</f>
        <v>3</v>
      </c>
      <c r="S20" s="464">
        <f>IF(Y16="","",IF(AA16="l","W",AA16))</f>
        <v>2</v>
      </c>
      <c r="T20" s="459" t="str">
        <f>IF(Z16="","",":")</f>
        <v>:</v>
      </c>
      <c r="U20" s="465">
        <f>IF(AA16="","",IF(Y16="W","L",Y16))</f>
        <v>3</v>
      </c>
      <c r="V20" s="464">
        <f>IF(Y18="","",IF(AA18="l","W",AA18))</f>
        <v>3</v>
      </c>
      <c r="W20" s="459" t="str">
        <f>IF(Z18="","",":")</f>
        <v>:</v>
      </c>
      <c r="X20" s="465">
        <f>IF(AA18="","",IF(Y18="W","L",Y18))</f>
        <v>0</v>
      </c>
      <c r="Y20" s="1183"/>
      <c r="Z20" s="1169"/>
      <c r="AA20" s="1170"/>
      <c r="AB20" s="458"/>
      <c r="AC20" s="459" t="str">
        <f>IF(AB19="","",":")</f>
        <v/>
      </c>
      <c r="AD20" s="460"/>
      <c r="AE20" s="1186"/>
      <c r="AF20" s="1187"/>
      <c r="AG20" s="1189"/>
      <c r="AH20" s="1174"/>
    </row>
    <row r="21" spans="1:34" ht="15" hidden="1" outlineLevel="1" x14ac:dyDescent="0.2">
      <c r="A21" s="1163">
        <v>9</v>
      </c>
      <c r="B21" s="1165">
        <f>жеребьевка!B20</f>
        <v>0</v>
      </c>
      <c r="C21" s="456" t="e">
        <f>IF(B21="","",VLOOKUP(B21,'Списки участников'!A:I,3,FALSE))</f>
        <v>#N/A</v>
      </c>
      <c r="D21" s="1171" t="str">
        <f>IF(AB5="","",IF(AB6="W",0,IF(AB5=2,1,IF(AB5=1,2,IF(AB5=0,2)))))</f>
        <v/>
      </c>
      <c r="E21" s="1172"/>
      <c r="F21" s="1173"/>
      <c r="G21" s="1171" t="str">
        <f>IF(AB7="","",IF(AB8="W",0,IF(AB7=2,1,IF(AB7=1,2,IF(AB7=0,2)))))</f>
        <v/>
      </c>
      <c r="H21" s="1172"/>
      <c r="I21" s="1173"/>
      <c r="J21" s="1171" t="str">
        <f>IF(AB9="","",IF(AB10="W",0,IF(AB9=2,1,IF(AB9=1,2,IF(AB9=0,2)))))</f>
        <v/>
      </c>
      <c r="K21" s="1172"/>
      <c r="L21" s="1173"/>
      <c r="M21" s="1171" t="str">
        <f>IF(AB11="","",IF(AB12="W",0,IF(AB11=2,1,IF(AB11=1,2,IF(AB11=0,2)))))</f>
        <v/>
      </c>
      <c r="N21" s="1172"/>
      <c r="O21" s="1173"/>
      <c r="P21" s="1171" t="str">
        <f>IF(AB13="","",IF(AB14="W",0,IF(AB13=2,1,IF(AB13=1,2,IF(AB13=0,2)))))</f>
        <v/>
      </c>
      <c r="Q21" s="1172"/>
      <c r="R21" s="1173"/>
      <c r="S21" s="1171" t="str">
        <f>IF(AB15="","",IF(AB16="W",0,IF(AB15=2,1,IF(AB15=1,2,IF(AB15=0,2)))))</f>
        <v/>
      </c>
      <c r="T21" s="1172"/>
      <c r="U21" s="1173"/>
      <c r="V21" s="1171" t="str">
        <f>IF(AB17="","",IF(AB18="W",0,IF(AB17=2,1,IF(AB17=1,2,IF(AB17=0,2)))))</f>
        <v/>
      </c>
      <c r="W21" s="1172"/>
      <c r="X21" s="1173"/>
      <c r="Y21" s="1171" t="str">
        <f>IF(AB19="","",IF(AB20="W",0,IF(AB19=2,1,IF(AB19=1,2,IF(AB19=0,2)))))</f>
        <v/>
      </c>
      <c r="Z21" s="1172"/>
      <c r="AA21" s="1173"/>
      <c r="AB21" s="1191"/>
      <c r="AC21" s="1167"/>
      <c r="AD21" s="1168"/>
      <c r="AE21" s="1184">
        <f>IF(B21="","",SUM(D21,J21,M21,P21,S21,V21,Y21,G21,))</f>
        <v>0</v>
      </c>
      <c r="AF21" s="1185"/>
      <c r="AG21" s="1188"/>
      <c r="AH21" s="1174">
        <f>IF(B21="","",RANK(AE21,ГР1О))</f>
        <v>9</v>
      </c>
    </row>
    <row r="22" spans="1:34" ht="15" hidden="1" outlineLevel="1" x14ac:dyDescent="0.2">
      <c r="A22" s="1164"/>
      <c r="B22" s="1166"/>
      <c r="C22" s="457" t="e">
        <f>IF(B21="","",VLOOKUP(B21,'Списки участников'!A:I,6,FALSE))</f>
        <v>#N/A</v>
      </c>
      <c r="D22" s="464" t="str">
        <f>IF(AB6="","",IF(AD6="l","W",AD6))</f>
        <v/>
      </c>
      <c r="E22" s="459" t="str">
        <f>IF(AC6="","",":")</f>
        <v/>
      </c>
      <c r="F22" s="465" t="str">
        <f>IF(AD6="","",IF(AB6="W","L",AB6))</f>
        <v/>
      </c>
      <c r="G22" s="464" t="str">
        <f>IF(AB8="","",IF(AD8="l","W",AD8))</f>
        <v/>
      </c>
      <c r="H22" s="459" t="str">
        <f>IF(AC8="","",":")</f>
        <v/>
      </c>
      <c r="I22" s="465" t="str">
        <f>IF(AD8="","",IF(AB8="W","L",AB8))</f>
        <v/>
      </c>
      <c r="J22" s="464" t="str">
        <f>IF(AB10="","",IF(AD10="l","W",AD10))</f>
        <v/>
      </c>
      <c r="K22" s="459" t="str">
        <f>IF(AC10="","",":")</f>
        <v/>
      </c>
      <c r="L22" s="465" t="str">
        <f>IF(AD10="","",IF(AB10="W","L",AB10))</f>
        <v/>
      </c>
      <c r="M22" s="464" t="str">
        <f>IF(AB12="","",IF(AD12="l","W",AD12))</f>
        <v/>
      </c>
      <c r="N22" s="459" t="str">
        <f>IF(AC12="","",":")</f>
        <v/>
      </c>
      <c r="O22" s="465" t="str">
        <f>IF(AD12="","",IF(AB12="W","L",AB12))</f>
        <v/>
      </c>
      <c r="P22" s="464" t="str">
        <f>IF(AB14="","",IF(AD14="l","W",AD14))</f>
        <v/>
      </c>
      <c r="Q22" s="459" t="str">
        <f>IF(AC14="","",":")</f>
        <v/>
      </c>
      <c r="R22" s="465" t="str">
        <f>IF(AD14="","",IF(AB14="W","L",AB14))</f>
        <v/>
      </c>
      <c r="S22" s="464" t="str">
        <f>IF(AB16="","",IF(AD16="l","W",AD16))</f>
        <v/>
      </c>
      <c r="T22" s="459" t="str">
        <f>IF(AC16="","",":")</f>
        <v/>
      </c>
      <c r="U22" s="465" t="str">
        <f>IF(AD16="","",IF(AB16="W","L",AB16))</f>
        <v/>
      </c>
      <c r="V22" s="464" t="str">
        <f>IF(AB18="","",IF(AD18="l","W",AD18))</f>
        <v/>
      </c>
      <c r="W22" s="459" t="str">
        <f>IF(AC18="","",":")</f>
        <v/>
      </c>
      <c r="X22" s="465" t="str">
        <f>IF(AD18="","",IF(AB18="W","L",AB18))</f>
        <v/>
      </c>
      <c r="Y22" s="464" t="str">
        <f>IF(AB20="","",IF(AD20="l","W",AD20))</f>
        <v/>
      </c>
      <c r="Z22" s="459" t="str">
        <f>IF(AC20="","",":")</f>
        <v/>
      </c>
      <c r="AA22" s="465" t="str">
        <f>IF(AD20="","",IF(AB20="W","L",AB20))</f>
        <v/>
      </c>
      <c r="AB22" s="1183"/>
      <c r="AC22" s="1169"/>
      <c r="AD22" s="1170"/>
      <c r="AE22" s="1186"/>
      <c r="AF22" s="1187"/>
      <c r="AG22" s="1189"/>
      <c r="AH22" s="1174"/>
    </row>
    <row r="23" spans="1:34" ht="15.75" collapsed="1" x14ac:dyDescent="0.25">
      <c r="A23" s="135"/>
      <c r="B23" s="135"/>
      <c r="C23" s="466"/>
      <c r="D23" s="135"/>
      <c r="E23" s="135"/>
      <c r="F23" s="135"/>
      <c r="G23" s="1192" t="s">
        <v>9451</v>
      </c>
      <c r="H23" s="1192"/>
      <c r="I23" s="1192"/>
      <c r="J23" s="1192"/>
      <c r="K23" s="1192"/>
      <c r="L23" s="1192"/>
      <c r="M23" s="1192"/>
      <c r="N23" s="1192"/>
      <c r="O23" s="1192"/>
      <c r="P23" s="1192"/>
      <c r="Q23" s="1192"/>
      <c r="R23" s="1192"/>
      <c r="S23" s="1192"/>
      <c r="T23" s="1192"/>
      <c r="U23" s="1192"/>
      <c r="V23" s="1192"/>
      <c r="W23" s="1192"/>
      <c r="X23" s="1192"/>
      <c r="Y23" s="1192"/>
      <c r="Z23" s="1192"/>
      <c r="AA23" s="1192"/>
      <c r="AB23" s="135"/>
      <c r="AC23" s="135"/>
      <c r="AD23" s="135"/>
      <c r="AE23" s="135"/>
      <c r="AF23" s="135"/>
      <c r="AG23" s="135"/>
      <c r="AH23" s="135"/>
    </row>
    <row r="24" spans="1:34" ht="15" x14ac:dyDescent="0.2">
      <c r="A24" s="136" t="s">
        <v>3</v>
      </c>
      <c r="B24" s="938"/>
      <c r="C24" s="138" t="s">
        <v>788</v>
      </c>
      <c r="D24" s="1158">
        <v>1</v>
      </c>
      <c r="E24" s="1159"/>
      <c r="F24" s="1160"/>
      <c r="G24" s="1158">
        <v>2</v>
      </c>
      <c r="H24" s="1159"/>
      <c r="I24" s="1160"/>
      <c r="J24" s="1158">
        <v>3</v>
      </c>
      <c r="K24" s="1159"/>
      <c r="L24" s="1160"/>
      <c r="M24" s="1158">
        <v>4</v>
      </c>
      <c r="N24" s="1159"/>
      <c r="O24" s="1160"/>
      <c r="P24" s="1158">
        <v>5</v>
      </c>
      <c r="Q24" s="1159"/>
      <c r="R24" s="1160"/>
      <c r="S24" s="1158">
        <v>6</v>
      </c>
      <c r="T24" s="1159"/>
      <c r="U24" s="1160"/>
      <c r="V24" s="1158">
        <v>7</v>
      </c>
      <c r="W24" s="1159"/>
      <c r="X24" s="1160"/>
      <c r="Y24" s="1158">
        <v>8</v>
      </c>
      <c r="Z24" s="1159"/>
      <c r="AA24" s="1160"/>
      <c r="AB24" s="1158">
        <v>9</v>
      </c>
      <c r="AC24" s="1159"/>
      <c r="AD24" s="1160"/>
      <c r="AE24" s="1161" t="s">
        <v>789</v>
      </c>
      <c r="AF24" s="1162"/>
      <c r="AG24" s="939" t="s">
        <v>790</v>
      </c>
      <c r="AH24" s="455" t="s">
        <v>100</v>
      </c>
    </row>
    <row r="25" spans="1:34" ht="15" x14ac:dyDescent="0.2">
      <c r="A25" s="1163">
        <v>1</v>
      </c>
      <c r="B25" s="1193">
        <v>26</v>
      </c>
      <c r="C25" s="456" t="str">
        <f>IF(B25="","",VLOOKUP(B25,'Списки участников'!A:I,3,FALSE))</f>
        <v>МАНЦУРОВ Тихон</v>
      </c>
      <c r="D25" s="1167"/>
      <c r="E25" s="1167"/>
      <c r="F25" s="1168"/>
      <c r="G25" s="1171">
        <v>1</v>
      </c>
      <c r="H25" s="1172"/>
      <c r="I25" s="1173"/>
      <c r="J25" s="1171">
        <v>1</v>
      </c>
      <c r="K25" s="1172"/>
      <c r="L25" s="1173"/>
      <c r="M25" s="1171">
        <v>2</v>
      </c>
      <c r="N25" s="1172"/>
      <c r="O25" s="1173"/>
      <c r="P25" s="1171">
        <v>2</v>
      </c>
      <c r="Q25" s="1172"/>
      <c r="R25" s="1173"/>
      <c r="S25" s="1171">
        <v>2</v>
      </c>
      <c r="T25" s="1172"/>
      <c r="U25" s="1173"/>
      <c r="V25" s="1171">
        <v>2</v>
      </c>
      <c r="W25" s="1172"/>
      <c r="X25" s="1173"/>
      <c r="Y25" s="1171">
        <v>1</v>
      </c>
      <c r="Z25" s="1172"/>
      <c r="AA25" s="1173"/>
      <c r="AB25" s="1171"/>
      <c r="AC25" s="1172"/>
      <c r="AD25" s="1173"/>
      <c r="AE25" s="1184">
        <f>IF(B25="","",SUM(G25,J25,M25,P25,S25,V25,Y25,AB25,))</f>
        <v>11</v>
      </c>
      <c r="AF25" s="1185"/>
      <c r="AG25" s="1175"/>
      <c r="AH25" s="1174">
        <v>13</v>
      </c>
    </row>
    <row r="26" spans="1:34" ht="15" x14ac:dyDescent="0.2">
      <c r="A26" s="1164"/>
      <c r="B26" s="1194"/>
      <c r="C26" s="457" t="str">
        <f>IF(B25="","",VLOOKUP(B25,'Списки участников'!A:I,6,FALSE))</f>
        <v>Тула</v>
      </c>
      <c r="D26" s="1169"/>
      <c r="E26" s="1169"/>
      <c r="F26" s="1170"/>
      <c r="G26" s="458">
        <v>0</v>
      </c>
      <c r="H26" s="459" t="str">
        <f>IF(G25="","",":")</f>
        <v>:</v>
      </c>
      <c r="I26" s="460">
        <v>3</v>
      </c>
      <c r="J26" s="458">
        <v>0</v>
      </c>
      <c r="K26" s="459" t="str">
        <f>IF(J25="","",":")</f>
        <v>:</v>
      </c>
      <c r="L26" s="460">
        <v>3</v>
      </c>
      <c r="M26" s="458">
        <v>3</v>
      </c>
      <c r="N26" s="459" t="str">
        <f>IF(M26="","",":")</f>
        <v>:</v>
      </c>
      <c r="O26" s="460">
        <v>0</v>
      </c>
      <c r="P26" s="1456" t="s">
        <v>12171</v>
      </c>
      <c r="Q26" s="459" t="str">
        <f>IF(P26="","",":")</f>
        <v>:</v>
      </c>
      <c r="R26" s="1457" t="s">
        <v>12172</v>
      </c>
      <c r="S26" s="458">
        <v>3</v>
      </c>
      <c r="T26" s="459" t="str">
        <f>IF(S26="","",":")</f>
        <v>:</v>
      </c>
      <c r="U26" s="460">
        <v>1</v>
      </c>
      <c r="V26" s="458">
        <v>3</v>
      </c>
      <c r="W26" s="459" t="str">
        <f>IF(V26="","",":")</f>
        <v>:</v>
      </c>
      <c r="X26" s="460">
        <v>0</v>
      </c>
      <c r="Y26" s="458">
        <v>1</v>
      </c>
      <c r="Z26" s="459" t="str">
        <f>IF(Y26="","",":")</f>
        <v>:</v>
      </c>
      <c r="AA26" s="460">
        <v>3</v>
      </c>
      <c r="AB26" s="458"/>
      <c r="AC26" s="459" t="str">
        <f>IF(AB26="","",":")</f>
        <v/>
      </c>
      <c r="AD26" s="460"/>
      <c r="AE26" s="1186"/>
      <c r="AF26" s="1187"/>
      <c r="AG26" s="1176"/>
      <c r="AH26" s="1174"/>
    </row>
    <row r="27" spans="1:34" ht="15" x14ac:dyDescent="0.2">
      <c r="A27" s="1163">
        <v>2</v>
      </c>
      <c r="B27" s="1193">
        <v>7</v>
      </c>
      <c r="C27" s="456" t="str">
        <f>IF(B27="","",VLOOKUP(B27,'Списки участников'!A:I,3,FALSE))</f>
        <v>КАЛИМУЛЛИН Камиль</v>
      </c>
      <c r="D27" s="1177">
        <f>IF(G25="","",IF(G26="W",0,IF(G25=2,1,IF(G25=1,2,IF(G25=0,2)))))</f>
        <v>2</v>
      </c>
      <c r="E27" s="1178"/>
      <c r="F27" s="1179"/>
      <c r="G27" s="1180"/>
      <c r="H27" s="1181"/>
      <c r="I27" s="1182"/>
      <c r="J27" s="1171">
        <v>2</v>
      </c>
      <c r="K27" s="1172"/>
      <c r="L27" s="1173"/>
      <c r="M27" s="1171">
        <v>2</v>
      </c>
      <c r="N27" s="1172"/>
      <c r="O27" s="1173"/>
      <c r="P27" s="1171">
        <v>2</v>
      </c>
      <c r="Q27" s="1172"/>
      <c r="R27" s="1173"/>
      <c r="S27" s="1171">
        <v>2</v>
      </c>
      <c r="T27" s="1172"/>
      <c r="U27" s="1173"/>
      <c r="V27" s="1171">
        <v>2</v>
      </c>
      <c r="W27" s="1172"/>
      <c r="X27" s="1173"/>
      <c r="Y27" s="1171">
        <v>2</v>
      </c>
      <c r="Z27" s="1172"/>
      <c r="AA27" s="1173"/>
      <c r="AB27" s="1171"/>
      <c r="AC27" s="1172"/>
      <c r="AD27" s="1173"/>
      <c r="AE27" s="1184">
        <f>IF(B27="","",SUM(D27,J27,M27,P27,S27,V27,Y27,AB27,))</f>
        <v>14</v>
      </c>
      <c r="AF27" s="1185"/>
      <c r="AG27" s="1175"/>
      <c r="AH27" s="1174">
        <f>IF(B27="","",RANK(AE27,ГР2О))+8</f>
        <v>9</v>
      </c>
    </row>
    <row r="28" spans="1:34" ht="15" x14ac:dyDescent="0.2">
      <c r="A28" s="1164"/>
      <c r="B28" s="1194"/>
      <c r="C28" s="457" t="str">
        <f>IF(B27="","",VLOOKUP(B27,'Списки участников'!A:I,6,FALSE))</f>
        <v>Москва</v>
      </c>
      <c r="D28" s="461">
        <f>IF(G26="","",IF(I26="l","W",I26))</f>
        <v>3</v>
      </c>
      <c r="E28" s="462" t="str">
        <f>IF(G25="","",":")</f>
        <v>:</v>
      </c>
      <c r="F28" s="463">
        <f>IF(I26="","",IF(G26="W","L",G26))</f>
        <v>0</v>
      </c>
      <c r="G28" s="1183"/>
      <c r="H28" s="1169"/>
      <c r="I28" s="1170"/>
      <c r="J28" s="458">
        <v>3</v>
      </c>
      <c r="K28" s="459" t="str">
        <f>IF(J27="","",":")</f>
        <v>:</v>
      </c>
      <c r="L28" s="460">
        <v>0</v>
      </c>
      <c r="M28" s="458">
        <v>3</v>
      </c>
      <c r="N28" s="459" t="str">
        <f>IF(M27="","",":")</f>
        <v>:</v>
      </c>
      <c r="O28" s="460">
        <v>2</v>
      </c>
      <c r="P28" s="1456" t="s">
        <v>12171</v>
      </c>
      <c r="Q28" s="459" t="str">
        <f>IF(P27="","",":")</f>
        <v>:</v>
      </c>
      <c r="R28" s="1457" t="s">
        <v>12172</v>
      </c>
      <c r="S28" s="458">
        <v>3</v>
      </c>
      <c r="T28" s="459" t="str">
        <f>IF(S28="","",":")</f>
        <v>:</v>
      </c>
      <c r="U28" s="460">
        <v>0</v>
      </c>
      <c r="V28" s="458">
        <v>3</v>
      </c>
      <c r="W28" s="459" t="str">
        <f>IF(V28="","",":")</f>
        <v>:</v>
      </c>
      <c r="X28" s="460">
        <v>2</v>
      </c>
      <c r="Y28" s="458">
        <v>3</v>
      </c>
      <c r="Z28" s="459" t="str">
        <f>IF(Y28="","",":")</f>
        <v>:</v>
      </c>
      <c r="AA28" s="460">
        <v>2</v>
      </c>
      <c r="AB28" s="458"/>
      <c r="AC28" s="459" t="str">
        <f>IF(AB28="","",":")</f>
        <v/>
      </c>
      <c r="AD28" s="460"/>
      <c r="AE28" s="1186"/>
      <c r="AF28" s="1187"/>
      <c r="AG28" s="1176"/>
      <c r="AH28" s="1174"/>
    </row>
    <row r="29" spans="1:34" ht="15" x14ac:dyDescent="0.2">
      <c r="A29" s="1163">
        <v>3</v>
      </c>
      <c r="B29" s="1193">
        <v>24</v>
      </c>
      <c r="C29" s="456" t="str">
        <f>IF(B29="","",VLOOKUP(B29,'Списки участников'!A:I,3,FALSE))</f>
        <v>КЛЕСТОВ Евгений</v>
      </c>
      <c r="D29" s="1177">
        <f>IF(J25="","",IF(J26="W",0,IF(J25=2,1,IF(J25=1,2,IF(J25=0,2)))))</f>
        <v>2</v>
      </c>
      <c r="E29" s="1178"/>
      <c r="F29" s="1179"/>
      <c r="G29" s="1171">
        <f>IF(J27="","",IF(J28="W",0,IF(J27=2,1,IF(J27=1,2,IF(J27=0,2)))))</f>
        <v>1</v>
      </c>
      <c r="H29" s="1172"/>
      <c r="I29" s="1173"/>
      <c r="J29" s="1180"/>
      <c r="K29" s="1181"/>
      <c r="L29" s="1182"/>
      <c r="M29" s="1171">
        <v>1</v>
      </c>
      <c r="N29" s="1172"/>
      <c r="O29" s="1173"/>
      <c r="P29" s="1171">
        <v>2</v>
      </c>
      <c r="Q29" s="1172"/>
      <c r="R29" s="1173"/>
      <c r="S29" s="1171">
        <v>2</v>
      </c>
      <c r="T29" s="1172"/>
      <c r="U29" s="1173"/>
      <c r="V29" s="1171">
        <v>1</v>
      </c>
      <c r="W29" s="1172"/>
      <c r="X29" s="1173"/>
      <c r="Y29" s="1171">
        <v>2</v>
      </c>
      <c r="Z29" s="1172"/>
      <c r="AA29" s="1173"/>
      <c r="AB29" s="1171"/>
      <c r="AC29" s="1172"/>
      <c r="AD29" s="1173"/>
      <c r="AE29" s="1184">
        <f>IF(B29="","",SUM(G29,D29,M29,P29,S29,V29,Y29,AB29,))</f>
        <v>11</v>
      </c>
      <c r="AF29" s="1185"/>
      <c r="AG29" s="1188"/>
      <c r="AH29" s="1174">
        <f>IF(B29="","",RANK(AE29,ГР2О))+8</f>
        <v>11</v>
      </c>
    </row>
    <row r="30" spans="1:34" ht="15" x14ac:dyDescent="0.2">
      <c r="A30" s="1164"/>
      <c r="B30" s="1195"/>
      <c r="C30" s="457" t="str">
        <f>IF(B29="","",VLOOKUP(B29,'Списки участников'!A:I,6,FALSE))</f>
        <v>Людиново  Кал.обл.</v>
      </c>
      <c r="D30" s="464">
        <f>IF(J26="","",IF(L26="l","W",L26))</f>
        <v>3</v>
      </c>
      <c r="E30" s="459" t="str">
        <f>IF(K26="","",":")</f>
        <v>:</v>
      </c>
      <c r="F30" s="465">
        <f>IF(L26="","",IF(J26="W","L",J26))</f>
        <v>0</v>
      </c>
      <c r="G30" s="464">
        <f>IF(J28="","",IF(L28="l","W",L28))</f>
        <v>0</v>
      </c>
      <c r="H30" s="459" t="str">
        <f>IF(K28="","",":")</f>
        <v>:</v>
      </c>
      <c r="I30" s="465">
        <f>IF(L28="","",IF(J28="W","L",J28))</f>
        <v>3</v>
      </c>
      <c r="J30" s="1183"/>
      <c r="K30" s="1169"/>
      <c r="L30" s="1170"/>
      <c r="M30" s="458">
        <v>1</v>
      </c>
      <c r="N30" s="459" t="str">
        <f>IF(M29="","",":")</f>
        <v>:</v>
      </c>
      <c r="O30" s="460">
        <v>3</v>
      </c>
      <c r="P30" s="458">
        <v>3</v>
      </c>
      <c r="Q30" s="459" t="str">
        <f>IF(P29="","",":")</f>
        <v>:</v>
      </c>
      <c r="R30" s="460">
        <v>1</v>
      </c>
      <c r="S30" s="458">
        <v>3</v>
      </c>
      <c r="T30" s="459" t="str">
        <f>IF(S29="","",":")</f>
        <v>:</v>
      </c>
      <c r="U30" s="460">
        <v>2</v>
      </c>
      <c r="V30" s="458">
        <v>2</v>
      </c>
      <c r="W30" s="459" t="str">
        <f>IF(V30="","",":")</f>
        <v>:</v>
      </c>
      <c r="X30" s="460">
        <v>3</v>
      </c>
      <c r="Y30" s="458">
        <v>3</v>
      </c>
      <c r="Z30" s="459" t="str">
        <f>IF(Y30="","",":")</f>
        <v>:</v>
      </c>
      <c r="AA30" s="460">
        <v>0</v>
      </c>
      <c r="AB30" s="458"/>
      <c r="AC30" s="459" t="str">
        <f>IF(AB30="","",":")</f>
        <v/>
      </c>
      <c r="AD30" s="460"/>
      <c r="AE30" s="1186"/>
      <c r="AF30" s="1187"/>
      <c r="AG30" s="1189"/>
      <c r="AH30" s="1174"/>
    </row>
    <row r="31" spans="1:34" ht="15" x14ac:dyDescent="0.2">
      <c r="A31" s="1163">
        <v>4</v>
      </c>
      <c r="B31" s="1193">
        <v>12</v>
      </c>
      <c r="C31" s="456" t="str">
        <f>IF(B31="","",VLOOKUP(B31,'Списки участников'!A:I,3,FALSE))</f>
        <v>ПОЛЯКОВ Василий</v>
      </c>
      <c r="D31" s="1171">
        <f>IF(M25="","",IF(M26="W",0,IF(M25=2,1,IF(M25=1,2,IF(M25=0,2)))))</f>
        <v>1</v>
      </c>
      <c r="E31" s="1172"/>
      <c r="F31" s="1173"/>
      <c r="G31" s="1171">
        <f>IF(M27="","",IF(M28="W",0,IF(M27=2,1,IF(M27=1,2,IF(M27=0,2)))))</f>
        <v>1</v>
      </c>
      <c r="H31" s="1172"/>
      <c r="I31" s="1173"/>
      <c r="J31" s="1171">
        <f>IF(M29="","",IF(M30="W",0,IF(M29=2,1,IF(M29=1,2,IF(M29=0,2)))))</f>
        <v>2</v>
      </c>
      <c r="K31" s="1172"/>
      <c r="L31" s="1173"/>
      <c r="M31" s="1181"/>
      <c r="N31" s="1181"/>
      <c r="O31" s="1181"/>
      <c r="P31" s="1171">
        <v>2</v>
      </c>
      <c r="Q31" s="1172"/>
      <c r="R31" s="1173"/>
      <c r="S31" s="1171">
        <v>2</v>
      </c>
      <c r="T31" s="1172"/>
      <c r="U31" s="1173"/>
      <c r="V31" s="1171">
        <v>2</v>
      </c>
      <c r="W31" s="1172"/>
      <c r="X31" s="1173"/>
      <c r="Y31" s="1171">
        <v>2</v>
      </c>
      <c r="Z31" s="1172"/>
      <c r="AA31" s="1173"/>
      <c r="AB31" s="1171"/>
      <c r="AC31" s="1172"/>
      <c r="AD31" s="1173"/>
      <c r="AE31" s="1184">
        <f>IF(B31="","",SUM(G31,J31,D31,P31,S31,V31,Y31,AB31,))</f>
        <v>12</v>
      </c>
      <c r="AF31" s="1185"/>
      <c r="AG31" s="1188"/>
      <c r="AH31" s="1174">
        <f>IF(B31="","",RANK(AE31,ГР2О))+8</f>
        <v>10</v>
      </c>
    </row>
    <row r="32" spans="1:34" ht="15" x14ac:dyDescent="0.2">
      <c r="A32" s="1164"/>
      <c r="B32" s="1195"/>
      <c r="C32" s="457" t="str">
        <f>IF(B31="","",VLOOKUP(B31,'Списки участников'!A:I,6,FALSE))</f>
        <v>Москва</v>
      </c>
      <c r="D32" s="464">
        <f>IF(M26="","",IF(O26="l","W",O26))</f>
        <v>0</v>
      </c>
      <c r="E32" s="459" t="str">
        <f>IF(N26="","",":")</f>
        <v>:</v>
      </c>
      <c r="F32" s="465">
        <f>IF(O26="","",IF(M26="W","L",M26))</f>
        <v>3</v>
      </c>
      <c r="G32" s="464">
        <f>IF(M28="","",IF(O28="l","W",O28))</f>
        <v>2</v>
      </c>
      <c r="H32" s="459" t="str">
        <f>IF(N28="","",":")</f>
        <v>:</v>
      </c>
      <c r="I32" s="465">
        <f>IF(O28="","",IF(M28="W","L",M28))</f>
        <v>3</v>
      </c>
      <c r="J32" s="464">
        <f>IF(M30="","",IF(O30="l","W",O30))</f>
        <v>3</v>
      </c>
      <c r="K32" s="459" t="str">
        <f>IF(N30="","",":")</f>
        <v>:</v>
      </c>
      <c r="L32" s="465">
        <f>IF(O30="","",IF(M30="W","L",M30))</f>
        <v>1</v>
      </c>
      <c r="M32" s="1190"/>
      <c r="N32" s="1190"/>
      <c r="O32" s="1190"/>
      <c r="P32" s="1456" t="s">
        <v>12171</v>
      </c>
      <c r="Q32" s="459" t="str">
        <f>IF(P31="","",":")</f>
        <v>:</v>
      </c>
      <c r="R32" s="1457" t="s">
        <v>12172</v>
      </c>
      <c r="S32" s="458">
        <v>3</v>
      </c>
      <c r="T32" s="459" t="str">
        <f>IF(S31="","",":")</f>
        <v>:</v>
      </c>
      <c r="U32" s="460">
        <v>1</v>
      </c>
      <c r="V32" s="458">
        <v>3</v>
      </c>
      <c r="W32" s="459" t="str">
        <f>IF(V31="","",":")</f>
        <v>:</v>
      </c>
      <c r="X32" s="460">
        <v>0</v>
      </c>
      <c r="Y32" s="458">
        <v>3</v>
      </c>
      <c r="Z32" s="459" t="str">
        <f>IF(Y32="","",":")</f>
        <v>:</v>
      </c>
      <c r="AA32" s="460">
        <v>2</v>
      </c>
      <c r="AB32" s="458"/>
      <c r="AC32" s="459" t="str">
        <f>IF(AB32="","",":")</f>
        <v/>
      </c>
      <c r="AD32" s="460"/>
      <c r="AE32" s="1186"/>
      <c r="AF32" s="1187"/>
      <c r="AG32" s="1189"/>
      <c r="AH32" s="1174"/>
    </row>
    <row r="33" spans="1:34" ht="15" x14ac:dyDescent="0.2">
      <c r="A33" s="1163">
        <v>5</v>
      </c>
      <c r="B33" s="1196">
        <v>3</v>
      </c>
      <c r="C33" s="456" t="str">
        <f>IF(B33="","",VLOOKUP(B33,'Списки участников'!A:I,3,FALSE))</f>
        <v>РАМС Сергей</v>
      </c>
      <c r="D33" s="1171">
        <f>IF(P25="","",IF(P26="W",0,IF(P25=2,1,IF(P25=1,2,IF(P25=0,2)))))</f>
        <v>0</v>
      </c>
      <c r="E33" s="1172"/>
      <c r="F33" s="1173"/>
      <c r="G33" s="1171">
        <f>IF(P27="","",IF(P28="W",0,IF(P27=2,1,IF(P27=1,2,IF(P27=0,2)))))</f>
        <v>0</v>
      </c>
      <c r="H33" s="1172"/>
      <c r="I33" s="1173"/>
      <c r="J33" s="1171">
        <f>IF(P29="","",IF(P30="W",0,IF(P29=2,1,IF(P29=1,2,IF(P29=0,2)))))</f>
        <v>1</v>
      </c>
      <c r="K33" s="1172"/>
      <c r="L33" s="1173"/>
      <c r="M33" s="1171">
        <f>IF(P31="","",IF(P32="W",0,IF(P31=2,1,IF(P31=1,2,IF(P31=0,2)))))</f>
        <v>0</v>
      </c>
      <c r="N33" s="1172"/>
      <c r="O33" s="1173"/>
      <c r="P33" s="1180"/>
      <c r="Q33" s="1181"/>
      <c r="R33" s="1182"/>
      <c r="S33" s="1171">
        <v>0</v>
      </c>
      <c r="T33" s="1172"/>
      <c r="U33" s="1173"/>
      <c r="V33" s="1171">
        <v>0</v>
      </c>
      <c r="W33" s="1172"/>
      <c r="X33" s="1173"/>
      <c r="Y33" s="1171">
        <v>0</v>
      </c>
      <c r="Z33" s="1172"/>
      <c r="AA33" s="1173"/>
      <c r="AB33" s="1171"/>
      <c r="AC33" s="1172"/>
      <c r="AD33" s="1173"/>
      <c r="AE33" s="1184">
        <f>IF(B33="","",SUM(G33,J33,M33,D33,S33,V33,Y33,AB33,))</f>
        <v>1</v>
      </c>
      <c r="AF33" s="1185"/>
      <c r="AG33" s="1188"/>
      <c r="AH33" s="1174">
        <f>IF(B33="","",RANK(AE33,ГР2О))+8</f>
        <v>16</v>
      </c>
    </row>
    <row r="34" spans="1:34" ht="15" x14ac:dyDescent="0.2">
      <c r="A34" s="1164"/>
      <c r="B34" s="1197"/>
      <c r="C34" s="457" t="str">
        <f>IF(B33="","",VLOOKUP(B33,'Списки участников'!A:I,6,FALSE))</f>
        <v>Н.Новгород</v>
      </c>
      <c r="D34" s="464" t="str">
        <f>IF(P26="","",IF(R26="l","W",R26))</f>
        <v>W</v>
      </c>
      <c r="E34" s="459" t="str">
        <f>IF(Q26="","",":")</f>
        <v>:</v>
      </c>
      <c r="F34" s="465" t="str">
        <f>IF(R26="","",IF(P26="W","L",P26))</f>
        <v>L</v>
      </c>
      <c r="G34" s="464" t="str">
        <f>IF(P28="","",IF(R28="l","W",R28))</f>
        <v>W</v>
      </c>
      <c r="H34" s="459" t="str">
        <f>IF(Q28="","",":")</f>
        <v>:</v>
      </c>
      <c r="I34" s="465" t="str">
        <f>IF(R28="","",IF(P28="W","L",P28))</f>
        <v>L</v>
      </c>
      <c r="J34" s="464">
        <f>IF(P30="","",IF(R30="l","W",R30))</f>
        <v>1</v>
      </c>
      <c r="K34" s="459" t="str">
        <f>IF(Q30="","",":")</f>
        <v>:</v>
      </c>
      <c r="L34" s="465">
        <f>IF(R30="","",IF(P30="W","L",P30))</f>
        <v>3</v>
      </c>
      <c r="M34" s="464" t="str">
        <f>IF(P32="","",IF(R32="l","W",R32))</f>
        <v>W</v>
      </c>
      <c r="N34" s="459" t="str">
        <f>IF(Q32="","",":")</f>
        <v>:</v>
      </c>
      <c r="O34" s="465" t="str">
        <f>IF(R32="","",IF(P32="W","L",P32))</f>
        <v>L</v>
      </c>
      <c r="P34" s="1183"/>
      <c r="Q34" s="1169"/>
      <c r="R34" s="1170"/>
      <c r="S34" s="1456" t="s">
        <v>12172</v>
      </c>
      <c r="T34" s="459" t="str">
        <f>IF(S33="","",":")</f>
        <v>:</v>
      </c>
      <c r="U34" s="1457" t="s">
        <v>12171</v>
      </c>
      <c r="V34" s="1456" t="s">
        <v>12172</v>
      </c>
      <c r="W34" s="459" t="str">
        <f>IF(V33="","",":")</f>
        <v>:</v>
      </c>
      <c r="X34" s="1457" t="s">
        <v>12171</v>
      </c>
      <c r="Y34" s="1456" t="s">
        <v>12172</v>
      </c>
      <c r="Z34" s="459" t="str">
        <f>IF(Y33="","",":")</f>
        <v>:</v>
      </c>
      <c r="AA34" s="1457" t="s">
        <v>12171</v>
      </c>
      <c r="AB34" s="458"/>
      <c r="AC34" s="459" t="str">
        <f>IF(AB34="","",":")</f>
        <v/>
      </c>
      <c r="AD34" s="460"/>
      <c r="AE34" s="1186"/>
      <c r="AF34" s="1187"/>
      <c r="AG34" s="1189"/>
      <c r="AH34" s="1174"/>
    </row>
    <row r="35" spans="1:34" ht="15" x14ac:dyDescent="0.2">
      <c r="A35" s="1163">
        <v>6</v>
      </c>
      <c r="B35" s="1196">
        <v>30</v>
      </c>
      <c r="C35" s="456" t="str">
        <f>IF(B35="","",VLOOKUP(B35,'Списки участников'!A:I,3,FALSE))</f>
        <v>БАКШИНСКИЙ Илья</v>
      </c>
      <c r="D35" s="1171">
        <f>IF(S25="","",IF(S26="W",0,IF(S25=2,1,IF(S25=1,2,IF(S25=0,2)))))</f>
        <v>1</v>
      </c>
      <c r="E35" s="1172"/>
      <c r="F35" s="1173"/>
      <c r="G35" s="1171">
        <f>IF(S27="","",IF(S28="W",0,IF(S27=2,1,IF(S27=1,2,IF(S27=0,2)))))</f>
        <v>1</v>
      </c>
      <c r="H35" s="1172"/>
      <c r="I35" s="1173"/>
      <c r="J35" s="1171">
        <f>IF(S29="","",IF(S30="W",0,IF(S29=2,1,IF(S29=1,2,IF(S29=0,2)))))</f>
        <v>1</v>
      </c>
      <c r="K35" s="1172"/>
      <c r="L35" s="1173"/>
      <c r="M35" s="1171">
        <f>IF(S31="","",IF(S32="W",0,IF(S31=2,1,IF(S31=1,2,IF(S31=0,2)))))</f>
        <v>1</v>
      </c>
      <c r="N35" s="1172"/>
      <c r="O35" s="1173"/>
      <c r="P35" s="1171">
        <f>IF(S33="","",IF(S34="W",0,IF(S33=2,1,IF(S33=1,2,IF(S33=0,2)))))</f>
        <v>2</v>
      </c>
      <c r="Q35" s="1172"/>
      <c r="R35" s="1173"/>
      <c r="S35" s="1180"/>
      <c r="T35" s="1181"/>
      <c r="U35" s="1182"/>
      <c r="V35" s="1171">
        <v>2</v>
      </c>
      <c r="W35" s="1172"/>
      <c r="X35" s="1173"/>
      <c r="Y35" s="1171">
        <v>1</v>
      </c>
      <c r="Z35" s="1172"/>
      <c r="AA35" s="1173"/>
      <c r="AB35" s="1171"/>
      <c r="AC35" s="1172"/>
      <c r="AD35" s="1173"/>
      <c r="AE35" s="1184">
        <f>IF(B35="","",SUM(G35,J35,M35,P35,D35,V35,Y35,AB35,))</f>
        <v>9</v>
      </c>
      <c r="AF35" s="1185"/>
      <c r="AG35" s="1188"/>
      <c r="AH35" s="1174">
        <f>IF(B35="","",RANK(AE35,ГР2О))+8</f>
        <v>14</v>
      </c>
    </row>
    <row r="36" spans="1:34" ht="15" x14ac:dyDescent="0.2">
      <c r="A36" s="1164"/>
      <c r="B36" s="1197"/>
      <c r="C36" s="457" t="str">
        <f>IF(B35="","",VLOOKUP(B35,'Списки участников'!A:I,6,FALSE))</f>
        <v>Москва</v>
      </c>
      <c r="D36" s="464">
        <f>IF(S26="","",IF(U26="l","W",U26))</f>
        <v>1</v>
      </c>
      <c r="E36" s="459" t="str">
        <f>IF(T26="","",":")</f>
        <v>:</v>
      </c>
      <c r="F36" s="465">
        <f>IF(U26="","",IF(S26="W","L",S26))</f>
        <v>3</v>
      </c>
      <c r="G36" s="464">
        <f>IF(S28="","",IF(U28="l","W",U28))</f>
        <v>0</v>
      </c>
      <c r="H36" s="459" t="str">
        <f>IF(T28="","",":")</f>
        <v>:</v>
      </c>
      <c r="I36" s="465">
        <f>IF(U28="","",IF(S28="W","L",S28))</f>
        <v>3</v>
      </c>
      <c r="J36" s="464">
        <f>IF(S30="","",IF(U30="l","W",U30))</f>
        <v>2</v>
      </c>
      <c r="K36" s="459" t="str">
        <f>IF(T30="","",":")</f>
        <v>:</v>
      </c>
      <c r="L36" s="465">
        <f>IF(U30="","",IF(S30="W","L",S30))</f>
        <v>3</v>
      </c>
      <c r="M36" s="464">
        <f>IF(S32="","",IF(U32="l","W",U32))</f>
        <v>1</v>
      </c>
      <c r="N36" s="459" t="str">
        <f>IF(T32="","",":")</f>
        <v>:</v>
      </c>
      <c r="O36" s="465">
        <f>IF(U32="","",IF(S32="W","L",S32))</f>
        <v>3</v>
      </c>
      <c r="P36" s="464" t="str">
        <f>IF(S34="","",IF(U34="l","W",U34))</f>
        <v>W</v>
      </c>
      <c r="Q36" s="459" t="str">
        <f>IF(T34="","",":")</f>
        <v>:</v>
      </c>
      <c r="R36" s="465" t="str">
        <f>IF(U34="","",IF(S34="W","L",S34))</f>
        <v>L</v>
      </c>
      <c r="S36" s="1183"/>
      <c r="T36" s="1169"/>
      <c r="U36" s="1170"/>
      <c r="V36" s="458">
        <v>3</v>
      </c>
      <c r="W36" s="459" t="str">
        <f>IF(V35="","",":")</f>
        <v>:</v>
      </c>
      <c r="X36" s="460">
        <v>1</v>
      </c>
      <c r="Y36" s="458">
        <v>0</v>
      </c>
      <c r="Z36" s="459" t="str">
        <f>IF(Y35="","",":")</f>
        <v>:</v>
      </c>
      <c r="AA36" s="460">
        <v>3</v>
      </c>
      <c r="AB36" s="458"/>
      <c r="AC36" s="459" t="str">
        <f>IF(AB35="","",":")</f>
        <v/>
      </c>
      <c r="AD36" s="460"/>
      <c r="AE36" s="1186"/>
      <c r="AF36" s="1187"/>
      <c r="AG36" s="1189"/>
      <c r="AH36" s="1174"/>
    </row>
    <row r="37" spans="1:34" ht="15" x14ac:dyDescent="0.2">
      <c r="A37" s="1163">
        <v>7</v>
      </c>
      <c r="B37" s="1196">
        <v>25</v>
      </c>
      <c r="C37" s="456" t="str">
        <f>IF(B37="","",VLOOKUP(B37,'Списки участников'!A:I,3,FALSE))</f>
        <v>РОДИОНОВ Всеволод</v>
      </c>
      <c r="D37" s="1171">
        <f>IF(V25="","",IF(V26="W",0,IF(V25=2,1,IF(V25=1,2,IF(V25=0,2)))))</f>
        <v>1</v>
      </c>
      <c r="E37" s="1172"/>
      <c r="F37" s="1173"/>
      <c r="G37" s="1171">
        <f>IF(V27="","",IF(V28="W",0,IF(V27=2,1,IF(V27=1,2,IF(V27=0,2)))))</f>
        <v>1</v>
      </c>
      <c r="H37" s="1172"/>
      <c r="I37" s="1173"/>
      <c r="J37" s="1171">
        <f>IF(V29="","",IF(V30="W",0,IF(V29=2,1,IF(V29=1,2,IF(V29=0,2)))))</f>
        <v>2</v>
      </c>
      <c r="K37" s="1172"/>
      <c r="L37" s="1173"/>
      <c r="M37" s="1171">
        <f>IF(V31="","",IF(V32="W",0,IF(V31=2,1,IF(V31=1,2,IF(V31=0,2)))))</f>
        <v>1</v>
      </c>
      <c r="N37" s="1172"/>
      <c r="O37" s="1173"/>
      <c r="P37" s="1171">
        <f>IF(V33="","",IF(V34="W",0,IF(V33=2,1,IF(V33=1,2,IF(V33=0,2)))))</f>
        <v>2</v>
      </c>
      <c r="Q37" s="1172"/>
      <c r="R37" s="1173"/>
      <c r="S37" s="1171">
        <f>IF(V35="","",IF(V36="W",0,IF(V35=2,1,IF(V35=1,2,IF(V35=0,2)))))</f>
        <v>1</v>
      </c>
      <c r="T37" s="1172"/>
      <c r="U37" s="1173"/>
      <c r="V37" s="1191"/>
      <c r="W37" s="1167"/>
      <c r="X37" s="1168"/>
      <c r="Y37" s="1171">
        <v>1</v>
      </c>
      <c r="Z37" s="1172"/>
      <c r="AA37" s="1173"/>
      <c r="AB37" s="1171"/>
      <c r="AC37" s="1172"/>
      <c r="AD37" s="1173"/>
      <c r="AE37" s="1184">
        <f>IF(B37="","",SUM(G37,J37,M37,P37,S37,D37,Y37,AB37,))</f>
        <v>9</v>
      </c>
      <c r="AF37" s="1185"/>
      <c r="AG37" s="1188"/>
      <c r="AH37" s="1174">
        <v>15</v>
      </c>
    </row>
    <row r="38" spans="1:34" ht="15" x14ac:dyDescent="0.2">
      <c r="A38" s="1164"/>
      <c r="B38" s="1197"/>
      <c r="C38" s="457" t="str">
        <f>IF(B37="","",VLOOKUP(B37,'Списки участников'!A:I,6,FALSE))</f>
        <v>Москва</v>
      </c>
      <c r="D38" s="464">
        <f>IF(V26="","",IF(X26="l","W",X26))</f>
        <v>0</v>
      </c>
      <c r="E38" s="459" t="str">
        <f>IF(W26="","",":")</f>
        <v>:</v>
      </c>
      <c r="F38" s="465">
        <f>IF(X26="","",IF(V26="W","L",V26))</f>
        <v>3</v>
      </c>
      <c r="G38" s="464">
        <f>IF(V28="","",IF(X28="l","W",X28))</f>
        <v>2</v>
      </c>
      <c r="H38" s="459" t="str">
        <f>IF(W28="","",":")</f>
        <v>:</v>
      </c>
      <c r="I38" s="465">
        <f>IF(X28="","",IF(V28="W","L",V28))</f>
        <v>3</v>
      </c>
      <c r="J38" s="464">
        <f>IF(V30="","",IF(X30="l","W",X30))</f>
        <v>3</v>
      </c>
      <c r="K38" s="459" t="str">
        <f>IF(W30="","",":")</f>
        <v>:</v>
      </c>
      <c r="L38" s="465">
        <f>IF(X30="","",IF(V30="W","L",V30))</f>
        <v>2</v>
      </c>
      <c r="M38" s="464">
        <f>IF(V32="","",IF(X32="l","W",X32))</f>
        <v>0</v>
      </c>
      <c r="N38" s="459" t="str">
        <f>IF(W32="","",":")</f>
        <v>:</v>
      </c>
      <c r="O38" s="465">
        <f>IF(X32="","",IF(V32="W","L",V32))</f>
        <v>3</v>
      </c>
      <c r="P38" s="464" t="str">
        <f>IF(V34="","",IF(X34="l","W",X34))</f>
        <v>W</v>
      </c>
      <c r="Q38" s="459" t="str">
        <f>IF(W34="","",":")</f>
        <v>:</v>
      </c>
      <c r="R38" s="465" t="str">
        <f>IF(X34="","",IF(V34="W","L",V34))</f>
        <v>L</v>
      </c>
      <c r="S38" s="464">
        <f>IF(V36="","",IF(X36="l","W",X36))</f>
        <v>1</v>
      </c>
      <c r="T38" s="459" t="str">
        <f>IF(W36="","",":")</f>
        <v>:</v>
      </c>
      <c r="U38" s="465">
        <f>IF(X36="","",IF(V36="W","L",V36))</f>
        <v>3</v>
      </c>
      <c r="V38" s="1183"/>
      <c r="W38" s="1169"/>
      <c r="X38" s="1170"/>
      <c r="Y38" s="458">
        <v>1</v>
      </c>
      <c r="Z38" s="459" t="str">
        <f>IF(Y37="","",":")</f>
        <v>:</v>
      </c>
      <c r="AA38" s="460">
        <v>3</v>
      </c>
      <c r="AB38" s="458"/>
      <c r="AC38" s="459" t="str">
        <f>IF(AB37="","",":")</f>
        <v/>
      </c>
      <c r="AD38" s="460"/>
      <c r="AE38" s="1186"/>
      <c r="AF38" s="1187"/>
      <c r="AG38" s="1189"/>
      <c r="AH38" s="1174"/>
    </row>
    <row r="39" spans="1:34" ht="15" x14ac:dyDescent="0.2">
      <c r="A39" s="1163">
        <v>8</v>
      </c>
      <c r="B39" s="1196">
        <v>18</v>
      </c>
      <c r="C39" s="456" t="str">
        <f>IF(B39="","",VLOOKUP(B39,'Списки участников'!A:I,3,FALSE))</f>
        <v>КОРОЛЬ Владислав</v>
      </c>
      <c r="D39" s="1171">
        <f>IF(Y25="","",IF(Y26="W",0,IF(Y25=2,1,IF(Y25=1,2,IF(Y25=0,2)))))</f>
        <v>2</v>
      </c>
      <c r="E39" s="1172"/>
      <c r="F39" s="1173"/>
      <c r="G39" s="1171">
        <f>IF(Y27="","",IF(Y28="W",0,IF(Y27=2,1,IF(Y27=1,2,IF(Y27=0,2)))))</f>
        <v>1</v>
      </c>
      <c r="H39" s="1172"/>
      <c r="I39" s="1173"/>
      <c r="J39" s="1171">
        <f>IF(Y29="","",IF(Y30="W",0,IF(Y29=2,1,IF(Y29=1,2,IF(Y29=0,2)))))</f>
        <v>1</v>
      </c>
      <c r="K39" s="1172"/>
      <c r="L39" s="1173"/>
      <c r="M39" s="1171">
        <f>IF(Y31="","",IF(Y32="W",0,IF(Y31=2,1,IF(Y31=1,2,IF(Y31=0,2)))))</f>
        <v>1</v>
      </c>
      <c r="N39" s="1172"/>
      <c r="O39" s="1173"/>
      <c r="P39" s="1171">
        <f>IF(Y33="","",IF(Y34="W",0,IF(Y33=2,1,IF(Y33=1,2,IF(Y33=0,2)))))</f>
        <v>2</v>
      </c>
      <c r="Q39" s="1172"/>
      <c r="R39" s="1173"/>
      <c r="S39" s="1171">
        <f>IF(Y35="","",IF(Y36="W",0,IF(Y35=2,1,IF(Y35=1,2,IF(Y35=0,2)))))</f>
        <v>2</v>
      </c>
      <c r="T39" s="1172"/>
      <c r="U39" s="1173"/>
      <c r="V39" s="1171">
        <f>IF(Y37="","",IF(Y38="W",0,IF(Y37=2,1,IF(Y37=1,2,IF(Y37=0,2)))))</f>
        <v>2</v>
      </c>
      <c r="W39" s="1172"/>
      <c r="X39" s="1173"/>
      <c r="Y39" s="1180"/>
      <c r="Z39" s="1181"/>
      <c r="AA39" s="1182"/>
      <c r="AB39" s="1171"/>
      <c r="AC39" s="1172"/>
      <c r="AD39" s="1173"/>
      <c r="AE39" s="1184">
        <f>IF(B39="","",SUM(G39,J39,M39,P39,S39,V39,D39,AB39,))</f>
        <v>11</v>
      </c>
      <c r="AF39" s="1185"/>
      <c r="AG39" s="1188"/>
      <c r="AH39" s="1174">
        <v>12</v>
      </c>
    </row>
    <row r="40" spans="1:34" ht="15" x14ac:dyDescent="0.2">
      <c r="A40" s="1164"/>
      <c r="B40" s="1197"/>
      <c r="C40" s="457" t="str">
        <f>IF(B39="","",VLOOKUP(B39,'Списки участников'!A:I,6,FALSE))</f>
        <v>Москва</v>
      </c>
      <c r="D40" s="464">
        <f>IF(Y26="","",IF(AA26="l","W",AA26))</f>
        <v>3</v>
      </c>
      <c r="E40" s="459" t="str">
        <f>IF(Z26="","",":")</f>
        <v>:</v>
      </c>
      <c r="F40" s="465">
        <f>IF(AA26="","",IF(Y26="W","L",Y26))</f>
        <v>1</v>
      </c>
      <c r="G40" s="464">
        <f>IF(Y28="","",IF(AA28="l","W",AA28))</f>
        <v>2</v>
      </c>
      <c r="H40" s="459" t="str">
        <f>IF(Z28="","",":")</f>
        <v>:</v>
      </c>
      <c r="I40" s="465">
        <f>IF(AA28="","",IF(Y28="W","L",Y28))</f>
        <v>3</v>
      </c>
      <c r="J40" s="464">
        <f>IF(Y30="","",IF(AA30="l","W",AA30))</f>
        <v>0</v>
      </c>
      <c r="K40" s="459" t="str">
        <f>IF(Z30="","",":")</f>
        <v>:</v>
      </c>
      <c r="L40" s="465">
        <f>IF(AA30="","",IF(Y30="W","L",Y30))</f>
        <v>3</v>
      </c>
      <c r="M40" s="464">
        <f>IF(Y32="","",IF(AA32="l","W",AA32))</f>
        <v>2</v>
      </c>
      <c r="N40" s="459" t="str">
        <f>IF(Z32="","",":")</f>
        <v>:</v>
      </c>
      <c r="O40" s="465">
        <f>IF(AA32="","",IF(Y32="W","L",Y32))</f>
        <v>3</v>
      </c>
      <c r="P40" s="464" t="str">
        <f>IF(Y34="","",IF(AA34="l","W",AA34))</f>
        <v>W</v>
      </c>
      <c r="Q40" s="459" t="str">
        <f>IF(Z34="","",":")</f>
        <v>:</v>
      </c>
      <c r="R40" s="465" t="str">
        <f>IF(AA34="","",IF(Y34="W","L",Y34))</f>
        <v>L</v>
      </c>
      <c r="S40" s="464">
        <f>IF(Y36="","",IF(AA36="l","W",AA36))</f>
        <v>3</v>
      </c>
      <c r="T40" s="459" t="str">
        <f>IF(Z36="","",":")</f>
        <v>:</v>
      </c>
      <c r="U40" s="465">
        <f>IF(AA36="","",IF(Y36="W","L",Y36))</f>
        <v>0</v>
      </c>
      <c r="V40" s="464">
        <f>IF(Y38="","",IF(AA38="l","W",AA38))</f>
        <v>3</v>
      </c>
      <c r="W40" s="459" t="str">
        <f>IF(Z38="","",":")</f>
        <v>:</v>
      </c>
      <c r="X40" s="465">
        <f>IF(AA38="","",IF(Y38="W","L",Y38))</f>
        <v>1</v>
      </c>
      <c r="Y40" s="1183"/>
      <c r="Z40" s="1169"/>
      <c r="AA40" s="1170"/>
      <c r="AB40" s="458"/>
      <c r="AC40" s="459" t="str">
        <f>IF(AB39="","",":")</f>
        <v/>
      </c>
      <c r="AD40" s="460"/>
      <c r="AE40" s="1186"/>
      <c r="AF40" s="1187"/>
      <c r="AG40" s="1189"/>
      <c r="AH40" s="1174"/>
    </row>
    <row r="41" spans="1:34" ht="15" hidden="1" outlineLevel="1" x14ac:dyDescent="0.2">
      <c r="A41" s="1163">
        <v>9</v>
      </c>
      <c r="B41" s="1165">
        <f>жеребьевка!G20</f>
        <v>0</v>
      </c>
      <c r="C41" s="456" t="e">
        <f>IF(B41="","",VLOOKUP(B41,'Списки участников'!A:I,3,FALSE))</f>
        <v>#N/A</v>
      </c>
      <c r="D41" s="1171" t="str">
        <f>IF(AB25="","",IF(AB26="W",0,IF(AB25=2,1,IF(AB25=1,2,IF(AB25=0,2)))))</f>
        <v/>
      </c>
      <c r="E41" s="1172"/>
      <c r="F41" s="1173"/>
      <c r="G41" s="1171" t="str">
        <f>IF(AB27="","",IF(AB28="W",0,IF(AB27=2,1,IF(AB27=1,2,IF(AB27=0,2)))))</f>
        <v/>
      </c>
      <c r="H41" s="1172"/>
      <c r="I41" s="1173"/>
      <c r="J41" s="1171" t="str">
        <f>IF(AB29="","",IF(AB30="W",0,IF(AB29=2,1,IF(AB29=1,2,IF(AB29=0,2)))))</f>
        <v/>
      </c>
      <c r="K41" s="1172"/>
      <c r="L41" s="1173"/>
      <c r="M41" s="1171" t="str">
        <f>IF(AB31="","",IF(AB32="W",0,IF(AB31=2,1,IF(AB31=1,2,IF(AB31=0,2)))))</f>
        <v/>
      </c>
      <c r="N41" s="1172"/>
      <c r="O41" s="1173"/>
      <c r="P41" s="1171" t="str">
        <f>IF(AB33="","",IF(AB34="W",0,IF(AB33=2,1,IF(AB33=1,2,IF(AB33=0,2)))))</f>
        <v/>
      </c>
      <c r="Q41" s="1172"/>
      <c r="R41" s="1173"/>
      <c r="S41" s="1171" t="str">
        <f>IF(AB35="","",IF(AB36="W",0,IF(AB35=2,1,IF(AB35=1,2,IF(AB35=0,2)))))</f>
        <v/>
      </c>
      <c r="T41" s="1172"/>
      <c r="U41" s="1173"/>
      <c r="V41" s="1171" t="str">
        <f>IF(AB37="","",IF(AB38="W",0,IF(AB37=2,1,IF(AB37=1,2,IF(AB37=0,2)))))</f>
        <v/>
      </c>
      <c r="W41" s="1172"/>
      <c r="X41" s="1173"/>
      <c r="Y41" s="1171" t="str">
        <f>IF(AB39="","",IF(AB40="W",0,IF(AB39=2,1,IF(AB39=1,2,IF(AB39=0,2)))))</f>
        <v/>
      </c>
      <c r="Z41" s="1172"/>
      <c r="AA41" s="1173"/>
      <c r="AB41" s="1191"/>
      <c r="AC41" s="1167"/>
      <c r="AD41" s="1168"/>
      <c r="AE41" s="1184">
        <f>IF(B41="","",SUM(G41,J41,M41,P41,S41,V41,Y41,D41,))</f>
        <v>0</v>
      </c>
      <c r="AF41" s="1185"/>
      <c r="AG41" s="1188"/>
      <c r="AH41" s="1174">
        <f>IF(B41="","",RANK(AE41,ГР2О))</f>
        <v>9</v>
      </c>
    </row>
    <row r="42" spans="1:34" ht="15" hidden="1" outlineLevel="1" x14ac:dyDescent="0.2">
      <c r="A42" s="1164"/>
      <c r="B42" s="1166"/>
      <c r="C42" s="457" t="e">
        <f>IF(B41="","",VLOOKUP(B41,'Списки участников'!A:I,6,FALSE))</f>
        <v>#N/A</v>
      </c>
      <c r="D42" s="464" t="str">
        <f>IF(AB26="","",IF(AD26="l","W",AD26))</f>
        <v/>
      </c>
      <c r="E42" s="459" t="str">
        <f>IF(AC26="","",":")</f>
        <v/>
      </c>
      <c r="F42" s="465" t="str">
        <f>IF(AD26="","",IF(AB26="W","L",AB26))</f>
        <v/>
      </c>
      <c r="G42" s="464" t="str">
        <f>IF(AB28="","",IF(AD28="l","W",AD28))</f>
        <v/>
      </c>
      <c r="H42" s="459" t="str">
        <f>IF(AC28="","",":")</f>
        <v/>
      </c>
      <c r="I42" s="465" t="str">
        <f>IF(AD28="","",IF(AB28="W","L",AB28))</f>
        <v/>
      </c>
      <c r="J42" s="464" t="str">
        <f>IF(AB30="","",IF(AD30="l","W",AD30))</f>
        <v/>
      </c>
      <c r="K42" s="459" t="str">
        <f>IF(AC30="","",":")</f>
        <v/>
      </c>
      <c r="L42" s="465" t="str">
        <f>IF(AD30="","",IF(AB30="W","L",AB30))</f>
        <v/>
      </c>
      <c r="M42" s="464" t="str">
        <f>IF(AB32="","",IF(AD32="l","W",AD32))</f>
        <v/>
      </c>
      <c r="N42" s="459" t="str">
        <f>IF(AC32="","",":")</f>
        <v/>
      </c>
      <c r="O42" s="465" t="str">
        <f>IF(AD32="","",IF(AB32="W","L",AB32))</f>
        <v/>
      </c>
      <c r="P42" s="464" t="str">
        <f>IF(AB34="","",IF(AD34="l","W",AD34))</f>
        <v/>
      </c>
      <c r="Q42" s="459" t="str">
        <f>IF(AC34="","",":")</f>
        <v/>
      </c>
      <c r="R42" s="465" t="str">
        <f>IF(AD34="","",IF(AB34="W","L",AB34))</f>
        <v/>
      </c>
      <c r="S42" s="464" t="str">
        <f>IF(AB36="","",IF(AD36="l","W",AD36))</f>
        <v/>
      </c>
      <c r="T42" s="459" t="str">
        <f>IF(AC36="","",":")</f>
        <v/>
      </c>
      <c r="U42" s="465" t="str">
        <f>IF(AD36="","",IF(AB36="W","L",AB36))</f>
        <v/>
      </c>
      <c r="V42" s="464" t="str">
        <f>IF(AB38="","",IF(AD38="l","W",AD38))</f>
        <v/>
      </c>
      <c r="W42" s="459" t="str">
        <f>IF(AC38="","",":")</f>
        <v/>
      </c>
      <c r="X42" s="465" t="str">
        <f>IF(AD38="","",IF(AB38="W","L",AB38))</f>
        <v/>
      </c>
      <c r="Y42" s="464" t="str">
        <f>IF(AB40="","",IF(AD40="l","W",AD40))</f>
        <v/>
      </c>
      <c r="Z42" s="459" t="str">
        <f>IF(AC40="","",":")</f>
        <v/>
      </c>
      <c r="AA42" s="465" t="str">
        <f>IF(AD40="","",IF(AB40="W","L",AB40))</f>
        <v/>
      </c>
      <c r="AB42" s="1183"/>
      <c r="AC42" s="1169"/>
      <c r="AD42" s="1170"/>
      <c r="AE42" s="1186"/>
      <c r="AF42" s="1187"/>
      <c r="AG42" s="1189"/>
      <c r="AH42" s="1174"/>
    </row>
    <row r="43" spans="1:34" ht="15.75" collapsed="1" x14ac:dyDescent="0.25">
      <c r="A43" s="135"/>
      <c r="B43" s="135"/>
      <c r="C43" s="467"/>
      <c r="D43" s="135"/>
      <c r="E43" s="135"/>
      <c r="F43" s="135"/>
      <c r="G43" s="1192" t="s">
        <v>9452</v>
      </c>
      <c r="H43" s="1192"/>
      <c r="I43" s="1192"/>
      <c r="J43" s="1192"/>
      <c r="K43" s="1192"/>
      <c r="L43" s="1192"/>
      <c r="M43" s="1192"/>
      <c r="N43" s="1192"/>
      <c r="O43" s="1192"/>
      <c r="P43" s="1192"/>
      <c r="Q43" s="1192"/>
      <c r="R43" s="1192"/>
      <c r="S43" s="1192"/>
      <c r="T43" s="1192"/>
      <c r="U43" s="1192"/>
      <c r="V43" s="1192"/>
      <c r="W43" s="1192"/>
      <c r="X43" s="1192"/>
      <c r="Y43" s="1192"/>
      <c r="Z43" s="1192"/>
      <c r="AA43" s="1192"/>
      <c r="AB43" s="135"/>
      <c r="AC43" s="135"/>
      <c r="AD43" s="135"/>
      <c r="AE43" s="135"/>
      <c r="AF43" s="135"/>
      <c r="AG43" s="135"/>
      <c r="AH43" s="135"/>
    </row>
    <row r="44" spans="1:34" ht="15" x14ac:dyDescent="0.2">
      <c r="A44" s="136" t="s">
        <v>3</v>
      </c>
      <c r="B44" s="938"/>
      <c r="C44" s="138" t="s">
        <v>788</v>
      </c>
      <c r="D44" s="1158">
        <v>1</v>
      </c>
      <c r="E44" s="1159"/>
      <c r="F44" s="1160"/>
      <c r="G44" s="1158">
        <v>2</v>
      </c>
      <c r="H44" s="1159"/>
      <c r="I44" s="1160"/>
      <c r="J44" s="1158">
        <v>3</v>
      </c>
      <c r="K44" s="1159"/>
      <c r="L44" s="1160"/>
      <c r="M44" s="1158">
        <v>4</v>
      </c>
      <c r="N44" s="1159"/>
      <c r="O44" s="1160"/>
      <c r="P44" s="1158">
        <v>5</v>
      </c>
      <c r="Q44" s="1159"/>
      <c r="R44" s="1160"/>
      <c r="S44" s="1158">
        <v>6</v>
      </c>
      <c r="T44" s="1159"/>
      <c r="U44" s="1160"/>
      <c r="V44" s="1158">
        <v>7</v>
      </c>
      <c r="W44" s="1159"/>
      <c r="X44" s="1160"/>
      <c r="Y44" s="1158">
        <v>8</v>
      </c>
      <c r="Z44" s="1159"/>
      <c r="AA44" s="1160"/>
      <c r="AB44" s="1158">
        <v>9</v>
      </c>
      <c r="AC44" s="1159"/>
      <c r="AD44" s="1160"/>
      <c r="AE44" s="1161" t="s">
        <v>789</v>
      </c>
      <c r="AF44" s="1162"/>
      <c r="AG44" s="939" t="s">
        <v>790</v>
      </c>
      <c r="AH44" s="455" t="s">
        <v>100</v>
      </c>
    </row>
    <row r="45" spans="1:34" ht="15" x14ac:dyDescent="0.2">
      <c r="A45" s="1163">
        <v>1</v>
      </c>
      <c r="B45" s="1193">
        <v>22</v>
      </c>
      <c r="C45" s="456" t="str">
        <f>IF(B45="","",VLOOKUP(B45,'Списки участников'!A:I,3,FALSE))</f>
        <v>СТАРОСТИН Максим</v>
      </c>
      <c r="D45" s="1167"/>
      <c r="E45" s="1167"/>
      <c r="F45" s="1168"/>
      <c r="G45" s="1171">
        <v>2</v>
      </c>
      <c r="H45" s="1172"/>
      <c r="I45" s="1173"/>
      <c r="J45" s="1171">
        <v>2</v>
      </c>
      <c r="K45" s="1172"/>
      <c r="L45" s="1173"/>
      <c r="M45" s="1171">
        <v>2</v>
      </c>
      <c r="N45" s="1172"/>
      <c r="O45" s="1173"/>
      <c r="P45" s="1171">
        <v>2</v>
      </c>
      <c r="Q45" s="1172"/>
      <c r="R45" s="1173"/>
      <c r="S45" s="1171">
        <v>2</v>
      </c>
      <c r="T45" s="1172"/>
      <c r="U45" s="1173"/>
      <c r="V45" s="1171">
        <v>2</v>
      </c>
      <c r="W45" s="1172"/>
      <c r="X45" s="1173"/>
      <c r="Y45" s="1171">
        <v>1</v>
      </c>
      <c r="Z45" s="1172"/>
      <c r="AA45" s="1173"/>
      <c r="AB45" s="1171"/>
      <c r="AC45" s="1172"/>
      <c r="AD45" s="1173"/>
      <c r="AE45" s="1184">
        <f>IF(B45="","",SUM(G45,J45,M45,P45,S45,V45,Y45,AB45,))</f>
        <v>13</v>
      </c>
      <c r="AF45" s="1185"/>
      <c r="AG45" s="1175"/>
      <c r="AH45" s="1174">
        <v>18</v>
      </c>
    </row>
    <row r="46" spans="1:34" ht="15" x14ac:dyDescent="0.2">
      <c r="A46" s="1164"/>
      <c r="B46" s="1194"/>
      <c r="C46" s="457" t="str">
        <f>IF(B45="","",VLOOKUP(B45,'Списки участников'!A:I,6,FALSE))</f>
        <v>Екатеринбург</v>
      </c>
      <c r="D46" s="1169"/>
      <c r="E46" s="1169"/>
      <c r="F46" s="1170"/>
      <c r="G46" s="458">
        <v>3</v>
      </c>
      <c r="H46" s="459" t="str">
        <f>IF(G45="","",":")</f>
        <v>:</v>
      </c>
      <c r="I46" s="460">
        <v>2</v>
      </c>
      <c r="J46" s="458">
        <v>3</v>
      </c>
      <c r="K46" s="459" t="str">
        <f>IF(J45="","",":")</f>
        <v>:</v>
      </c>
      <c r="L46" s="460">
        <v>1</v>
      </c>
      <c r="M46" s="1456" t="s">
        <v>12171</v>
      </c>
      <c r="N46" s="459" t="str">
        <f>IF(M46="","",":")</f>
        <v>:</v>
      </c>
      <c r="O46" s="1457" t="s">
        <v>12172</v>
      </c>
      <c r="P46" s="458">
        <v>3</v>
      </c>
      <c r="Q46" s="459" t="str">
        <f>IF(P46="","",":")</f>
        <v>:</v>
      </c>
      <c r="R46" s="460">
        <v>2</v>
      </c>
      <c r="S46" s="458">
        <v>3</v>
      </c>
      <c r="T46" s="459" t="str">
        <f>IF(S46="","",":")</f>
        <v>:</v>
      </c>
      <c r="U46" s="460">
        <v>1</v>
      </c>
      <c r="V46" s="458">
        <v>3</v>
      </c>
      <c r="W46" s="459" t="str">
        <f>IF(V46="","",":")</f>
        <v>:</v>
      </c>
      <c r="X46" s="460">
        <v>0</v>
      </c>
      <c r="Y46" s="458">
        <v>2</v>
      </c>
      <c r="Z46" s="459" t="str">
        <f>IF(Y46="","",":")</f>
        <v>:</v>
      </c>
      <c r="AA46" s="460">
        <v>3</v>
      </c>
      <c r="AB46" s="458"/>
      <c r="AC46" s="459" t="str">
        <f>IF(AB46="","",":")</f>
        <v/>
      </c>
      <c r="AD46" s="460"/>
      <c r="AE46" s="1186"/>
      <c r="AF46" s="1187"/>
      <c r="AG46" s="1176"/>
      <c r="AH46" s="1174"/>
    </row>
    <row r="47" spans="1:34" ht="15" x14ac:dyDescent="0.2">
      <c r="A47" s="1163">
        <v>2</v>
      </c>
      <c r="B47" s="1193">
        <v>29</v>
      </c>
      <c r="C47" s="456" t="str">
        <f>IF(B47="","",VLOOKUP(B47,'Списки участников'!A:I,3,FALSE))</f>
        <v>МОСПАНОВ Илья</v>
      </c>
      <c r="D47" s="1177">
        <f>IF(G45="","",IF(G46="W",0,IF(G45=2,1,IF(G45=1,2,IF(G45=0,2)))))</f>
        <v>1</v>
      </c>
      <c r="E47" s="1178"/>
      <c r="F47" s="1179"/>
      <c r="G47" s="1180"/>
      <c r="H47" s="1181"/>
      <c r="I47" s="1182"/>
      <c r="J47" s="1171">
        <v>1</v>
      </c>
      <c r="K47" s="1172"/>
      <c r="L47" s="1173"/>
      <c r="M47" s="1171">
        <v>2</v>
      </c>
      <c r="N47" s="1172"/>
      <c r="O47" s="1173"/>
      <c r="P47" s="1171">
        <v>1</v>
      </c>
      <c r="Q47" s="1172"/>
      <c r="R47" s="1173"/>
      <c r="S47" s="1171">
        <v>2</v>
      </c>
      <c r="T47" s="1172"/>
      <c r="U47" s="1173"/>
      <c r="V47" s="1171">
        <v>2</v>
      </c>
      <c r="W47" s="1172"/>
      <c r="X47" s="1173"/>
      <c r="Y47" s="1171">
        <v>1</v>
      </c>
      <c r="Z47" s="1172"/>
      <c r="AA47" s="1173"/>
      <c r="AB47" s="1171"/>
      <c r="AC47" s="1172"/>
      <c r="AD47" s="1173"/>
      <c r="AE47" s="1184">
        <f>IF(B47="","",SUM(D47,J47,M47,P47,S47,V47,Y47,AB47,))</f>
        <v>10</v>
      </c>
      <c r="AF47" s="1185"/>
      <c r="AG47" s="1175"/>
      <c r="AH47" s="1174">
        <f>4+16</f>
        <v>20</v>
      </c>
    </row>
    <row r="48" spans="1:34" ht="15" x14ac:dyDescent="0.2">
      <c r="A48" s="1164"/>
      <c r="B48" s="1194"/>
      <c r="C48" s="457" t="str">
        <f>IF(B47="","",VLOOKUP(B47,'Списки участников'!A:I,6,FALSE))</f>
        <v>Москва</v>
      </c>
      <c r="D48" s="461">
        <f>IF(G46="","",IF(I46="l","W",I46))</f>
        <v>2</v>
      </c>
      <c r="E48" s="462" t="str">
        <f>IF(G45="","",":")</f>
        <v>:</v>
      </c>
      <c r="F48" s="463">
        <f>IF(I46="","",IF(G46="W","L",G46))</f>
        <v>3</v>
      </c>
      <c r="G48" s="1183"/>
      <c r="H48" s="1169"/>
      <c r="I48" s="1170"/>
      <c r="J48" s="458">
        <v>1</v>
      </c>
      <c r="K48" s="459" t="str">
        <f>IF(J47="","",":")</f>
        <v>:</v>
      </c>
      <c r="L48" s="460">
        <v>3</v>
      </c>
      <c r="M48" s="1456" t="s">
        <v>12171</v>
      </c>
      <c r="N48" s="459" t="str">
        <f>IF(M47="","",":")</f>
        <v>:</v>
      </c>
      <c r="O48" s="1457" t="s">
        <v>12172</v>
      </c>
      <c r="P48" s="458">
        <v>1</v>
      </c>
      <c r="Q48" s="459" t="str">
        <f>IF(P47="","",":")</f>
        <v>:</v>
      </c>
      <c r="R48" s="460">
        <v>3</v>
      </c>
      <c r="S48" s="458">
        <v>3</v>
      </c>
      <c r="T48" s="459" t="str">
        <f>IF(S48="","",":")</f>
        <v>:</v>
      </c>
      <c r="U48" s="460">
        <v>0</v>
      </c>
      <c r="V48" s="458">
        <v>3</v>
      </c>
      <c r="W48" s="459" t="str">
        <f>IF(V48="","",":")</f>
        <v>:</v>
      </c>
      <c r="X48" s="460">
        <v>0</v>
      </c>
      <c r="Y48" s="458">
        <v>1</v>
      </c>
      <c r="Z48" s="459" t="str">
        <f>IF(Y48="","",":")</f>
        <v>:</v>
      </c>
      <c r="AA48" s="460">
        <v>3</v>
      </c>
      <c r="AB48" s="458"/>
      <c r="AC48" s="459" t="str">
        <f>IF(AB48="","",":")</f>
        <v/>
      </c>
      <c r="AD48" s="460"/>
      <c r="AE48" s="1186"/>
      <c r="AF48" s="1187"/>
      <c r="AG48" s="1176"/>
      <c r="AH48" s="1174"/>
    </row>
    <row r="49" spans="1:34" ht="15" x14ac:dyDescent="0.2">
      <c r="A49" s="1163">
        <v>3</v>
      </c>
      <c r="B49" s="1193">
        <v>13</v>
      </c>
      <c r="C49" s="456" t="str">
        <f>IF(B49="","",VLOOKUP(B49,'Списки участников'!A:I,3,FALSE))</f>
        <v>ЛАЗАРЕВ Василий</v>
      </c>
      <c r="D49" s="1177">
        <f>IF(J45="","",IF(J46="W",0,IF(J45=2,1,IF(J45=1,2,IF(J45=0,2)))))</f>
        <v>1</v>
      </c>
      <c r="E49" s="1178"/>
      <c r="F49" s="1179"/>
      <c r="G49" s="1171">
        <f>IF(J47="","",IF(J48="W",0,IF(J47=2,1,IF(J47=1,2,IF(J47=0,2)))))</f>
        <v>2</v>
      </c>
      <c r="H49" s="1172"/>
      <c r="I49" s="1173"/>
      <c r="J49" s="1180"/>
      <c r="K49" s="1181"/>
      <c r="L49" s="1182"/>
      <c r="M49" s="1171">
        <v>2</v>
      </c>
      <c r="N49" s="1172"/>
      <c r="O49" s="1173"/>
      <c r="P49" s="1171">
        <v>2</v>
      </c>
      <c r="Q49" s="1172"/>
      <c r="R49" s="1173"/>
      <c r="S49" s="1171">
        <v>2</v>
      </c>
      <c r="T49" s="1172"/>
      <c r="U49" s="1173"/>
      <c r="V49" s="1171">
        <v>2</v>
      </c>
      <c r="W49" s="1172"/>
      <c r="X49" s="1173"/>
      <c r="Y49" s="1171">
        <v>1</v>
      </c>
      <c r="Z49" s="1172"/>
      <c r="AA49" s="1173"/>
      <c r="AB49" s="1171"/>
      <c r="AC49" s="1172"/>
      <c r="AD49" s="1173"/>
      <c r="AE49" s="1184">
        <f>IF(B49="","",SUM(G49,D49,M49,P49,S49,V49,Y49,AB49,))</f>
        <v>12</v>
      </c>
      <c r="AF49" s="1185"/>
      <c r="AG49" s="1188"/>
      <c r="AH49" s="1174">
        <v>19</v>
      </c>
    </row>
    <row r="50" spans="1:34" ht="15" x14ac:dyDescent="0.2">
      <c r="A50" s="1164"/>
      <c r="B50" s="1194"/>
      <c r="C50" s="457" t="str">
        <f>IF(B49="","",VLOOKUP(B49,'Списки участников'!A:I,6,FALSE))</f>
        <v>Москва</v>
      </c>
      <c r="D50" s="464">
        <f>IF(J46="","",IF(L46="l","W",L46))</f>
        <v>1</v>
      </c>
      <c r="E50" s="459" t="str">
        <f>IF(K46="","",":")</f>
        <v>:</v>
      </c>
      <c r="F50" s="465">
        <f>IF(L46="","",IF(J46="W","L",J46))</f>
        <v>3</v>
      </c>
      <c r="G50" s="464">
        <f>IF(J48="","",IF(L48="l","W",L48))</f>
        <v>3</v>
      </c>
      <c r="H50" s="459" t="str">
        <f>IF(K48="","",":")</f>
        <v>:</v>
      </c>
      <c r="I50" s="465">
        <f>IF(L48="","",IF(J48="W","L",J48))</f>
        <v>1</v>
      </c>
      <c r="J50" s="1183"/>
      <c r="K50" s="1169"/>
      <c r="L50" s="1170"/>
      <c r="M50" s="1456" t="s">
        <v>12171</v>
      </c>
      <c r="N50" s="459" t="str">
        <f>IF(M49="","",":")</f>
        <v>:</v>
      </c>
      <c r="O50" s="1457" t="s">
        <v>12172</v>
      </c>
      <c r="P50" s="458">
        <v>3</v>
      </c>
      <c r="Q50" s="459" t="str">
        <f>IF(P49="","",":")</f>
        <v>:</v>
      </c>
      <c r="R50" s="460">
        <v>1</v>
      </c>
      <c r="S50" s="458">
        <v>3</v>
      </c>
      <c r="T50" s="459" t="str">
        <f>IF(S49="","",":")</f>
        <v>:</v>
      </c>
      <c r="U50" s="460">
        <v>0</v>
      </c>
      <c r="V50" s="458">
        <v>3</v>
      </c>
      <c r="W50" s="459" t="str">
        <f>IF(V50="","",":")</f>
        <v>:</v>
      </c>
      <c r="X50" s="460">
        <v>0</v>
      </c>
      <c r="Y50" s="458">
        <v>1</v>
      </c>
      <c r="Z50" s="459" t="str">
        <f>IF(Y50="","",":")</f>
        <v>:</v>
      </c>
      <c r="AA50" s="460">
        <v>3</v>
      </c>
      <c r="AB50" s="458"/>
      <c r="AC50" s="459" t="str">
        <f>IF(AB50="","",":")</f>
        <v/>
      </c>
      <c r="AD50" s="460"/>
      <c r="AE50" s="1186"/>
      <c r="AF50" s="1187"/>
      <c r="AG50" s="1189"/>
      <c r="AH50" s="1174"/>
    </row>
    <row r="51" spans="1:34" ht="15" x14ac:dyDescent="0.2">
      <c r="A51" s="1163">
        <v>4</v>
      </c>
      <c r="B51" s="1193">
        <v>8</v>
      </c>
      <c r="C51" s="456" t="str">
        <f>IF(B51="","",VLOOKUP(B51,'Списки участников'!A:I,3,FALSE))</f>
        <v>МУКОВ Руслан</v>
      </c>
      <c r="D51" s="1171">
        <f>IF(M45="","",IF(M46="W",0,IF(M45=2,1,IF(M45=1,2,IF(M45=0,2)))))</f>
        <v>0</v>
      </c>
      <c r="E51" s="1172"/>
      <c r="F51" s="1173"/>
      <c r="G51" s="1171">
        <f>IF(M47="","",IF(M48="W",0,IF(M47=2,1,IF(M47=1,2,IF(M47=0,2)))))</f>
        <v>0</v>
      </c>
      <c r="H51" s="1172"/>
      <c r="I51" s="1173"/>
      <c r="J51" s="1171">
        <f>IF(M49="","",IF(M50="W",0,IF(M49=2,1,IF(M49=1,2,IF(M49=0,2)))))</f>
        <v>0</v>
      </c>
      <c r="K51" s="1172"/>
      <c r="L51" s="1173"/>
      <c r="M51" s="1181"/>
      <c r="N51" s="1181"/>
      <c r="O51" s="1181"/>
      <c r="P51" s="1171">
        <v>1</v>
      </c>
      <c r="Q51" s="1172"/>
      <c r="R51" s="1173"/>
      <c r="S51" s="1171">
        <v>0</v>
      </c>
      <c r="T51" s="1172"/>
      <c r="U51" s="1173"/>
      <c r="V51" s="1171">
        <v>1</v>
      </c>
      <c r="W51" s="1172"/>
      <c r="X51" s="1173"/>
      <c r="Y51" s="1171">
        <v>2</v>
      </c>
      <c r="Z51" s="1172"/>
      <c r="AA51" s="1173"/>
      <c r="AB51" s="1171"/>
      <c r="AC51" s="1172"/>
      <c r="AD51" s="1173"/>
      <c r="AE51" s="1184">
        <f>IF(B51="","",SUM(G51,J51,D51,P51,S51,V51,Y51,AB51,))</f>
        <v>4</v>
      </c>
      <c r="AF51" s="1185"/>
      <c r="AG51" s="1188"/>
      <c r="AH51" s="1174">
        <f>IF(B51="","",RANK(AE51,ГР3О))+16</f>
        <v>24</v>
      </c>
    </row>
    <row r="52" spans="1:34" ht="15" x14ac:dyDescent="0.2">
      <c r="A52" s="1164"/>
      <c r="B52" s="1195"/>
      <c r="C52" s="457" t="str">
        <f>IF(B51="","",VLOOKUP(B51,'Списки участников'!A:I,6,FALSE))</f>
        <v>Нальчик</v>
      </c>
      <c r="D52" s="464" t="str">
        <f>IF(M46="","",IF(O46="l","W",O46))</f>
        <v>W</v>
      </c>
      <c r="E52" s="459" t="str">
        <f>IF(N46="","",":")</f>
        <v>:</v>
      </c>
      <c r="F52" s="465" t="str">
        <f>IF(O46="","",IF(M46="W","L",M46))</f>
        <v>L</v>
      </c>
      <c r="G52" s="464" t="str">
        <f>IF(M48="","",IF(O48="l","W",O48))</f>
        <v>W</v>
      </c>
      <c r="H52" s="459" t="str">
        <f>IF(N48="","",":")</f>
        <v>:</v>
      </c>
      <c r="I52" s="465" t="str">
        <f>IF(O48="","",IF(M48="W","L",M48))</f>
        <v>L</v>
      </c>
      <c r="J52" s="464" t="str">
        <f>IF(M50="","",IF(O50="l","W",O50))</f>
        <v>W</v>
      </c>
      <c r="K52" s="459" t="str">
        <f>IF(N50="","",":")</f>
        <v>:</v>
      </c>
      <c r="L52" s="465" t="str">
        <f>IF(O50="","",IF(M50="W","L",M50))</f>
        <v>L</v>
      </c>
      <c r="M52" s="1190"/>
      <c r="N52" s="1190"/>
      <c r="O52" s="1190"/>
      <c r="P52" s="1456">
        <v>2</v>
      </c>
      <c r="Q52" s="459" t="str">
        <f>IF(P51="","",":")</f>
        <v>:</v>
      </c>
      <c r="R52" s="1457">
        <v>3</v>
      </c>
      <c r="S52" s="1456" t="s">
        <v>12172</v>
      </c>
      <c r="T52" s="459" t="str">
        <f>IF(S51="","",":")</f>
        <v>:</v>
      </c>
      <c r="U52" s="1457" t="s">
        <v>12171</v>
      </c>
      <c r="V52" s="458">
        <v>2</v>
      </c>
      <c r="W52" s="459" t="str">
        <f>IF(V51="","",":")</f>
        <v>:</v>
      </c>
      <c r="X52" s="460">
        <v>3</v>
      </c>
      <c r="Y52" s="458">
        <v>3</v>
      </c>
      <c r="Z52" s="459" t="str">
        <f>IF(Y52="","",":")</f>
        <v>:</v>
      </c>
      <c r="AA52" s="460">
        <v>2</v>
      </c>
      <c r="AB52" s="458"/>
      <c r="AC52" s="459" t="str">
        <f>IF(AB52="","",":")</f>
        <v/>
      </c>
      <c r="AD52" s="460"/>
      <c r="AE52" s="1186"/>
      <c r="AF52" s="1187"/>
      <c r="AG52" s="1189"/>
      <c r="AH52" s="1174"/>
    </row>
    <row r="53" spans="1:34" ht="15" x14ac:dyDescent="0.2">
      <c r="A53" s="1163">
        <v>5</v>
      </c>
      <c r="B53" s="1193">
        <v>14</v>
      </c>
      <c r="C53" s="456" t="str">
        <f>IF(B53="","",VLOOKUP(B53,'Списки участников'!A:I,3,FALSE))</f>
        <v>ПЕРФИЛЬЕВ Алексей</v>
      </c>
      <c r="D53" s="1171">
        <f>IF(P45="","",IF(P46="W",0,IF(P45=2,1,IF(P45=1,2,IF(P45=0,2)))))</f>
        <v>1</v>
      </c>
      <c r="E53" s="1172"/>
      <c r="F53" s="1173"/>
      <c r="G53" s="1171">
        <f>IF(P47="","",IF(P48="W",0,IF(P47=2,1,IF(P47=1,2,IF(P47=0,2)))))</f>
        <v>2</v>
      </c>
      <c r="H53" s="1172"/>
      <c r="I53" s="1173"/>
      <c r="J53" s="1171">
        <f>IF(P49="","",IF(P50="W",0,IF(P49=2,1,IF(P49=1,2,IF(P49=0,2)))))</f>
        <v>1</v>
      </c>
      <c r="K53" s="1172"/>
      <c r="L53" s="1173"/>
      <c r="M53" s="1171">
        <f>IF(P51="","",IF(P52="W",0,IF(P51=2,1,IF(P51=1,2,IF(P51=0,2)))))</f>
        <v>2</v>
      </c>
      <c r="N53" s="1172"/>
      <c r="O53" s="1173"/>
      <c r="P53" s="1180"/>
      <c r="Q53" s="1181"/>
      <c r="R53" s="1182"/>
      <c r="S53" s="1171">
        <v>0</v>
      </c>
      <c r="T53" s="1172"/>
      <c r="U53" s="1173"/>
      <c r="V53" s="1171">
        <v>1</v>
      </c>
      <c r="W53" s="1172"/>
      <c r="X53" s="1173"/>
      <c r="Y53" s="1171">
        <v>0</v>
      </c>
      <c r="Z53" s="1172"/>
      <c r="AA53" s="1173"/>
      <c r="AB53" s="1171"/>
      <c r="AC53" s="1172"/>
      <c r="AD53" s="1173"/>
      <c r="AE53" s="1184">
        <f>IF(B53="","",SUM(G53,J53,M53,D53,S53,V53,Y53,AB53,))</f>
        <v>7</v>
      </c>
      <c r="AF53" s="1185"/>
      <c r="AG53" s="1188"/>
      <c r="AH53" s="1174">
        <f>7+16</f>
        <v>23</v>
      </c>
    </row>
    <row r="54" spans="1:34" ht="15" x14ac:dyDescent="0.2">
      <c r="A54" s="1164"/>
      <c r="B54" s="1195"/>
      <c r="C54" s="457" t="str">
        <f>IF(B53="","",VLOOKUP(B53,'Списки участников'!A:I,6,FALSE))</f>
        <v>Барнаул</v>
      </c>
      <c r="D54" s="464">
        <f>IF(P46="","",IF(R46="l","W",R46))</f>
        <v>2</v>
      </c>
      <c r="E54" s="459" t="str">
        <f>IF(Q46="","",":")</f>
        <v>:</v>
      </c>
      <c r="F54" s="465">
        <f>IF(R46="","",IF(P46="W","L",P46))</f>
        <v>3</v>
      </c>
      <c r="G54" s="464">
        <f>IF(P48="","",IF(R48="l","W",R48))</f>
        <v>3</v>
      </c>
      <c r="H54" s="459" t="str">
        <f>IF(Q48="","",":")</f>
        <v>:</v>
      </c>
      <c r="I54" s="465">
        <f>IF(R48="","",IF(P48="W","L",P48))</f>
        <v>1</v>
      </c>
      <c r="J54" s="464">
        <f>IF(P50="","",IF(R50="l","W",R50))</f>
        <v>1</v>
      </c>
      <c r="K54" s="459" t="str">
        <f>IF(Q50="","",":")</f>
        <v>:</v>
      </c>
      <c r="L54" s="465">
        <f>IF(R50="","",IF(P50="W","L",P50))</f>
        <v>3</v>
      </c>
      <c r="M54" s="464">
        <f>IF(P52="","",IF(R52="l","W",R52))</f>
        <v>3</v>
      </c>
      <c r="N54" s="459" t="str">
        <f>IF(Q52="","",":")</f>
        <v>:</v>
      </c>
      <c r="O54" s="465">
        <f>IF(R52="","",IF(P52="W","L",P52))</f>
        <v>2</v>
      </c>
      <c r="P54" s="1183"/>
      <c r="Q54" s="1169"/>
      <c r="R54" s="1170"/>
      <c r="S54" s="1456" t="s">
        <v>12172</v>
      </c>
      <c r="T54" s="459" t="str">
        <f>IF(S53="","",":")</f>
        <v>:</v>
      </c>
      <c r="U54" s="1457" t="s">
        <v>12171</v>
      </c>
      <c r="V54" s="458">
        <v>1</v>
      </c>
      <c r="W54" s="459" t="str">
        <f>IF(V53="","",":")</f>
        <v>:</v>
      </c>
      <c r="X54" s="460">
        <v>3</v>
      </c>
      <c r="Y54" s="1456" t="s">
        <v>12172</v>
      </c>
      <c r="Z54" s="459" t="str">
        <f>IF(Y53="","",":")</f>
        <v>:</v>
      </c>
      <c r="AA54" s="1457" t="s">
        <v>12171</v>
      </c>
      <c r="AB54" s="458"/>
      <c r="AC54" s="459" t="str">
        <f>IF(AB54="","",":")</f>
        <v/>
      </c>
      <c r="AD54" s="460"/>
      <c r="AE54" s="1186"/>
      <c r="AF54" s="1187"/>
      <c r="AG54" s="1189"/>
      <c r="AH54" s="1174"/>
    </row>
    <row r="55" spans="1:34" ht="15" x14ac:dyDescent="0.2">
      <c r="A55" s="1163">
        <v>6</v>
      </c>
      <c r="B55" s="1196">
        <v>20</v>
      </c>
      <c r="C55" s="456" t="str">
        <f>IF(B55="","",VLOOKUP(B55,'Списки участников'!A:I,3,FALSE))</f>
        <v>АВЕРИН Владимир</v>
      </c>
      <c r="D55" s="1171">
        <f>IF(S45="","",IF(S46="W",0,IF(S45=2,1,IF(S45=1,2,IF(S45=0,2)))))</f>
        <v>1</v>
      </c>
      <c r="E55" s="1172"/>
      <c r="F55" s="1173"/>
      <c r="G55" s="1171">
        <f>IF(S47="","",IF(S48="W",0,IF(S47=2,1,IF(S47=1,2,IF(S47=0,2)))))</f>
        <v>1</v>
      </c>
      <c r="H55" s="1172"/>
      <c r="I55" s="1173"/>
      <c r="J55" s="1171">
        <f>IF(S49="","",IF(S50="W",0,IF(S49=2,1,IF(S49=1,2,IF(S49=0,2)))))</f>
        <v>1</v>
      </c>
      <c r="K55" s="1172"/>
      <c r="L55" s="1173"/>
      <c r="M55" s="1171">
        <f>IF(S51="","",IF(S52="W",0,IF(S51=2,1,IF(S51=1,2,IF(S51=0,2)))))</f>
        <v>2</v>
      </c>
      <c r="N55" s="1172"/>
      <c r="O55" s="1173"/>
      <c r="P55" s="1171">
        <f>IF(S53="","",IF(S54="W",0,IF(S53=2,1,IF(S53=1,2,IF(S53=0,2)))))</f>
        <v>2</v>
      </c>
      <c r="Q55" s="1172"/>
      <c r="R55" s="1173"/>
      <c r="S55" s="1180"/>
      <c r="T55" s="1181"/>
      <c r="U55" s="1182"/>
      <c r="V55" s="1171">
        <v>1</v>
      </c>
      <c r="W55" s="1172"/>
      <c r="X55" s="1173"/>
      <c r="Y55" s="1171">
        <v>1</v>
      </c>
      <c r="Z55" s="1172"/>
      <c r="AA55" s="1173"/>
      <c r="AB55" s="1171"/>
      <c r="AC55" s="1172"/>
      <c r="AD55" s="1173"/>
      <c r="AE55" s="1184">
        <f>IF(B55="","",SUM(G55,J55,M55,P55,D55,V55,Y55,AB55,))</f>
        <v>9</v>
      </c>
      <c r="AF55" s="1185"/>
      <c r="AG55" s="1188"/>
      <c r="AH55" s="1174">
        <f>IF(B55="","",RANK(AE55,ГР3О))+16</f>
        <v>22</v>
      </c>
    </row>
    <row r="56" spans="1:34" ht="15" x14ac:dyDescent="0.2">
      <c r="A56" s="1164"/>
      <c r="B56" s="1197"/>
      <c r="C56" s="457" t="str">
        <f>IF(B55="","",VLOOKUP(B55,'Списки участников'!A:I,6,FALSE))</f>
        <v>Коломна</v>
      </c>
      <c r="D56" s="464">
        <f>IF(S46="","",IF(U46="l","W",U46))</f>
        <v>1</v>
      </c>
      <c r="E56" s="459" t="str">
        <f>IF(T46="","",":")</f>
        <v>:</v>
      </c>
      <c r="F56" s="465">
        <f>IF(U46="","",IF(S46="W","L",S46))</f>
        <v>3</v>
      </c>
      <c r="G56" s="464">
        <f>IF(S48="","",IF(U48="l","W",U48))</f>
        <v>0</v>
      </c>
      <c r="H56" s="459" t="str">
        <f>IF(Q48="","",":")</f>
        <v>:</v>
      </c>
      <c r="I56" s="465">
        <f>IF(U48="","",IF(S48="W","L",S48))</f>
        <v>3</v>
      </c>
      <c r="J56" s="464">
        <f>IF(S50="","",IF(U50="l","W",U50))</f>
        <v>0</v>
      </c>
      <c r="K56" s="459" t="str">
        <f>IF(T50="","",":")</f>
        <v>:</v>
      </c>
      <c r="L56" s="465">
        <f>IF(U50="","",IF(S50="W","L",S50))</f>
        <v>3</v>
      </c>
      <c r="M56" s="464" t="str">
        <f>IF(S52="","",IF(U52="l","W",U52))</f>
        <v>W</v>
      </c>
      <c r="N56" s="459" t="str">
        <f>IF(T52="","",":")</f>
        <v>:</v>
      </c>
      <c r="O56" s="465" t="str">
        <f>IF(U52="","",IF(S52="W","L",S52))</f>
        <v>L</v>
      </c>
      <c r="P56" s="1458" t="s">
        <v>12171</v>
      </c>
      <c r="Q56" s="459" t="str">
        <f>IF(T54="","",":")</f>
        <v>:</v>
      </c>
      <c r="R56" s="1459" t="s">
        <v>12172</v>
      </c>
      <c r="S56" s="1183"/>
      <c r="T56" s="1169"/>
      <c r="U56" s="1170"/>
      <c r="V56" s="458">
        <v>0</v>
      </c>
      <c r="W56" s="459" t="str">
        <f>IF(V55="","",":")</f>
        <v>:</v>
      </c>
      <c r="X56" s="460">
        <v>3</v>
      </c>
      <c r="Y56" s="458">
        <v>0</v>
      </c>
      <c r="Z56" s="459" t="str">
        <f>IF(Y55="","",":")</f>
        <v>:</v>
      </c>
      <c r="AA56" s="460">
        <v>3</v>
      </c>
      <c r="AB56" s="458"/>
      <c r="AC56" s="459" t="str">
        <f>IF(AB55="","",":")</f>
        <v/>
      </c>
      <c r="AD56" s="460"/>
      <c r="AE56" s="1186"/>
      <c r="AF56" s="1187"/>
      <c r="AG56" s="1189"/>
      <c r="AH56" s="1174"/>
    </row>
    <row r="57" spans="1:34" ht="15" x14ac:dyDescent="0.2">
      <c r="A57" s="1163">
        <v>7</v>
      </c>
      <c r="B57" s="1196">
        <v>27</v>
      </c>
      <c r="C57" s="456" t="str">
        <f>IF(B57="","",VLOOKUP(B57,'Списки участников'!A:I,3,FALSE))</f>
        <v>АВЕРИН Тимофей</v>
      </c>
      <c r="D57" s="1171">
        <f>IF(V45="","",IF(V46="W",0,IF(V45=2,1,IF(V45=1,2,IF(V45=0,2)))))</f>
        <v>1</v>
      </c>
      <c r="E57" s="1172"/>
      <c r="F57" s="1173"/>
      <c r="G57" s="1171">
        <f>IF(V47="","",IF(V48="W",0,IF(V47=2,1,IF(V47=1,2,IF(V47=0,2)))))</f>
        <v>1</v>
      </c>
      <c r="H57" s="1172"/>
      <c r="I57" s="1173"/>
      <c r="J57" s="1171">
        <f>IF(V49="","",IF(V50="W",0,IF(V49=2,1,IF(V49=1,2,IF(V49=0,2)))))</f>
        <v>1</v>
      </c>
      <c r="K57" s="1172"/>
      <c r="L57" s="1173"/>
      <c r="M57" s="1171">
        <f>IF(V51="","",IF(V52="W",0,IF(V51=2,1,IF(V51=1,2,IF(V51=0,2)))))</f>
        <v>2</v>
      </c>
      <c r="N57" s="1172"/>
      <c r="O57" s="1173"/>
      <c r="P57" s="1171">
        <f>IF(V53="","",IF(V54="W",0,IF(V53=2,1,IF(V53=1,2,IF(V53=0,2)))))</f>
        <v>2</v>
      </c>
      <c r="Q57" s="1172"/>
      <c r="R57" s="1173"/>
      <c r="S57" s="1171">
        <f>IF(V55="","",IF(V56="W",0,IF(V55=2,1,IF(V55=1,2,IF(V55=0,2)))))</f>
        <v>2</v>
      </c>
      <c r="T57" s="1172"/>
      <c r="U57" s="1173"/>
      <c r="V57" s="1191"/>
      <c r="W57" s="1167"/>
      <c r="X57" s="1168"/>
      <c r="Y57" s="1171">
        <v>1</v>
      </c>
      <c r="Z57" s="1172"/>
      <c r="AA57" s="1173"/>
      <c r="AB57" s="1171"/>
      <c r="AC57" s="1172"/>
      <c r="AD57" s="1173"/>
      <c r="AE57" s="1184">
        <f>IF(B57="","",SUM(G57,J57,M57,P57,S57,D57,Y57,AB57,))</f>
        <v>10</v>
      </c>
      <c r="AF57" s="1185"/>
      <c r="AG57" s="1188"/>
      <c r="AH57" s="1174">
        <f>5+16</f>
        <v>21</v>
      </c>
    </row>
    <row r="58" spans="1:34" ht="15" x14ac:dyDescent="0.2">
      <c r="A58" s="1164"/>
      <c r="B58" s="1197"/>
      <c r="C58" s="457" t="str">
        <f>IF(B57="","",VLOOKUP(B57,'Списки участников'!A:I,6,FALSE))</f>
        <v>Москва</v>
      </c>
      <c r="D58" s="464">
        <f>IF(V46="","",IF(X46="l","W",X46))</f>
        <v>0</v>
      </c>
      <c r="E58" s="459" t="str">
        <f>IF(W46="","",":")</f>
        <v>:</v>
      </c>
      <c r="F58" s="465">
        <f>IF(X46="","",IF(V46="W","L",V46))</f>
        <v>3</v>
      </c>
      <c r="G58" s="464">
        <f>IF(V48="","",IF(X48="l","W",X48))</f>
        <v>0</v>
      </c>
      <c r="H58" s="459" t="str">
        <f>IF(W48="","",":")</f>
        <v>:</v>
      </c>
      <c r="I58" s="465">
        <f>IF(X48="","",IF(V48="W","L",V48))</f>
        <v>3</v>
      </c>
      <c r="J58" s="464">
        <f>IF(V50="","",IF(X50="l","W",X50))</f>
        <v>0</v>
      </c>
      <c r="K58" s="459" t="str">
        <f>IF(W50="","",":")</f>
        <v>:</v>
      </c>
      <c r="L58" s="465">
        <f>IF(X50="","",IF(V50="W","L",V50))</f>
        <v>3</v>
      </c>
      <c r="M58" s="464">
        <f>IF(V52="","",IF(X52="l","W",X52))</f>
        <v>3</v>
      </c>
      <c r="N58" s="459" t="str">
        <f>IF(W52="","",":")</f>
        <v>:</v>
      </c>
      <c r="O58" s="465">
        <f>IF(X52="","",IF(V52="W","L",V52))</f>
        <v>2</v>
      </c>
      <c r="P58" s="464">
        <f>IF(V54="","",IF(X54="l","W",X54))</f>
        <v>3</v>
      </c>
      <c r="Q58" s="459" t="str">
        <f>IF(W54="","",":")</f>
        <v>:</v>
      </c>
      <c r="R58" s="465">
        <f>IF(X54="","",IF(V54="W","L",V54))</f>
        <v>1</v>
      </c>
      <c r="S58" s="464">
        <f>IF(V56="","",IF(X56="l","W",X56))</f>
        <v>3</v>
      </c>
      <c r="T58" s="459" t="str">
        <f>IF(W56="","",":")</f>
        <v>:</v>
      </c>
      <c r="U58" s="465">
        <f>IF(X56="","",IF(V56="W","L",V56))</f>
        <v>0</v>
      </c>
      <c r="V58" s="1183"/>
      <c r="W58" s="1169"/>
      <c r="X58" s="1170"/>
      <c r="Y58" s="458">
        <v>0</v>
      </c>
      <c r="Z58" s="459" t="str">
        <f>IF(Y57="","",":")</f>
        <v>:</v>
      </c>
      <c r="AA58" s="460">
        <v>3</v>
      </c>
      <c r="AB58" s="458"/>
      <c r="AC58" s="459" t="str">
        <f>IF(AB57="","",":")</f>
        <v/>
      </c>
      <c r="AD58" s="460"/>
      <c r="AE58" s="1186"/>
      <c r="AF58" s="1187"/>
      <c r="AG58" s="1189"/>
      <c r="AH58" s="1174"/>
    </row>
    <row r="59" spans="1:34" ht="15" x14ac:dyDescent="0.2">
      <c r="A59" s="1163">
        <v>8</v>
      </c>
      <c r="B59" s="1196">
        <v>19</v>
      </c>
      <c r="C59" s="456" t="str">
        <f>IF(B59="","",VLOOKUP(B59,'Списки участников'!A:I,3,FALSE))</f>
        <v>ПОРТНОВ Фадей</v>
      </c>
      <c r="D59" s="1171">
        <f>IF(Y45="","",IF(Y46="W",0,IF(Y45=2,1,IF(Y45=1,2,IF(Y45=0,2)))))</f>
        <v>2</v>
      </c>
      <c r="E59" s="1172"/>
      <c r="F59" s="1173"/>
      <c r="G59" s="1171">
        <f>IF(Y47="","",IF(Y48="W",0,IF(Y47=2,1,IF(Y47=1,2,IF(Y47=0,2)))))</f>
        <v>2</v>
      </c>
      <c r="H59" s="1172"/>
      <c r="I59" s="1173"/>
      <c r="J59" s="1171">
        <f>IF(Y49="","",IF(Y50="W",0,IF(Y49=2,1,IF(Y49=1,2,IF(Y49=0,2)))))</f>
        <v>2</v>
      </c>
      <c r="K59" s="1172"/>
      <c r="L59" s="1173"/>
      <c r="M59" s="1171">
        <f>IF(Y51="","",IF(Y52="W",0,IF(Y51=2,1,IF(Y51=1,2,IF(Y51=0,2)))))</f>
        <v>1</v>
      </c>
      <c r="N59" s="1172"/>
      <c r="O59" s="1173"/>
      <c r="P59" s="1171">
        <f>IF(Y53="","",IF(Y54="W",0,IF(Y53=2,1,IF(Y53=1,2,IF(Y53=0,2)))))</f>
        <v>2</v>
      </c>
      <c r="Q59" s="1172"/>
      <c r="R59" s="1173"/>
      <c r="S59" s="1171">
        <f>IF(Y55="","",IF(Y56="W",0,IF(Y55=2,1,IF(Y55=1,2,IF(Y55=0,2)))))</f>
        <v>2</v>
      </c>
      <c r="T59" s="1172"/>
      <c r="U59" s="1173"/>
      <c r="V59" s="1171">
        <f>IF(Y57="","",IF(Y58="W",0,IF(Y57=2,1,IF(Y57=1,2,IF(Y57=0,2)))))</f>
        <v>2</v>
      </c>
      <c r="W59" s="1172"/>
      <c r="X59" s="1173"/>
      <c r="Y59" s="1180"/>
      <c r="Z59" s="1181"/>
      <c r="AA59" s="1182"/>
      <c r="AB59" s="1171"/>
      <c r="AC59" s="1172"/>
      <c r="AD59" s="1173"/>
      <c r="AE59" s="1184">
        <f>IF(B59="","",SUM(G59,J59,M59,P59,S59,V59,D59,AB59,))</f>
        <v>13</v>
      </c>
      <c r="AF59" s="1185"/>
      <c r="AG59" s="1188"/>
      <c r="AH59" s="1174">
        <f>IF(B59="","",RANK(AE59,ГР3О))+16</f>
        <v>17</v>
      </c>
    </row>
    <row r="60" spans="1:34" ht="15" x14ac:dyDescent="0.2">
      <c r="A60" s="1164"/>
      <c r="B60" s="1197"/>
      <c r="C60" s="457" t="str">
        <f>IF(B59="","",VLOOKUP(B59,'Списки участников'!A:I,6,FALSE))</f>
        <v>Москва</v>
      </c>
      <c r="D60" s="464">
        <f>IF(Y46="","",IF(AA46="l","W",AA46))</f>
        <v>3</v>
      </c>
      <c r="E60" s="459" t="str">
        <f>IF(Z46="","",":")</f>
        <v>:</v>
      </c>
      <c r="F60" s="465">
        <f>IF(AA46="","",IF(Y46="W","L",Y46))</f>
        <v>2</v>
      </c>
      <c r="G60" s="464">
        <f>IF(Y48="","",IF(AA48="l","W",AA48))</f>
        <v>3</v>
      </c>
      <c r="H60" s="459" t="str">
        <f>IF(Z48="","",":")</f>
        <v>:</v>
      </c>
      <c r="I60" s="465">
        <f>IF(AA48="","",IF(Y48="W","L",Y48))</f>
        <v>1</v>
      </c>
      <c r="J60" s="464">
        <f>IF(Y50="","",IF(AA50="l","W",AA50))</f>
        <v>3</v>
      </c>
      <c r="K60" s="459" t="str">
        <f>IF(Z50="","",":")</f>
        <v>:</v>
      </c>
      <c r="L60" s="465">
        <f>IF(AA50="","",IF(Y50="W","L",Y50))</f>
        <v>1</v>
      </c>
      <c r="M60" s="464">
        <f>IF(Y52="","",IF(AA52="l","W",AA52))</f>
        <v>2</v>
      </c>
      <c r="N60" s="459" t="str">
        <f>IF(Z52="","",":")</f>
        <v>:</v>
      </c>
      <c r="O60" s="465">
        <f>IF(AA52="","",IF(Y52="W","L",Y52))</f>
        <v>3</v>
      </c>
      <c r="P60" s="1458" t="s">
        <v>12171</v>
      </c>
      <c r="Q60" s="459" t="str">
        <f>IF(Z54="","",":")</f>
        <v>:</v>
      </c>
      <c r="R60" s="1459" t="s">
        <v>12172</v>
      </c>
      <c r="S60" s="464">
        <f>IF(Y56="","",IF(AA56="l","W",AA56))</f>
        <v>3</v>
      </c>
      <c r="T60" s="459" t="str">
        <f>IF(Z56="","",":")</f>
        <v>:</v>
      </c>
      <c r="U60" s="465">
        <f>IF(AA56="","",IF(Y56="W","L",Y56))</f>
        <v>0</v>
      </c>
      <c r="V60" s="464">
        <f>IF(Y58="","",IF(AA58="l","W",AA58))</f>
        <v>3</v>
      </c>
      <c r="W60" s="459" t="str">
        <f>IF(Z58="","",":")</f>
        <v>:</v>
      </c>
      <c r="X60" s="465">
        <f>IF(AA58="","",IF(Y58="W","L",Y58))</f>
        <v>0</v>
      </c>
      <c r="Y60" s="1183"/>
      <c r="Z60" s="1169"/>
      <c r="AA60" s="1170"/>
      <c r="AB60" s="458"/>
      <c r="AC60" s="459" t="str">
        <f>IF(AB59="","",":")</f>
        <v/>
      </c>
      <c r="AD60" s="460"/>
      <c r="AE60" s="1186"/>
      <c r="AF60" s="1187"/>
      <c r="AG60" s="1189"/>
      <c r="AH60" s="1174"/>
    </row>
    <row r="61" spans="1:34" ht="15" hidden="1" outlineLevel="1" x14ac:dyDescent="0.2">
      <c r="A61">
        <v>163.83000000000001</v>
      </c>
      <c r="B61" s="1163">
        <v>9</v>
      </c>
      <c r="C61" s="937">
        <f>жеребьевка!L20</f>
        <v>0</v>
      </c>
      <c r="D61" s="456" t="str">
        <f>IF(B61="","",VLOOKUP(B61,'Списки участников'!A:I,3,FALSE))</f>
        <v>САВЕЛЬЕВ Никита</v>
      </c>
      <c r="E61" s="941" t="str">
        <f>IF(AB45="","",IF(AB46="W",0,IF(AB45=2,1,IF(AB45=1,2,IF(AB45=0,2)))))</f>
        <v/>
      </c>
      <c r="F61" s="935"/>
      <c r="G61" s="1173"/>
      <c r="H61" s="1171" t="str">
        <f>IF(AB47="","",IF(AB48="W",0,IF(AB47=2,1,IF(AB47=1,2,IF(AB47=0,2)))))</f>
        <v/>
      </c>
      <c r="I61" s="1172"/>
      <c r="J61" s="1173"/>
      <c r="K61" s="1171" t="str">
        <f>IF(AB49="","",IF(AB50="W",0,IF(AB49=2,1,IF(AB49=1,2,IF(AB49=0,2)))))</f>
        <v/>
      </c>
      <c r="L61" s="1172"/>
      <c r="M61" s="1173"/>
      <c r="N61" s="1171" t="str">
        <f>IF(AB51="","",IF(AB52="W",0,IF(AB51=2,1,IF(AB51=1,2,IF(AB51=0,2)))))</f>
        <v/>
      </c>
      <c r="O61" s="1172"/>
      <c r="P61" s="1173"/>
      <c r="Q61" s="1171" t="str">
        <f>IF(AB53="","",IF(AB54="W",0,IF(AB53=2,1,IF(AB53=1,2,IF(AB53=0,2)))))</f>
        <v/>
      </c>
      <c r="R61" s="1172"/>
      <c r="S61" s="1173"/>
      <c r="T61" s="1171" t="str">
        <f>IF(AB55="","",IF(AB56="W",0,IF(AB55=2,1,IF(AB55=1,2,IF(AB55=0,2)))))</f>
        <v/>
      </c>
      <c r="U61" s="1172"/>
      <c r="V61" s="1173"/>
      <c r="W61" s="1171" t="str">
        <f>IF(AB57="","",IF(AB58="W",0,IF(AB57=2,1,IF(AB57=1,2,IF(AB57=0,2)))))</f>
        <v/>
      </c>
      <c r="X61" s="1172"/>
      <c r="Y61" s="1173"/>
      <c r="Z61" s="1171" t="str">
        <f>IF(AB59="","",IF(AB60="W",0,IF(AB59=2,1,IF(AB59=1,2,IF(AB59=0,2)))))</f>
        <v/>
      </c>
      <c r="AA61" s="1172"/>
      <c r="AB61" s="1173"/>
      <c r="AC61" s="1191"/>
      <c r="AD61" s="1167"/>
      <c r="AE61" s="1168"/>
      <c r="AF61" s="1184">
        <f>IF(B61="","",SUM(G61,J61,M61,P61,S61,V61,Y61,D61,))</f>
        <v>0</v>
      </c>
      <c r="AG61" s="1185"/>
      <c r="AH61" s="1188"/>
    </row>
    <row r="62" spans="1:34" ht="15" hidden="1" outlineLevel="1" x14ac:dyDescent="0.2">
      <c r="A62" s="936"/>
      <c r="B62" s="1166"/>
      <c r="C62" s="457" t="str">
        <f>IF(B61="","",VLOOKUP(B61,'Списки участников'!A:I,6,FALSE))</f>
        <v>Москва</v>
      </c>
      <c r="D62" s="464" t="str">
        <f>IF(AB46="","",IF(AD46="l","W",AD46))</f>
        <v/>
      </c>
      <c r="E62" s="459" t="str">
        <f>IF(AC46="","",":")</f>
        <v/>
      </c>
      <c r="F62" s="465" t="str">
        <f>IF(AD46="","",IF(AB46="W","L",AB46))</f>
        <v/>
      </c>
      <c r="G62" s="464" t="str">
        <f>IF(AB48="","",IF(AD48="l","W",AD48))</f>
        <v/>
      </c>
      <c r="H62" s="459" t="str">
        <f>IF(AC48="","",":")</f>
        <v/>
      </c>
      <c r="I62" s="465" t="str">
        <f>IF(AD48="","",IF(AB48="W","L",AB48))</f>
        <v/>
      </c>
      <c r="J62" s="464" t="str">
        <f>IF(AB50="","",IF(AD50="l","W",AD50))</f>
        <v/>
      </c>
      <c r="K62" s="459" t="str">
        <f>IF(AC50="","",":")</f>
        <v/>
      </c>
      <c r="L62" s="465" t="str">
        <f>IF(AD50="","",IF(AB50="W","L",AB50))</f>
        <v/>
      </c>
      <c r="M62" s="464" t="str">
        <f>IF(AB52="","",IF(AD52="l","W",AD52))</f>
        <v/>
      </c>
      <c r="N62" s="459" t="str">
        <f>IF(AC52="","",":")</f>
        <v/>
      </c>
      <c r="O62" s="465" t="str">
        <f>IF(AD52="","",IF(AB52="W","L",AB52))</f>
        <v/>
      </c>
      <c r="P62" s="464" t="str">
        <f>IF(AB54="","",IF(AD54="l","W",AD54))</f>
        <v/>
      </c>
      <c r="Q62" s="459" t="str">
        <f>IF(AC54="","",":")</f>
        <v/>
      </c>
      <c r="R62" s="465" t="str">
        <f>IF(AD54="","",IF(AB54="W","L",AB54))</f>
        <v/>
      </c>
      <c r="S62" s="464" t="str">
        <f>IF(AB56="","",IF(AD56="l","W",AD56))</f>
        <v/>
      </c>
      <c r="T62" s="459" t="str">
        <f>IF(AC56="","",":")</f>
        <v/>
      </c>
      <c r="U62" s="465" t="str">
        <f>IF(AD56="","",IF(AB56="W","L",AB56))</f>
        <v/>
      </c>
      <c r="V62" s="464" t="str">
        <f>IF(AB58="","",IF(AD58="l","W",AD58))</f>
        <v/>
      </c>
      <c r="W62" s="459" t="str">
        <f>IF(AC58="","",":")</f>
        <v/>
      </c>
      <c r="X62" s="465" t="str">
        <f>IF(AD58="","",IF(AB58="W","L",AB58))</f>
        <v/>
      </c>
      <c r="Y62" s="464" t="str">
        <f>IF(AB60="","",IF(AD60="l","W",AD60))</f>
        <v/>
      </c>
      <c r="Z62" s="459" t="str">
        <f>IF(AC60="","",":")</f>
        <v/>
      </c>
      <c r="AA62" s="465" t="str">
        <f>IF(AD60="","",IF(AB60="W","L",AB60))</f>
        <v/>
      </c>
      <c r="AB62" s="1183"/>
      <c r="AC62" s="1169"/>
      <c r="AD62" s="1170"/>
      <c r="AE62" s="1186"/>
      <c r="AF62" s="1187"/>
      <c r="AG62" s="1189"/>
      <c r="AH62" s="1174"/>
    </row>
    <row r="63" spans="1:34" ht="15.75" collapsed="1" x14ac:dyDescent="0.25">
      <c r="A63" s="135"/>
      <c r="B63" s="135"/>
      <c r="C63" s="954" t="s">
        <v>765</v>
      </c>
      <c r="D63" s="135"/>
      <c r="E63" s="135"/>
      <c r="F63" s="135"/>
      <c r="G63" s="1192" t="s">
        <v>9453</v>
      </c>
      <c r="H63" s="1192"/>
      <c r="I63" s="1192"/>
      <c r="J63" s="1192"/>
      <c r="K63" s="1192"/>
      <c r="L63" s="1192"/>
      <c r="M63" s="1192"/>
      <c r="N63" s="1192"/>
      <c r="O63" s="1192"/>
      <c r="P63" s="1192"/>
      <c r="Q63" s="1192"/>
      <c r="R63" s="1192"/>
      <c r="S63" s="1192"/>
      <c r="T63" s="1192"/>
      <c r="U63" s="1192"/>
      <c r="V63" s="1192"/>
      <c r="W63" s="1192"/>
      <c r="X63" s="1192"/>
      <c r="Y63" s="1192"/>
      <c r="Z63" s="1192"/>
      <c r="AA63" s="1192"/>
      <c r="AB63" s="135"/>
      <c r="AC63" s="135"/>
      <c r="AD63" s="135"/>
      <c r="AE63" s="135"/>
      <c r="AF63" s="135"/>
      <c r="AG63" s="135"/>
      <c r="AH63" s="135"/>
    </row>
    <row r="64" spans="1:34" ht="15" x14ac:dyDescent="0.2">
      <c r="A64" s="136" t="s">
        <v>3</v>
      </c>
      <c r="B64" s="938"/>
      <c r="C64" s="138" t="s">
        <v>788</v>
      </c>
      <c r="D64" s="1158">
        <v>1</v>
      </c>
      <c r="E64" s="1159"/>
      <c r="F64" s="1160"/>
      <c r="G64" s="1158">
        <v>2</v>
      </c>
      <c r="H64" s="1159"/>
      <c r="I64" s="1160"/>
      <c r="J64" s="1158">
        <v>3</v>
      </c>
      <c r="K64" s="1159"/>
      <c r="L64" s="1160"/>
      <c r="M64" s="1158">
        <v>4</v>
      </c>
      <c r="N64" s="1159"/>
      <c r="O64" s="1160"/>
      <c r="P64" s="1158">
        <v>5</v>
      </c>
      <c r="Q64" s="1159"/>
      <c r="R64" s="1160"/>
      <c r="S64" s="1158">
        <v>6</v>
      </c>
      <c r="T64" s="1159"/>
      <c r="U64" s="1160"/>
      <c r="V64" s="1158">
        <v>7</v>
      </c>
      <c r="W64" s="1159"/>
      <c r="X64" s="1160"/>
      <c r="Y64" s="1158">
        <v>8</v>
      </c>
      <c r="Z64" s="1159"/>
      <c r="AA64" s="1160"/>
      <c r="AB64" s="1158">
        <v>9</v>
      </c>
      <c r="AC64" s="1159"/>
      <c r="AD64" s="1160"/>
      <c r="AE64" s="1161" t="s">
        <v>789</v>
      </c>
      <c r="AF64" s="1162"/>
      <c r="AG64" s="939" t="s">
        <v>790</v>
      </c>
      <c r="AH64" s="455" t="s">
        <v>100</v>
      </c>
    </row>
    <row r="65" spans="1:34" ht="15" x14ac:dyDescent="0.2">
      <c r="A65" s="1163">
        <v>1</v>
      </c>
      <c r="B65" s="1165">
        <v>32</v>
      </c>
      <c r="C65" s="456" t="str">
        <f>IF(B65="","",VLOOKUP(B65,'Списки участников'!A:I,3,FALSE))</f>
        <v>САТДАРОВ Артем</v>
      </c>
      <c r="D65" s="1167"/>
      <c r="E65" s="1167"/>
      <c r="F65" s="1168"/>
      <c r="G65" s="1171">
        <v>2</v>
      </c>
      <c r="H65" s="1172"/>
      <c r="I65" s="1173"/>
      <c r="J65" s="1171">
        <v>2</v>
      </c>
      <c r="K65" s="1172"/>
      <c r="L65" s="1173"/>
      <c r="M65" s="1171">
        <v>2</v>
      </c>
      <c r="N65" s="1172"/>
      <c r="O65" s="1173"/>
      <c r="P65" s="1171">
        <v>2</v>
      </c>
      <c r="Q65" s="1172"/>
      <c r="R65" s="1173"/>
      <c r="S65" s="1171">
        <v>2</v>
      </c>
      <c r="T65" s="1172"/>
      <c r="U65" s="1173"/>
      <c r="V65" s="1171">
        <v>2</v>
      </c>
      <c r="W65" s="1172"/>
      <c r="X65" s="1173"/>
      <c r="Y65" s="1171">
        <v>1</v>
      </c>
      <c r="Z65" s="1172"/>
      <c r="AA65" s="1173"/>
      <c r="AB65" s="1171"/>
      <c r="AC65" s="1172"/>
      <c r="AD65" s="1173"/>
      <c r="AE65" s="1184">
        <f>IF(B65="","",SUM(G65,J65,M65,P65,S65,V65,Y65,AB65,))</f>
        <v>13</v>
      </c>
      <c r="AF65" s="1185"/>
      <c r="AG65" s="1175"/>
      <c r="AH65" s="1174">
        <f>IF(B65="","",RANK(AE65,ГР4О))+24</f>
        <v>25</v>
      </c>
    </row>
    <row r="66" spans="1:34" ht="15" x14ac:dyDescent="0.2">
      <c r="A66" s="1164"/>
      <c r="B66" s="1166"/>
      <c r="C66" s="457" t="str">
        <f>IF(B65="","",VLOOKUP(B65,'Списки участников'!A:I,6,FALSE))</f>
        <v>Москва</v>
      </c>
      <c r="D66" s="1169"/>
      <c r="E66" s="1169"/>
      <c r="F66" s="1170"/>
      <c r="G66" s="458">
        <v>3</v>
      </c>
      <c r="H66" s="459" t="str">
        <f>IF(G65="","",":")</f>
        <v>:</v>
      </c>
      <c r="I66" s="460">
        <v>2</v>
      </c>
      <c r="J66" s="458">
        <v>3</v>
      </c>
      <c r="K66" s="459" t="str">
        <f>IF(J65="","",":")</f>
        <v>:</v>
      </c>
      <c r="L66" s="460">
        <v>0</v>
      </c>
      <c r="M66" s="458">
        <v>3</v>
      </c>
      <c r="N66" s="459" t="str">
        <f>IF(M66="","",":")</f>
        <v>:</v>
      </c>
      <c r="O66" s="460">
        <v>2</v>
      </c>
      <c r="P66" s="458">
        <v>3</v>
      </c>
      <c r="Q66" s="459" t="str">
        <f>IF(P66="","",":")</f>
        <v>:</v>
      </c>
      <c r="R66" s="460">
        <v>1</v>
      </c>
      <c r="S66" s="1456" t="s">
        <v>12171</v>
      </c>
      <c r="T66" s="459" t="str">
        <f>IF(S66="","",":")</f>
        <v>:</v>
      </c>
      <c r="U66" s="1457" t="s">
        <v>12172</v>
      </c>
      <c r="V66" s="458">
        <v>3</v>
      </c>
      <c r="W66" s="459" t="str">
        <f>IF(V66="","",":")</f>
        <v>:</v>
      </c>
      <c r="X66" s="460">
        <v>2</v>
      </c>
      <c r="Y66" s="458">
        <v>0</v>
      </c>
      <c r="Z66" s="459" t="str">
        <f>IF(Y66="","",":")</f>
        <v>:</v>
      </c>
      <c r="AA66" s="460">
        <v>3</v>
      </c>
      <c r="AB66" s="458"/>
      <c r="AC66" s="459" t="str">
        <f>IF(AB66="","",":")</f>
        <v/>
      </c>
      <c r="AD66" s="460"/>
      <c r="AE66" s="1186"/>
      <c r="AF66" s="1187"/>
      <c r="AG66" s="1176"/>
      <c r="AH66" s="1174"/>
    </row>
    <row r="67" spans="1:34" ht="15" x14ac:dyDescent="0.2">
      <c r="A67" s="1163">
        <v>2</v>
      </c>
      <c r="B67" s="1165">
        <v>43</v>
      </c>
      <c r="C67" s="456" t="str">
        <f>IF(B67="","",VLOOKUP(B67,'Списки участников'!A:I,3,FALSE))</f>
        <v>ПОДЛАЗОВ Владислав</v>
      </c>
      <c r="D67" s="1177">
        <f>IF(G65="","",IF(G66="W",0,IF(G65=2,1,IF(G65=1,2,IF(G65=0,2)))))</f>
        <v>1</v>
      </c>
      <c r="E67" s="1178"/>
      <c r="F67" s="1179"/>
      <c r="G67" s="1180"/>
      <c r="H67" s="1181"/>
      <c r="I67" s="1182"/>
      <c r="J67" s="1171">
        <v>1</v>
      </c>
      <c r="K67" s="1172"/>
      <c r="L67" s="1173"/>
      <c r="M67" s="1171">
        <v>1</v>
      </c>
      <c r="N67" s="1172"/>
      <c r="O67" s="1173"/>
      <c r="P67" s="1171">
        <v>1</v>
      </c>
      <c r="Q67" s="1172"/>
      <c r="R67" s="1173"/>
      <c r="S67" s="1171">
        <v>2</v>
      </c>
      <c r="T67" s="1172"/>
      <c r="U67" s="1173"/>
      <c r="V67" s="1171">
        <v>2</v>
      </c>
      <c r="W67" s="1172"/>
      <c r="X67" s="1173"/>
      <c r="Y67" s="1171">
        <v>1</v>
      </c>
      <c r="Z67" s="1172"/>
      <c r="AA67" s="1173"/>
      <c r="AB67" s="1171"/>
      <c r="AC67" s="1172"/>
      <c r="AD67" s="1173"/>
      <c r="AE67" s="1184">
        <f>IF(B67="","",SUM(D67,J67,M67,P67,S67,V67,Y67,AB67,))</f>
        <v>9</v>
      </c>
      <c r="AF67" s="1185"/>
      <c r="AG67" s="1175"/>
      <c r="AH67" s="1174">
        <f>IF(B67="","",RANK(AE67,ГР4О))+24</f>
        <v>30</v>
      </c>
    </row>
    <row r="68" spans="1:34" ht="15" x14ac:dyDescent="0.2">
      <c r="A68" s="1164"/>
      <c r="B68" s="1166"/>
      <c r="C68" s="457" t="str">
        <f>IF(B67="","",VLOOKUP(B67,'Списки участников'!A:I,6,FALSE))</f>
        <v>Москва</v>
      </c>
      <c r="D68" s="461">
        <f>IF(G66="","",IF(I66="l","W",I66))</f>
        <v>2</v>
      </c>
      <c r="E68" s="462" t="str">
        <f>IF(G65="","",":")</f>
        <v>:</v>
      </c>
      <c r="F68" s="463">
        <f>IF(I66="","",IF(G66="W","L",G66))</f>
        <v>3</v>
      </c>
      <c r="G68" s="1183"/>
      <c r="H68" s="1169"/>
      <c r="I68" s="1170"/>
      <c r="J68" s="458">
        <v>2</v>
      </c>
      <c r="K68" s="459" t="str">
        <f>IF(J67="","",":")</f>
        <v>:</v>
      </c>
      <c r="L68" s="460">
        <v>3</v>
      </c>
      <c r="M68" s="458">
        <v>1</v>
      </c>
      <c r="N68" s="459" t="str">
        <f>IF(M67="","",":")</f>
        <v>:</v>
      </c>
      <c r="O68" s="460">
        <v>3</v>
      </c>
      <c r="P68" s="458">
        <v>1</v>
      </c>
      <c r="Q68" s="459" t="str">
        <f>IF(P67="","",":")</f>
        <v>:</v>
      </c>
      <c r="R68" s="460">
        <v>3</v>
      </c>
      <c r="S68" s="1456" t="s">
        <v>12171</v>
      </c>
      <c r="T68" s="459" t="str">
        <f>IF(S68="","",":")</f>
        <v>:</v>
      </c>
      <c r="U68" s="1457" t="s">
        <v>12172</v>
      </c>
      <c r="V68" s="1456" t="s">
        <v>12171</v>
      </c>
      <c r="W68" s="459" t="str">
        <f>IF(V68="","",":")</f>
        <v>:</v>
      </c>
      <c r="X68" s="1457" t="s">
        <v>12172</v>
      </c>
      <c r="Y68" s="458">
        <v>0</v>
      </c>
      <c r="Z68" s="459" t="str">
        <f>IF(Y68="","",":")</f>
        <v>:</v>
      </c>
      <c r="AA68" s="460">
        <v>3</v>
      </c>
      <c r="AB68" s="458"/>
      <c r="AC68" s="459" t="str">
        <f>IF(AB68="","",":")</f>
        <v/>
      </c>
      <c r="AD68" s="460"/>
      <c r="AE68" s="1186"/>
      <c r="AF68" s="1187"/>
      <c r="AG68" s="1176"/>
      <c r="AH68" s="1174"/>
    </row>
    <row r="69" spans="1:34" ht="15" x14ac:dyDescent="0.2">
      <c r="A69" s="1163">
        <v>3</v>
      </c>
      <c r="B69" s="1165">
        <v>28</v>
      </c>
      <c r="C69" s="456" t="str">
        <f>IF(B69="","",VLOOKUP(B69,'Списки участников'!A:I,3,FALSE))</f>
        <v>НИКИШАЕВ Матвей</v>
      </c>
      <c r="D69" s="1177">
        <f>IF(J65="","",IF(J66="W",0,IF(J65=2,1,IF(J65=1,2,IF(J65=0,2)))))</f>
        <v>1</v>
      </c>
      <c r="E69" s="1178"/>
      <c r="F69" s="1179"/>
      <c r="G69" s="1171">
        <f>IF(J67="","",IF(J68="W",0,IF(J67=2,1,IF(J67=1,2,IF(J67=0,2)))))</f>
        <v>2</v>
      </c>
      <c r="H69" s="1172"/>
      <c r="I69" s="1173"/>
      <c r="J69" s="1180"/>
      <c r="K69" s="1181"/>
      <c r="L69" s="1182"/>
      <c r="M69" s="1171">
        <v>2</v>
      </c>
      <c r="N69" s="1172"/>
      <c r="O69" s="1173"/>
      <c r="P69" s="1171">
        <v>2</v>
      </c>
      <c r="Q69" s="1172"/>
      <c r="R69" s="1173"/>
      <c r="S69" s="1171">
        <v>2</v>
      </c>
      <c r="T69" s="1172"/>
      <c r="U69" s="1173"/>
      <c r="V69" s="1171">
        <v>2</v>
      </c>
      <c r="W69" s="1172"/>
      <c r="X69" s="1173"/>
      <c r="Y69" s="1171">
        <v>2</v>
      </c>
      <c r="Z69" s="1172"/>
      <c r="AA69" s="1173"/>
      <c r="AB69" s="1171"/>
      <c r="AC69" s="1172"/>
      <c r="AD69" s="1173"/>
      <c r="AE69" s="1184">
        <f>IF(B69="","",SUM(G69,D69,M69,P69,S69,V69,Y69,AB69,))</f>
        <v>13</v>
      </c>
      <c r="AF69" s="1185"/>
      <c r="AG69" s="1188"/>
      <c r="AH69" s="1174">
        <v>26</v>
      </c>
    </row>
    <row r="70" spans="1:34" ht="15" x14ac:dyDescent="0.2">
      <c r="A70" s="1164"/>
      <c r="B70" s="1166"/>
      <c r="C70" s="457" t="str">
        <f>IF(B69="","",VLOOKUP(B69,'Списки участников'!A:I,6,FALSE))</f>
        <v>Москва</v>
      </c>
      <c r="D70" s="464">
        <f>IF(J66="","",IF(L66="l","W",L66))</f>
        <v>0</v>
      </c>
      <c r="E70" s="459" t="str">
        <f>IF(K66="","",":")</f>
        <v>:</v>
      </c>
      <c r="F70" s="465">
        <f>IF(L66="","",IF(J66="W","L",J66))</f>
        <v>3</v>
      </c>
      <c r="G70" s="464">
        <f>IF(J68="","",IF(L68="l","W",L68))</f>
        <v>3</v>
      </c>
      <c r="H70" s="459" t="str">
        <f>IF(K68="","",":")</f>
        <v>:</v>
      </c>
      <c r="I70" s="465">
        <f>IF(L68="","",IF(J68="W","L",J68))</f>
        <v>2</v>
      </c>
      <c r="J70" s="1183"/>
      <c r="K70" s="1169"/>
      <c r="L70" s="1170"/>
      <c r="M70" s="458">
        <v>3</v>
      </c>
      <c r="N70" s="459" t="str">
        <f>IF(M69="","",":")</f>
        <v>:</v>
      </c>
      <c r="O70" s="460">
        <v>1</v>
      </c>
      <c r="P70" s="458">
        <v>3</v>
      </c>
      <c r="Q70" s="459" t="str">
        <f>IF(P69="","",":")</f>
        <v>:</v>
      </c>
      <c r="R70" s="460">
        <v>1</v>
      </c>
      <c r="S70" s="1456" t="s">
        <v>12171</v>
      </c>
      <c r="T70" s="459" t="str">
        <f>IF(S69="","",":")</f>
        <v>:</v>
      </c>
      <c r="U70" s="1457" t="s">
        <v>12172</v>
      </c>
      <c r="V70" s="1456" t="s">
        <v>12171</v>
      </c>
      <c r="W70" s="459" t="str">
        <f>IF(V70="","",":")</f>
        <v>:</v>
      </c>
      <c r="X70" s="1457" t="s">
        <v>12172</v>
      </c>
      <c r="Y70" s="458">
        <v>3</v>
      </c>
      <c r="Z70" s="459" t="str">
        <f>IF(Y70="","",":")</f>
        <v>:</v>
      </c>
      <c r="AA70" s="460">
        <v>1</v>
      </c>
      <c r="AB70" s="458"/>
      <c r="AC70" s="459" t="str">
        <f>IF(AB70="","",":")</f>
        <v/>
      </c>
      <c r="AD70" s="460"/>
      <c r="AE70" s="1186"/>
      <c r="AF70" s="1187"/>
      <c r="AG70" s="1189"/>
      <c r="AH70" s="1174"/>
    </row>
    <row r="71" spans="1:34" ht="15" x14ac:dyDescent="0.2">
      <c r="A71" s="1163">
        <v>4</v>
      </c>
      <c r="B71" s="1165">
        <v>34</v>
      </c>
      <c r="C71" s="456" t="str">
        <f>IF(B71="","",VLOOKUP(B71,'Списки участников'!A:I,3,FALSE))</f>
        <v>ШУКЛИН Александр</v>
      </c>
      <c r="D71" s="1171">
        <f>IF(M65="","",IF(M66="W",0,IF(M65=2,1,IF(M65=1,2,IF(M65=0,2)))))</f>
        <v>1</v>
      </c>
      <c r="E71" s="1172"/>
      <c r="F71" s="1173"/>
      <c r="G71" s="1171">
        <f>IF(M67="","",IF(M68="W",0,IF(M67=2,1,IF(M67=1,2,IF(M67=0,2)))))</f>
        <v>2</v>
      </c>
      <c r="H71" s="1172"/>
      <c r="I71" s="1173"/>
      <c r="J71" s="1171">
        <f>IF(M69="","",IF(M70="W",0,IF(M69=2,1,IF(M69=1,2,IF(M69=0,2)))))</f>
        <v>1</v>
      </c>
      <c r="K71" s="1172"/>
      <c r="L71" s="1173"/>
      <c r="M71" s="1181"/>
      <c r="N71" s="1181"/>
      <c r="O71" s="1181"/>
      <c r="P71" s="1171">
        <v>2</v>
      </c>
      <c r="Q71" s="1172"/>
      <c r="R71" s="1173"/>
      <c r="S71" s="1171">
        <v>2</v>
      </c>
      <c r="T71" s="1172"/>
      <c r="U71" s="1173"/>
      <c r="V71" s="1171">
        <v>2</v>
      </c>
      <c r="W71" s="1172"/>
      <c r="X71" s="1173"/>
      <c r="Y71" s="1171">
        <v>2</v>
      </c>
      <c r="Z71" s="1172"/>
      <c r="AA71" s="1173"/>
      <c r="AB71" s="1171"/>
      <c r="AC71" s="1172"/>
      <c r="AD71" s="1173"/>
      <c r="AE71" s="1184">
        <f>IF(B71="","",SUM(G71,J71,D71,P71,S71,V71,Y71,AB71,))</f>
        <v>12</v>
      </c>
      <c r="AF71" s="1185"/>
      <c r="AG71" s="1188"/>
      <c r="AH71" s="1174">
        <f>IF(B71="","",RANK(AE71,ГР4О))+24</f>
        <v>27</v>
      </c>
    </row>
    <row r="72" spans="1:34" ht="15" x14ac:dyDescent="0.2">
      <c r="A72" s="1164"/>
      <c r="B72" s="1166"/>
      <c r="C72" s="457" t="str">
        <f>IF(B71="","",VLOOKUP(B71,'Списки участников'!A:I,6,FALSE))</f>
        <v>Орехово-Зуево</v>
      </c>
      <c r="D72" s="464">
        <f>IF(M66="","",IF(O66="l","W",O66))</f>
        <v>2</v>
      </c>
      <c r="E72" s="459" t="str">
        <f>IF(N66="","",":")</f>
        <v>:</v>
      </c>
      <c r="F72" s="465">
        <f>IF(O66="","",IF(M66="W","L",M66))</f>
        <v>3</v>
      </c>
      <c r="G72" s="464">
        <f>IF(M68="","",IF(O68="l","W",O68))</f>
        <v>3</v>
      </c>
      <c r="H72" s="459" t="str">
        <f>IF(N68="","",":")</f>
        <v>:</v>
      </c>
      <c r="I72" s="465">
        <f>IF(O68="","",IF(M68="W","L",M68))</f>
        <v>1</v>
      </c>
      <c r="J72" s="464">
        <f>IF(M70="","",IF(O70="l","W",O70))</f>
        <v>1</v>
      </c>
      <c r="K72" s="459" t="str">
        <f>IF(N70="","",":")</f>
        <v>:</v>
      </c>
      <c r="L72" s="465">
        <f>IF(O70="","",IF(M70="W","L",M70))</f>
        <v>3</v>
      </c>
      <c r="M72" s="1190"/>
      <c r="N72" s="1190"/>
      <c r="O72" s="1190"/>
      <c r="P72" s="458">
        <v>3</v>
      </c>
      <c r="Q72" s="459" t="str">
        <f>IF(P71="","",":")</f>
        <v>:</v>
      </c>
      <c r="R72" s="460">
        <v>2</v>
      </c>
      <c r="S72" s="1456" t="s">
        <v>12171</v>
      </c>
      <c r="T72" s="459" t="str">
        <f>IF(S71="","",":")</f>
        <v>:</v>
      </c>
      <c r="U72" s="1457" t="s">
        <v>12172</v>
      </c>
      <c r="V72" s="1456" t="s">
        <v>12171</v>
      </c>
      <c r="W72" s="459" t="str">
        <f>IF(V71="","",":")</f>
        <v>:</v>
      </c>
      <c r="X72" s="1457" t="s">
        <v>12172</v>
      </c>
      <c r="Y72" s="458">
        <v>3</v>
      </c>
      <c r="Z72" s="459" t="str">
        <f>IF(Y72="","",":")</f>
        <v>:</v>
      </c>
      <c r="AA72" s="460">
        <v>1</v>
      </c>
      <c r="AB72" s="458"/>
      <c r="AC72" s="459" t="str">
        <f>IF(AB72="","",":")</f>
        <v/>
      </c>
      <c r="AD72" s="460"/>
      <c r="AE72" s="1186"/>
      <c r="AF72" s="1187"/>
      <c r="AG72" s="1189"/>
      <c r="AH72" s="1174"/>
    </row>
    <row r="73" spans="1:34" ht="15" x14ac:dyDescent="0.2">
      <c r="A73" s="1163">
        <v>5</v>
      </c>
      <c r="B73" s="1165">
        <v>33</v>
      </c>
      <c r="C73" s="456" t="str">
        <f>IF(B73="","",VLOOKUP(B73,'Списки участников'!A:I,3,FALSE))</f>
        <v>КУРОЧКИН Егор</v>
      </c>
      <c r="D73" s="1171">
        <f>IF(P65="","",IF(P66="W",0,IF(P65=2,1,IF(P65=1,2,IF(P65=0,2)))))</f>
        <v>1</v>
      </c>
      <c r="E73" s="1172"/>
      <c r="F73" s="1173"/>
      <c r="G73" s="1171">
        <f>IF(P67="","",IF(P68="W",0,IF(P67=2,1,IF(P67=1,2,IF(P67=0,2)))))</f>
        <v>2</v>
      </c>
      <c r="H73" s="1172"/>
      <c r="I73" s="1173"/>
      <c r="J73" s="1171">
        <f>IF(P69="","",IF(P70="W",0,IF(P69=2,1,IF(P69=1,2,IF(P69=0,2)))))</f>
        <v>1</v>
      </c>
      <c r="K73" s="1172"/>
      <c r="L73" s="1173"/>
      <c r="M73" s="1171">
        <f>IF(P71="","",IF(P72="W",0,IF(P71=2,1,IF(P71=1,2,IF(P71=0,2)))))</f>
        <v>1</v>
      </c>
      <c r="N73" s="1172"/>
      <c r="O73" s="1173"/>
      <c r="P73" s="1180"/>
      <c r="Q73" s="1181"/>
      <c r="R73" s="1182"/>
      <c r="S73" s="1171">
        <v>2</v>
      </c>
      <c r="T73" s="1172"/>
      <c r="U73" s="1173"/>
      <c r="V73" s="1171">
        <v>2</v>
      </c>
      <c r="W73" s="1172"/>
      <c r="X73" s="1173"/>
      <c r="Y73" s="1171">
        <v>2</v>
      </c>
      <c r="Z73" s="1172"/>
      <c r="AA73" s="1173"/>
      <c r="AB73" s="1171"/>
      <c r="AC73" s="1172"/>
      <c r="AD73" s="1173"/>
      <c r="AE73" s="1184">
        <f>IF(B73="","",SUM(G73,J73,M73,D73,S73,V73,Y73,AB73,))</f>
        <v>11</v>
      </c>
      <c r="AF73" s="1185"/>
      <c r="AG73" s="1188"/>
      <c r="AH73" s="1174">
        <f>IF(B73="","",RANK(AE73,ГР4О))+24</f>
        <v>28</v>
      </c>
    </row>
    <row r="74" spans="1:34" ht="15" x14ac:dyDescent="0.2">
      <c r="A74" s="1164"/>
      <c r="B74" s="1166"/>
      <c r="C74" s="457" t="str">
        <f>IF(B73="","",VLOOKUP(B73,'Списки участников'!A:I,6,FALSE))</f>
        <v>Москва</v>
      </c>
      <c r="D74" s="464">
        <f>IF(P66="","",IF(R66="l","W",R66))</f>
        <v>1</v>
      </c>
      <c r="E74" s="459" t="str">
        <f>IF(Q66="","",":")</f>
        <v>:</v>
      </c>
      <c r="F74" s="465">
        <f>IF(R66="","",IF(P66="W","L",P66))</f>
        <v>3</v>
      </c>
      <c r="G74" s="464">
        <f>IF(P68="","",IF(R68="l","W",R68))</f>
        <v>3</v>
      </c>
      <c r="H74" s="459" t="str">
        <f>IF(Q68="","",":")</f>
        <v>:</v>
      </c>
      <c r="I74" s="465">
        <f>IF(R68="","",IF(P68="W","L",P68))</f>
        <v>1</v>
      </c>
      <c r="J74" s="464">
        <f>IF(P70="","",IF(R70="l","W",R70))</f>
        <v>1</v>
      </c>
      <c r="K74" s="459" t="str">
        <f>IF(Q70="","",":")</f>
        <v>:</v>
      </c>
      <c r="L74" s="465">
        <f>IF(R70="","",IF(P70="W","L",P70))</f>
        <v>3</v>
      </c>
      <c r="M74" s="464">
        <f>IF(P72="","",IF(R72="l","W",R72))</f>
        <v>2</v>
      </c>
      <c r="N74" s="459" t="str">
        <f>IF(Q72="","",":")</f>
        <v>:</v>
      </c>
      <c r="O74" s="465">
        <f>IF(R72="","",IF(P72="W","L",P72))</f>
        <v>3</v>
      </c>
      <c r="P74" s="1183"/>
      <c r="Q74" s="1169"/>
      <c r="R74" s="1170"/>
      <c r="S74" s="1456" t="s">
        <v>12171</v>
      </c>
      <c r="T74" s="459" t="str">
        <f>IF(S73="","",":")</f>
        <v>:</v>
      </c>
      <c r="U74" s="1457" t="s">
        <v>12172</v>
      </c>
      <c r="V74" s="1456" t="s">
        <v>12171</v>
      </c>
      <c r="W74" s="459" t="str">
        <f>IF(V73="","",":")</f>
        <v>:</v>
      </c>
      <c r="X74" s="1457" t="s">
        <v>12172</v>
      </c>
      <c r="Y74" s="458">
        <v>3</v>
      </c>
      <c r="Z74" s="459" t="str">
        <f>IF(Y73="","",":")</f>
        <v>:</v>
      </c>
      <c r="AA74" s="460">
        <v>2</v>
      </c>
      <c r="AB74" s="458"/>
      <c r="AC74" s="459" t="str">
        <f>IF(AB74="","",":")</f>
        <v/>
      </c>
      <c r="AD74" s="460"/>
      <c r="AE74" s="1186"/>
      <c r="AF74" s="1187"/>
      <c r="AG74" s="1189"/>
      <c r="AH74" s="1174"/>
    </row>
    <row r="75" spans="1:34" ht="15" x14ac:dyDescent="0.2">
      <c r="A75" s="1163">
        <v>6</v>
      </c>
      <c r="B75" s="1165">
        <v>47</v>
      </c>
      <c r="C75" s="456" t="str">
        <f>IF(B75="","",VLOOKUP(B75,'Списки участников'!A:I,3,FALSE))</f>
        <v>ПРОХОРОВ Кирилл</v>
      </c>
      <c r="D75" s="1171">
        <f>IF(S65="","",IF(S66="W",0,IF(S65=2,1,IF(S65=1,2,IF(S65=0,2)))))</f>
        <v>0</v>
      </c>
      <c r="E75" s="1172"/>
      <c r="F75" s="1173"/>
      <c r="G75" s="1171">
        <f>IF(S67="","",IF(S68="W",0,IF(S67=2,1,IF(S67=1,2,IF(S67=0,2)))))</f>
        <v>0</v>
      </c>
      <c r="H75" s="1172"/>
      <c r="I75" s="1173"/>
      <c r="J75" s="1171">
        <f>IF(S69="","",IF(S70="W",0,IF(S69=2,1,IF(S69=1,2,IF(S69=0,2)))))</f>
        <v>0</v>
      </c>
      <c r="K75" s="1172"/>
      <c r="L75" s="1173"/>
      <c r="M75" s="1171">
        <f>IF(S71="","",IF(S72="W",0,IF(S71=2,1,IF(S71=1,2,IF(S71=0,2)))))</f>
        <v>0</v>
      </c>
      <c r="N75" s="1172"/>
      <c r="O75" s="1173"/>
      <c r="P75" s="1171">
        <f>IF(S73="","",IF(S74="W",0,IF(S73=2,1,IF(S73=1,2,IF(S73=0,2)))))</f>
        <v>0</v>
      </c>
      <c r="Q75" s="1172"/>
      <c r="R75" s="1173"/>
      <c r="S75" s="1180"/>
      <c r="T75" s="1181"/>
      <c r="U75" s="1182"/>
      <c r="V75" s="1171">
        <v>0</v>
      </c>
      <c r="W75" s="1172"/>
      <c r="X75" s="1173"/>
      <c r="Y75" s="1171">
        <v>0</v>
      </c>
      <c r="Z75" s="1172"/>
      <c r="AA75" s="1173"/>
      <c r="AB75" s="1171"/>
      <c r="AC75" s="1172"/>
      <c r="AD75" s="1173"/>
      <c r="AE75" s="1184">
        <f>IF(B75="","",SUM(G75,J75,M75,P75,D75,V75,Y75,AB75,))</f>
        <v>0</v>
      </c>
      <c r="AF75" s="1185"/>
      <c r="AG75" s="1188"/>
      <c r="AH75" s="1174">
        <f>IF(B75="","",RANK(AE75,ГР4О))+24</f>
        <v>32</v>
      </c>
    </row>
    <row r="76" spans="1:34" ht="15" x14ac:dyDescent="0.2">
      <c r="A76" s="1164"/>
      <c r="B76" s="1166"/>
      <c r="C76" s="457" t="str">
        <f>IF(B75="","",VLOOKUP(B75,'Списки участников'!A:I,6,FALSE))</f>
        <v>Домодедово  М.о.</v>
      </c>
      <c r="D76" s="1458" t="s">
        <v>12172</v>
      </c>
      <c r="E76" s="459" t="str">
        <f>IF(T66="","",":")</f>
        <v>:</v>
      </c>
      <c r="F76" s="1459" t="s">
        <v>12171</v>
      </c>
      <c r="G76" s="1458" t="s">
        <v>12172</v>
      </c>
      <c r="H76" s="459" t="str">
        <f>IF(T68="","",":")</f>
        <v>:</v>
      </c>
      <c r="I76" s="1459" t="s">
        <v>12171</v>
      </c>
      <c r="J76" s="1458" t="s">
        <v>12172</v>
      </c>
      <c r="K76" s="459" t="str">
        <f>IF(T70="","",":")</f>
        <v>:</v>
      </c>
      <c r="L76" s="1459" t="s">
        <v>12171</v>
      </c>
      <c r="M76" s="1458" t="s">
        <v>12172</v>
      </c>
      <c r="N76" s="459" t="str">
        <f>IF(T72="","",":")</f>
        <v>:</v>
      </c>
      <c r="O76" s="1459" t="s">
        <v>12171</v>
      </c>
      <c r="P76" s="1458" t="s">
        <v>12172</v>
      </c>
      <c r="Q76" s="459" t="str">
        <f>IF(T74="","",":")</f>
        <v>:</v>
      </c>
      <c r="R76" s="1459" t="s">
        <v>12171</v>
      </c>
      <c r="S76" s="1183"/>
      <c r="T76" s="1169"/>
      <c r="U76" s="1170"/>
      <c r="V76" s="1456" t="s">
        <v>12172</v>
      </c>
      <c r="W76" s="459" t="str">
        <f>IF(V75="","",":")</f>
        <v>:</v>
      </c>
      <c r="X76" s="1457" t="s">
        <v>12171</v>
      </c>
      <c r="Y76" s="1456" t="s">
        <v>12172</v>
      </c>
      <c r="Z76" s="459" t="str">
        <f>IF(Y75="","",":")</f>
        <v>:</v>
      </c>
      <c r="AA76" s="1457" t="s">
        <v>12171</v>
      </c>
      <c r="AB76" s="458"/>
      <c r="AC76" s="459" t="str">
        <f>IF(AB75="","",":")</f>
        <v/>
      </c>
      <c r="AD76" s="460"/>
      <c r="AE76" s="1186"/>
      <c r="AF76" s="1187"/>
      <c r="AG76" s="1189"/>
      <c r="AH76" s="1174"/>
    </row>
    <row r="77" spans="1:34" ht="15" x14ac:dyDescent="0.2">
      <c r="A77" s="1163">
        <v>7</v>
      </c>
      <c r="B77" s="1165">
        <v>39</v>
      </c>
      <c r="C77" s="456" t="str">
        <f>IF(B77="","",VLOOKUP(B77,'Списки участников'!A:I,3,FALSE))</f>
        <v>РОТНОВ Егор</v>
      </c>
      <c r="D77" s="1171">
        <f>IF(V65="","",IF(V66="W",0,IF(V65=2,1,IF(V65=1,2,IF(V65=0,2)))))</f>
        <v>1</v>
      </c>
      <c r="E77" s="1172"/>
      <c r="F77" s="1173"/>
      <c r="G77" s="1171">
        <f>IF(V67="","",IF(V68="W",0,IF(V67=2,1,IF(V67=1,2,IF(V67=0,2)))))</f>
        <v>0</v>
      </c>
      <c r="H77" s="1172"/>
      <c r="I77" s="1173"/>
      <c r="J77" s="1171">
        <f>IF(V69="","",IF(V70="W",0,IF(V69=2,1,IF(V69=1,2,IF(V69=0,2)))))</f>
        <v>0</v>
      </c>
      <c r="K77" s="1172"/>
      <c r="L77" s="1173"/>
      <c r="M77" s="1171">
        <f>IF(V71="","",IF(V72="W",0,IF(V71=2,1,IF(V71=1,2,IF(V71=0,2)))))</f>
        <v>0</v>
      </c>
      <c r="N77" s="1172"/>
      <c r="O77" s="1173"/>
      <c r="P77" s="1171">
        <f>IF(V73="","",IF(V74="W",0,IF(V73=2,1,IF(V73=1,2,IF(V73=0,2)))))</f>
        <v>0</v>
      </c>
      <c r="Q77" s="1172"/>
      <c r="R77" s="1173"/>
      <c r="S77" s="1171">
        <v>0</v>
      </c>
      <c r="T77" s="1172"/>
      <c r="U77" s="1173"/>
      <c r="V77" s="1191"/>
      <c r="W77" s="1167"/>
      <c r="X77" s="1168"/>
      <c r="Y77" s="1171">
        <v>0</v>
      </c>
      <c r="Z77" s="1172"/>
      <c r="AA77" s="1173"/>
      <c r="AB77" s="1171"/>
      <c r="AC77" s="1172"/>
      <c r="AD77" s="1173"/>
      <c r="AE77" s="1184">
        <f>IF(B77="","",SUM(G77,J77,M77,P77,S77,D77,Y77,AB77,))</f>
        <v>1</v>
      </c>
      <c r="AF77" s="1185"/>
      <c r="AG77" s="1188"/>
      <c r="AH77" s="1174">
        <f>IF(B77="","",RANK(AE77,ГР4О))+24</f>
        <v>31</v>
      </c>
    </row>
    <row r="78" spans="1:34" ht="15" x14ac:dyDescent="0.2">
      <c r="A78" s="1164"/>
      <c r="B78" s="1166"/>
      <c r="C78" s="457" t="str">
        <f>IF(B77="","",VLOOKUP(B77,'Списки участников'!A:I,6,FALSE))</f>
        <v>Скопин  Ряз.о.</v>
      </c>
      <c r="D78" s="464">
        <f>IF(V66="","",IF(X66="l","W",X66))</f>
        <v>2</v>
      </c>
      <c r="E78" s="459" t="str">
        <f>IF(W66="","",":")</f>
        <v>:</v>
      </c>
      <c r="F78" s="465">
        <f>IF(X66="","",IF(V66="W","L",V66))</f>
        <v>3</v>
      </c>
      <c r="G78" s="1458" t="s">
        <v>12172</v>
      </c>
      <c r="H78" s="459" t="str">
        <f>IF(W68="","",":")</f>
        <v>:</v>
      </c>
      <c r="I78" s="1459" t="s">
        <v>12171</v>
      </c>
      <c r="J78" s="1458" t="s">
        <v>12172</v>
      </c>
      <c r="K78" s="459" t="str">
        <f>IF(W70="","",":")</f>
        <v>:</v>
      </c>
      <c r="L78" s="1459" t="s">
        <v>12171</v>
      </c>
      <c r="M78" s="1458" t="s">
        <v>12172</v>
      </c>
      <c r="N78" s="459" t="str">
        <f>IF(W72="","",":")</f>
        <v>:</v>
      </c>
      <c r="O78" s="1459" t="s">
        <v>12171</v>
      </c>
      <c r="P78" s="1458" t="s">
        <v>12172</v>
      </c>
      <c r="Q78" s="459" t="str">
        <f>IF(W74="","",":")</f>
        <v>:</v>
      </c>
      <c r="R78" s="1459" t="s">
        <v>12171</v>
      </c>
      <c r="S78" s="1458" t="s">
        <v>12172</v>
      </c>
      <c r="T78" s="459" t="str">
        <f>IF(W76="","",":")</f>
        <v>:</v>
      </c>
      <c r="U78" s="1459" t="s">
        <v>12171</v>
      </c>
      <c r="V78" s="1183"/>
      <c r="W78" s="1169"/>
      <c r="X78" s="1170"/>
      <c r="Y78" s="1456" t="s">
        <v>12172</v>
      </c>
      <c r="Z78" s="459" t="str">
        <f>IF(Y77="","",":")</f>
        <v>:</v>
      </c>
      <c r="AA78" s="1457" t="s">
        <v>12171</v>
      </c>
      <c r="AB78" s="458"/>
      <c r="AC78" s="459" t="str">
        <f>IF(AB77="","",":")</f>
        <v/>
      </c>
      <c r="AD78" s="460"/>
      <c r="AE78" s="1186"/>
      <c r="AF78" s="1187"/>
      <c r="AG78" s="1189"/>
      <c r="AH78" s="1174"/>
    </row>
    <row r="79" spans="1:34" ht="15" x14ac:dyDescent="0.2">
      <c r="A79" s="1163">
        <v>8</v>
      </c>
      <c r="B79" s="1165">
        <v>45</v>
      </c>
      <c r="C79" s="456" t="str">
        <f>IF(B79="","",VLOOKUP(B79,'Списки участников'!A:I,3,FALSE))</f>
        <v>ПЛАХОТНИК Александр</v>
      </c>
      <c r="D79" s="1171">
        <f>IF(Y65="","",IF(Y66="W",0,IF(Y65=2,1,IF(Y65=1,2,IF(Y65=0,2)))))</f>
        <v>2</v>
      </c>
      <c r="E79" s="1172"/>
      <c r="F79" s="1173"/>
      <c r="G79" s="1171">
        <f>IF(Y67="","",IF(Y68="W",0,IF(Y67=2,1,IF(Y67=1,2,IF(Y67=0,2)))))</f>
        <v>2</v>
      </c>
      <c r="H79" s="1172"/>
      <c r="I79" s="1173"/>
      <c r="J79" s="1171">
        <f>IF(Y69="","",IF(Y70="W",0,IF(Y69=2,1,IF(Y69=1,2,IF(Y69=0,2)))))</f>
        <v>1</v>
      </c>
      <c r="K79" s="1172"/>
      <c r="L79" s="1173"/>
      <c r="M79" s="1171">
        <f>IF(Y71="","",IF(Y72="W",0,IF(Y71=2,1,IF(Y71=1,2,IF(Y71=0,2)))))</f>
        <v>1</v>
      </c>
      <c r="N79" s="1172"/>
      <c r="O79" s="1173"/>
      <c r="P79" s="1171">
        <f>IF(Y73="","",IF(Y74="W",0,IF(Y73=2,1,IF(Y73=1,2,IF(Y73=0,2)))))</f>
        <v>1</v>
      </c>
      <c r="Q79" s="1172"/>
      <c r="R79" s="1173"/>
      <c r="S79" s="1171">
        <v>2</v>
      </c>
      <c r="T79" s="1172"/>
      <c r="U79" s="1173"/>
      <c r="V79" s="1171">
        <f>IF(Y77="","",IF(Y78="W",0,IF(Y77=2,1,IF(Y77=1,2,IF(Y77=0,2)))))</f>
        <v>2</v>
      </c>
      <c r="W79" s="1172"/>
      <c r="X79" s="1173"/>
      <c r="Y79" s="1180"/>
      <c r="Z79" s="1181"/>
      <c r="AA79" s="1182"/>
      <c r="AB79" s="1171"/>
      <c r="AC79" s="1172"/>
      <c r="AD79" s="1173"/>
      <c r="AE79" s="1184">
        <f>IF(B79="","",SUM(G79,J79,M79,P79,S79,V79,D79,AB79,))</f>
        <v>11</v>
      </c>
      <c r="AF79" s="1185"/>
      <c r="AG79" s="1188"/>
      <c r="AH79" s="1174">
        <v>29</v>
      </c>
    </row>
    <row r="80" spans="1:34" ht="15" x14ac:dyDescent="0.2">
      <c r="A80" s="1164"/>
      <c r="B80" s="1166"/>
      <c r="C80" s="457" t="str">
        <f>IF(B79="","",VLOOKUP(B79,'Списки участников'!A:I,6,FALSE))</f>
        <v>Москва</v>
      </c>
      <c r="D80" s="464">
        <f>IF(Y66="","",IF(AA66="l","W",AA66))</f>
        <v>3</v>
      </c>
      <c r="E80" s="459" t="str">
        <f>IF(Z66="","",":")</f>
        <v>:</v>
      </c>
      <c r="F80" s="465">
        <f>IF(AA66="","",IF(Y66="W","L",Y66))</f>
        <v>0</v>
      </c>
      <c r="G80" s="464">
        <f>IF(Y68="","",IF(AA68="l","W",AA68))</f>
        <v>3</v>
      </c>
      <c r="H80" s="459" t="str">
        <f>IF(Z68="","",":")</f>
        <v>:</v>
      </c>
      <c r="I80" s="465">
        <f>IF(AA68="","",IF(Y68="W","L",Y68))</f>
        <v>0</v>
      </c>
      <c r="J80" s="464">
        <f>IF(Y70="","",IF(AA70="l","W",AA70))</f>
        <v>1</v>
      </c>
      <c r="K80" s="459" t="str">
        <f>IF(Z70="","",":")</f>
        <v>:</v>
      </c>
      <c r="L80" s="465">
        <f>IF(AA70="","",IF(Y70="W","L",Y70))</f>
        <v>3</v>
      </c>
      <c r="M80" s="464">
        <f>IF(Y72="","",IF(AA72="l","W",AA72))</f>
        <v>1</v>
      </c>
      <c r="N80" s="459" t="str">
        <f>IF(Z72="","",":")</f>
        <v>:</v>
      </c>
      <c r="O80" s="465">
        <f>IF(AA72="","",IF(Y72="W","L",Y72))</f>
        <v>3</v>
      </c>
      <c r="P80" s="464">
        <f>IF(Y74="","",IF(AA74="l","W",AA74))</f>
        <v>2</v>
      </c>
      <c r="Q80" s="459" t="str">
        <f>IF(Z74="","",":")</f>
        <v>:</v>
      </c>
      <c r="R80" s="465">
        <f>IF(AA74="","",IF(Y74="W","L",Y74))</f>
        <v>3</v>
      </c>
      <c r="S80" s="464" t="str">
        <f>IF(Y76="","",IF(AA76="l","W",AA76))</f>
        <v>W</v>
      </c>
      <c r="T80" s="459" t="str">
        <f>IF(Z76="","",":")</f>
        <v>:</v>
      </c>
      <c r="U80" s="465" t="str">
        <f>IF(AA76="","",IF(Y76="W","L",Y76))</f>
        <v>L</v>
      </c>
      <c r="V80" s="464" t="str">
        <f>IF(Y78="","",IF(AA78="l","W",AA78))</f>
        <v>W</v>
      </c>
      <c r="W80" s="459" t="str">
        <f>IF(Z78="","",":")</f>
        <v>:</v>
      </c>
      <c r="X80" s="465" t="str">
        <f>IF(AA78="","",IF(Y78="W","L",Y78))</f>
        <v>L</v>
      </c>
      <c r="Y80" s="1183"/>
      <c r="Z80" s="1169"/>
      <c r="AA80" s="1170"/>
      <c r="AB80" s="458"/>
      <c r="AC80" s="459" t="str">
        <f>IF(AB79="","",":")</f>
        <v/>
      </c>
      <c r="AD80" s="460"/>
      <c r="AE80" s="1186"/>
      <c r="AF80" s="1187"/>
      <c r="AG80" s="1189"/>
      <c r="AH80" s="1174"/>
    </row>
    <row r="81" spans="1:34" ht="15" hidden="1" outlineLevel="1" x14ac:dyDescent="0.2">
      <c r="A81" s="1163">
        <v>9</v>
      </c>
      <c r="B81" s="1165">
        <f>жеребьевка!Q20</f>
        <v>0</v>
      </c>
      <c r="C81" s="456" t="e">
        <f>IF(B81="","",VLOOKUP(B81,'Списки участников'!A:I,3,FALSE))</f>
        <v>#N/A</v>
      </c>
      <c r="D81" s="1171" t="str">
        <f>IF(AB65="","",IF(AB66="W",0,IF(AB65=2,1,IF(AB65=1,2,IF(AB65=0,2)))))</f>
        <v/>
      </c>
      <c r="E81" s="1172"/>
      <c r="F81" s="1173"/>
      <c r="G81" s="1171" t="str">
        <f>IF(AB67="","",IF(AB68="W",0,IF(AB67=2,1,IF(AB67=1,2,IF(AB67=0,2)))))</f>
        <v/>
      </c>
      <c r="H81" s="1172"/>
      <c r="I81" s="1173"/>
      <c r="J81" s="1171" t="str">
        <f>IF(AB69="","",IF(AB70="W",0,IF(AB69=2,1,IF(AB69=1,2,IF(AB69=0,2)))))</f>
        <v/>
      </c>
      <c r="K81" s="1172"/>
      <c r="L81" s="1173"/>
      <c r="M81" s="1171" t="str">
        <f>IF(AB71="","",IF(AB72="W",0,IF(AB71=2,1,IF(AB71=1,2,IF(AB71=0,2)))))</f>
        <v/>
      </c>
      <c r="N81" s="1172"/>
      <c r="O81" s="1173"/>
      <c r="P81" s="1171" t="str">
        <f>IF(AB73="","",IF(AB74="W",0,IF(AB73=2,1,IF(AB73=1,2,IF(AB73=0,2)))))</f>
        <v/>
      </c>
      <c r="Q81" s="1172"/>
      <c r="R81" s="1173"/>
      <c r="S81" s="1171" t="str">
        <f>IF(AB75="","",IF(AB76="W",0,IF(AB75=2,1,IF(AB75=1,2,IF(AB75=0,2)))))</f>
        <v/>
      </c>
      <c r="T81" s="1172"/>
      <c r="U81" s="1173"/>
      <c r="V81" s="1171" t="str">
        <f>IF(AB77="","",IF(AB78="W",0,IF(AB77=2,1,IF(AB77=1,2,IF(AB77=0,2)))))</f>
        <v/>
      </c>
      <c r="W81" s="1172"/>
      <c r="X81" s="1173"/>
      <c r="Y81" s="1171" t="str">
        <f>IF(AB79="","",IF(AB80="W",0,IF(AB79=2,1,IF(AB79=1,2,IF(AB79=0,2)))))</f>
        <v/>
      </c>
      <c r="Z81" s="1172"/>
      <c r="AA81" s="1173"/>
      <c r="AB81" s="1191"/>
      <c r="AC81" s="1167"/>
      <c r="AD81" s="1168"/>
      <c r="AE81" s="1184">
        <f>IF(B81="","",SUM(G81,J81,M81,P81,S81,V81,Y81,D81,))</f>
        <v>0</v>
      </c>
      <c r="AF81" s="1185"/>
      <c r="AG81" s="1188"/>
      <c r="AH81" s="1174">
        <f>IF(B81="","",RANK(AE81,ГР4О))</f>
        <v>8</v>
      </c>
    </row>
    <row r="82" spans="1:34" ht="15" hidden="1" outlineLevel="1" x14ac:dyDescent="0.2">
      <c r="A82" s="1164"/>
      <c r="B82" s="1166"/>
      <c r="C82" s="457" t="e">
        <f>IF(B81="","",VLOOKUP(B81,'Списки участников'!A:I,6,FALSE))</f>
        <v>#N/A</v>
      </c>
      <c r="D82" s="464" t="str">
        <f>IF(AB66="","",IF(AD66="l","W",AD66))</f>
        <v/>
      </c>
      <c r="E82" s="459" t="str">
        <f>IF(AC66="","",":")</f>
        <v/>
      </c>
      <c r="F82" s="465" t="str">
        <f>IF(AD66="","",IF(AB66="W","L",AB66))</f>
        <v/>
      </c>
      <c r="G82" s="464" t="str">
        <f>IF(AB68="","",IF(AD68="l","W",AD68))</f>
        <v/>
      </c>
      <c r="H82" s="459" t="str">
        <f>IF(AC68="","",":")</f>
        <v/>
      </c>
      <c r="I82" s="465" t="str">
        <f>IF(AD68="","",IF(AB68="W","L",AB68))</f>
        <v/>
      </c>
      <c r="J82" s="464" t="str">
        <f>IF(AB70="","",IF(AD70="l","W",AD70))</f>
        <v/>
      </c>
      <c r="K82" s="459" t="str">
        <f>IF(AC70="","",":")</f>
        <v/>
      </c>
      <c r="L82" s="465" t="str">
        <f>IF(AD70="","",IF(AB70="W","L",AB70))</f>
        <v/>
      </c>
      <c r="M82" s="464" t="str">
        <f>IF(AB72="","",IF(AD72="l","W",AD72))</f>
        <v/>
      </c>
      <c r="N82" s="459" t="str">
        <f>IF(AC72="","",":")</f>
        <v/>
      </c>
      <c r="O82" s="465" t="str">
        <f>IF(AD72="","",IF(AB72="W","L",AB72))</f>
        <v/>
      </c>
      <c r="P82" s="464" t="str">
        <f>IF(AB74="","",IF(AD74="l","W",AD74))</f>
        <v/>
      </c>
      <c r="Q82" s="459" t="str">
        <f>IF(AC74="","",":")</f>
        <v/>
      </c>
      <c r="R82" s="465" t="str">
        <f>IF(AD74="","",IF(AB74="W","L",AB74))</f>
        <v/>
      </c>
      <c r="S82" s="464" t="str">
        <f>IF(AB76="","",IF(AD76="l","W",AD76))</f>
        <v/>
      </c>
      <c r="T82" s="459" t="str">
        <f>IF(AC76="","",":")</f>
        <v/>
      </c>
      <c r="U82" s="465" t="str">
        <f>IF(AD76="","",IF(AB76="W","L",AB76))</f>
        <v/>
      </c>
      <c r="V82" s="464" t="str">
        <f>IF(AB78="","",IF(AD78="l","W",AD78))</f>
        <v/>
      </c>
      <c r="W82" s="459" t="str">
        <f>IF(AC78="","",":")</f>
        <v/>
      </c>
      <c r="X82" s="465" t="str">
        <f>IF(AD78="","",IF(AB78="W","L",AB78))</f>
        <v/>
      </c>
      <c r="Y82" s="464" t="str">
        <f>IF(AB80="","",IF(AD80="l","W",AD80))</f>
        <v/>
      </c>
      <c r="Z82" s="459" t="str">
        <f>IF(AC80="","",":")</f>
        <v/>
      </c>
      <c r="AA82" s="465" t="str">
        <f>IF(AD80="","",IF(AB80="W","L",AB80))</f>
        <v/>
      </c>
      <c r="AB82" s="1183"/>
      <c r="AC82" s="1169"/>
      <c r="AD82" s="1170"/>
      <c r="AE82" s="1186"/>
      <c r="AF82" s="1187"/>
      <c r="AG82" s="1189"/>
      <c r="AH82" s="1174"/>
    </row>
    <row r="83" spans="1:34" collapsed="1" x14ac:dyDescent="0.2"/>
    <row r="84" spans="1:34" ht="15.75" x14ac:dyDescent="0.25">
      <c r="C84" s="468" t="s">
        <v>791</v>
      </c>
      <c r="D84" s="1198" t="str">
        <f>'Списки участников'!I121</f>
        <v>В.А. Коваль</v>
      </c>
      <c r="E84" s="1198"/>
      <c r="F84" s="1198"/>
      <c r="G84" s="1198"/>
      <c r="H84" s="1198"/>
      <c r="I84" s="1198"/>
      <c r="J84" s="1198"/>
      <c r="K84" s="1198"/>
      <c r="L84" s="468"/>
      <c r="M84" s="468"/>
      <c r="N84" s="468"/>
      <c r="O84" s="468"/>
      <c r="P84" s="468"/>
      <c r="Q84" s="1198" t="s">
        <v>792</v>
      </c>
      <c r="R84" s="1198"/>
      <c r="S84" s="1198"/>
      <c r="T84" s="1198"/>
      <c r="U84" s="1198"/>
      <c r="V84" s="1198"/>
      <c r="W84" s="1198"/>
      <c r="X84" s="1198"/>
      <c r="Y84" s="468"/>
      <c r="Z84" s="468"/>
      <c r="AA84" s="468"/>
      <c r="AB84" s="468"/>
      <c r="AC84" s="1198" t="str">
        <f>'Списки участников'!I122</f>
        <v>А.С. Рожкова</v>
      </c>
      <c r="AD84" s="1198"/>
      <c r="AE84" s="1198"/>
      <c r="AF84" s="1198"/>
      <c r="AG84" s="1198"/>
    </row>
  </sheetData>
  <mergeCells count="552">
    <mergeCell ref="A81:A82"/>
    <mergeCell ref="B81:B82"/>
    <mergeCell ref="D81:F81"/>
    <mergeCell ref="G81:I81"/>
    <mergeCell ref="J81:L81"/>
    <mergeCell ref="AE81:AF82"/>
    <mergeCell ref="AG81:AG82"/>
    <mergeCell ref="AH81:AH82"/>
    <mergeCell ref="D84:K84"/>
    <mergeCell ref="Q84:X84"/>
    <mergeCell ref="AC84:AG84"/>
    <mergeCell ref="M81:O81"/>
    <mergeCell ref="P81:R81"/>
    <mergeCell ref="S81:U81"/>
    <mergeCell ref="V81:X81"/>
    <mergeCell ref="Y81:AA81"/>
    <mergeCell ref="AB81:AD82"/>
    <mergeCell ref="Y77:AA77"/>
    <mergeCell ref="AB77:AD77"/>
    <mergeCell ref="AE77:AF78"/>
    <mergeCell ref="AG77:AG78"/>
    <mergeCell ref="Y79:AA80"/>
    <mergeCell ref="AB79:AD79"/>
    <mergeCell ref="AE79:AF80"/>
    <mergeCell ref="AG79:AG80"/>
    <mergeCell ref="AH79:AH80"/>
    <mergeCell ref="A79:A80"/>
    <mergeCell ref="B79:B80"/>
    <mergeCell ref="D79:F79"/>
    <mergeCell ref="G79:I79"/>
    <mergeCell ref="J79:L79"/>
    <mergeCell ref="M79:O79"/>
    <mergeCell ref="P79:R79"/>
    <mergeCell ref="S79:U79"/>
    <mergeCell ref="V79:X79"/>
    <mergeCell ref="A75:A76"/>
    <mergeCell ref="B75:B76"/>
    <mergeCell ref="D75:F75"/>
    <mergeCell ref="G75:I75"/>
    <mergeCell ref="J75:L75"/>
    <mergeCell ref="AE75:AF76"/>
    <mergeCell ref="AG75:AG76"/>
    <mergeCell ref="AH75:AH76"/>
    <mergeCell ref="A77:A78"/>
    <mergeCell ref="B77:B78"/>
    <mergeCell ref="D77:F77"/>
    <mergeCell ref="G77:I77"/>
    <mergeCell ref="J77:L77"/>
    <mergeCell ref="M77:O77"/>
    <mergeCell ref="P77:R77"/>
    <mergeCell ref="M75:O75"/>
    <mergeCell ref="P75:R75"/>
    <mergeCell ref="S75:U76"/>
    <mergeCell ref="V75:X75"/>
    <mergeCell ref="Y75:AA75"/>
    <mergeCell ref="AB75:AD75"/>
    <mergeCell ref="AH77:AH78"/>
    <mergeCell ref="S77:U77"/>
    <mergeCell ref="V77:X78"/>
    <mergeCell ref="AH71:AH72"/>
    <mergeCell ref="A73:A74"/>
    <mergeCell ref="B73:B74"/>
    <mergeCell ref="D73:F73"/>
    <mergeCell ref="G73:I73"/>
    <mergeCell ref="J73:L73"/>
    <mergeCell ref="M73:O73"/>
    <mergeCell ref="P73:R74"/>
    <mergeCell ref="S73:U73"/>
    <mergeCell ref="V73:X73"/>
    <mergeCell ref="S71:U71"/>
    <mergeCell ref="V71:X71"/>
    <mergeCell ref="Y71:AA71"/>
    <mergeCell ref="AB71:AD71"/>
    <mergeCell ref="AE71:AF72"/>
    <mergeCell ref="AG71:AG72"/>
    <mergeCell ref="Y73:AA73"/>
    <mergeCell ref="AB73:AD73"/>
    <mergeCell ref="AE73:AF74"/>
    <mergeCell ref="AG73:AG74"/>
    <mergeCell ref="AH73:AH74"/>
    <mergeCell ref="A71:A72"/>
    <mergeCell ref="B71:B72"/>
    <mergeCell ref="D71:F71"/>
    <mergeCell ref="G71:I71"/>
    <mergeCell ref="J71:L71"/>
    <mergeCell ref="M71:O72"/>
    <mergeCell ref="P71:R71"/>
    <mergeCell ref="M69:O69"/>
    <mergeCell ref="P69:R69"/>
    <mergeCell ref="AB67:AD67"/>
    <mergeCell ref="AE67:AF68"/>
    <mergeCell ref="AG67:AG68"/>
    <mergeCell ref="AH67:AH68"/>
    <mergeCell ref="A69:A70"/>
    <mergeCell ref="B69:B70"/>
    <mergeCell ref="D69:F69"/>
    <mergeCell ref="G69:I69"/>
    <mergeCell ref="J69:L70"/>
    <mergeCell ref="AE69:AF70"/>
    <mergeCell ref="AG69:AG70"/>
    <mergeCell ref="AH69:AH70"/>
    <mergeCell ref="S69:U69"/>
    <mergeCell ref="V69:X69"/>
    <mergeCell ref="Y69:AA69"/>
    <mergeCell ref="AB69:AD69"/>
    <mergeCell ref="A65:A66"/>
    <mergeCell ref="B65:B66"/>
    <mergeCell ref="D65:F66"/>
    <mergeCell ref="G65:I65"/>
    <mergeCell ref="J65:L65"/>
    <mergeCell ref="M65:O65"/>
    <mergeCell ref="P65:R65"/>
    <mergeCell ref="AH65:AH66"/>
    <mergeCell ref="A67:A68"/>
    <mergeCell ref="B67:B68"/>
    <mergeCell ref="D67:F67"/>
    <mergeCell ref="G67:I68"/>
    <mergeCell ref="J67:L67"/>
    <mergeCell ref="M67:O67"/>
    <mergeCell ref="P67:R67"/>
    <mergeCell ref="S67:U67"/>
    <mergeCell ref="V67:X67"/>
    <mergeCell ref="S65:U65"/>
    <mergeCell ref="V65:X65"/>
    <mergeCell ref="Y65:AA65"/>
    <mergeCell ref="AB65:AD65"/>
    <mergeCell ref="AE65:AF66"/>
    <mergeCell ref="AG65:AG66"/>
    <mergeCell ref="Y67:AA67"/>
    <mergeCell ref="AH61:AH62"/>
    <mergeCell ref="G63:AA63"/>
    <mergeCell ref="D64:F64"/>
    <mergeCell ref="G64:I64"/>
    <mergeCell ref="J64:L64"/>
    <mergeCell ref="M64:O64"/>
    <mergeCell ref="P64:R64"/>
    <mergeCell ref="S64:U64"/>
    <mergeCell ref="V64:X64"/>
    <mergeCell ref="P61:R61"/>
    <mergeCell ref="S61:U61"/>
    <mergeCell ref="V61:X61"/>
    <mergeCell ref="Y61:AA61"/>
    <mergeCell ref="AB61:AD62"/>
    <mergeCell ref="AE61:AF62"/>
    <mergeCell ref="Y64:AA64"/>
    <mergeCell ref="AB64:AD64"/>
    <mergeCell ref="AE64:AF64"/>
    <mergeCell ref="B61:B62"/>
    <mergeCell ref="G61:I61"/>
    <mergeCell ref="J61:L61"/>
    <mergeCell ref="M61:O61"/>
    <mergeCell ref="V59:X59"/>
    <mergeCell ref="Y59:AA60"/>
    <mergeCell ref="AB59:AD59"/>
    <mergeCell ref="AE59:AF60"/>
    <mergeCell ref="AG59:AG60"/>
    <mergeCell ref="AG61:AG62"/>
    <mergeCell ref="AH59:AH60"/>
    <mergeCell ref="AG57:AG58"/>
    <mergeCell ref="AH57:AH58"/>
    <mergeCell ref="A59:A60"/>
    <mergeCell ref="B59:B60"/>
    <mergeCell ref="D59:F59"/>
    <mergeCell ref="G59:I59"/>
    <mergeCell ref="J59:L59"/>
    <mergeCell ref="M59:O59"/>
    <mergeCell ref="P59:R59"/>
    <mergeCell ref="S59:U59"/>
    <mergeCell ref="P57:R57"/>
    <mergeCell ref="S57:U57"/>
    <mergeCell ref="V57:X58"/>
    <mergeCell ref="Y57:AA57"/>
    <mergeCell ref="AB57:AD57"/>
    <mergeCell ref="AE57:AF58"/>
    <mergeCell ref="A57:A58"/>
    <mergeCell ref="B57:B58"/>
    <mergeCell ref="D57:F57"/>
    <mergeCell ref="G57:I57"/>
    <mergeCell ref="J57:L57"/>
    <mergeCell ref="M57:O57"/>
    <mergeCell ref="V55:X55"/>
    <mergeCell ref="Y55:AA55"/>
    <mergeCell ref="AB55:AD55"/>
    <mergeCell ref="AE55:AF56"/>
    <mergeCell ref="AG55:AG56"/>
    <mergeCell ref="AH55:AH56"/>
    <mergeCell ref="AG53:AG54"/>
    <mergeCell ref="AH53:AH54"/>
    <mergeCell ref="A55:A56"/>
    <mergeCell ref="B55:B56"/>
    <mergeCell ref="D55:F55"/>
    <mergeCell ref="G55:I55"/>
    <mergeCell ref="J55:L55"/>
    <mergeCell ref="M55:O55"/>
    <mergeCell ref="P55:R55"/>
    <mergeCell ref="S55:U56"/>
    <mergeCell ref="P53:R54"/>
    <mergeCell ref="S53:U53"/>
    <mergeCell ref="V53:X53"/>
    <mergeCell ref="Y53:AA53"/>
    <mergeCell ref="AB53:AD53"/>
    <mergeCell ref="AE53:AF54"/>
    <mergeCell ref="A53:A54"/>
    <mergeCell ref="B53:B54"/>
    <mergeCell ref="D53:F53"/>
    <mergeCell ref="G53:I53"/>
    <mergeCell ref="J53:L53"/>
    <mergeCell ref="M53:O53"/>
    <mergeCell ref="V51:X51"/>
    <mergeCell ref="Y51:AA51"/>
    <mergeCell ref="AB51:AD51"/>
    <mergeCell ref="AE51:AF52"/>
    <mergeCell ref="AG51:AG52"/>
    <mergeCell ref="AH51:AH52"/>
    <mergeCell ref="AG49:AG50"/>
    <mergeCell ref="AH49:AH50"/>
    <mergeCell ref="A51:A52"/>
    <mergeCell ref="B51:B52"/>
    <mergeCell ref="D51:F51"/>
    <mergeCell ref="G51:I51"/>
    <mergeCell ref="J51:L51"/>
    <mergeCell ref="M51:O52"/>
    <mergeCell ref="P51:R51"/>
    <mergeCell ref="S51:U51"/>
    <mergeCell ref="P49:R49"/>
    <mergeCell ref="S49:U49"/>
    <mergeCell ref="V49:X49"/>
    <mergeCell ref="Y49:AA49"/>
    <mergeCell ref="AB49:AD49"/>
    <mergeCell ref="AE49:AF50"/>
    <mergeCell ref="A49:A50"/>
    <mergeCell ref="B49:B50"/>
    <mergeCell ref="D49:F49"/>
    <mergeCell ref="G49:I49"/>
    <mergeCell ref="J49:L50"/>
    <mergeCell ref="M49:O49"/>
    <mergeCell ref="V47:X47"/>
    <mergeCell ref="Y47:AA47"/>
    <mergeCell ref="AB47:AD47"/>
    <mergeCell ref="AE47:AF48"/>
    <mergeCell ref="AG47:AG48"/>
    <mergeCell ref="AH47:AH48"/>
    <mergeCell ref="AG45:AG46"/>
    <mergeCell ref="AH45:AH46"/>
    <mergeCell ref="A47:A48"/>
    <mergeCell ref="B47:B48"/>
    <mergeCell ref="D47:F47"/>
    <mergeCell ref="G47:I48"/>
    <mergeCell ref="J47:L47"/>
    <mergeCell ref="M47:O47"/>
    <mergeCell ref="P47:R47"/>
    <mergeCell ref="S47:U47"/>
    <mergeCell ref="P45:R45"/>
    <mergeCell ref="S45:U45"/>
    <mergeCell ref="V45:X45"/>
    <mergeCell ref="Y45:AA45"/>
    <mergeCell ref="AB45:AD45"/>
    <mergeCell ref="AE45:AF46"/>
    <mergeCell ref="A45:A46"/>
    <mergeCell ref="B45:B46"/>
    <mergeCell ref="D45:F46"/>
    <mergeCell ref="G45:I45"/>
    <mergeCell ref="J45:L45"/>
    <mergeCell ref="M45:O45"/>
    <mergeCell ref="D44:F44"/>
    <mergeCell ref="G44:I44"/>
    <mergeCell ref="J44:L44"/>
    <mergeCell ref="M44:O44"/>
    <mergeCell ref="A41:A42"/>
    <mergeCell ref="B41:B42"/>
    <mergeCell ref="D41:F41"/>
    <mergeCell ref="G41:I41"/>
    <mergeCell ref="J41:L41"/>
    <mergeCell ref="AE41:AF42"/>
    <mergeCell ref="V44:X44"/>
    <mergeCell ref="Y44:AA44"/>
    <mergeCell ref="AB44:AD44"/>
    <mergeCell ref="AE44:AF44"/>
    <mergeCell ref="P44:R44"/>
    <mergeCell ref="S44:U44"/>
    <mergeCell ref="AG41:AG42"/>
    <mergeCell ref="AH41:AH42"/>
    <mergeCell ref="G43:AA43"/>
    <mergeCell ref="V41:X41"/>
    <mergeCell ref="Y41:AA41"/>
    <mergeCell ref="AB41:AD42"/>
    <mergeCell ref="M41:O41"/>
    <mergeCell ref="P41:R41"/>
    <mergeCell ref="S41:U41"/>
    <mergeCell ref="Y37:AA37"/>
    <mergeCell ref="AB37:AD37"/>
    <mergeCell ref="AE37:AF38"/>
    <mergeCell ref="AG37:AG38"/>
    <mergeCell ref="Y39:AA40"/>
    <mergeCell ref="AB39:AD39"/>
    <mergeCell ref="AE39:AF40"/>
    <mergeCell ref="AG39:AG40"/>
    <mergeCell ref="AH39:AH40"/>
    <mergeCell ref="A39:A40"/>
    <mergeCell ref="B39:B40"/>
    <mergeCell ref="D39:F39"/>
    <mergeCell ref="G39:I39"/>
    <mergeCell ref="J39:L39"/>
    <mergeCell ref="M39:O39"/>
    <mergeCell ref="P39:R39"/>
    <mergeCell ref="S39:U39"/>
    <mergeCell ref="V39:X39"/>
    <mergeCell ref="A35:A36"/>
    <mergeCell ref="B35:B36"/>
    <mergeCell ref="D35:F35"/>
    <mergeCell ref="G35:I35"/>
    <mergeCell ref="J35:L35"/>
    <mergeCell ref="AE35:AF36"/>
    <mergeCell ref="AG35:AG36"/>
    <mergeCell ref="AH35:AH36"/>
    <mergeCell ref="A37:A38"/>
    <mergeCell ref="B37:B38"/>
    <mergeCell ref="D37:F37"/>
    <mergeCell ref="G37:I37"/>
    <mergeCell ref="J37:L37"/>
    <mergeCell ref="M37:O37"/>
    <mergeCell ref="P37:R37"/>
    <mergeCell ref="M35:O35"/>
    <mergeCell ref="P35:R35"/>
    <mergeCell ref="S35:U36"/>
    <mergeCell ref="V35:X35"/>
    <mergeCell ref="Y35:AA35"/>
    <mergeCell ref="AB35:AD35"/>
    <mergeCell ref="AH37:AH38"/>
    <mergeCell ref="S37:U37"/>
    <mergeCell ref="V37:X38"/>
    <mergeCell ref="AH31:AH32"/>
    <mergeCell ref="A33:A34"/>
    <mergeCell ref="B33:B34"/>
    <mergeCell ref="D33:F33"/>
    <mergeCell ref="G33:I33"/>
    <mergeCell ref="J33:L33"/>
    <mergeCell ref="M33:O33"/>
    <mergeCell ref="P33:R34"/>
    <mergeCell ref="S33:U33"/>
    <mergeCell ref="V33:X33"/>
    <mergeCell ref="S31:U31"/>
    <mergeCell ref="V31:X31"/>
    <mergeCell ref="Y31:AA31"/>
    <mergeCell ref="AB31:AD31"/>
    <mergeCell ref="AE31:AF32"/>
    <mergeCell ref="AG31:AG32"/>
    <mergeCell ref="Y33:AA33"/>
    <mergeCell ref="AB33:AD33"/>
    <mergeCell ref="AE33:AF34"/>
    <mergeCell ref="AG33:AG34"/>
    <mergeCell ref="AH33:AH34"/>
    <mergeCell ref="A31:A32"/>
    <mergeCell ref="B31:B32"/>
    <mergeCell ref="D31:F31"/>
    <mergeCell ref="G31:I31"/>
    <mergeCell ref="J31:L31"/>
    <mergeCell ref="M31:O32"/>
    <mergeCell ref="P31:R31"/>
    <mergeCell ref="M29:O29"/>
    <mergeCell ref="P29:R29"/>
    <mergeCell ref="AB27:AD27"/>
    <mergeCell ref="AE27:AF28"/>
    <mergeCell ref="AG27:AG28"/>
    <mergeCell ref="AH27:AH28"/>
    <mergeCell ref="A29:A30"/>
    <mergeCell ref="B29:B30"/>
    <mergeCell ref="D29:F29"/>
    <mergeCell ref="G29:I29"/>
    <mergeCell ref="J29:L30"/>
    <mergeCell ref="AE29:AF30"/>
    <mergeCell ref="AG29:AG30"/>
    <mergeCell ref="AH29:AH30"/>
    <mergeCell ref="S29:U29"/>
    <mergeCell ref="V29:X29"/>
    <mergeCell ref="Y29:AA29"/>
    <mergeCell ref="AB29:AD29"/>
    <mergeCell ref="A25:A26"/>
    <mergeCell ref="B25:B26"/>
    <mergeCell ref="D25:F26"/>
    <mergeCell ref="G25:I25"/>
    <mergeCell ref="J25:L25"/>
    <mergeCell ref="M25:O25"/>
    <mergeCell ref="P25:R25"/>
    <mergeCell ref="AH25:AH26"/>
    <mergeCell ref="A27:A28"/>
    <mergeCell ref="B27:B28"/>
    <mergeCell ref="D27:F27"/>
    <mergeCell ref="G27:I28"/>
    <mergeCell ref="J27:L27"/>
    <mergeCell ref="M27:O27"/>
    <mergeCell ref="P27:R27"/>
    <mergeCell ref="S27:U27"/>
    <mergeCell ref="V27:X27"/>
    <mergeCell ref="S25:U25"/>
    <mergeCell ref="V25:X25"/>
    <mergeCell ref="Y25:AA25"/>
    <mergeCell ref="AB25:AD25"/>
    <mergeCell ref="AE25:AF26"/>
    <mergeCell ref="AG25:AG26"/>
    <mergeCell ref="Y27:AA27"/>
    <mergeCell ref="AG21:AG22"/>
    <mergeCell ref="AH21:AH22"/>
    <mergeCell ref="G23:AA23"/>
    <mergeCell ref="D24:F24"/>
    <mergeCell ref="G24:I24"/>
    <mergeCell ref="J24:L24"/>
    <mergeCell ref="M24:O24"/>
    <mergeCell ref="P24:R24"/>
    <mergeCell ref="S24:U24"/>
    <mergeCell ref="V24:X24"/>
    <mergeCell ref="P21:R21"/>
    <mergeCell ref="S21:U21"/>
    <mergeCell ref="V21:X21"/>
    <mergeCell ref="Y21:AA21"/>
    <mergeCell ref="AB21:AD22"/>
    <mergeCell ref="AE21:AF22"/>
    <mergeCell ref="Y24:AA24"/>
    <mergeCell ref="AB24:AD24"/>
    <mergeCell ref="AE24:AF24"/>
    <mergeCell ref="A21:A22"/>
    <mergeCell ref="B21:B22"/>
    <mergeCell ref="D21:F21"/>
    <mergeCell ref="G21:I21"/>
    <mergeCell ref="J21:L21"/>
    <mergeCell ref="M21:O21"/>
    <mergeCell ref="V19:X19"/>
    <mergeCell ref="Y19:AA20"/>
    <mergeCell ref="AB19:AD19"/>
    <mergeCell ref="AE19:AF20"/>
    <mergeCell ref="AG19:AG20"/>
    <mergeCell ref="AH19:AH20"/>
    <mergeCell ref="AG17:AG18"/>
    <mergeCell ref="AH17:AH18"/>
    <mergeCell ref="A19:A20"/>
    <mergeCell ref="B19:B20"/>
    <mergeCell ref="D19:F19"/>
    <mergeCell ref="G19:I19"/>
    <mergeCell ref="J19:L19"/>
    <mergeCell ref="M19:O19"/>
    <mergeCell ref="P19:R19"/>
    <mergeCell ref="S19:U19"/>
    <mergeCell ref="P17:R17"/>
    <mergeCell ref="S17:U17"/>
    <mergeCell ref="V17:X18"/>
    <mergeCell ref="Y17:AA17"/>
    <mergeCell ref="AB17:AD17"/>
    <mergeCell ref="AE17:AF18"/>
    <mergeCell ref="A17:A18"/>
    <mergeCell ref="B17:B18"/>
    <mergeCell ref="D17:F17"/>
    <mergeCell ref="G17:I17"/>
    <mergeCell ref="J17:L17"/>
    <mergeCell ref="M17:O17"/>
    <mergeCell ref="V15:X15"/>
    <mergeCell ref="Y15:AA15"/>
    <mergeCell ref="AB15:AD15"/>
    <mergeCell ref="AE15:AF16"/>
    <mergeCell ref="AG15:AG16"/>
    <mergeCell ref="AH15:AH16"/>
    <mergeCell ref="AG13:AG14"/>
    <mergeCell ref="AH13:AH14"/>
    <mergeCell ref="V13:X13"/>
    <mergeCell ref="Y13:AA13"/>
    <mergeCell ref="AB13:AD13"/>
    <mergeCell ref="AE13:AF14"/>
    <mergeCell ref="A15:A16"/>
    <mergeCell ref="B15:B16"/>
    <mergeCell ref="D15:F15"/>
    <mergeCell ref="G15:I15"/>
    <mergeCell ref="J15:L15"/>
    <mergeCell ref="M15:O15"/>
    <mergeCell ref="P15:R15"/>
    <mergeCell ref="S15:U16"/>
    <mergeCell ref="P13:R14"/>
    <mergeCell ref="S13:U13"/>
    <mergeCell ref="A13:A14"/>
    <mergeCell ref="B13:B14"/>
    <mergeCell ref="D13:F13"/>
    <mergeCell ref="G13:I13"/>
    <mergeCell ref="J13:L13"/>
    <mergeCell ref="M13:O13"/>
    <mergeCell ref="V11:X11"/>
    <mergeCell ref="Y11:AA11"/>
    <mergeCell ref="AB11:AD11"/>
    <mergeCell ref="AE11:AF12"/>
    <mergeCell ref="AG11:AG12"/>
    <mergeCell ref="AH11:AH12"/>
    <mergeCell ref="AG9:AG10"/>
    <mergeCell ref="AH9:AH10"/>
    <mergeCell ref="A11:A12"/>
    <mergeCell ref="B11:B12"/>
    <mergeCell ref="D11:F11"/>
    <mergeCell ref="G11:I11"/>
    <mergeCell ref="J11:L11"/>
    <mergeCell ref="M11:O12"/>
    <mergeCell ref="P11:R11"/>
    <mergeCell ref="S11:U11"/>
    <mergeCell ref="P9:R9"/>
    <mergeCell ref="S9:U9"/>
    <mergeCell ref="V9:X9"/>
    <mergeCell ref="Y9:AA9"/>
    <mergeCell ref="AB9:AD9"/>
    <mergeCell ref="AE9:AF10"/>
    <mergeCell ref="A9:A10"/>
    <mergeCell ref="B9:B10"/>
    <mergeCell ref="D9:F9"/>
    <mergeCell ref="G9:I9"/>
    <mergeCell ref="J9:L10"/>
    <mergeCell ref="M9:O9"/>
    <mergeCell ref="V7:X7"/>
    <mergeCell ref="Y7:AA7"/>
    <mergeCell ref="AB7:AD7"/>
    <mergeCell ref="AE7:AF8"/>
    <mergeCell ref="AG7:AG8"/>
    <mergeCell ref="A5:A6"/>
    <mergeCell ref="B5:B6"/>
    <mergeCell ref="D5:F6"/>
    <mergeCell ref="G5:I5"/>
    <mergeCell ref="J5:L5"/>
    <mergeCell ref="M5:O5"/>
    <mergeCell ref="AH7:AH8"/>
    <mergeCell ref="AG5:AG6"/>
    <mergeCell ref="AH5:AH6"/>
    <mergeCell ref="A7:A8"/>
    <mergeCell ref="B7:B8"/>
    <mergeCell ref="D7:F7"/>
    <mergeCell ref="G7:I8"/>
    <mergeCell ref="J7:L7"/>
    <mergeCell ref="M7:O7"/>
    <mergeCell ref="P7:R7"/>
    <mergeCell ref="S7:U7"/>
    <mergeCell ref="P5:R5"/>
    <mergeCell ref="S5:U5"/>
    <mergeCell ref="V5:X5"/>
    <mergeCell ref="Y5:AA5"/>
    <mergeCell ref="AB5:AD5"/>
    <mergeCell ref="AE5:AF6"/>
    <mergeCell ref="C1:AG1"/>
    <mergeCell ref="D2:AA2"/>
    <mergeCell ref="AB2:AG2"/>
    <mergeCell ref="G3:AA3"/>
    <mergeCell ref="D4:F4"/>
    <mergeCell ref="G4:I4"/>
    <mergeCell ref="J4:L4"/>
    <mergeCell ref="M4:O4"/>
    <mergeCell ref="P4:R4"/>
    <mergeCell ref="S4:U4"/>
    <mergeCell ref="V4:X4"/>
    <mergeCell ref="Y4:AA4"/>
    <mergeCell ref="AB4:AD4"/>
    <mergeCell ref="AE4:AF4"/>
  </mergeCells>
  <pageMargins left="0.7" right="0.7" top="0.75" bottom="0.75" header="0.3" footer="0.3"/>
  <pageSetup paperSize="9" scale="64" orientation="portrait" verticalDpi="0" r:id="rId1"/>
  <rowBreaks count="1" manualBreakCount="1">
    <brk id="42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A106" zoomScale="60" zoomScaleNormal="100" workbookViewId="0">
      <selection activeCell="G146" sqref="G146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6.8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11985</v>
      </c>
      <c r="C2" s="1199"/>
      <c r="D2" s="955"/>
      <c r="E2" s="956"/>
      <c r="G2" s="1199" t="str">
        <f>B2</f>
        <v>Финалы</v>
      </c>
      <c r="H2" s="1199"/>
      <c r="I2" s="955"/>
      <c r="J2" s="956"/>
      <c r="L2" s="1199" t="str">
        <f>B2</f>
        <v>Финалы</v>
      </c>
      <c r="M2" s="1199"/>
      <c r="N2" s="961"/>
    </row>
    <row r="3" spans="1:14" x14ac:dyDescent="0.3">
      <c r="B3" s="957"/>
      <c r="C3" s="958" t="s">
        <v>9450</v>
      </c>
      <c r="D3" s="962"/>
      <c r="E3" s="963"/>
      <c r="G3" s="957"/>
      <c r="H3" s="958" t="str">
        <f>C3</f>
        <v>1-8 место</v>
      </c>
      <c r="I3" s="962"/>
      <c r="J3" s="963"/>
      <c r="L3" s="957"/>
      <c r="M3" s="958" t="str">
        <f>C3</f>
        <v>1-8 место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финалы!C7</f>
        <v>СОДЫЛЬ Максим</v>
      </c>
      <c r="C5" s="960" t="str">
        <f>финалы!C15</f>
        <v xml:space="preserve">СУЛТАНОВ Артур </v>
      </c>
      <c r="D5" s="961"/>
      <c r="E5" s="966"/>
      <c r="G5" s="960" t="str">
        <f>финалы!C9</f>
        <v>БАТАЛОВ Анатолий</v>
      </c>
      <c r="H5" s="960" t="str">
        <f>финалы!C13</f>
        <v>ПАНФИЛОВ Федор</v>
      </c>
      <c r="I5" s="961"/>
      <c r="J5" s="966"/>
      <c r="L5" s="960" t="str">
        <f>финалы!C5</f>
        <v>БОКОВ Максим Андреевич</v>
      </c>
      <c r="M5" s="960" t="str">
        <f>финалы!C17</f>
        <v>МАЛОВ Илья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442" t="s">
        <v>11955</v>
      </c>
      <c r="C16" s="1442"/>
      <c r="D16" s="1443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442" t="str">
        <f>B2</f>
        <v>Финалы</v>
      </c>
      <c r="C17" s="1442"/>
      <c r="D17" s="1443"/>
      <c r="E17" s="956"/>
      <c r="G17" s="1199" t="str">
        <f>B2</f>
        <v>Финалы</v>
      </c>
      <c r="H17" s="1199"/>
      <c r="I17" s="955"/>
      <c r="J17" s="956"/>
      <c r="L17" s="1199" t="str">
        <f>B2</f>
        <v>Финалы</v>
      </c>
      <c r="M17" s="1199"/>
      <c r="N17" s="961"/>
    </row>
    <row r="18" spans="1:14" x14ac:dyDescent="0.3">
      <c r="B18" s="1444"/>
      <c r="C18" s="1445" t="str">
        <f>C3</f>
        <v>1-8 место</v>
      </c>
      <c r="D18" s="1446"/>
      <c r="E18" s="963"/>
      <c r="G18" s="957"/>
      <c r="H18" s="958" t="str">
        <f>C3</f>
        <v>1-8 место</v>
      </c>
      <c r="I18" s="962"/>
      <c r="J18" s="963"/>
      <c r="L18" s="957"/>
      <c r="M18" s="958" t="str">
        <f>C3</f>
        <v>1-8 место</v>
      </c>
      <c r="N18" s="961"/>
    </row>
    <row r="19" spans="1:14" x14ac:dyDescent="0.3">
      <c r="B19" s="1444" t="s">
        <v>11957</v>
      </c>
      <c r="C19" s="1447" t="s">
        <v>11958</v>
      </c>
      <c r="D19" s="1448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1449" t="str">
        <f>финалы!C11</f>
        <v>СТАШКОВСКИЙ Глеб</v>
      </c>
      <c r="C20" s="1449" t="str">
        <f>финалы!C19</f>
        <v>МИРОНОВ Егор</v>
      </c>
      <c r="D20" s="1448"/>
      <c r="E20" s="966"/>
      <c r="G20" s="960" t="str">
        <f>финалы!C13</f>
        <v>ПАНФИЛОВ Федор</v>
      </c>
      <c r="H20" s="960" t="str">
        <f>финалы!C7</f>
        <v>СОДЫЛЬ Максим</v>
      </c>
      <c r="I20" s="961"/>
      <c r="J20" s="966"/>
      <c r="L20" s="960" t="str">
        <f>финалы!C15</f>
        <v xml:space="preserve">СУЛТАНОВ Артур </v>
      </c>
      <c r="M20" s="960" t="str">
        <f>финалы!C5</f>
        <v>БОКОВ Максим Андреевич</v>
      </c>
      <c r="N20" s="961"/>
    </row>
    <row r="21" spans="1:14" x14ac:dyDescent="0.3">
      <c r="A21" s="967">
        <v>1</v>
      </c>
      <c r="B21" s="1450"/>
      <c r="C21" s="1450"/>
      <c r="D21" s="1451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1450"/>
      <c r="C22" s="1450"/>
      <c r="D22" s="1451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1450"/>
      <c r="C23" s="1450"/>
      <c r="D23" s="1451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1450"/>
      <c r="C24" s="1450"/>
      <c r="D24" s="1451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1450"/>
      <c r="C25" s="1450"/>
      <c r="D25" s="1451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B26" s="1449"/>
      <c r="C26" s="1449"/>
      <c r="D26" s="1448"/>
      <c r="E26" s="966"/>
      <c r="I26" s="961"/>
      <c r="N26" s="961"/>
    </row>
    <row r="27" spans="1:14" x14ac:dyDescent="0.3">
      <c r="B27" s="1452" t="s">
        <v>11961</v>
      </c>
      <c r="C27" s="1453"/>
      <c r="D27" s="1448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B28" s="1449"/>
      <c r="C28" s="1449"/>
      <c r="D28" s="1448"/>
      <c r="I28" s="961"/>
      <c r="N28" s="961"/>
    </row>
    <row r="29" spans="1:14" x14ac:dyDescent="0.3">
      <c r="B29" s="1452" t="s">
        <v>11962</v>
      </c>
      <c r="C29" s="1450"/>
      <c r="D29" s="1448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1454"/>
      <c r="C30" s="1454"/>
      <c r="D30" s="1455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Финалы</v>
      </c>
      <c r="C32" s="1199"/>
      <c r="D32" s="955"/>
      <c r="E32" s="956"/>
      <c r="G32" s="1199" t="str">
        <f>B2</f>
        <v>Финалы</v>
      </c>
      <c r="H32" s="1199"/>
      <c r="I32" s="955"/>
      <c r="J32" s="956"/>
      <c r="L32" s="1199" t="str">
        <f>B2</f>
        <v>Финалы</v>
      </c>
      <c r="M32" s="1199"/>
      <c r="N32" s="961"/>
    </row>
    <row r="33" spans="1:14" x14ac:dyDescent="0.3">
      <c r="B33" s="957"/>
      <c r="C33" s="958" t="str">
        <f>C3</f>
        <v>1-8 место</v>
      </c>
      <c r="D33" s="962"/>
      <c r="E33" s="963"/>
      <c r="G33" s="957"/>
      <c r="H33" s="958" t="str">
        <f>C3</f>
        <v>1-8 место</v>
      </c>
      <c r="I33" s="962"/>
      <c r="J33" s="963"/>
      <c r="L33" s="957"/>
      <c r="M33" s="958" t="str">
        <f>C3</f>
        <v>1-8 место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финалы!C19</f>
        <v>МИРОНОВ Егор</v>
      </c>
      <c r="C35" s="960" t="str">
        <f>финалы!C9</f>
        <v>БАТАЛОВ Анатолий</v>
      </c>
      <c r="D35" s="961"/>
      <c r="E35" s="966"/>
      <c r="G35" s="960" t="str">
        <f>финалы!C17</f>
        <v>МАЛОВ Илья</v>
      </c>
      <c r="H35" s="960" t="str">
        <f>финалы!C11</f>
        <v>СТАШКОВСКИЙ Глеб</v>
      </c>
      <c r="I35" s="961"/>
      <c r="J35" s="966"/>
      <c r="L35" s="960" t="str">
        <f>финалы!C5</f>
        <v>БОКОВ Максим Андреевич</v>
      </c>
      <c r="M35" s="960" t="str">
        <f>финалы!C13</f>
        <v>ПАНФИЛОВ Федор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Финалы</v>
      </c>
      <c r="C47" s="1199"/>
      <c r="D47" s="955"/>
      <c r="E47" s="956"/>
      <c r="G47" s="1199" t="str">
        <f>B2</f>
        <v>Финалы</v>
      </c>
      <c r="H47" s="1199"/>
      <c r="I47" s="955"/>
      <c r="J47" s="956"/>
      <c r="L47" s="1199" t="str">
        <f>B2</f>
        <v>Финалы</v>
      </c>
      <c r="M47" s="1199"/>
      <c r="N47" s="961"/>
    </row>
    <row r="48" spans="1:14" x14ac:dyDescent="0.3">
      <c r="B48" s="957"/>
      <c r="C48" s="958" t="str">
        <f>C3</f>
        <v>1-8 место</v>
      </c>
      <c r="D48" s="962"/>
      <c r="E48" s="963"/>
      <c r="G48" s="957"/>
      <c r="H48" s="958" t="str">
        <f>C3</f>
        <v>1-8 место</v>
      </c>
      <c r="I48" s="962"/>
      <c r="J48" s="963"/>
      <c r="L48" s="957"/>
      <c r="M48" s="958" t="str">
        <f>C3</f>
        <v>1-8 место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финалы!C7</f>
        <v>СОДЫЛЬ Максим</v>
      </c>
      <c r="C50" s="960" t="str">
        <f>финалы!C19</f>
        <v>МИРОНОВ Егор</v>
      </c>
      <c r="D50" s="961"/>
      <c r="E50" s="966"/>
      <c r="G50" s="960" t="str">
        <f>финалы!C11</f>
        <v>СТАШКОВСКИЙ Глеб</v>
      </c>
      <c r="H50" s="960" t="str">
        <f>финалы!C15</f>
        <v xml:space="preserve">СУЛТАНОВ Артур </v>
      </c>
      <c r="I50" s="961"/>
      <c r="J50" s="966"/>
      <c r="L50" s="960" t="str">
        <f>финалы!C9</f>
        <v>БАТАЛОВ Анатолий</v>
      </c>
      <c r="M50" s="960" t="str">
        <f>финалы!C17</f>
        <v>МАЛОВ Илья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Финалы</v>
      </c>
      <c r="C62" s="1199"/>
      <c r="D62" s="955"/>
      <c r="E62" s="956"/>
      <c r="G62" s="1199" t="str">
        <f>B2</f>
        <v>Финалы</v>
      </c>
      <c r="H62" s="1199"/>
      <c r="I62" s="955"/>
      <c r="J62" s="956"/>
      <c r="L62" s="1199" t="str">
        <f>B2</f>
        <v>Финалы</v>
      </c>
      <c r="M62" s="1199"/>
      <c r="N62" s="961"/>
    </row>
    <row r="63" spans="1:14" x14ac:dyDescent="0.3">
      <c r="B63" s="957"/>
      <c r="C63" s="958" t="str">
        <f>C3</f>
        <v>1-8 место</v>
      </c>
      <c r="D63" s="962"/>
      <c r="E63" s="963"/>
      <c r="G63" s="957"/>
      <c r="H63" s="958" t="str">
        <f>C3</f>
        <v>1-8 место</v>
      </c>
      <c r="I63" s="962"/>
      <c r="J63" s="963"/>
      <c r="L63" s="957"/>
      <c r="M63" s="958" t="str">
        <f>C3</f>
        <v>1-8 место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финалы!C19</f>
        <v>МИРОНОВ Егор</v>
      </c>
      <c r="C65" s="960" t="str">
        <f>финалы!C5</f>
        <v>БОКОВ Максим Андреевич</v>
      </c>
      <c r="D65" s="961"/>
      <c r="E65" s="966"/>
      <c r="G65" s="960" t="str">
        <f>финалы!C13</f>
        <v>ПАНФИЛОВ Федор</v>
      </c>
      <c r="H65" s="960" t="str">
        <f>финалы!C11</f>
        <v>СТАШКОВСКИЙ Глеб</v>
      </c>
      <c r="I65" s="961"/>
      <c r="J65" s="966"/>
      <c r="L65" s="960" t="str">
        <f>финалы!C17</f>
        <v>МАЛОВ Илья</v>
      </c>
      <c r="M65" s="960" t="str">
        <f>финалы!C7</f>
        <v>СОДЫЛЬ Максим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Финалы</v>
      </c>
      <c r="C77" s="1199"/>
      <c r="D77" s="955"/>
      <c r="E77" s="956"/>
      <c r="G77" s="1199" t="str">
        <f>B2</f>
        <v>Финалы</v>
      </c>
      <c r="H77" s="1199"/>
      <c r="I77" s="955"/>
      <c r="J77" s="956"/>
      <c r="L77" s="1199" t="str">
        <f>B2</f>
        <v>Финалы</v>
      </c>
      <c r="M77" s="1199"/>
      <c r="N77" s="961"/>
    </row>
    <row r="78" spans="1:14" x14ac:dyDescent="0.3">
      <c r="B78" s="957"/>
      <c r="C78" s="958" t="str">
        <f>C3</f>
        <v>1-8 место</v>
      </c>
      <c r="D78" s="962"/>
      <c r="E78" s="963"/>
      <c r="G78" s="957"/>
      <c r="H78" s="958" t="str">
        <f>C3</f>
        <v>1-8 место</v>
      </c>
      <c r="I78" s="962"/>
      <c r="J78" s="963"/>
      <c r="L78" s="957"/>
      <c r="M78" s="958" t="str">
        <f>C3</f>
        <v>1-8 место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финалы!C15</f>
        <v xml:space="preserve">СУЛТАНОВ Артур </v>
      </c>
      <c r="C80" s="960" t="str">
        <f>финалы!C9</f>
        <v>БАТАЛОВ Анатолий</v>
      </c>
      <c r="D80" s="961"/>
      <c r="E80" s="966"/>
      <c r="G80" s="960" t="str">
        <f>финалы!C5</f>
        <v>БОКОВ Максим Андреевич</v>
      </c>
      <c r="H80" s="960" t="str">
        <f>финалы!C9</f>
        <v>БАТАЛОВ Анатолий</v>
      </c>
      <c r="I80" s="961"/>
      <c r="J80" s="966"/>
      <c r="L80" s="960" t="str">
        <f>финалы!C7</f>
        <v>СОДЫЛЬ Максим</v>
      </c>
      <c r="M80" s="960" t="str">
        <f>финалы!C11</f>
        <v>СТАШКОВСКИЙ Глеб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Финалы</v>
      </c>
      <c r="C92" s="1199"/>
      <c r="D92" s="955"/>
      <c r="E92" s="956"/>
      <c r="G92" s="1199" t="str">
        <f>B2</f>
        <v>Финалы</v>
      </c>
      <c r="H92" s="1199"/>
      <c r="I92" s="955"/>
      <c r="J92" s="956"/>
      <c r="L92" s="1199" t="str">
        <f>B2</f>
        <v>Финалы</v>
      </c>
      <c r="M92" s="1199"/>
      <c r="N92" s="961"/>
    </row>
    <row r="93" spans="1:14" x14ac:dyDescent="0.3">
      <c r="B93" s="957"/>
      <c r="C93" s="958" t="str">
        <f>C3</f>
        <v>1-8 место</v>
      </c>
      <c r="D93" s="962"/>
      <c r="E93" s="963"/>
      <c r="G93" s="957"/>
      <c r="H93" s="958" t="str">
        <f>C3</f>
        <v>1-8 место</v>
      </c>
      <c r="I93" s="962"/>
      <c r="J93" s="963"/>
      <c r="L93" s="957"/>
      <c r="M93" s="958" t="str">
        <f>C3</f>
        <v>1-8 место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финалы!C13</f>
        <v>ПАНФИЛОВ Федор</v>
      </c>
      <c r="C95" s="960" t="str">
        <f>финалы!C17</f>
        <v>МАЛОВ Илья</v>
      </c>
      <c r="D95" s="961"/>
      <c r="E95" s="966"/>
      <c r="G95" s="960" t="str">
        <f>финалы!C15</f>
        <v xml:space="preserve">СУЛТАНОВ Артур </v>
      </c>
      <c r="H95" s="960" t="str">
        <f>финалы!C19</f>
        <v>МИРОНОВ Егор</v>
      </c>
      <c r="I95" s="961"/>
      <c r="J95" s="966"/>
      <c r="L95" s="960" t="str">
        <f>финалы!C11</f>
        <v>СТАШКОВСКИЙ Глеб</v>
      </c>
      <c r="M95" s="960" t="str">
        <f>финалы!C5</f>
        <v>БОКОВ Максим Андреевич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Финалы</v>
      </c>
      <c r="C107" s="1199"/>
      <c r="D107" s="955"/>
      <c r="E107" s="956"/>
      <c r="G107" s="1199" t="str">
        <f>B2</f>
        <v>Финалы</v>
      </c>
      <c r="H107" s="1199"/>
      <c r="I107" s="955"/>
      <c r="J107" s="956"/>
      <c r="L107" s="1199" t="str">
        <f>B2</f>
        <v>Финалы</v>
      </c>
      <c r="M107" s="1199"/>
      <c r="N107" s="961"/>
    </row>
    <row r="108" spans="1:14" x14ac:dyDescent="0.3">
      <c r="B108" s="957"/>
      <c r="C108" s="958" t="str">
        <f>C3</f>
        <v>1-8 место</v>
      </c>
      <c r="D108" s="962"/>
      <c r="E108" s="963"/>
      <c r="G108" s="957"/>
      <c r="H108" s="958" t="str">
        <f>C3</f>
        <v>1-8 место</v>
      </c>
      <c r="I108" s="962"/>
      <c r="J108" s="963"/>
      <c r="L108" s="957"/>
      <c r="M108" s="958" t="str">
        <f>C3</f>
        <v>1-8 место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финалы!C9</f>
        <v>БАТАЛОВ Анатолий</v>
      </c>
      <c r="C110" s="960" t="str">
        <f>финалы!C7</f>
        <v>СОДЫЛЬ Максим</v>
      </c>
      <c r="D110" s="961"/>
      <c r="E110" s="966"/>
      <c r="G110" s="960" t="str">
        <f>финалы!C17</f>
        <v>МАЛОВ Илья</v>
      </c>
      <c r="H110" s="960" t="str">
        <f>финалы!C15</f>
        <v xml:space="preserve">СУЛТАНОВ Артур </v>
      </c>
      <c r="I110" s="961"/>
      <c r="J110" s="966"/>
      <c r="L110" s="960" t="str">
        <f>финалы!C19</f>
        <v>МИРОНОВ Егор</v>
      </c>
      <c r="M110" s="960" t="str">
        <f>финалы!C13</f>
        <v>ПАНФИЛОВ Федор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Финалы</v>
      </c>
      <c r="C122" s="1199"/>
      <c r="D122" s="955"/>
      <c r="E122" s="956"/>
      <c r="G122" s="1199" t="str">
        <f>B2</f>
        <v>Финалы</v>
      </c>
      <c r="H122" s="1199"/>
      <c r="I122" s="955"/>
      <c r="J122" s="956"/>
      <c r="L122" s="1199" t="str">
        <f>B2</f>
        <v>Финалы</v>
      </c>
      <c r="M122" s="1199"/>
      <c r="N122" s="961"/>
    </row>
    <row r="123" spans="1:14" x14ac:dyDescent="0.3">
      <c r="B123" s="957"/>
      <c r="C123" s="958" t="str">
        <f>C3</f>
        <v>1-8 место</v>
      </c>
      <c r="D123" s="962"/>
      <c r="E123" s="963"/>
      <c r="G123" s="957"/>
      <c r="H123" s="958" t="str">
        <f>C3</f>
        <v>1-8 место</v>
      </c>
      <c r="I123" s="962"/>
      <c r="J123" s="963"/>
      <c r="L123" s="957"/>
      <c r="M123" s="958" t="str">
        <f>C3</f>
        <v>1-8 место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финалы!C5</f>
        <v>БОКОВ Максим Андреевич</v>
      </c>
      <c r="C125" s="960" t="str">
        <f>финалы!C7</f>
        <v>СОДЫЛЬ Максим</v>
      </c>
      <c r="D125" s="961"/>
      <c r="E125" s="966"/>
      <c r="G125" s="960" t="str">
        <f>финалы!C9</f>
        <v>БАТАЛОВ Анатолий</v>
      </c>
      <c r="H125" s="960" t="str">
        <f>финалы!C11</f>
        <v>СТАШКОВСКИЙ Глеб</v>
      </c>
      <c r="I125" s="961"/>
      <c r="J125" s="966"/>
      <c r="L125" s="960" t="str">
        <f>финалы!C13</f>
        <v>ПАНФИЛОВ Федор</v>
      </c>
      <c r="M125" s="960" t="str">
        <f>финалы!C15</f>
        <v xml:space="preserve">СУЛТАНОВ Артур 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Финалы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/>
      <c r="C138" s="975" t="str">
        <f>C3</f>
        <v>1-8 место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финалы!C17</f>
        <v>МАЛОВ Илья</v>
      </c>
      <c r="C140" s="960" t="str">
        <f>финалы!C19</f>
        <v>МИРОНОВ Егор</v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2" fitToHeight="0" orientation="landscape" verticalDpi="0" r:id="rId1"/>
  <rowBreaks count="4" manualBreakCount="4">
    <brk id="45" max="13" man="1"/>
    <brk id="75" max="13" man="1"/>
    <brk id="105" max="13" man="1"/>
    <brk id="135" max="1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A123" zoomScale="60" zoomScaleNormal="100" workbookViewId="0">
      <selection activeCell="A16" sqref="A16:D30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11986</v>
      </c>
      <c r="C2" s="1199"/>
      <c r="D2" s="955"/>
      <c r="E2" s="956"/>
      <c r="G2" s="1199" t="str">
        <f>B2</f>
        <v>финалы</v>
      </c>
      <c r="H2" s="1199"/>
      <c r="I2" s="955"/>
      <c r="J2" s="956"/>
      <c r="L2" s="1199" t="str">
        <f>B2</f>
        <v>финалы</v>
      </c>
      <c r="M2" s="1199"/>
      <c r="N2" s="961"/>
    </row>
    <row r="3" spans="1:14" x14ac:dyDescent="0.3">
      <c r="B3" s="957"/>
      <c r="C3" s="958" t="s">
        <v>9451</v>
      </c>
      <c r="D3" s="962"/>
      <c r="E3" s="963"/>
      <c r="G3" s="957"/>
      <c r="H3" s="958" t="str">
        <f>C3</f>
        <v>9-16 место</v>
      </c>
      <c r="I3" s="962"/>
      <c r="J3" s="963"/>
      <c r="L3" s="957"/>
      <c r="M3" s="958" t="str">
        <f>C3</f>
        <v>9-16 место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финалы!C27</f>
        <v>КАЛИМУЛЛИН Камиль</v>
      </c>
      <c r="C5" s="960" t="str">
        <f>финалы!C35</f>
        <v>БАКШИНСКИЙ Илья</v>
      </c>
      <c r="D5" s="961"/>
      <c r="E5" s="966"/>
      <c r="G5" s="960" t="str">
        <f>финалы!C29</f>
        <v>КЛЕСТОВ Евгений</v>
      </c>
      <c r="H5" s="960" t="str">
        <f>финалы!C33</f>
        <v>РАМС Сергей</v>
      </c>
      <c r="I5" s="961"/>
      <c r="J5" s="966"/>
      <c r="L5" s="960" t="str">
        <f>финалы!C25</f>
        <v>МАНЦУРОВ Тихон</v>
      </c>
      <c r="M5" s="960" t="str">
        <f>финалы!C37</f>
        <v>РОДИОНОВ Всеволод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A16" s="1449"/>
      <c r="B16" s="1442" t="s">
        <v>11955</v>
      </c>
      <c r="C16" s="1442"/>
      <c r="D16" s="1443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A17" s="1449"/>
      <c r="B17" s="1442" t="str">
        <f>B2</f>
        <v>финалы</v>
      </c>
      <c r="C17" s="1442"/>
      <c r="D17" s="1443"/>
      <c r="E17" s="956"/>
      <c r="G17" s="1199" t="str">
        <f>B2</f>
        <v>финалы</v>
      </c>
      <c r="H17" s="1199"/>
      <c r="I17" s="955"/>
      <c r="J17" s="956"/>
      <c r="L17" s="1199" t="str">
        <f>B2</f>
        <v>финалы</v>
      </c>
      <c r="M17" s="1199"/>
      <c r="N17" s="961"/>
    </row>
    <row r="18" spans="1:14" x14ac:dyDescent="0.3">
      <c r="A18" s="1449"/>
      <c r="B18" s="1444"/>
      <c r="C18" s="1445" t="str">
        <f>C3</f>
        <v>9-16 место</v>
      </c>
      <c r="D18" s="1446"/>
      <c r="E18" s="963"/>
      <c r="G18" s="957"/>
      <c r="H18" s="958" t="str">
        <f>C3</f>
        <v>9-16 место</v>
      </c>
      <c r="I18" s="962"/>
      <c r="J18" s="963"/>
      <c r="L18" s="957"/>
      <c r="M18" s="958" t="str">
        <f>C3</f>
        <v>9-16 место</v>
      </c>
      <c r="N18" s="961"/>
    </row>
    <row r="19" spans="1:14" x14ac:dyDescent="0.3">
      <c r="A19" s="1449"/>
      <c r="B19" s="1444" t="s">
        <v>11957</v>
      </c>
      <c r="C19" s="1447" t="s">
        <v>11958</v>
      </c>
      <c r="D19" s="1448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A20" s="1449"/>
      <c r="B20" s="1449" t="str">
        <f>финалы!C31</f>
        <v>ПОЛЯКОВ Василий</v>
      </c>
      <c r="C20" s="1449" t="str">
        <f>финалы!C39</f>
        <v>КОРОЛЬ Владислав</v>
      </c>
      <c r="D20" s="1448"/>
      <c r="E20" s="966"/>
      <c r="G20" s="960" t="str">
        <f>финалы!C33</f>
        <v>РАМС Сергей</v>
      </c>
      <c r="H20" s="960" t="str">
        <f>финалы!C27</f>
        <v>КАЛИМУЛЛИН Камиль</v>
      </c>
      <c r="I20" s="961"/>
      <c r="J20" s="966"/>
      <c r="L20" s="960" t="str">
        <f>финалы!C35</f>
        <v>БАКШИНСКИЙ Илья</v>
      </c>
      <c r="M20" s="960" t="str">
        <f>финалы!C25</f>
        <v>МАНЦУРОВ Тихон</v>
      </c>
      <c r="N20" s="961"/>
    </row>
    <row r="21" spans="1:14" x14ac:dyDescent="0.3">
      <c r="A21" s="1450">
        <v>1</v>
      </c>
      <c r="B21" s="1450"/>
      <c r="C21" s="1450"/>
      <c r="D21" s="1451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1450">
        <v>2</v>
      </c>
      <c r="B22" s="1450"/>
      <c r="C22" s="1450"/>
      <c r="D22" s="1451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1450">
        <v>3</v>
      </c>
      <c r="B23" s="1450"/>
      <c r="C23" s="1450"/>
      <c r="D23" s="1451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1450">
        <v>4</v>
      </c>
      <c r="B24" s="1450"/>
      <c r="C24" s="1450"/>
      <c r="D24" s="1451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1450">
        <v>5</v>
      </c>
      <c r="B25" s="1450"/>
      <c r="C25" s="1450"/>
      <c r="D25" s="1451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A26" s="1449"/>
      <c r="B26" s="1449"/>
      <c r="C26" s="1449"/>
      <c r="D26" s="1448"/>
      <c r="E26" s="966"/>
      <c r="I26" s="961"/>
      <c r="N26" s="961"/>
    </row>
    <row r="27" spans="1:14" x14ac:dyDescent="0.3">
      <c r="A27" s="1449"/>
      <c r="B27" s="1452" t="s">
        <v>11961</v>
      </c>
      <c r="C27" s="1453"/>
      <c r="D27" s="1448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A28" s="1449"/>
      <c r="B28" s="1449"/>
      <c r="C28" s="1449"/>
      <c r="D28" s="1448"/>
      <c r="I28" s="961"/>
      <c r="N28" s="961"/>
    </row>
    <row r="29" spans="1:14" x14ac:dyDescent="0.3">
      <c r="A29" s="1449"/>
      <c r="B29" s="1452" t="s">
        <v>11962</v>
      </c>
      <c r="C29" s="1450"/>
      <c r="D29" s="1448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A30" s="1449"/>
      <c r="B30" s="1454"/>
      <c r="C30" s="1454"/>
      <c r="D30" s="1455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финалы</v>
      </c>
      <c r="C32" s="1199"/>
      <c r="D32" s="955"/>
      <c r="E32" s="956"/>
      <c r="G32" s="1199" t="str">
        <f>B2</f>
        <v>финалы</v>
      </c>
      <c r="H32" s="1199"/>
      <c r="I32" s="955"/>
      <c r="J32" s="956"/>
      <c r="L32" s="1199" t="str">
        <f>B2</f>
        <v>финалы</v>
      </c>
      <c r="M32" s="1199"/>
      <c r="N32" s="961"/>
    </row>
    <row r="33" spans="1:14" x14ac:dyDescent="0.3">
      <c r="B33" s="957"/>
      <c r="C33" s="958" t="str">
        <f>C3</f>
        <v>9-16 место</v>
      </c>
      <c r="D33" s="962"/>
      <c r="E33" s="963"/>
      <c r="G33" s="957"/>
      <c r="H33" s="958" t="str">
        <f>C3</f>
        <v>9-16 место</v>
      </c>
      <c r="I33" s="962"/>
      <c r="J33" s="963"/>
      <c r="L33" s="957"/>
      <c r="M33" s="958" t="str">
        <f>C3</f>
        <v>9-16 место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финалы!C39</f>
        <v>КОРОЛЬ Владислав</v>
      </c>
      <c r="C35" s="960" t="str">
        <f>финалы!C29</f>
        <v>КЛЕСТОВ Евгений</v>
      </c>
      <c r="D35" s="961"/>
      <c r="E35" s="966"/>
      <c r="G35" s="960" t="str">
        <f>финалы!C37</f>
        <v>РОДИОНОВ Всеволод</v>
      </c>
      <c r="H35" s="960" t="str">
        <f>финалы!C31</f>
        <v>ПОЛЯКОВ Василий</v>
      </c>
      <c r="I35" s="961"/>
      <c r="J35" s="966"/>
      <c r="L35" s="960" t="str">
        <f>финалы!C25</f>
        <v>МАНЦУРОВ Тихон</v>
      </c>
      <c r="M35" s="960" t="str">
        <f>финалы!C33</f>
        <v>РАМС Сергей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финалы</v>
      </c>
      <c r="C47" s="1199"/>
      <c r="D47" s="955"/>
      <c r="E47" s="956"/>
      <c r="G47" s="1199" t="str">
        <f>B2</f>
        <v>финалы</v>
      </c>
      <c r="H47" s="1199"/>
      <c r="I47" s="955"/>
      <c r="J47" s="956"/>
      <c r="L47" s="1199" t="str">
        <f>B2</f>
        <v>финалы</v>
      </c>
      <c r="M47" s="1199"/>
      <c r="N47" s="961"/>
    </row>
    <row r="48" spans="1:14" x14ac:dyDescent="0.3">
      <c r="B48" s="957"/>
      <c r="C48" s="958" t="str">
        <f>C3</f>
        <v>9-16 место</v>
      </c>
      <c r="D48" s="962"/>
      <c r="E48" s="963"/>
      <c r="G48" s="957"/>
      <c r="H48" s="958" t="str">
        <f>C3</f>
        <v>9-16 место</v>
      </c>
      <c r="I48" s="962"/>
      <c r="J48" s="963"/>
      <c r="L48" s="957"/>
      <c r="M48" s="958" t="str">
        <f>C3</f>
        <v>9-16 место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финалы!C27</f>
        <v>КАЛИМУЛЛИН Камиль</v>
      </c>
      <c r="C50" s="960" t="str">
        <f>финалы!C39</f>
        <v>КОРОЛЬ Владислав</v>
      </c>
      <c r="D50" s="961"/>
      <c r="E50" s="966"/>
      <c r="G50" s="960" t="str">
        <f>финалы!C31</f>
        <v>ПОЛЯКОВ Василий</v>
      </c>
      <c r="H50" s="960" t="str">
        <f>финалы!C35</f>
        <v>БАКШИНСКИЙ Илья</v>
      </c>
      <c r="I50" s="961"/>
      <c r="J50" s="966"/>
      <c r="L50" s="960" t="str">
        <f>финалы!C29</f>
        <v>КЛЕСТОВ Евгений</v>
      </c>
      <c r="M50" s="960" t="str">
        <f>финалы!C37</f>
        <v>РОДИОНОВ Всеволод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финалы</v>
      </c>
      <c r="C62" s="1199"/>
      <c r="D62" s="955"/>
      <c r="E62" s="956"/>
      <c r="G62" s="1199" t="str">
        <f>B2</f>
        <v>финалы</v>
      </c>
      <c r="H62" s="1199"/>
      <c r="I62" s="955"/>
      <c r="J62" s="956"/>
      <c r="L62" s="1199" t="str">
        <f>B2</f>
        <v>финалы</v>
      </c>
      <c r="M62" s="1199"/>
      <c r="N62" s="961"/>
    </row>
    <row r="63" spans="1:14" x14ac:dyDescent="0.3">
      <c r="B63" s="957"/>
      <c r="C63" s="958" t="str">
        <f>C3</f>
        <v>9-16 место</v>
      </c>
      <c r="D63" s="962"/>
      <c r="E63" s="963"/>
      <c r="G63" s="957"/>
      <c r="H63" s="958" t="str">
        <f>C3</f>
        <v>9-16 место</v>
      </c>
      <c r="I63" s="962"/>
      <c r="J63" s="963"/>
      <c r="L63" s="957"/>
      <c r="M63" s="958" t="str">
        <f>C3</f>
        <v>9-16 место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финалы!C39</f>
        <v>КОРОЛЬ Владислав</v>
      </c>
      <c r="C65" s="960" t="str">
        <f>финалы!C25</f>
        <v>МАНЦУРОВ Тихон</v>
      </c>
      <c r="D65" s="961"/>
      <c r="E65" s="966"/>
      <c r="G65" s="960" t="str">
        <f>финалы!C33</f>
        <v>РАМС Сергей</v>
      </c>
      <c r="H65" s="960" t="str">
        <f>финалы!C31</f>
        <v>ПОЛЯКОВ Василий</v>
      </c>
      <c r="I65" s="961"/>
      <c r="J65" s="966"/>
      <c r="L65" s="960" t="str">
        <f>финалы!C37</f>
        <v>РОДИОНОВ Всеволод</v>
      </c>
      <c r="M65" s="960" t="str">
        <f>финалы!C27</f>
        <v>КАЛИМУЛЛИН Камиль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финалы</v>
      </c>
      <c r="C77" s="1199"/>
      <c r="D77" s="955"/>
      <c r="E77" s="956"/>
      <c r="G77" s="1199" t="str">
        <f>B2</f>
        <v>финалы</v>
      </c>
      <c r="H77" s="1199"/>
      <c r="I77" s="955"/>
      <c r="J77" s="956"/>
      <c r="L77" s="1199" t="str">
        <f>B2</f>
        <v>финалы</v>
      </c>
      <c r="M77" s="1199"/>
      <c r="N77" s="961"/>
    </row>
    <row r="78" spans="1:14" x14ac:dyDescent="0.3">
      <c r="B78" s="957"/>
      <c r="C78" s="958" t="str">
        <f>C3</f>
        <v>9-16 место</v>
      </c>
      <c r="D78" s="962"/>
      <c r="E78" s="963"/>
      <c r="G78" s="957"/>
      <c r="H78" s="958" t="str">
        <f>C3</f>
        <v>9-16 место</v>
      </c>
      <c r="I78" s="962"/>
      <c r="J78" s="963"/>
      <c r="L78" s="957"/>
      <c r="M78" s="958" t="str">
        <f>C3</f>
        <v>9-16 место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финалы!C35</f>
        <v>БАКШИНСКИЙ Илья</v>
      </c>
      <c r="C80" s="960" t="str">
        <f>финалы!C29</f>
        <v>КЛЕСТОВ Евгений</v>
      </c>
      <c r="D80" s="961"/>
      <c r="E80" s="966"/>
      <c r="G80" s="960" t="str">
        <f>финалы!C25</f>
        <v>МАНЦУРОВ Тихон</v>
      </c>
      <c r="H80" s="960" t="str">
        <f>финалы!C29</f>
        <v>КЛЕСТОВ Евгений</v>
      </c>
      <c r="I80" s="961"/>
      <c r="J80" s="966"/>
      <c r="L80" s="960" t="str">
        <f>финалы!C27</f>
        <v>КАЛИМУЛЛИН Камиль</v>
      </c>
      <c r="M80" s="960" t="str">
        <f>финалы!C31</f>
        <v>ПОЛЯКОВ Василий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финалы</v>
      </c>
      <c r="C92" s="1199"/>
      <c r="D92" s="955"/>
      <c r="E92" s="956"/>
      <c r="G92" s="1199" t="str">
        <f>B2</f>
        <v>финалы</v>
      </c>
      <c r="H92" s="1199"/>
      <c r="I92" s="955"/>
      <c r="J92" s="956"/>
      <c r="L92" s="1199" t="str">
        <f>B2</f>
        <v>финалы</v>
      </c>
      <c r="M92" s="1199"/>
      <c r="N92" s="961"/>
    </row>
    <row r="93" spans="1:14" x14ac:dyDescent="0.3">
      <c r="B93" s="957"/>
      <c r="C93" s="958" t="str">
        <f>C3</f>
        <v>9-16 место</v>
      </c>
      <c r="D93" s="962"/>
      <c r="E93" s="963"/>
      <c r="G93" s="957"/>
      <c r="H93" s="958" t="str">
        <f>C3</f>
        <v>9-16 место</v>
      </c>
      <c r="I93" s="962"/>
      <c r="J93" s="963"/>
      <c r="L93" s="957"/>
      <c r="M93" s="958" t="str">
        <f>C3</f>
        <v>9-16 место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финалы!C33</f>
        <v>РАМС Сергей</v>
      </c>
      <c r="C95" s="960" t="str">
        <f>финалы!C37</f>
        <v>РОДИОНОВ Всеволод</v>
      </c>
      <c r="D95" s="961"/>
      <c r="E95" s="966"/>
      <c r="G95" s="960" t="str">
        <f>финалы!C35</f>
        <v>БАКШИНСКИЙ Илья</v>
      </c>
      <c r="H95" s="960" t="str">
        <f>финалы!C39</f>
        <v>КОРОЛЬ Владислав</v>
      </c>
      <c r="I95" s="961"/>
      <c r="J95" s="966"/>
      <c r="L95" s="960" t="str">
        <f>финалы!C31</f>
        <v>ПОЛЯКОВ Василий</v>
      </c>
      <c r="M95" s="960" t="str">
        <f>финалы!C25</f>
        <v>МАНЦУРОВ Тихон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финалы</v>
      </c>
      <c r="C107" s="1199"/>
      <c r="D107" s="955"/>
      <c r="E107" s="956"/>
      <c r="G107" s="1199" t="str">
        <f>B2</f>
        <v>финалы</v>
      </c>
      <c r="H107" s="1199"/>
      <c r="I107" s="955"/>
      <c r="J107" s="956"/>
      <c r="L107" s="1199" t="str">
        <f>B2</f>
        <v>финалы</v>
      </c>
      <c r="M107" s="1199"/>
      <c r="N107" s="961"/>
    </row>
    <row r="108" spans="1:14" x14ac:dyDescent="0.3">
      <c r="B108" s="957"/>
      <c r="C108" s="958" t="str">
        <f>C3</f>
        <v>9-16 место</v>
      </c>
      <c r="D108" s="962"/>
      <c r="E108" s="963"/>
      <c r="G108" s="957"/>
      <c r="H108" s="958" t="str">
        <f>C3</f>
        <v>9-16 место</v>
      </c>
      <c r="I108" s="962"/>
      <c r="J108" s="963"/>
      <c r="L108" s="957"/>
      <c r="M108" s="958" t="str">
        <f>C3</f>
        <v>9-16 место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финалы!C29</f>
        <v>КЛЕСТОВ Евгений</v>
      </c>
      <c r="C110" s="960" t="str">
        <f>финалы!C27</f>
        <v>КАЛИМУЛЛИН Камиль</v>
      </c>
      <c r="D110" s="961"/>
      <c r="E110" s="966"/>
      <c r="G110" s="960" t="str">
        <f>финалы!C37</f>
        <v>РОДИОНОВ Всеволод</v>
      </c>
      <c r="H110" s="960" t="str">
        <f>финалы!C35</f>
        <v>БАКШИНСКИЙ Илья</v>
      </c>
      <c r="I110" s="961"/>
      <c r="J110" s="966"/>
      <c r="L110" s="960" t="str">
        <f>финалы!C39</f>
        <v>КОРОЛЬ Владислав</v>
      </c>
      <c r="M110" s="960" t="str">
        <f>финалы!C33</f>
        <v>РАМС Сергей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финалы</v>
      </c>
      <c r="C122" s="1199"/>
      <c r="D122" s="955"/>
      <c r="E122" s="956"/>
      <c r="G122" s="1199" t="str">
        <f>B2</f>
        <v>финалы</v>
      </c>
      <c r="H122" s="1199"/>
      <c r="I122" s="955"/>
      <c r="J122" s="956"/>
      <c r="L122" s="1199" t="str">
        <f>B2</f>
        <v>финалы</v>
      </c>
      <c r="M122" s="1199"/>
      <c r="N122" s="961"/>
    </row>
    <row r="123" spans="1:14" x14ac:dyDescent="0.3">
      <c r="B123" s="957"/>
      <c r="C123" s="958" t="str">
        <f>C3</f>
        <v>9-16 место</v>
      </c>
      <c r="D123" s="962"/>
      <c r="E123" s="963"/>
      <c r="G123" s="957"/>
      <c r="H123" s="958" t="str">
        <f>C3</f>
        <v>9-16 место</v>
      </c>
      <c r="I123" s="962"/>
      <c r="J123" s="963"/>
      <c r="L123" s="957"/>
      <c r="M123" s="958" t="str">
        <f>C3</f>
        <v>9-16 место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финалы!C25</f>
        <v>МАНЦУРОВ Тихон</v>
      </c>
      <c r="C125" s="960" t="str">
        <f>финалы!C27</f>
        <v>КАЛИМУЛЛИН Камиль</v>
      </c>
      <c r="D125" s="961"/>
      <c r="E125" s="966"/>
      <c r="G125" s="960" t="str">
        <f>финалы!C29</f>
        <v>КЛЕСТОВ Евгений</v>
      </c>
      <c r="H125" s="960" t="str">
        <f>финалы!C31</f>
        <v>ПОЛЯКОВ Василий</v>
      </c>
      <c r="I125" s="961"/>
      <c r="J125" s="966"/>
      <c r="L125" s="960" t="str">
        <f>финалы!C33</f>
        <v>РАМС Сергей</v>
      </c>
      <c r="M125" s="960" t="str">
        <f>финалы!C35</f>
        <v>БАКШИНСКИЙ Илья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финалы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/>
      <c r="C138" s="975" t="str">
        <f>C3</f>
        <v>9-16 место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финалы!C37</f>
        <v>РОДИОНОВ Всеволод</v>
      </c>
      <c r="C140" s="960" t="str">
        <f>финалы!C39</f>
        <v>КОРОЛЬ Владислав</v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4" manualBreakCount="4">
    <brk id="45" max="13" man="1"/>
    <brk id="75" max="13" man="1"/>
    <brk id="105" max="13" man="1"/>
    <brk id="135" max="1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zoomScale="60" zoomScaleNormal="100" workbookViewId="0">
      <selection sqref="A1:N1048576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2</v>
      </c>
      <c r="D3" s="962"/>
      <c r="E3" s="963"/>
      <c r="G3" s="957" t="s">
        <v>11956</v>
      </c>
      <c r="H3" s="958">
        <f>C3</f>
        <v>2</v>
      </c>
      <c r="I3" s="962"/>
      <c r="J3" s="963"/>
      <c r="L3" s="957" t="s">
        <v>11956</v>
      </c>
      <c r="M3" s="958">
        <f>C3</f>
        <v>2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'гр (1-4)'!C27</f>
        <v>ШУКЛИН Александр</v>
      </c>
      <c r="C5" s="960" t="str">
        <f>'гр (1-4)'!C35</f>
        <v>ЧИКИН Александр</v>
      </c>
      <c r="D5" s="961"/>
      <c r="E5" s="966"/>
      <c r="G5" s="960" t="str">
        <f>'гр (1-4)'!C29</f>
        <v>БАНДУРИН Михаил</v>
      </c>
      <c r="H5" s="960" t="str">
        <f>'гр (1-4)'!C33</f>
        <v>МАКАРОВ Никита</v>
      </c>
      <c r="I5" s="961"/>
      <c r="J5" s="966"/>
      <c r="L5" s="960" t="str">
        <f>'гр (1-4)'!C25</f>
        <v>СОДЫЛЬ Максим</v>
      </c>
      <c r="M5" s="960" t="str">
        <f>'гр (1-4)'!C37</f>
        <v>КРАСНОЖОН Михаил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2</v>
      </c>
      <c r="D18" s="962"/>
      <c r="E18" s="963"/>
      <c r="G18" s="957" t="s">
        <v>11956</v>
      </c>
      <c r="H18" s="958">
        <f>C3</f>
        <v>2</v>
      </c>
      <c r="I18" s="962"/>
      <c r="J18" s="963"/>
      <c r="L18" s="957" t="s">
        <v>11956</v>
      </c>
      <c r="M18" s="958">
        <f>C3</f>
        <v>2</v>
      </c>
      <c r="N18" s="961"/>
    </row>
    <row r="19" spans="1:14" x14ac:dyDescent="0.3">
      <c r="B19" s="957" t="s">
        <v>11957</v>
      </c>
      <c r="C19" s="959" t="s">
        <v>11958</v>
      </c>
      <c r="D19" s="961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960" t="str">
        <f>'гр (1-4)'!C31</f>
        <v>АКЕНТЬЕВ Алексей</v>
      </c>
      <c r="C20" s="960" t="str">
        <f>'гр (1-4)'!C39</f>
        <v/>
      </c>
      <c r="D20" s="961"/>
      <c r="E20" s="966"/>
      <c r="G20" s="960" t="str">
        <f>'гр (1-4)'!C33</f>
        <v>МАКАРОВ Никита</v>
      </c>
      <c r="H20" s="960" t="str">
        <f>'гр (1-4)'!C27</f>
        <v>ШУКЛИН Александр</v>
      </c>
      <c r="I20" s="961"/>
      <c r="J20" s="966"/>
      <c r="L20" s="960" t="str">
        <f>'гр (1-4)'!C35</f>
        <v>ЧИКИН Александр</v>
      </c>
      <c r="M20" s="960" t="str">
        <f>'гр (1-4)'!C25</f>
        <v>СОДЫЛЬ Максим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2</v>
      </c>
      <c r="D33" s="962"/>
      <c r="E33" s="963"/>
      <c r="G33" s="957" t="s">
        <v>11956</v>
      </c>
      <c r="H33" s="958">
        <f>C3</f>
        <v>2</v>
      </c>
      <c r="I33" s="962"/>
      <c r="J33" s="963"/>
      <c r="L33" s="957" t="s">
        <v>11956</v>
      </c>
      <c r="M33" s="958">
        <f>C3</f>
        <v>2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'гр (1-4)'!C39</f>
        <v/>
      </c>
      <c r="C35" s="960" t="str">
        <f>'гр (1-4)'!C29</f>
        <v>БАНДУРИН Михаил</v>
      </c>
      <c r="D35" s="961"/>
      <c r="E35" s="966"/>
      <c r="G35" s="960" t="str">
        <f>'гр (1-4)'!C37</f>
        <v>КРАСНОЖОН Михаил</v>
      </c>
      <c r="H35" s="960" t="str">
        <f>'гр (1-4)'!C31</f>
        <v>АКЕНТЬЕВ Алексей</v>
      </c>
      <c r="I35" s="961"/>
      <c r="J35" s="966"/>
      <c r="L35" s="960" t="str">
        <f>'гр (1-4)'!C25</f>
        <v>СОДЫЛЬ Максим</v>
      </c>
      <c r="M35" s="960" t="str">
        <f>'гр (1-4)'!C33</f>
        <v>МАКАРОВ Никита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2</v>
      </c>
      <c r="D48" s="962"/>
      <c r="E48" s="963"/>
      <c r="G48" s="957" t="s">
        <v>11956</v>
      </c>
      <c r="H48" s="958">
        <f>C3</f>
        <v>2</v>
      </c>
      <c r="I48" s="962"/>
      <c r="J48" s="963"/>
      <c r="L48" s="957" t="s">
        <v>11956</v>
      </c>
      <c r="M48" s="958">
        <f>C3</f>
        <v>2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'гр (1-4)'!C27</f>
        <v>ШУКЛИН Александр</v>
      </c>
      <c r="C50" s="960" t="str">
        <f>'гр (1-4)'!C39</f>
        <v/>
      </c>
      <c r="D50" s="961"/>
      <c r="E50" s="966"/>
      <c r="G50" s="960" t="str">
        <f>'гр (1-4)'!C31</f>
        <v>АКЕНТЬЕВ Алексей</v>
      </c>
      <c r="H50" s="960" t="str">
        <f>'гр (1-4)'!C35</f>
        <v>ЧИКИН Александр</v>
      </c>
      <c r="I50" s="961"/>
      <c r="J50" s="966"/>
      <c r="L50" s="960" t="str">
        <f>'гр (1-4)'!C29</f>
        <v>БАНДУРИН Михаил</v>
      </c>
      <c r="M50" s="960" t="str">
        <f>'гр (1-4)'!C37</f>
        <v>КРАСНОЖОН Михаил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2</v>
      </c>
      <c r="D63" s="962"/>
      <c r="E63" s="963"/>
      <c r="G63" s="957" t="s">
        <v>11956</v>
      </c>
      <c r="H63" s="958">
        <f>C3</f>
        <v>2</v>
      </c>
      <c r="I63" s="962"/>
      <c r="J63" s="963"/>
      <c r="L63" s="957" t="s">
        <v>11956</v>
      </c>
      <c r="M63" s="958">
        <f>C3</f>
        <v>2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'гр (1-4)'!C39</f>
        <v/>
      </c>
      <c r="C65" s="960" t="str">
        <f>'гр (1-4)'!C25</f>
        <v>СОДЫЛЬ Максим</v>
      </c>
      <c r="D65" s="961"/>
      <c r="E65" s="966"/>
      <c r="G65" s="960" t="str">
        <f>'гр (1-4)'!C33</f>
        <v>МАКАРОВ Никита</v>
      </c>
      <c r="H65" s="960" t="str">
        <f>'гр (1-4)'!C31</f>
        <v>АКЕНТЬЕВ Алексей</v>
      </c>
      <c r="I65" s="961"/>
      <c r="J65" s="966"/>
      <c r="L65" s="960" t="str">
        <f>'гр (1-4)'!C37</f>
        <v>КРАСНОЖОН Михаил</v>
      </c>
      <c r="M65" s="960" t="str">
        <f>'гр (1-4)'!C27</f>
        <v>ШУКЛИН Александр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Групповой этап</v>
      </c>
      <c r="C77" s="1199"/>
      <c r="D77" s="955"/>
      <c r="E77" s="956"/>
      <c r="G77" s="1199" t="str">
        <f>B2</f>
        <v>Групповой этап</v>
      </c>
      <c r="H77" s="1199"/>
      <c r="I77" s="955"/>
      <c r="J77" s="956"/>
      <c r="L77" s="1199" t="str">
        <f>B2</f>
        <v>Групповой этап</v>
      </c>
      <c r="M77" s="1199"/>
      <c r="N77" s="961"/>
    </row>
    <row r="78" spans="1:14" x14ac:dyDescent="0.3">
      <c r="B78" s="957" t="s">
        <v>11956</v>
      </c>
      <c r="C78" s="958">
        <f>C3</f>
        <v>2</v>
      </c>
      <c r="D78" s="962"/>
      <c r="E78" s="963"/>
      <c r="G78" s="957" t="s">
        <v>11956</v>
      </c>
      <c r="H78" s="958">
        <f>C3</f>
        <v>2</v>
      </c>
      <c r="I78" s="962"/>
      <c r="J78" s="963"/>
      <c r="L78" s="957" t="s">
        <v>11956</v>
      </c>
      <c r="M78" s="958">
        <f>C3</f>
        <v>2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'гр (1-4)'!C35</f>
        <v>ЧИКИН Александр</v>
      </c>
      <c r="C80" s="960" t="str">
        <f>'гр (1-4)'!C29</f>
        <v>БАНДУРИН Михаил</v>
      </c>
      <c r="D80" s="961"/>
      <c r="E80" s="966"/>
      <c r="G80" s="960" t="str">
        <f>'гр (1-4)'!C25</f>
        <v>СОДЫЛЬ Максим</v>
      </c>
      <c r="H80" s="960" t="str">
        <f>'гр (1-4)'!C29</f>
        <v>БАНДУРИН Михаил</v>
      </c>
      <c r="I80" s="961"/>
      <c r="J80" s="966"/>
      <c r="L80" s="960" t="str">
        <f>'гр (1-4)'!C27</f>
        <v>ШУКЛИН Александр</v>
      </c>
      <c r="M80" s="960" t="str">
        <f>'гр (1-4)'!C31</f>
        <v>АКЕНТЬЕВ Алексей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Групповой этап</v>
      </c>
      <c r="C92" s="1199"/>
      <c r="D92" s="955"/>
      <c r="E92" s="956"/>
      <c r="G92" s="1199" t="str">
        <f>B2</f>
        <v>Групповой этап</v>
      </c>
      <c r="H92" s="1199"/>
      <c r="I92" s="955"/>
      <c r="J92" s="956"/>
      <c r="L92" s="1199" t="str">
        <f>B2</f>
        <v>Групповой этап</v>
      </c>
      <c r="M92" s="1199"/>
      <c r="N92" s="961"/>
    </row>
    <row r="93" spans="1:14" x14ac:dyDescent="0.3">
      <c r="B93" s="957" t="s">
        <v>11956</v>
      </c>
      <c r="C93" s="958">
        <f>C3</f>
        <v>2</v>
      </c>
      <c r="D93" s="962"/>
      <c r="E93" s="963"/>
      <c r="G93" s="957" t="s">
        <v>11956</v>
      </c>
      <c r="H93" s="958">
        <f>C3</f>
        <v>2</v>
      </c>
      <c r="I93" s="962"/>
      <c r="J93" s="963"/>
      <c r="L93" s="957" t="s">
        <v>11956</v>
      </c>
      <c r="M93" s="958">
        <f>C3</f>
        <v>2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'гр (1-4)'!C33</f>
        <v>МАКАРОВ Никита</v>
      </c>
      <c r="C95" s="960" t="str">
        <f>'гр (1-4)'!C37</f>
        <v>КРАСНОЖОН Михаил</v>
      </c>
      <c r="D95" s="961"/>
      <c r="E95" s="966"/>
      <c r="G95" s="960" t="str">
        <f>'гр (1-4)'!C35</f>
        <v>ЧИКИН Александр</v>
      </c>
      <c r="H95" s="960" t="str">
        <f>'гр (1-4)'!C39</f>
        <v/>
      </c>
      <c r="I95" s="961"/>
      <c r="J95" s="966"/>
      <c r="L95" s="960" t="str">
        <f>'гр (1-4)'!C31</f>
        <v>АКЕНТЬЕВ Алексей</v>
      </c>
      <c r="M95" s="960" t="str">
        <f>'гр (1-4)'!C25</f>
        <v>СОДЫЛЬ Максим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Групповой этап</v>
      </c>
      <c r="C107" s="1199"/>
      <c r="D107" s="955"/>
      <c r="E107" s="956"/>
      <c r="G107" s="1199" t="str">
        <f>B2</f>
        <v>Групповой этап</v>
      </c>
      <c r="H107" s="1199"/>
      <c r="I107" s="955"/>
      <c r="J107" s="956"/>
      <c r="L107" s="1199" t="str">
        <f>B2</f>
        <v>Групповой этап</v>
      </c>
      <c r="M107" s="1199"/>
      <c r="N107" s="961"/>
    </row>
    <row r="108" spans="1:14" x14ac:dyDescent="0.3">
      <c r="B108" s="957" t="s">
        <v>11956</v>
      </c>
      <c r="C108" s="958">
        <f>C3</f>
        <v>2</v>
      </c>
      <c r="D108" s="962"/>
      <c r="E108" s="963"/>
      <c r="G108" s="957" t="s">
        <v>11956</v>
      </c>
      <c r="H108" s="958">
        <f>C3</f>
        <v>2</v>
      </c>
      <c r="I108" s="962"/>
      <c r="J108" s="963"/>
      <c r="L108" s="957" t="s">
        <v>11956</v>
      </c>
      <c r="M108" s="958">
        <f>C3</f>
        <v>2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'гр (1-4)'!C29</f>
        <v>БАНДУРИН Михаил</v>
      </c>
      <c r="C110" s="960" t="str">
        <f>'гр (1-4)'!C27</f>
        <v>ШУКЛИН Александр</v>
      </c>
      <c r="D110" s="961"/>
      <c r="E110" s="966"/>
      <c r="G110" s="960" t="str">
        <f>'гр (1-4)'!C37</f>
        <v>КРАСНОЖОН Михаил</v>
      </c>
      <c r="H110" s="960" t="str">
        <f>'гр (1-4)'!C35</f>
        <v>ЧИКИН Александр</v>
      </c>
      <c r="I110" s="961"/>
      <c r="J110" s="966"/>
      <c r="L110" s="960" t="str">
        <f>'гр (1-4)'!C39</f>
        <v/>
      </c>
      <c r="M110" s="960" t="str">
        <f>'гр (1-4)'!C33</f>
        <v>МАКАРОВ Никита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Групповой этап</v>
      </c>
      <c r="C122" s="1199"/>
      <c r="D122" s="955"/>
      <c r="E122" s="956"/>
      <c r="G122" s="1199" t="str">
        <f>B2</f>
        <v>Групповой этап</v>
      </c>
      <c r="H122" s="1199"/>
      <c r="I122" s="955"/>
      <c r="J122" s="956"/>
      <c r="L122" s="1199" t="str">
        <f>B2</f>
        <v>Групповой этап</v>
      </c>
      <c r="M122" s="1199"/>
      <c r="N122" s="961"/>
    </row>
    <row r="123" spans="1:14" x14ac:dyDescent="0.3">
      <c r="B123" s="957" t="s">
        <v>11956</v>
      </c>
      <c r="C123" s="958">
        <f>C3</f>
        <v>2</v>
      </c>
      <c r="D123" s="962"/>
      <c r="E123" s="963"/>
      <c r="G123" s="957" t="s">
        <v>11956</v>
      </c>
      <c r="H123" s="958">
        <f>C3</f>
        <v>2</v>
      </c>
      <c r="I123" s="962"/>
      <c r="J123" s="963"/>
      <c r="L123" s="957" t="s">
        <v>11956</v>
      </c>
      <c r="M123" s="958">
        <f>C3</f>
        <v>2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'гр (1-4)'!C25</f>
        <v>СОДЫЛЬ Максим</v>
      </c>
      <c r="C125" s="960" t="str">
        <f>'гр (1-4)'!C27</f>
        <v>ШУКЛИН Александр</v>
      </c>
      <c r="D125" s="961"/>
      <c r="E125" s="966"/>
      <c r="G125" s="960" t="str">
        <f>'гр (1-4)'!C29</f>
        <v>БАНДУРИН Михаил</v>
      </c>
      <c r="H125" s="960" t="str">
        <f>'гр (1-4)'!C31</f>
        <v>АКЕНТЬЕВ Алексей</v>
      </c>
      <c r="I125" s="961"/>
      <c r="J125" s="966"/>
      <c r="L125" s="960" t="str">
        <f>'гр (1-4)'!C33</f>
        <v>МАКАРОВ Никита</v>
      </c>
      <c r="M125" s="960" t="str">
        <f>'гр (1-4)'!C35</f>
        <v>ЧИКИН Александр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Групповой этап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 t="s">
        <v>11956</v>
      </c>
      <c r="C138" s="975">
        <f>C3</f>
        <v>2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'гр (1-4)'!C37</f>
        <v>КРАСНОЖОН Михаил</v>
      </c>
      <c r="C140" s="960" t="str">
        <f>'гр (1-4)'!C39</f>
        <v/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r:id="rId1"/>
  <rowBreaks count="4" manualBreakCount="4">
    <brk id="30" max="16383" man="1"/>
    <brk id="60" max="16383" man="1"/>
    <brk id="90" max="16383" man="1"/>
    <brk id="120" max="1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B123" zoomScale="60" zoomScaleNormal="100" workbookViewId="0">
      <selection activeCell="B16" sqref="B16:D30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11986</v>
      </c>
      <c r="C2" s="1199"/>
      <c r="D2" s="955"/>
      <c r="E2" s="956"/>
      <c r="G2" s="1199" t="str">
        <f>B2</f>
        <v>финалы</v>
      </c>
      <c r="H2" s="1199"/>
      <c r="I2" s="955"/>
      <c r="J2" s="956"/>
      <c r="L2" s="1199" t="str">
        <f>B2</f>
        <v>финалы</v>
      </c>
      <c r="M2" s="1199"/>
      <c r="N2" s="961"/>
    </row>
    <row r="3" spans="1:14" x14ac:dyDescent="0.3">
      <c r="B3" s="957"/>
      <c r="C3" s="958" t="s">
        <v>9452</v>
      </c>
      <c r="D3" s="962"/>
      <c r="E3" s="963"/>
      <c r="G3" s="957"/>
      <c r="H3" s="958" t="str">
        <f>C3</f>
        <v>17-24 место</v>
      </c>
      <c r="I3" s="962"/>
      <c r="J3" s="963"/>
      <c r="L3" s="957"/>
      <c r="M3" s="958" t="str">
        <f>C3</f>
        <v>17-24 место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финалы!C47</f>
        <v>МОСПАНОВ Илья</v>
      </c>
      <c r="C5" s="960" t="str">
        <f>финалы!C55</f>
        <v>АВЕРИН Владимир</v>
      </c>
      <c r="D5" s="961"/>
      <c r="E5" s="966"/>
      <c r="G5" s="960" t="str">
        <f>финалы!C49</f>
        <v>ЛАЗАРЕВ Василий</v>
      </c>
      <c r="H5" s="960" t="str">
        <f>финалы!C53</f>
        <v>ПЕРФИЛЬЕВ Алексей</v>
      </c>
      <c r="I5" s="961"/>
      <c r="J5" s="966"/>
      <c r="L5" s="960" t="str">
        <f>финалы!C45</f>
        <v>СТАРОСТИН Максим</v>
      </c>
      <c r="M5" s="960" t="str">
        <f>финалы!C57</f>
        <v>АВЕРИН Тимофей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442" t="s">
        <v>11955</v>
      </c>
      <c r="C16" s="1442"/>
      <c r="D16" s="1443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442" t="str">
        <f>B2</f>
        <v>финалы</v>
      </c>
      <c r="C17" s="1442"/>
      <c r="D17" s="1443"/>
      <c r="E17" s="956"/>
      <c r="G17" s="1199" t="str">
        <f>B2</f>
        <v>финалы</v>
      </c>
      <c r="H17" s="1199"/>
      <c r="I17" s="955"/>
      <c r="J17" s="956"/>
      <c r="L17" s="1199" t="str">
        <f>B2</f>
        <v>финалы</v>
      </c>
      <c r="M17" s="1199"/>
      <c r="N17" s="961"/>
    </row>
    <row r="18" spans="1:14" x14ac:dyDescent="0.3">
      <c r="B18" s="1444"/>
      <c r="C18" s="1445" t="str">
        <f>C3</f>
        <v>17-24 место</v>
      </c>
      <c r="D18" s="1446"/>
      <c r="E18" s="963"/>
      <c r="G18" s="957"/>
      <c r="H18" s="958" t="str">
        <f>C3</f>
        <v>17-24 место</v>
      </c>
      <c r="I18" s="962"/>
      <c r="J18" s="963"/>
      <c r="L18" s="957"/>
      <c r="M18" s="958" t="str">
        <f>C3</f>
        <v>17-24 место</v>
      </c>
      <c r="N18" s="961"/>
    </row>
    <row r="19" spans="1:14" x14ac:dyDescent="0.3">
      <c r="B19" s="1444" t="s">
        <v>11957</v>
      </c>
      <c r="C19" s="1447" t="s">
        <v>11958</v>
      </c>
      <c r="D19" s="1448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1449" t="str">
        <f>финалы!C51</f>
        <v>МУКОВ Руслан</v>
      </c>
      <c r="C20" s="1449" t="str">
        <f>финалы!C59</f>
        <v>ПОРТНОВ Фадей</v>
      </c>
      <c r="D20" s="1448"/>
      <c r="E20" s="966"/>
      <c r="G20" s="960" t="str">
        <f>финалы!C53</f>
        <v>ПЕРФИЛЬЕВ Алексей</v>
      </c>
      <c r="H20" s="960" t="str">
        <f>финалы!C47</f>
        <v>МОСПАНОВ Илья</v>
      </c>
      <c r="I20" s="961"/>
      <c r="J20" s="966"/>
      <c r="L20" s="960" t="str">
        <f>финалы!C55</f>
        <v>АВЕРИН Владимир</v>
      </c>
      <c r="M20" s="960" t="str">
        <f>финалы!C45</f>
        <v>СТАРОСТИН Максим</v>
      </c>
      <c r="N20" s="961"/>
    </row>
    <row r="21" spans="1:14" x14ac:dyDescent="0.3">
      <c r="A21" s="967">
        <v>1</v>
      </c>
      <c r="B21" s="1450"/>
      <c r="C21" s="1450"/>
      <c r="D21" s="1451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1450"/>
      <c r="C22" s="1450"/>
      <c r="D22" s="1451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1450"/>
      <c r="C23" s="1450"/>
      <c r="D23" s="1451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1450"/>
      <c r="C24" s="1450"/>
      <c r="D24" s="1451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1450"/>
      <c r="C25" s="1450"/>
      <c r="D25" s="1451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B26" s="1449"/>
      <c r="C26" s="1449"/>
      <c r="D26" s="1448"/>
      <c r="E26" s="966"/>
      <c r="I26" s="961"/>
      <c r="N26" s="961"/>
    </row>
    <row r="27" spans="1:14" x14ac:dyDescent="0.3">
      <c r="B27" s="1452" t="s">
        <v>11961</v>
      </c>
      <c r="C27" s="1453"/>
      <c r="D27" s="1448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B28" s="1449"/>
      <c r="C28" s="1449"/>
      <c r="D28" s="1448"/>
      <c r="I28" s="961"/>
      <c r="N28" s="961"/>
    </row>
    <row r="29" spans="1:14" x14ac:dyDescent="0.3">
      <c r="B29" s="1452" t="s">
        <v>11962</v>
      </c>
      <c r="C29" s="1450"/>
      <c r="D29" s="1448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1454"/>
      <c r="C30" s="1454"/>
      <c r="D30" s="1455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финалы</v>
      </c>
      <c r="C32" s="1199"/>
      <c r="D32" s="955"/>
      <c r="E32" s="956"/>
      <c r="G32" s="1199" t="str">
        <f>B2</f>
        <v>финалы</v>
      </c>
      <c r="H32" s="1199"/>
      <c r="I32" s="955"/>
      <c r="J32" s="956"/>
      <c r="L32" s="1199" t="str">
        <f>B2</f>
        <v>финалы</v>
      </c>
      <c r="M32" s="1199"/>
      <c r="N32" s="961"/>
    </row>
    <row r="33" spans="1:14" x14ac:dyDescent="0.3">
      <c r="B33" s="957"/>
      <c r="C33" s="958" t="str">
        <f>C3</f>
        <v>17-24 место</v>
      </c>
      <c r="D33" s="962"/>
      <c r="E33" s="963"/>
      <c r="G33" s="957"/>
      <c r="H33" s="958" t="str">
        <f>C3</f>
        <v>17-24 место</v>
      </c>
      <c r="I33" s="962"/>
      <c r="J33" s="963"/>
      <c r="L33" s="957"/>
      <c r="M33" s="958" t="str">
        <f>C3</f>
        <v>17-24 место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финалы!C59</f>
        <v>ПОРТНОВ Фадей</v>
      </c>
      <c r="C35" s="960" t="str">
        <f>финалы!C49</f>
        <v>ЛАЗАРЕВ Василий</v>
      </c>
      <c r="D35" s="961"/>
      <c r="E35" s="966"/>
      <c r="G35" s="960" t="str">
        <f>финалы!C57</f>
        <v>АВЕРИН Тимофей</v>
      </c>
      <c r="H35" s="960" t="str">
        <f>финалы!C51</f>
        <v>МУКОВ Руслан</v>
      </c>
      <c r="I35" s="961"/>
      <c r="J35" s="966"/>
      <c r="L35" s="960" t="str">
        <f>финалы!C45</f>
        <v>СТАРОСТИН Максим</v>
      </c>
      <c r="M35" s="960" t="str">
        <f>финалы!C53</f>
        <v>ПЕРФИЛЬЕВ Алексей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финалы</v>
      </c>
      <c r="C47" s="1199"/>
      <c r="D47" s="955"/>
      <c r="E47" s="956"/>
      <c r="G47" s="1199" t="str">
        <f>B2</f>
        <v>финалы</v>
      </c>
      <c r="H47" s="1199"/>
      <c r="I47" s="955"/>
      <c r="J47" s="956"/>
      <c r="L47" s="1199" t="str">
        <f>B2</f>
        <v>финалы</v>
      </c>
      <c r="M47" s="1199"/>
      <c r="N47" s="961"/>
    </row>
    <row r="48" spans="1:14" x14ac:dyDescent="0.3">
      <c r="B48" s="957"/>
      <c r="C48" s="958" t="str">
        <f>C3</f>
        <v>17-24 место</v>
      </c>
      <c r="D48" s="962"/>
      <c r="E48" s="963"/>
      <c r="G48" s="957"/>
      <c r="H48" s="958" t="str">
        <f>C3</f>
        <v>17-24 место</v>
      </c>
      <c r="I48" s="962"/>
      <c r="J48" s="963"/>
      <c r="L48" s="957"/>
      <c r="M48" s="958" t="str">
        <f>C3</f>
        <v>17-24 место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финалы!C47</f>
        <v>МОСПАНОВ Илья</v>
      </c>
      <c r="C50" s="960" t="str">
        <f>финалы!C59</f>
        <v>ПОРТНОВ Фадей</v>
      </c>
      <c r="D50" s="961"/>
      <c r="E50" s="966"/>
      <c r="G50" s="960" t="str">
        <f>финалы!C51</f>
        <v>МУКОВ Руслан</v>
      </c>
      <c r="H50" s="960" t="str">
        <f>финалы!C55</f>
        <v>АВЕРИН Владимир</v>
      </c>
      <c r="I50" s="961"/>
      <c r="J50" s="966"/>
      <c r="L50" s="960" t="str">
        <f>финалы!C49</f>
        <v>ЛАЗАРЕВ Василий</v>
      </c>
      <c r="M50" s="960" t="str">
        <f>финалы!C57</f>
        <v>АВЕРИН Тимофей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финалы</v>
      </c>
      <c r="C62" s="1199"/>
      <c r="D62" s="955"/>
      <c r="E62" s="956"/>
      <c r="G62" s="1199" t="str">
        <f>B2</f>
        <v>финалы</v>
      </c>
      <c r="H62" s="1199"/>
      <c r="I62" s="955"/>
      <c r="J62" s="956"/>
      <c r="L62" s="1199" t="str">
        <f>B2</f>
        <v>финалы</v>
      </c>
      <c r="M62" s="1199"/>
      <c r="N62" s="961"/>
    </row>
    <row r="63" spans="1:14" x14ac:dyDescent="0.3">
      <c r="B63" s="957"/>
      <c r="C63" s="958" t="str">
        <f>C3</f>
        <v>17-24 место</v>
      </c>
      <c r="D63" s="962"/>
      <c r="E63" s="963"/>
      <c r="G63" s="957"/>
      <c r="H63" s="958" t="str">
        <f>C3</f>
        <v>17-24 место</v>
      </c>
      <c r="I63" s="962"/>
      <c r="J63" s="963"/>
      <c r="L63" s="957"/>
      <c r="M63" s="958" t="str">
        <f>C3</f>
        <v>17-24 место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финалы!C59</f>
        <v>ПОРТНОВ Фадей</v>
      </c>
      <c r="C65" s="960" t="str">
        <f>финалы!C45</f>
        <v>СТАРОСТИН Максим</v>
      </c>
      <c r="D65" s="961"/>
      <c r="E65" s="966"/>
      <c r="G65" s="960" t="str">
        <f>финалы!C53</f>
        <v>ПЕРФИЛЬЕВ Алексей</v>
      </c>
      <c r="H65" s="960" t="str">
        <f>финалы!C51</f>
        <v>МУКОВ Руслан</v>
      </c>
      <c r="I65" s="961"/>
      <c r="J65" s="966"/>
      <c r="L65" s="960" t="str">
        <f>финалы!C57</f>
        <v>АВЕРИН Тимофей</v>
      </c>
      <c r="M65" s="960" t="str">
        <f>финалы!C47</f>
        <v>МОСПАНОВ Илья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финалы</v>
      </c>
      <c r="C77" s="1199"/>
      <c r="D77" s="955"/>
      <c r="E77" s="956"/>
      <c r="G77" s="1199" t="str">
        <f>B2</f>
        <v>финалы</v>
      </c>
      <c r="H77" s="1199"/>
      <c r="I77" s="955"/>
      <c r="J77" s="956"/>
      <c r="L77" s="1199" t="str">
        <f>B2</f>
        <v>финалы</v>
      </c>
      <c r="M77" s="1199"/>
      <c r="N77" s="961"/>
    </row>
    <row r="78" spans="1:14" x14ac:dyDescent="0.3">
      <c r="B78" s="957"/>
      <c r="C78" s="958" t="str">
        <f>C3</f>
        <v>17-24 место</v>
      </c>
      <c r="D78" s="962"/>
      <c r="E78" s="963"/>
      <c r="G78" s="957"/>
      <c r="H78" s="958" t="str">
        <f>C3</f>
        <v>17-24 место</v>
      </c>
      <c r="I78" s="962"/>
      <c r="J78" s="963"/>
      <c r="L78" s="957"/>
      <c r="M78" s="958" t="str">
        <f>C3</f>
        <v>17-24 место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финалы!C55</f>
        <v>АВЕРИН Владимир</v>
      </c>
      <c r="C80" s="960" t="str">
        <f>финалы!C49</f>
        <v>ЛАЗАРЕВ Василий</v>
      </c>
      <c r="D80" s="961"/>
      <c r="E80" s="966"/>
      <c r="G80" s="960" t="str">
        <f>финалы!C45</f>
        <v>СТАРОСТИН Максим</v>
      </c>
      <c r="H80" s="960" t="str">
        <f>финалы!C49</f>
        <v>ЛАЗАРЕВ Василий</v>
      </c>
      <c r="I80" s="961"/>
      <c r="J80" s="966"/>
      <c r="L80" s="960" t="str">
        <f>финалы!C47</f>
        <v>МОСПАНОВ Илья</v>
      </c>
      <c r="M80" s="960" t="str">
        <f>финалы!C51</f>
        <v>МУКОВ Руслан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финалы</v>
      </c>
      <c r="C92" s="1199"/>
      <c r="D92" s="955"/>
      <c r="E92" s="956"/>
      <c r="G92" s="1199" t="str">
        <f>B2</f>
        <v>финалы</v>
      </c>
      <c r="H92" s="1199"/>
      <c r="I92" s="955"/>
      <c r="J92" s="956"/>
      <c r="L92" s="1199" t="str">
        <f>B2</f>
        <v>финалы</v>
      </c>
      <c r="M92" s="1199"/>
      <c r="N92" s="961"/>
    </row>
    <row r="93" spans="1:14" x14ac:dyDescent="0.3">
      <c r="B93" s="957"/>
      <c r="C93" s="958" t="str">
        <f>C3</f>
        <v>17-24 место</v>
      </c>
      <c r="D93" s="962"/>
      <c r="E93" s="963"/>
      <c r="G93" s="957"/>
      <c r="H93" s="958" t="str">
        <f>C3</f>
        <v>17-24 место</v>
      </c>
      <c r="I93" s="962"/>
      <c r="J93" s="963"/>
      <c r="L93" s="957"/>
      <c r="M93" s="958" t="str">
        <f>C3</f>
        <v>17-24 место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финалы!C53</f>
        <v>ПЕРФИЛЬЕВ Алексей</v>
      </c>
      <c r="C95" s="960" t="str">
        <f>финалы!C57</f>
        <v>АВЕРИН Тимофей</v>
      </c>
      <c r="D95" s="961"/>
      <c r="E95" s="966"/>
      <c r="G95" s="960" t="str">
        <f>финалы!C55</f>
        <v>АВЕРИН Владимир</v>
      </c>
      <c r="H95" s="960" t="str">
        <f>финалы!C59</f>
        <v>ПОРТНОВ Фадей</v>
      </c>
      <c r="I95" s="961"/>
      <c r="J95" s="966"/>
      <c r="L95" s="960" t="str">
        <f>финалы!C51</f>
        <v>МУКОВ Руслан</v>
      </c>
      <c r="M95" s="960" t="str">
        <f>финалы!C45</f>
        <v>СТАРОСТИН Максим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финалы</v>
      </c>
      <c r="C107" s="1199"/>
      <c r="D107" s="955"/>
      <c r="E107" s="956"/>
      <c r="G107" s="1199" t="str">
        <f>B2</f>
        <v>финалы</v>
      </c>
      <c r="H107" s="1199"/>
      <c r="I107" s="955"/>
      <c r="J107" s="956"/>
      <c r="L107" s="1199" t="str">
        <f>B2</f>
        <v>финалы</v>
      </c>
      <c r="M107" s="1199"/>
      <c r="N107" s="961"/>
    </row>
    <row r="108" spans="1:14" x14ac:dyDescent="0.3">
      <c r="B108" s="957"/>
      <c r="C108" s="958" t="str">
        <f>C3</f>
        <v>17-24 место</v>
      </c>
      <c r="D108" s="962"/>
      <c r="E108" s="963"/>
      <c r="G108" s="957"/>
      <c r="H108" s="958" t="str">
        <f>C3</f>
        <v>17-24 место</v>
      </c>
      <c r="I108" s="962"/>
      <c r="J108" s="963"/>
      <c r="L108" s="957"/>
      <c r="M108" s="958" t="str">
        <f>C3</f>
        <v>17-24 место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финалы!C49</f>
        <v>ЛАЗАРЕВ Василий</v>
      </c>
      <c r="C110" s="960" t="str">
        <f>финалы!C47</f>
        <v>МОСПАНОВ Илья</v>
      </c>
      <c r="D110" s="961"/>
      <c r="E110" s="966"/>
      <c r="G110" s="960" t="str">
        <f>финалы!C57</f>
        <v>АВЕРИН Тимофей</v>
      </c>
      <c r="H110" s="960" t="str">
        <f>финалы!C55</f>
        <v>АВЕРИН Владимир</v>
      </c>
      <c r="I110" s="961"/>
      <c r="J110" s="966"/>
      <c r="L110" s="960" t="str">
        <f>финалы!C59</f>
        <v>ПОРТНОВ Фадей</v>
      </c>
      <c r="M110" s="960" t="str">
        <f>финалы!C53</f>
        <v>ПЕРФИЛЬЕВ Алексей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финалы</v>
      </c>
      <c r="C122" s="1199"/>
      <c r="D122" s="955"/>
      <c r="E122" s="956"/>
      <c r="G122" s="1199" t="str">
        <f>B2</f>
        <v>финалы</v>
      </c>
      <c r="H122" s="1199"/>
      <c r="I122" s="955"/>
      <c r="J122" s="956"/>
      <c r="L122" s="1199" t="str">
        <f>B2</f>
        <v>финалы</v>
      </c>
      <c r="M122" s="1199"/>
      <c r="N122" s="961"/>
    </row>
    <row r="123" spans="1:14" x14ac:dyDescent="0.3">
      <c r="B123" s="957"/>
      <c r="C123" s="958" t="str">
        <f>C3</f>
        <v>17-24 место</v>
      </c>
      <c r="D123" s="962"/>
      <c r="E123" s="963"/>
      <c r="G123" s="957"/>
      <c r="H123" s="958" t="str">
        <f>C3</f>
        <v>17-24 место</v>
      </c>
      <c r="I123" s="962"/>
      <c r="J123" s="963"/>
      <c r="L123" s="957"/>
      <c r="M123" s="958" t="str">
        <f>C3</f>
        <v>17-24 место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финалы!C45</f>
        <v>СТАРОСТИН Максим</v>
      </c>
      <c r="C125" s="960" t="str">
        <f>финалы!C47</f>
        <v>МОСПАНОВ Илья</v>
      </c>
      <c r="D125" s="961"/>
      <c r="E125" s="966"/>
      <c r="G125" s="960" t="str">
        <f>финалы!C49</f>
        <v>ЛАЗАРЕВ Василий</v>
      </c>
      <c r="H125" s="960" t="str">
        <f>финалы!C51</f>
        <v>МУКОВ Руслан</v>
      </c>
      <c r="I125" s="961"/>
      <c r="J125" s="966"/>
      <c r="L125" s="960" t="str">
        <f>финалы!C53</f>
        <v>ПЕРФИЛЬЕВ Алексей</v>
      </c>
      <c r="M125" s="960" t="str">
        <f>финалы!C55</f>
        <v>АВЕРИН Владимир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финалы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/>
      <c r="C138" s="975" t="str">
        <f>C3</f>
        <v>17-24 место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финалы!C57</f>
        <v>АВЕРИН Тимофей</v>
      </c>
      <c r="C140" s="960" t="str">
        <f>финалы!C59</f>
        <v>ПОРТНОВ Фадей</v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4" manualBreakCount="4">
    <brk id="45" max="13" man="1"/>
    <brk id="75" max="13" man="1"/>
    <brk id="105" max="13" man="1"/>
    <brk id="135" max="1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B121" zoomScale="60" zoomScaleNormal="100" workbookViewId="0">
      <selection activeCell="B137" sqref="B137:C137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11986</v>
      </c>
      <c r="C2" s="1199"/>
      <c r="D2" s="955"/>
      <c r="E2" s="956"/>
      <c r="G2" s="1199" t="str">
        <f>B2</f>
        <v>финалы</v>
      </c>
      <c r="H2" s="1199"/>
      <c r="I2" s="955"/>
      <c r="J2" s="956"/>
      <c r="L2" s="1199" t="str">
        <f>B2</f>
        <v>финалы</v>
      </c>
      <c r="M2" s="1199"/>
      <c r="N2" s="961"/>
    </row>
    <row r="3" spans="1:14" x14ac:dyDescent="0.3">
      <c r="B3" s="957"/>
      <c r="C3" s="958" t="s">
        <v>9453</v>
      </c>
      <c r="D3" s="962"/>
      <c r="E3" s="963"/>
      <c r="G3" s="957"/>
      <c r="H3" s="958" t="str">
        <f>C3</f>
        <v>25-32 место</v>
      </c>
      <c r="I3" s="962"/>
      <c r="J3" s="963"/>
      <c r="L3" s="957"/>
      <c r="M3" s="958" t="str">
        <f>C3</f>
        <v>25-32 место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финалы!C67</f>
        <v>ПОДЛАЗОВ Владислав</v>
      </c>
      <c r="C5" s="960" t="str">
        <f>финалы!C75</f>
        <v>ПРОХОРОВ Кирилл</v>
      </c>
      <c r="D5" s="961"/>
      <c r="E5" s="966"/>
      <c r="G5" s="960" t="str">
        <f>финалы!C69</f>
        <v>НИКИШАЕВ Матвей</v>
      </c>
      <c r="H5" s="960" t="str">
        <f>финалы!C73</f>
        <v>КУРОЧКИН Егор</v>
      </c>
      <c r="I5" s="961"/>
      <c r="J5" s="966"/>
      <c r="L5" s="960" t="str">
        <f>финалы!C65</f>
        <v>САТДАРОВ Артем</v>
      </c>
      <c r="M5" s="960" t="str">
        <f>финалы!C77</f>
        <v>РОТНОВ Егор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442" t="s">
        <v>11955</v>
      </c>
      <c r="C16" s="1442"/>
      <c r="D16" s="1443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442" t="str">
        <f>B2</f>
        <v>финалы</v>
      </c>
      <c r="C17" s="1442"/>
      <c r="D17" s="1443"/>
      <c r="E17" s="956"/>
      <c r="G17" s="1199" t="str">
        <f>B2</f>
        <v>финалы</v>
      </c>
      <c r="H17" s="1199"/>
      <c r="I17" s="955"/>
      <c r="J17" s="956"/>
      <c r="L17" s="1199" t="str">
        <f>B2</f>
        <v>финалы</v>
      </c>
      <c r="M17" s="1199"/>
      <c r="N17" s="961"/>
    </row>
    <row r="18" spans="1:14" x14ac:dyDescent="0.3">
      <c r="B18" s="1444"/>
      <c r="C18" s="1445" t="str">
        <f>C3</f>
        <v>25-32 место</v>
      </c>
      <c r="D18" s="1446"/>
      <c r="E18" s="963"/>
      <c r="G18" s="957"/>
      <c r="H18" s="958" t="str">
        <f>C3</f>
        <v>25-32 место</v>
      </c>
      <c r="I18" s="962"/>
      <c r="J18" s="963"/>
      <c r="L18" s="957"/>
      <c r="M18" s="958" t="str">
        <f>C3</f>
        <v>25-32 место</v>
      </c>
      <c r="N18" s="961"/>
    </row>
    <row r="19" spans="1:14" x14ac:dyDescent="0.3">
      <c r="B19" s="1444" t="s">
        <v>11957</v>
      </c>
      <c r="C19" s="1447" t="s">
        <v>11958</v>
      </c>
      <c r="D19" s="1448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1449" t="str">
        <f>финалы!C71</f>
        <v>ШУКЛИН Александр</v>
      </c>
      <c r="C20" s="1449" t="str">
        <f>финалы!C79</f>
        <v>ПЛАХОТНИК Александр</v>
      </c>
      <c r="D20" s="1448"/>
      <c r="E20" s="966"/>
      <c r="G20" s="960" t="str">
        <f>финалы!C73</f>
        <v>КУРОЧКИН Егор</v>
      </c>
      <c r="H20" s="960" t="str">
        <f>финалы!C67</f>
        <v>ПОДЛАЗОВ Владислав</v>
      </c>
      <c r="I20" s="961"/>
      <c r="J20" s="966"/>
      <c r="L20" s="960" t="str">
        <f>финалы!C75</f>
        <v>ПРОХОРОВ Кирилл</v>
      </c>
      <c r="M20" s="960" t="str">
        <f>финалы!C65</f>
        <v>САТДАРОВ Артем</v>
      </c>
      <c r="N20" s="961"/>
    </row>
    <row r="21" spans="1:14" x14ac:dyDescent="0.3">
      <c r="A21" s="967">
        <v>1</v>
      </c>
      <c r="B21" s="1450"/>
      <c r="C21" s="1450"/>
      <c r="D21" s="1451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1450"/>
      <c r="C22" s="1450"/>
      <c r="D22" s="1451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1450"/>
      <c r="C23" s="1450"/>
      <c r="D23" s="1451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1450"/>
      <c r="C24" s="1450"/>
      <c r="D24" s="1451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1450"/>
      <c r="C25" s="1450"/>
      <c r="D25" s="1451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B26" s="1449"/>
      <c r="C26" s="1449"/>
      <c r="D26" s="1448"/>
      <c r="E26" s="966"/>
      <c r="I26" s="961"/>
      <c r="N26" s="961"/>
    </row>
    <row r="27" spans="1:14" x14ac:dyDescent="0.3">
      <c r="B27" s="1452" t="s">
        <v>11961</v>
      </c>
      <c r="C27" s="1453"/>
      <c r="D27" s="1448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B28" s="1449"/>
      <c r="C28" s="1449"/>
      <c r="D28" s="1448"/>
      <c r="I28" s="961"/>
      <c r="N28" s="961"/>
    </row>
    <row r="29" spans="1:14" x14ac:dyDescent="0.3">
      <c r="B29" s="1452" t="s">
        <v>11962</v>
      </c>
      <c r="C29" s="1450"/>
      <c r="D29" s="1448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1454"/>
      <c r="C30" s="1454"/>
      <c r="D30" s="1455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финалы</v>
      </c>
      <c r="C32" s="1199"/>
      <c r="D32" s="955"/>
      <c r="E32" s="956"/>
      <c r="G32" s="1199" t="str">
        <f>B2</f>
        <v>финалы</v>
      </c>
      <c r="H32" s="1199"/>
      <c r="I32" s="955"/>
      <c r="J32" s="956"/>
      <c r="L32" s="1199" t="str">
        <f>B2</f>
        <v>финалы</v>
      </c>
      <c r="M32" s="1199"/>
      <c r="N32" s="961"/>
    </row>
    <row r="33" spans="1:14" x14ac:dyDescent="0.3">
      <c r="B33" s="957"/>
      <c r="C33" s="958" t="str">
        <f>C3</f>
        <v>25-32 место</v>
      </c>
      <c r="D33" s="962"/>
      <c r="E33" s="963"/>
      <c r="G33" s="957"/>
      <c r="H33" s="958" t="str">
        <f>C3</f>
        <v>25-32 место</v>
      </c>
      <c r="I33" s="962"/>
      <c r="J33" s="963"/>
      <c r="L33" s="957"/>
      <c r="M33" s="958" t="str">
        <f>C3</f>
        <v>25-32 место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финалы!C79</f>
        <v>ПЛАХОТНИК Александр</v>
      </c>
      <c r="C35" s="960" t="str">
        <f>финалы!C69</f>
        <v>НИКИШАЕВ Матвей</v>
      </c>
      <c r="D35" s="961"/>
      <c r="E35" s="966"/>
      <c r="G35" s="960" t="str">
        <f>финалы!C77</f>
        <v>РОТНОВ Егор</v>
      </c>
      <c r="H35" s="960" t="str">
        <f>финалы!C71</f>
        <v>ШУКЛИН Александр</v>
      </c>
      <c r="I35" s="961"/>
      <c r="J35" s="966"/>
      <c r="L35" s="960" t="str">
        <f>финалы!C65</f>
        <v>САТДАРОВ Артем</v>
      </c>
      <c r="M35" s="960" t="str">
        <f>финалы!C73</f>
        <v>КУРОЧКИН Егор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финалы</v>
      </c>
      <c r="C47" s="1199"/>
      <c r="D47" s="955"/>
      <c r="E47" s="956"/>
      <c r="G47" s="1199" t="str">
        <f>B2</f>
        <v>финалы</v>
      </c>
      <c r="H47" s="1199"/>
      <c r="I47" s="955"/>
      <c r="J47" s="956"/>
      <c r="L47" s="1199" t="str">
        <f>B2</f>
        <v>финалы</v>
      </c>
      <c r="M47" s="1199"/>
      <c r="N47" s="961"/>
    </row>
    <row r="48" spans="1:14" x14ac:dyDescent="0.3">
      <c r="B48" s="957"/>
      <c r="C48" s="958" t="str">
        <f>C3</f>
        <v>25-32 место</v>
      </c>
      <c r="D48" s="962"/>
      <c r="E48" s="963"/>
      <c r="G48" s="957"/>
      <c r="H48" s="958" t="str">
        <f>C3</f>
        <v>25-32 место</v>
      </c>
      <c r="I48" s="962"/>
      <c r="J48" s="963"/>
      <c r="L48" s="957"/>
      <c r="M48" s="958" t="str">
        <f>C3</f>
        <v>25-32 место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финалы!C67</f>
        <v>ПОДЛАЗОВ Владислав</v>
      </c>
      <c r="C50" s="960" t="str">
        <f>финалы!C79</f>
        <v>ПЛАХОТНИК Александр</v>
      </c>
      <c r="D50" s="961"/>
      <c r="E50" s="966"/>
      <c r="G50" s="960" t="str">
        <f>финалы!C71</f>
        <v>ШУКЛИН Александр</v>
      </c>
      <c r="H50" s="960" t="str">
        <f>финалы!C75</f>
        <v>ПРОХОРОВ Кирилл</v>
      </c>
      <c r="I50" s="961"/>
      <c r="J50" s="966"/>
      <c r="L50" s="960" t="str">
        <f>финалы!C69</f>
        <v>НИКИШАЕВ Матвей</v>
      </c>
      <c r="M50" s="960" t="str">
        <f>финалы!C77</f>
        <v>РОТНОВ Егор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финалы</v>
      </c>
      <c r="C62" s="1199"/>
      <c r="D62" s="955"/>
      <c r="E62" s="956"/>
      <c r="G62" s="1199" t="str">
        <f>B2</f>
        <v>финалы</v>
      </c>
      <c r="H62" s="1199"/>
      <c r="I62" s="955"/>
      <c r="J62" s="956"/>
      <c r="L62" s="1199" t="str">
        <f>B2</f>
        <v>финалы</v>
      </c>
      <c r="M62" s="1199"/>
      <c r="N62" s="961"/>
    </row>
    <row r="63" spans="1:14" x14ac:dyDescent="0.3">
      <c r="B63" s="957"/>
      <c r="C63" s="958" t="str">
        <f>C3</f>
        <v>25-32 место</v>
      </c>
      <c r="D63" s="962"/>
      <c r="E63" s="963"/>
      <c r="G63" s="957"/>
      <c r="H63" s="958" t="str">
        <f>C3</f>
        <v>25-32 место</v>
      </c>
      <c r="I63" s="962"/>
      <c r="J63" s="963"/>
      <c r="L63" s="957"/>
      <c r="M63" s="958" t="str">
        <f>C3</f>
        <v>25-32 место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финалы!C79</f>
        <v>ПЛАХОТНИК Александр</v>
      </c>
      <c r="C65" s="960" t="str">
        <f>финалы!C65</f>
        <v>САТДАРОВ Артем</v>
      </c>
      <c r="D65" s="961"/>
      <c r="E65" s="966"/>
      <c r="G65" s="960" t="str">
        <f>финалы!C73</f>
        <v>КУРОЧКИН Егор</v>
      </c>
      <c r="H65" s="960" t="str">
        <f>финалы!C71</f>
        <v>ШУКЛИН Александр</v>
      </c>
      <c r="I65" s="961"/>
      <c r="J65" s="966"/>
      <c r="L65" s="960" t="str">
        <f>финалы!C77</f>
        <v>РОТНОВ Егор</v>
      </c>
      <c r="M65" s="960" t="str">
        <f>финалы!C67</f>
        <v>ПОДЛАЗОВ Владислав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финалы</v>
      </c>
      <c r="C77" s="1199"/>
      <c r="D77" s="955"/>
      <c r="E77" s="956"/>
      <c r="G77" s="1199" t="str">
        <f>B2</f>
        <v>финалы</v>
      </c>
      <c r="H77" s="1199"/>
      <c r="I77" s="955"/>
      <c r="J77" s="956"/>
      <c r="L77" s="1199" t="str">
        <f>B2</f>
        <v>финалы</v>
      </c>
      <c r="M77" s="1199"/>
      <c r="N77" s="961"/>
    </row>
    <row r="78" spans="1:14" x14ac:dyDescent="0.3">
      <c r="B78" s="957"/>
      <c r="C78" s="958" t="str">
        <f>C3</f>
        <v>25-32 место</v>
      </c>
      <c r="D78" s="962"/>
      <c r="E78" s="963"/>
      <c r="G78" s="957"/>
      <c r="H78" s="958" t="str">
        <f>C3</f>
        <v>25-32 место</v>
      </c>
      <c r="I78" s="962"/>
      <c r="J78" s="963"/>
      <c r="L78" s="957"/>
      <c r="M78" s="958" t="str">
        <f>C3</f>
        <v>25-32 место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финалы!C75</f>
        <v>ПРОХОРОВ Кирилл</v>
      </c>
      <c r="C80" s="960" t="str">
        <f>финалы!C69</f>
        <v>НИКИШАЕВ Матвей</v>
      </c>
      <c r="D80" s="961"/>
      <c r="E80" s="966"/>
      <c r="G80" s="960" t="str">
        <f>финалы!C65</f>
        <v>САТДАРОВ Артем</v>
      </c>
      <c r="H80" s="960" t="str">
        <f>финалы!C69</f>
        <v>НИКИШАЕВ Матвей</v>
      </c>
      <c r="I80" s="961"/>
      <c r="J80" s="966"/>
      <c r="L80" s="960" t="str">
        <f>финалы!C67</f>
        <v>ПОДЛАЗОВ Владислав</v>
      </c>
      <c r="M80" s="960" t="str">
        <f>финалы!C71</f>
        <v>ШУКЛИН Александр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финалы</v>
      </c>
      <c r="C92" s="1199"/>
      <c r="D92" s="955"/>
      <c r="E92" s="956"/>
      <c r="G92" s="1199" t="str">
        <f>B2</f>
        <v>финалы</v>
      </c>
      <c r="H92" s="1199"/>
      <c r="I92" s="955"/>
      <c r="J92" s="956"/>
      <c r="L92" s="1199" t="str">
        <f>B2</f>
        <v>финалы</v>
      </c>
      <c r="M92" s="1199"/>
      <c r="N92" s="961"/>
    </row>
    <row r="93" spans="1:14" x14ac:dyDescent="0.3">
      <c r="B93" s="957"/>
      <c r="C93" s="958" t="str">
        <f>C3</f>
        <v>25-32 место</v>
      </c>
      <c r="D93" s="962"/>
      <c r="E93" s="963"/>
      <c r="G93" s="957"/>
      <c r="H93" s="958" t="str">
        <f>C3</f>
        <v>25-32 место</v>
      </c>
      <c r="I93" s="962"/>
      <c r="J93" s="963"/>
      <c r="L93" s="957"/>
      <c r="M93" s="958" t="str">
        <f>C3</f>
        <v>25-32 место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финалы!C73</f>
        <v>КУРОЧКИН Егор</v>
      </c>
      <c r="C95" s="960" t="str">
        <f>финалы!C77</f>
        <v>РОТНОВ Егор</v>
      </c>
      <c r="D95" s="961"/>
      <c r="E95" s="966"/>
      <c r="G95" s="960" t="str">
        <f>финалы!C75</f>
        <v>ПРОХОРОВ Кирилл</v>
      </c>
      <c r="H95" s="960" t="str">
        <f>финалы!C79</f>
        <v>ПЛАХОТНИК Александр</v>
      </c>
      <c r="I95" s="961"/>
      <c r="J95" s="966"/>
      <c r="L95" s="960" t="str">
        <f>финалы!C71</f>
        <v>ШУКЛИН Александр</v>
      </c>
      <c r="M95" s="960" t="str">
        <f>финалы!C65</f>
        <v>САТДАРОВ Артем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финалы</v>
      </c>
      <c r="C107" s="1199"/>
      <c r="D107" s="955"/>
      <c r="E107" s="956"/>
      <c r="G107" s="1199" t="str">
        <f>B2</f>
        <v>финалы</v>
      </c>
      <c r="H107" s="1199"/>
      <c r="I107" s="955"/>
      <c r="J107" s="956"/>
      <c r="L107" s="1199" t="str">
        <f>B2</f>
        <v>финалы</v>
      </c>
      <c r="M107" s="1199"/>
      <c r="N107" s="961"/>
    </row>
    <row r="108" spans="1:14" x14ac:dyDescent="0.3">
      <c r="B108" s="957"/>
      <c r="C108" s="958" t="str">
        <f>C3</f>
        <v>25-32 место</v>
      </c>
      <c r="D108" s="962"/>
      <c r="E108" s="963"/>
      <c r="G108" s="957"/>
      <c r="H108" s="958" t="str">
        <f>C3</f>
        <v>25-32 место</v>
      </c>
      <c r="I108" s="962"/>
      <c r="J108" s="963"/>
      <c r="L108" s="957"/>
      <c r="M108" s="958" t="str">
        <f>C3</f>
        <v>25-32 место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финалы!C69</f>
        <v>НИКИШАЕВ Матвей</v>
      </c>
      <c r="C110" s="960" t="str">
        <f>финалы!C67</f>
        <v>ПОДЛАЗОВ Владислав</v>
      </c>
      <c r="D110" s="961"/>
      <c r="E110" s="966"/>
      <c r="G110" s="960" t="str">
        <f>финалы!C77</f>
        <v>РОТНОВ Егор</v>
      </c>
      <c r="H110" s="960" t="str">
        <f>финалы!C75</f>
        <v>ПРОХОРОВ Кирилл</v>
      </c>
      <c r="I110" s="961"/>
      <c r="J110" s="966"/>
      <c r="L110" s="960" t="str">
        <f>финалы!C79</f>
        <v>ПЛАХОТНИК Александр</v>
      </c>
      <c r="M110" s="960" t="str">
        <f>финалы!C73</f>
        <v>КУРОЧКИН Егор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финалы</v>
      </c>
      <c r="C122" s="1199"/>
      <c r="D122" s="955"/>
      <c r="E122" s="956"/>
      <c r="G122" s="1199" t="str">
        <f>B2</f>
        <v>финалы</v>
      </c>
      <c r="H122" s="1199"/>
      <c r="I122" s="955"/>
      <c r="J122" s="956"/>
      <c r="L122" s="1199" t="str">
        <f>B2</f>
        <v>финалы</v>
      </c>
      <c r="M122" s="1199"/>
      <c r="N122" s="961"/>
    </row>
    <row r="123" spans="1:14" x14ac:dyDescent="0.3">
      <c r="B123" s="957"/>
      <c r="C123" s="958" t="str">
        <f>C3</f>
        <v>25-32 место</v>
      </c>
      <c r="D123" s="962"/>
      <c r="E123" s="963"/>
      <c r="G123" s="957"/>
      <c r="H123" s="958" t="str">
        <f>C3</f>
        <v>25-32 место</v>
      </c>
      <c r="I123" s="962"/>
      <c r="J123" s="963"/>
      <c r="L123" s="957"/>
      <c r="M123" s="958" t="str">
        <f>C3</f>
        <v>25-32 место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финалы!C65</f>
        <v>САТДАРОВ Артем</v>
      </c>
      <c r="C125" s="960" t="str">
        <f>финалы!C67</f>
        <v>ПОДЛАЗОВ Владислав</v>
      </c>
      <c r="D125" s="961"/>
      <c r="E125" s="966"/>
      <c r="G125" s="960" t="str">
        <f>финалы!C69</f>
        <v>НИКИШАЕВ Матвей</v>
      </c>
      <c r="H125" s="960" t="str">
        <f>финалы!C71</f>
        <v>ШУКЛИН Александр</v>
      </c>
      <c r="I125" s="961"/>
      <c r="J125" s="966"/>
      <c r="L125" s="960" t="str">
        <f>финалы!C73</f>
        <v>КУРОЧКИН Егор</v>
      </c>
      <c r="M125" s="960" t="str">
        <f>финалы!C75</f>
        <v>ПРОХОРОВ Кирилл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финалы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/>
      <c r="C138" s="975" t="str">
        <f>C3</f>
        <v>25-32 место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финалы!C77</f>
        <v>РОТНОВ Егор</v>
      </c>
      <c r="C140" s="960" t="str">
        <f>финалы!C79</f>
        <v>ПЛАХОТНИК Александр</v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4" manualBreakCount="4">
    <brk id="45" max="13" man="1"/>
    <brk id="75" max="13" man="1"/>
    <brk id="105" max="13" man="1"/>
    <brk id="135" max="1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S186"/>
  <sheetViews>
    <sheetView view="pageBreakPreview" zoomScale="90" zoomScaleNormal="100" zoomScaleSheetLayoutView="90" workbookViewId="0">
      <selection activeCell="I178" sqref="I178"/>
    </sheetView>
  </sheetViews>
  <sheetFormatPr defaultColWidth="9.33203125" defaultRowHeight="12.75" outlineLevelRow="1" outlineLevelCol="1" x14ac:dyDescent="0.2"/>
  <cols>
    <col min="1" max="1" width="14.5" style="91" customWidth="1"/>
    <col min="2" max="2" width="7.33203125" style="91" customWidth="1"/>
    <col min="3" max="3" width="8.83203125" style="91" customWidth="1" outlineLevel="1"/>
    <col min="4" max="4" width="32.6640625" style="91" customWidth="1"/>
    <col min="5" max="5" width="10.1640625" style="91" customWidth="1"/>
    <col min="6" max="6" width="27" style="91" customWidth="1"/>
    <col min="7" max="7" width="12.1640625" style="91" customWidth="1"/>
    <col min="8" max="8" width="12.33203125" style="91" customWidth="1"/>
    <col min="9" max="9" width="12" style="91" customWidth="1"/>
    <col min="10" max="10" width="11.33203125" style="91" customWidth="1"/>
    <col min="11" max="11" width="11" style="91" customWidth="1"/>
    <col min="12" max="13" width="12" style="91" customWidth="1"/>
    <col min="14" max="14" width="11.33203125" style="91" customWidth="1"/>
    <col min="15" max="15" width="12.6640625" style="91" customWidth="1"/>
    <col min="16" max="16" width="11" style="91" customWidth="1"/>
    <col min="17" max="17" width="11.6640625" style="91" customWidth="1"/>
    <col min="18" max="18" width="12.1640625" style="91" customWidth="1"/>
    <col min="19" max="16384" width="9.33203125" style="91"/>
  </cols>
  <sheetData>
    <row r="1" spans="1:19" ht="29.25" customHeight="1" x14ac:dyDescent="0.2">
      <c r="D1" s="803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</row>
    <row r="2" spans="1:19" ht="12.75" customHeight="1" x14ac:dyDescent="0.2">
      <c r="A2" s="1437" t="s">
        <v>765</v>
      </c>
      <c r="B2" s="1437"/>
      <c r="C2" s="1437"/>
      <c r="D2" s="1437"/>
      <c r="E2" s="1437"/>
      <c r="F2" s="1438"/>
      <c r="G2" s="1441"/>
      <c r="H2" s="861"/>
      <c r="I2" s="861"/>
      <c r="J2" s="1441"/>
      <c r="K2" s="861"/>
      <c r="L2" s="861"/>
      <c r="M2" s="1441"/>
      <c r="N2" s="861"/>
      <c r="O2" s="861"/>
      <c r="P2" s="1441"/>
      <c r="Q2" s="861"/>
      <c r="R2" s="861"/>
    </row>
    <row r="3" spans="1:19" ht="12.75" customHeight="1" x14ac:dyDescent="0.2">
      <c r="A3" s="1439" t="s">
        <v>766</v>
      </c>
      <c r="B3" s="1439"/>
      <c r="C3" s="1439"/>
      <c r="D3" s="1439"/>
      <c r="E3" s="1439"/>
      <c r="F3" s="1440"/>
      <c r="G3" s="1441"/>
      <c r="H3" s="304"/>
      <c r="I3" s="213"/>
      <c r="J3" s="1441"/>
      <c r="K3" s="304"/>
      <c r="L3" s="213"/>
      <c r="M3" s="1441"/>
      <c r="N3" s="304"/>
      <c r="O3" s="213"/>
      <c r="P3" s="1441"/>
      <c r="Q3" s="304"/>
      <c r="R3" s="213"/>
      <c r="S3" s="171"/>
    </row>
    <row r="4" spans="1:19" ht="15.75" x14ac:dyDescent="0.2">
      <c r="A4" s="125" t="s">
        <v>767</v>
      </c>
      <c r="B4" s="127">
        <v>1</v>
      </c>
      <c r="C4" s="741">
        <f>SUMIF(ГР1М,1,№ИГР1)</f>
        <v>1</v>
      </c>
      <c r="D4" s="126" t="str">
        <f>IF(C4="",C4,VLOOKUP(C4,'Списки участников'!A:I,3,FALSE))</f>
        <v>БОКОВ Максим Андреевич</v>
      </c>
      <c r="E4" s="126">
        <f>IF(C4="",C4,VLOOKUP(C4,'Списки участников'!A:I,5,FALSE))</f>
        <v>552</v>
      </c>
      <c r="F4" s="126" t="str">
        <f>IF(C4="",C4,VLOOKUP(C4,'Списки участников'!A:I,6,FALSE))</f>
        <v>Москва</v>
      </c>
      <c r="G4" s="1441"/>
      <c r="H4" s="304"/>
      <c r="I4" s="213"/>
      <c r="J4" s="1441"/>
      <c r="K4" s="304"/>
      <c r="L4" s="213"/>
      <c r="M4" s="1441"/>
      <c r="N4" s="304"/>
      <c r="O4" s="213"/>
      <c r="P4" s="1441"/>
      <c r="Q4" s="304"/>
      <c r="R4" s="213"/>
      <c r="S4" s="171"/>
    </row>
    <row r="5" spans="1:19" ht="15.75" x14ac:dyDescent="0.2">
      <c r="A5" s="125" t="s">
        <v>768</v>
      </c>
      <c r="B5" s="127">
        <v>1</v>
      </c>
      <c r="C5" s="741">
        <f>SUMIF(ГР2М,1,№ИГР2)</f>
        <v>2</v>
      </c>
      <c r="D5" s="126" t="str">
        <f>IF(C5="",C5,VLOOKUP(C5,'Списки участников'!A:I,3,FALSE))</f>
        <v>СОДЫЛЬ Максим</v>
      </c>
      <c r="E5" s="126">
        <f>IF(C5="",C5,VLOOKUP(C5,'Списки участников'!A:I,5,FALSE))</f>
        <v>472</v>
      </c>
      <c r="F5" s="126" t="str">
        <f>IF(C5="",C5,VLOOKUP(C5,'Списки участников'!A:I,6,FALSE))</f>
        <v>Москва</v>
      </c>
      <c r="G5" s="1441"/>
      <c r="H5" s="304"/>
      <c r="I5" s="213"/>
      <c r="J5" s="1441"/>
      <c r="K5" s="304"/>
      <c r="L5" s="213"/>
      <c r="M5" s="1441"/>
      <c r="N5" s="304"/>
      <c r="O5" s="213"/>
      <c r="P5" s="1441"/>
      <c r="Q5" s="304"/>
      <c r="R5" s="213"/>
      <c r="S5" s="171"/>
    </row>
    <row r="6" spans="1:19" ht="15.75" x14ac:dyDescent="0.2">
      <c r="A6" s="125" t="s">
        <v>769</v>
      </c>
      <c r="B6" s="127">
        <v>1</v>
      </c>
      <c r="C6" s="741">
        <f>SUMIF(ГР3М,1,№ИГР3)</f>
        <v>3</v>
      </c>
      <c r="D6" s="126" t="str">
        <f>IF(C6="",C6,VLOOKUP(C6,'Списки участников'!A:I,3,FALSE))</f>
        <v>РАМС Сергей</v>
      </c>
      <c r="E6" s="126">
        <f>IF(C6="",C6,VLOOKUP(C6,'Списки участников'!A:I,5,FALSE))</f>
        <v>378</v>
      </c>
      <c r="F6" s="126" t="str">
        <f>IF(C6="",C6,VLOOKUP(C6,'Списки участников'!A:I,6,FALSE))</f>
        <v>Н.Новгород</v>
      </c>
      <c r="G6" s="1441"/>
      <c r="H6" s="304"/>
      <c r="I6" s="213"/>
      <c r="J6" s="1441"/>
      <c r="K6" s="304"/>
      <c r="L6" s="213"/>
      <c r="M6" s="1441"/>
      <c r="N6" s="304"/>
      <c r="O6" s="213"/>
      <c r="P6" s="1441"/>
      <c r="Q6" s="304"/>
      <c r="R6" s="213"/>
      <c r="S6" s="171"/>
    </row>
    <row r="7" spans="1:19" ht="15.75" x14ac:dyDescent="0.2">
      <c r="A7" s="125" t="s">
        <v>770</v>
      </c>
      <c r="B7" s="127">
        <v>1</v>
      </c>
      <c r="C7" s="741">
        <f>SUMIF(ГР4М,1,№ИГР4)</f>
        <v>4</v>
      </c>
      <c r="D7" s="126" t="str">
        <f>IF(C7="",C7,VLOOKUP(C7,'Списки участников'!A:I,3,FALSE))</f>
        <v>СТАШКОВСКИЙ Глеб</v>
      </c>
      <c r="E7" s="126">
        <f>IF(C7="",C7,VLOOKUP(C7,'Списки участников'!A:I,5,FALSE))</f>
        <v>348</v>
      </c>
      <c r="F7" s="126" t="str">
        <f>IF(C7="",C7,VLOOKUP(C7,'Списки участников'!A:I,6,FALSE))</f>
        <v>Реутов, Мос. Обл.</v>
      </c>
      <c r="G7" s="1441"/>
      <c r="H7" s="304"/>
      <c r="I7" s="213"/>
      <c r="J7" s="1441"/>
      <c r="K7" s="304"/>
      <c r="L7" s="213"/>
      <c r="M7" s="1441"/>
      <c r="N7" s="304"/>
      <c r="O7" s="213"/>
      <c r="P7" s="1441"/>
      <c r="Q7" s="304"/>
      <c r="R7" s="213"/>
      <c r="S7" s="171"/>
    </row>
    <row r="8" spans="1:19" ht="15.75" x14ac:dyDescent="0.2">
      <c r="A8" s="125" t="s">
        <v>771</v>
      </c>
      <c r="B8" s="127">
        <v>1</v>
      </c>
      <c r="C8" s="741">
        <f>SUMIF(ГР5М,1,№ИГР5)</f>
        <v>5</v>
      </c>
      <c r="D8" s="126" t="str">
        <f>IF(C8="",C8,VLOOKUP(C8,'Списки участников'!A:I,3,FALSE))</f>
        <v>МИРОНОВ Егор</v>
      </c>
      <c r="E8" s="126">
        <f>IF(C8="",C8,VLOOKUP(C8,'Списки участников'!A:I,5,FALSE))</f>
        <v>338</v>
      </c>
      <c r="F8" s="126" t="str">
        <f>IF(C8="",C8,VLOOKUP(C8,'Списки участников'!A:I,6,FALSE))</f>
        <v>Москва</v>
      </c>
      <c r="G8" s="1441"/>
      <c r="H8" s="304"/>
      <c r="I8" s="213"/>
      <c r="J8" s="1441"/>
      <c r="K8" s="304"/>
      <c r="L8" s="213"/>
      <c r="M8" s="1441"/>
      <c r="N8" s="304"/>
      <c r="O8" s="213"/>
      <c r="P8" s="1441"/>
      <c r="Q8" s="304"/>
      <c r="R8" s="213"/>
      <c r="S8" s="171"/>
    </row>
    <row r="9" spans="1:19" ht="15.75" x14ac:dyDescent="0.2">
      <c r="A9" s="125" t="s">
        <v>772</v>
      </c>
      <c r="B9" s="127">
        <v>1</v>
      </c>
      <c r="C9" s="741">
        <f>SUMIF(ГР6М,1,№ИГР6)</f>
        <v>6</v>
      </c>
      <c r="D9" s="126" t="str">
        <f>IF(C9="",C9,VLOOKUP(C9,'Списки участников'!A:I,3,FALSE))</f>
        <v>БАТАЛОВ Анатолий</v>
      </c>
      <c r="E9" s="126">
        <f>IF(C9="",C9,VLOOKUP(C9,'Списки участников'!A:I,5,FALSE))</f>
        <v>326</v>
      </c>
      <c r="F9" s="126" t="str">
        <f>IF(C9="",C9,VLOOKUP(C9,'Списки участников'!A:I,6,FALSE))</f>
        <v>Жуковский</v>
      </c>
      <c r="G9" s="1441"/>
      <c r="H9" s="304"/>
      <c r="I9" s="213"/>
      <c r="J9" s="1441"/>
      <c r="K9" s="304"/>
      <c r="L9" s="213"/>
      <c r="M9" s="1441"/>
      <c r="N9" s="304"/>
      <c r="O9" s="213"/>
      <c r="P9" s="1441"/>
      <c r="Q9" s="304"/>
      <c r="R9" s="213"/>
      <c r="S9" s="171"/>
    </row>
    <row r="10" spans="1:19" ht="15.75" x14ac:dyDescent="0.2">
      <c r="A10" s="125" t="s">
        <v>773</v>
      </c>
      <c r="B10" s="127">
        <v>1</v>
      </c>
      <c r="C10" s="741">
        <f>SUMIF(ГР7М,1,№ИГР7)</f>
        <v>7</v>
      </c>
      <c r="D10" s="126" t="str">
        <f>IF(C10="",C10,VLOOKUP(C10,'Списки участников'!A:I,3,FALSE))</f>
        <v>КАЛИМУЛЛИН Камиль</v>
      </c>
      <c r="E10" s="126">
        <f>IF(C10="",C10,VLOOKUP(C10,'Списки участников'!A:I,5,FALSE))</f>
        <v>321</v>
      </c>
      <c r="F10" s="126" t="str">
        <f>IF(C10="",C10,VLOOKUP(C10,'Списки участников'!A:I,6,FALSE))</f>
        <v>Москва</v>
      </c>
      <c r="G10" s="1441"/>
      <c r="H10" s="304"/>
      <c r="I10" s="213"/>
      <c r="J10" s="1441"/>
      <c r="K10" s="304"/>
      <c r="L10" s="213"/>
      <c r="M10" s="1441"/>
      <c r="N10" s="304"/>
      <c r="O10" s="213"/>
      <c r="P10" s="1441"/>
      <c r="Q10" s="304"/>
      <c r="R10" s="213"/>
      <c r="S10" s="171"/>
    </row>
    <row r="11" spans="1:19" ht="15.75" x14ac:dyDescent="0.2">
      <c r="A11" s="125" t="s">
        <v>774</v>
      </c>
      <c r="B11" s="127">
        <v>1</v>
      </c>
      <c r="C11" s="741">
        <f>SUMIF(ГР8М,1,№ИГР8)</f>
        <v>27</v>
      </c>
      <c r="D11" s="126" t="str">
        <f>IF(C11="",C11,VLOOKUP(C11,'Списки участников'!A:I,3,FALSE))</f>
        <v>АВЕРИН Тимофей</v>
      </c>
      <c r="E11" s="126">
        <f>IF(C11="",C11,VLOOKUP(C11,'Списки участников'!A:I,5,FALSE))</f>
        <v>154</v>
      </c>
      <c r="F11" s="126" t="str">
        <f>IF(C11="",C11,VLOOKUP(C11,'Списки участников'!A:I,6,FALSE))</f>
        <v>Москва</v>
      </c>
      <c r="G11" s="1441"/>
      <c r="H11" s="304"/>
      <c r="I11" s="213"/>
      <c r="J11" s="1441"/>
      <c r="K11" s="304"/>
      <c r="L11" s="213"/>
      <c r="M11" s="1441"/>
      <c r="N11" s="304"/>
      <c r="O11" s="213"/>
      <c r="P11" s="1441"/>
      <c r="Q11" s="304"/>
      <c r="R11" s="213"/>
      <c r="S11" s="171"/>
    </row>
    <row r="12" spans="1:19" ht="15.75" hidden="1" outlineLevel="1" x14ac:dyDescent="0.2">
      <c r="A12" s="125" t="s">
        <v>775</v>
      </c>
      <c r="B12" s="127">
        <v>1</v>
      </c>
      <c r="C12" s="741">
        <f>SUMIF(ГР9М,1,№ИГР9)</f>
        <v>26</v>
      </c>
      <c r="D12" s="126" t="str">
        <f>IF(C12="",C12,VLOOKUP(C12,'Списки участников'!A:I,3,FALSE))</f>
        <v>МАНЦУРОВ Тихон</v>
      </c>
      <c r="E12" s="126">
        <f>IF(C12="",C12,VLOOKUP(C12,'Списки участников'!A:I,5,FALSE))</f>
        <v>164</v>
      </c>
      <c r="F12" s="742" t="str">
        <f>IF(C12="",C12,VLOOKUP(C12,'Списки участников'!A:I,6,FALSE))</f>
        <v>Тула</v>
      </c>
      <c r="G12" s="799"/>
      <c r="H12" s="304"/>
      <c r="I12" s="171"/>
      <c r="J12" s="304"/>
      <c r="K12" s="304"/>
      <c r="L12" s="171"/>
      <c r="M12" s="171"/>
      <c r="N12" s="171"/>
      <c r="O12" s="171"/>
      <c r="P12" s="171"/>
      <c r="Q12" s="171"/>
      <c r="R12" s="171"/>
      <c r="S12" s="171"/>
    </row>
    <row r="13" spans="1:19" ht="15.75" hidden="1" outlineLevel="1" x14ac:dyDescent="0.2">
      <c r="A13" s="125" t="s">
        <v>776</v>
      </c>
      <c r="B13" s="127">
        <v>1</v>
      </c>
      <c r="C13" s="741">
        <f>SUMIF(ГР10М,1,№ИГР10)</f>
        <v>10</v>
      </c>
      <c r="D13" s="126" t="str">
        <f>IF(C13="",C13,VLOOKUP(C13,'Списки участников'!A:I,3,FALSE))</f>
        <v xml:space="preserve">СУЛТАНОВ Артур </v>
      </c>
      <c r="E13" s="126">
        <f>IF(C13="",C13,VLOOKUP(C13,'Списки участников'!A:I,5,FALSE))</f>
        <v>270</v>
      </c>
      <c r="F13" s="742" t="str">
        <f>IF(C13="",C13,VLOOKUP(C13,'Списки участников'!A:I,6,FALSE))</f>
        <v>Пермь</v>
      </c>
      <c r="G13" s="304"/>
      <c r="H13" s="304"/>
      <c r="I13" s="171"/>
      <c r="J13" s="304"/>
      <c r="K13" s="800"/>
      <c r="L13" s="171"/>
      <c r="M13" s="171"/>
      <c r="N13" s="801"/>
      <c r="O13" s="171"/>
      <c r="P13" s="171"/>
      <c r="Q13" s="171"/>
      <c r="R13" s="171"/>
      <c r="S13" s="171"/>
    </row>
    <row r="14" spans="1:19" ht="15.75" hidden="1" outlineLevel="1" x14ac:dyDescent="0.2">
      <c r="A14" s="125" t="s">
        <v>777</v>
      </c>
      <c r="B14" s="127">
        <v>1</v>
      </c>
      <c r="C14" s="741">
        <f>SUMIF(ГР11М,1,№ИГР11)</f>
        <v>11</v>
      </c>
      <c r="D14" s="126" t="str">
        <f>IF(C14="",C14,VLOOKUP(C14,'Списки участников'!A:I,3,FALSE))</f>
        <v>ПАНФИЛОВ Федор</v>
      </c>
      <c r="E14" s="126">
        <f>IF(C14="",C14,VLOOKUP(C14,'Списки участников'!A:I,5,FALSE))</f>
        <v>269</v>
      </c>
      <c r="F14" s="742" t="str">
        <f>IF(C14="",C14,VLOOKUP(C14,'Списки участников'!A:I,6,FALSE))</f>
        <v>Москва</v>
      </c>
      <c r="G14" s="304"/>
      <c r="H14" s="304"/>
      <c r="I14" s="171"/>
      <c r="J14" s="304"/>
      <c r="K14" s="304"/>
      <c r="L14" s="171"/>
      <c r="M14" s="171"/>
      <c r="N14" s="171"/>
      <c r="O14" s="171"/>
      <c r="P14" s="171"/>
      <c r="Q14" s="171"/>
      <c r="R14" s="171"/>
      <c r="S14" s="171"/>
    </row>
    <row r="15" spans="1:19" ht="15.75" hidden="1" outlineLevel="1" x14ac:dyDescent="0.2">
      <c r="A15" s="125" t="s">
        <v>778</v>
      </c>
      <c r="B15" s="127">
        <v>1</v>
      </c>
      <c r="C15" s="741">
        <f>SUMIF(ГР12М,1,№ИГР12)</f>
        <v>12</v>
      </c>
      <c r="D15" s="126" t="str">
        <f>IF(C15="",C15,VLOOKUP(C15,'Списки участников'!A:I,3,FALSE))</f>
        <v>ПОЛЯКОВ Василий</v>
      </c>
      <c r="E15" s="126">
        <f>IF(C15="",C15,VLOOKUP(C15,'Списки участников'!A:I,5,FALSE))</f>
        <v>245</v>
      </c>
      <c r="F15" s="742" t="str">
        <f>IF(C15="",C15,VLOOKUP(C15,'Списки участников'!A:I,6,FALSE))</f>
        <v>Москва</v>
      </c>
      <c r="G15" s="304"/>
      <c r="H15" s="304"/>
      <c r="I15" s="171"/>
      <c r="J15" s="304"/>
      <c r="K15" s="800"/>
      <c r="L15" s="171"/>
      <c r="M15" s="171"/>
      <c r="N15" s="801"/>
      <c r="O15" s="171"/>
      <c r="P15" s="171"/>
      <c r="Q15" s="171"/>
      <c r="R15" s="171"/>
      <c r="S15" s="171"/>
    </row>
    <row r="16" spans="1:19" ht="15.75" hidden="1" outlineLevel="1" x14ac:dyDescent="0.2">
      <c r="A16" s="125" t="s">
        <v>779</v>
      </c>
      <c r="B16" s="127">
        <v>1</v>
      </c>
      <c r="C16" s="741">
        <f>SUMIF(ГР13М,1,№ИГР13)</f>
        <v>13</v>
      </c>
      <c r="D16" s="126" t="str">
        <f>IF(C16="",C16,VLOOKUP(C16,'Списки участников'!A:I,3,FALSE))</f>
        <v>ЛАЗАРЕВ Василий</v>
      </c>
      <c r="E16" s="126">
        <f>IF(C16="",C16,VLOOKUP(C16,'Списки участников'!A:I,5,FALSE))</f>
        <v>244</v>
      </c>
      <c r="F16" s="742" t="str">
        <f>IF(C16="",C16,VLOOKUP(C16,'Списки участников'!A:I,6,FALSE))</f>
        <v>Москва</v>
      </c>
      <c r="G16" s="304"/>
      <c r="H16" s="304"/>
      <c r="I16" s="171"/>
      <c r="J16" s="304"/>
      <c r="K16" s="304"/>
      <c r="L16" s="171"/>
      <c r="M16" s="171"/>
      <c r="N16" s="171"/>
      <c r="O16" s="171"/>
      <c r="P16" s="171"/>
      <c r="Q16" s="171"/>
      <c r="R16" s="171"/>
      <c r="S16" s="171"/>
    </row>
    <row r="17" spans="1:19" ht="15.75" hidden="1" outlineLevel="1" x14ac:dyDescent="0.2">
      <c r="A17" s="125" t="s">
        <v>780</v>
      </c>
      <c r="B17" s="127">
        <v>1</v>
      </c>
      <c r="C17" s="741">
        <f>SUMIF(ГР14М,1,№ИГР14)</f>
        <v>20</v>
      </c>
      <c r="D17" s="126" t="str">
        <f>IF(C17="",C17,VLOOKUP(C17,'Списки участников'!A:I,3,FALSE))</f>
        <v>АВЕРИН Владимир</v>
      </c>
      <c r="E17" s="126">
        <f>IF(C17="",C17,VLOOKUP(C17,'Списки участников'!A:I,5,FALSE))</f>
        <v>185</v>
      </c>
      <c r="F17" s="742" t="str">
        <f>IF(C17="",C17,VLOOKUP(C17,'Списки участников'!A:I,6,FALSE))</f>
        <v>Коломна</v>
      </c>
      <c r="G17" s="304"/>
      <c r="H17" s="304"/>
      <c r="I17" s="171"/>
      <c r="J17" s="304"/>
      <c r="K17" s="800"/>
      <c r="L17" s="171"/>
      <c r="M17" s="171"/>
      <c r="N17" s="801"/>
      <c r="O17" s="171"/>
      <c r="P17" s="171"/>
      <c r="Q17" s="171"/>
      <c r="R17" s="171"/>
      <c r="S17" s="171"/>
    </row>
    <row r="18" spans="1:19" ht="15.75" hidden="1" outlineLevel="1" x14ac:dyDescent="0.2">
      <c r="A18" s="125" t="s">
        <v>781</v>
      </c>
      <c r="B18" s="127">
        <v>1</v>
      </c>
      <c r="C18" s="741">
        <f>SUMIF(ГР15М,1,№ИГР15)</f>
        <v>19</v>
      </c>
      <c r="D18" s="126" t="str">
        <f>IF(C18="",C18,VLOOKUP(C18,'Списки участников'!A:I,3,FALSE))</f>
        <v>ПОРТНОВ Фадей</v>
      </c>
      <c r="E18" s="126">
        <f>IF(C18="",C18,VLOOKUP(C18,'Списки участников'!A:I,5,FALSE))</f>
        <v>186</v>
      </c>
      <c r="F18" s="742" t="str">
        <f>IF(C18="",C18,VLOOKUP(C18,'Списки участников'!A:I,6,FALSE))</f>
        <v>Москва</v>
      </c>
      <c r="G18" s="304"/>
      <c r="H18" s="304"/>
      <c r="I18" s="171"/>
      <c r="J18" s="304"/>
      <c r="K18" s="304"/>
      <c r="L18" s="171"/>
      <c r="M18" s="171"/>
      <c r="N18" s="171"/>
      <c r="O18" s="171"/>
      <c r="P18" s="171"/>
      <c r="Q18" s="171"/>
      <c r="R18" s="171"/>
      <c r="S18" s="171"/>
    </row>
    <row r="19" spans="1:19" ht="15.75" hidden="1" outlineLevel="1" x14ac:dyDescent="0.2">
      <c r="A19" s="125" t="s">
        <v>782</v>
      </c>
      <c r="B19" s="127">
        <v>1</v>
      </c>
      <c r="C19" s="741">
        <f>SUMIF(ГР16М,1,№ИГР16)</f>
        <v>17</v>
      </c>
      <c r="D19" s="126" t="str">
        <f>IF(C19="",C19,VLOOKUP(C19,'Списки участников'!A:I,3,FALSE))</f>
        <v>МАЛОВ Илья</v>
      </c>
      <c r="E19" s="126">
        <f>IF(C19="",C19,VLOOKUP(C19,'Списки участников'!A:I,5,FALSE))</f>
        <v>195</v>
      </c>
      <c r="F19" s="742" t="str">
        <f>IF(C19="",C19,VLOOKUP(C19,'Списки участников'!A:I,6,FALSE))</f>
        <v>Москва</v>
      </c>
      <c r="G19" s="304"/>
      <c r="H19" s="304"/>
      <c r="I19" s="171"/>
      <c r="J19" s="304"/>
      <c r="K19" s="800"/>
      <c r="L19" s="171"/>
      <c r="M19" s="171"/>
      <c r="N19" s="801"/>
      <c r="O19" s="171"/>
      <c r="P19" s="171"/>
      <c r="Q19" s="171"/>
      <c r="R19" s="171"/>
      <c r="S19" s="171"/>
    </row>
    <row r="20" spans="1:19" collapsed="1" x14ac:dyDescent="0.2">
      <c r="A20" s="2"/>
      <c r="B20" s="2"/>
      <c r="C20" s="128"/>
      <c r="D20" s="129"/>
      <c r="E20" s="130"/>
      <c r="F20" s="131"/>
      <c r="G20" s="304"/>
      <c r="H20" s="304"/>
      <c r="I20" s="171"/>
      <c r="J20" s="304"/>
      <c r="K20" s="304"/>
      <c r="L20" s="171"/>
      <c r="M20" s="171"/>
      <c r="N20" s="171"/>
      <c r="O20" s="171"/>
      <c r="P20" s="171"/>
      <c r="Q20" s="171"/>
      <c r="R20" s="171"/>
      <c r="S20" s="171"/>
    </row>
    <row r="21" spans="1:19" ht="12.75" customHeight="1" x14ac:dyDescent="0.2">
      <c r="A21" s="1437" t="s">
        <v>765</v>
      </c>
      <c r="B21" s="1437"/>
      <c r="C21" s="1437"/>
      <c r="D21" s="1437"/>
      <c r="E21" s="1437"/>
      <c r="F21" s="1438"/>
      <c r="G21" s="1441"/>
      <c r="H21" s="861"/>
      <c r="I21" s="861"/>
      <c r="J21" s="1441"/>
      <c r="K21" s="861"/>
      <c r="L21" s="861"/>
      <c r="M21" s="1441"/>
      <c r="N21" s="861"/>
      <c r="O21" s="861"/>
      <c r="P21" s="1441"/>
      <c r="Q21" s="861"/>
      <c r="R21" s="861"/>
    </row>
    <row r="22" spans="1:19" x14ac:dyDescent="0.2">
      <c r="A22" s="1439" t="s">
        <v>783</v>
      </c>
      <c r="B22" s="1439"/>
      <c r="C22" s="1439"/>
      <c r="D22" s="1439"/>
      <c r="E22" s="1439"/>
      <c r="F22" s="1440"/>
      <c r="G22" s="1441"/>
      <c r="H22" s="304"/>
      <c r="I22" s="213"/>
      <c r="J22" s="1441"/>
      <c r="K22" s="304"/>
      <c r="L22" s="213"/>
      <c r="M22" s="1441"/>
      <c r="N22" s="304"/>
      <c r="O22" s="213"/>
      <c r="P22" s="1441"/>
      <c r="Q22" s="304"/>
      <c r="R22" s="213"/>
    </row>
    <row r="23" spans="1:19" ht="15.75" x14ac:dyDescent="0.2">
      <c r="A23" s="125" t="s">
        <v>767</v>
      </c>
      <c r="B23" s="127">
        <v>2</v>
      </c>
      <c r="C23" s="741">
        <f>SUMIF(ГР1М,2,№ИГР1)</f>
        <v>33</v>
      </c>
      <c r="D23" s="126" t="str">
        <f>IF(C23="",C23,VLOOKUP(C23,'Списки участников'!A:I,3,FALSE))</f>
        <v>КУРОЧКИН Егор</v>
      </c>
      <c r="E23" s="126">
        <f>IF(C23="",C23,VLOOKUP(C23,'Списки участников'!A:I,5,FALSE))</f>
        <v>137</v>
      </c>
      <c r="F23" s="126" t="str">
        <f>IF(C23="",C23,VLOOKUP(C23,'Списки участников'!A:I,6,FALSE))</f>
        <v>Москва</v>
      </c>
      <c r="G23" s="1441"/>
      <c r="H23" s="304"/>
      <c r="I23" s="213"/>
      <c r="J23" s="1441"/>
      <c r="K23" s="304"/>
      <c r="L23" s="213"/>
      <c r="M23" s="1441"/>
      <c r="N23" s="304"/>
      <c r="O23" s="213"/>
      <c r="P23" s="1441"/>
      <c r="Q23" s="304"/>
      <c r="R23" s="213"/>
    </row>
    <row r="24" spans="1:19" ht="15.75" x14ac:dyDescent="0.2">
      <c r="A24" s="125" t="s">
        <v>768</v>
      </c>
      <c r="B24" s="127">
        <v>2</v>
      </c>
      <c r="C24" s="741">
        <f>SUMIF(ГР2М,2,№ИГР2)</f>
        <v>34</v>
      </c>
      <c r="D24" s="126" t="str">
        <f>IF(C24="",C24,VLOOKUP(C24,'Списки участников'!A:I,3,FALSE))</f>
        <v>ШУКЛИН Александр</v>
      </c>
      <c r="E24" s="126">
        <f>IF(C24="",C24,VLOOKUP(C24,'Списки участников'!A:I,5,FALSE))</f>
        <v>137</v>
      </c>
      <c r="F24" s="126" t="str">
        <f>IF(C24="",C24,VLOOKUP(C24,'Списки участников'!A:I,6,FALSE))</f>
        <v>Орехово-Зуево</v>
      </c>
      <c r="G24" s="1441"/>
      <c r="H24" s="304"/>
      <c r="I24" s="213"/>
      <c r="J24" s="1441"/>
      <c r="K24" s="304"/>
      <c r="L24" s="213"/>
      <c r="M24" s="1441"/>
      <c r="N24" s="304"/>
      <c r="O24" s="213"/>
      <c r="P24" s="1441"/>
      <c r="Q24" s="304"/>
      <c r="R24" s="213"/>
    </row>
    <row r="25" spans="1:19" ht="15.75" x14ac:dyDescent="0.2">
      <c r="A25" s="125" t="s">
        <v>769</v>
      </c>
      <c r="B25" s="127">
        <v>2</v>
      </c>
      <c r="C25" s="741">
        <f>SUMIF(ГР3М,2,№ИГР3)</f>
        <v>32</v>
      </c>
      <c r="D25" s="126" t="str">
        <f>IF(C25="",C25,VLOOKUP(C25,'Списки участников'!A:I,3,FALSE))</f>
        <v>САТДАРОВ Артем</v>
      </c>
      <c r="E25" s="126">
        <f>IF(C25="",C25,VLOOKUP(C25,'Списки участников'!A:I,5,FALSE))</f>
        <v>138</v>
      </c>
      <c r="F25" s="126" t="str">
        <f>IF(C25="",C25,VLOOKUP(C25,'Списки участников'!A:I,6,FALSE))</f>
        <v>Москва</v>
      </c>
      <c r="G25" s="1441"/>
      <c r="H25" s="304"/>
      <c r="I25" s="213"/>
      <c r="J25" s="1441"/>
      <c r="K25" s="304"/>
      <c r="L25" s="213"/>
      <c r="M25" s="1441"/>
      <c r="N25" s="304"/>
      <c r="O25" s="213"/>
      <c r="P25" s="1441"/>
      <c r="Q25" s="304"/>
      <c r="R25" s="213"/>
    </row>
    <row r="26" spans="1:19" ht="15.75" x14ac:dyDescent="0.2">
      <c r="A26" s="125" t="s">
        <v>770</v>
      </c>
      <c r="B26" s="127">
        <v>2</v>
      </c>
      <c r="C26" s="741">
        <f>SUMIF(ГР4М,2,№ИГР4)</f>
        <v>30</v>
      </c>
      <c r="D26" s="126" t="str">
        <f>IF(C26="",C26,VLOOKUP(C26,'Списки участников'!A:I,3,FALSE))</f>
        <v>БАКШИНСКИЙ Илья</v>
      </c>
      <c r="E26" s="126">
        <f>IF(C26="",C26,VLOOKUP(C26,'Списки участников'!A:I,5,FALSE))</f>
        <v>144</v>
      </c>
      <c r="F26" s="126" t="str">
        <f>IF(C26="",C26,VLOOKUP(C26,'Списки участников'!A:I,6,FALSE))</f>
        <v>Москва</v>
      </c>
      <c r="G26" s="1441"/>
      <c r="H26" s="304"/>
      <c r="I26" s="213"/>
      <c r="J26" s="1441"/>
      <c r="K26" s="304"/>
      <c r="L26" s="213"/>
      <c r="M26" s="1441"/>
      <c r="N26" s="304"/>
      <c r="O26" s="213"/>
      <c r="P26" s="1441"/>
      <c r="Q26" s="304"/>
      <c r="R26" s="213"/>
    </row>
    <row r="27" spans="1:19" ht="15.75" x14ac:dyDescent="0.2">
      <c r="A27" s="125" t="s">
        <v>771</v>
      </c>
      <c r="B27" s="127">
        <v>2</v>
      </c>
      <c r="C27" s="741">
        <f>SUMIF(ГР5М,2,№ИГР5)</f>
        <v>39</v>
      </c>
      <c r="D27" s="126" t="str">
        <f>IF(C27="",C27,VLOOKUP(C27,'Списки участников'!A:I,3,FALSE))</f>
        <v>РОТНОВ Егор</v>
      </c>
      <c r="E27" s="126">
        <f>IF(C27="",C27,VLOOKUP(C27,'Списки участников'!A:I,5,FALSE))</f>
        <v>112</v>
      </c>
      <c r="F27" s="126" t="str">
        <f>IF(C27="",C27,VLOOKUP(C27,'Списки участников'!A:I,6,FALSE))</f>
        <v>Скопин  Ряз.о.</v>
      </c>
      <c r="G27" s="1441"/>
      <c r="H27" s="304"/>
      <c r="I27" s="213"/>
      <c r="J27" s="1441"/>
      <c r="K27" s="304"/>
      <c r="L27" s="213"/>
      <c r="M27" s="1441"/>
      <c r="N27" s="304"/>
      <c r="O27" s="213"/>
      <c r="P27" s="1441"/>
      <c r="Q27" s="304"/>
      <c r="R27" s="213"/>
    </row>
    <row r="28" spans="1:19" ht="15.75" x14ac:dyDescent="0.2">
      <c r="A28" s="125" t="s">
        <v>772</v>
      </c>
      <c r="B28" s="127">
        <v>2</v>
      </c>
      <c r="C28" s="741">
        <f>SUMIF(ГР6М,2,№ИГР6)</f>
        <v>29</v>
      </c>
      <c r="D28" s="126" t="str">
        <f>IF(C28="",C28,VLOOKUP(C28,'Списки участников'!A:I,3,FALSE))</f>
        <v>МОСПАНОВ Илья</v>
      </c>
      <c r="E28" s="126">
        <f>IF(C28="",C28,VLOOKUP(C28,'Списки участников'!A:I,5,FALSE))</f>
        <v>151</v>
      </c>
      <c r="F28" s="126" t="str">
        <f>IF(C28="",C28,VLOOKUP(C28,'Списки участников'!A:I,6,FALSE))</f>
        <v>Москва</v>
      </c>
      <c r="G28" s="1441"/>
      <c r="H28" s="304"/>
      <c r="I28" s="213"/>
      <c r="J28" s="1441"/>
      <c r="K28" s="304"/>
      <c r="L28" s="213"/>
      <c r="M28" s="1441"/>
      <c r="N28" s="304"/>
      <c r="O28" s="213"/>
      <c r="P28" s="1441"/>
      <c r="Q28" s="304"/>
      <c r="R28" s="213"/>
    </row>
    <row r="29" spans="1:19" ht="15.75" x14ac:dyDescent="0.2">
      <c r="A29" s="125" t="s">
        <v>773</v>
      </c>
      <c r="B29" s="127">
        <v>2</v>
      </c>
      <c r="C29" s="741">
        <f>SUMIF(ГР7М,2,№ИГР7)</f>
        <v>28</v>
      </c>
      <c r="D29" s="126" t="str">
        <f>IF(C29="",C29,VLOOKUP(C29,'Списки участников'!A:I,3,FALSE))</f>
        <v>НИКИШАЕВ Матвей</v>
      </c>
      <c r="E29" s="126">
        <f>IF(C29="",C29,VLOOKUP(C29,'Списки участников'!A:I,5,FALSE))</f>
        <v>152</v>
      </c>
      <c r="F29" s="126" t="str">
        <f>IF(C29="",C29,VLOOKUP(C29,'Списки участников'!A:I,6,FALSE))</f>
        <v>Москва</v>
      </c>
      <c r="G29" s="1441"/>
      <c r="H29" s="304"/>
      <c r="I29" s="213"/>
      <c r="J29" s="1441"/>
      <c r="K29" s="304"/>
      <c r="L29" s="213"/>
      <c r="M29" s="1441"/>
      <c r="N29" s="304"/>
      <c r="O29" s="213"/>
      <c r="P29" s="1441"/>
      <c r="Q29" s="304"/>
      <c r="R29" s="213"/>
    </row>
    <row r="30" spans="1:19" ht="15.75" x14ac:dyDescent="0.2">
      <c r="A30" s="125" t="s">
        <v>774</v>
      </c>
      <c r="B30" s="127">
        <v>2</v>
      </c>
      <c r="C30" s="741">
        <f>SUMIF(ГР8М,2,№ИГР8)</f>
        <v>8</v>
      </c>
      <c r="D30" s="126" t="str">
        <f>IF(C30="",C30,VLOOKUP(C30,'Списки участников'!A:I,3,FALSE))</f>
        <v>МУКОВ Руслан</v>
      </c>
      <c r="E30" s="126">
        <f>IF(C30="",C30,VLOOKUP(C30,'Списки участников'!A:I,5,FALSE))</f>
        <v>286</v>
      </c>
      <c r="F30" s="126" t="str">
        <f>IF(C30="",C30,VLOOKUP(C30,'Списки участников'!A:I,6,FALSE))</f>
        <v>Нальчик</v>
      </c>
      <c r="G30" s="1441"/>
      <c r="H30" s="304"/>
      <c r="I30" s="213"/>
      <c r="J30" s="1441"/>
      <c r="K30" s="304"/>
      <c r="L30" s="213"/>
      <c r="M30" s="1441"/>
      <c r="N30" s="304"/>
      <c r="O30" s="213"/>
      <c r="P30" s="1441"/>
      <c r="Q30" s="304"/>
      <c r="R30" s="213"/>
    </row>
    <row r="31" spans="1:19" ht="15.75" hidden="1" outlineLevel="1" x14ac:dyDescent="0.2">
      <c r="A31" s="125" t="s">
        <v>775</v>
      </c>
      <c r="B31" s="127">
        <v>2</v>
      </c>
      <c r="C31" s="741">
        <f>SUMIF(ГР9М,2,№ИГР9)</f>
        <v>43</v>
      </c>
      <c r="D31" s="126" t="str">
        <f>IF(C31="",C31,VLOOKUP(C31,'Списки участников'!A:I,3,FALSE))</f>
        <v>ПОДЛАЗОВ Владислав</v>
      </c>
      <c r="E31" s="126">
        <f>IF(C31="",C31,VLOOKUP(C31,'Списки участников'!A:I,5,FALSE))</f>
        <v>101</v>
      </c>
      <c r="F31" s="742" t="str">
        <f>IF(C31="",C31,VLOOKUP(C31,'Списки участников'!A:I,6,FALSE))</f>
        <v>Москва</v>
      </c>
      <c r="G31" s="171"/>
      <c r="H31" s="801"/>
      <c r="I31" s="171"/>
      <c r="J31" s="171"/>
      <c r="K31" s="801"/>
      <c r="L31" s="171"/>
      <c r="M31" s="171"/>
      <c r="N31" s="171"/>
      <c r="O31" s="171"/>
      <c r="P31" s="171"/>
      <c r="Q31" s="171"/>
      <c r="R31" s="171"/>
    </row>
    <row r="32" spans="1:19" ht="15.75" hidden="1" outlineLevel="1" x14ac:dyDescent="0.2">
      <c r="A32" s="125" t="s">
        <v>776</v>
      </c>
      <c r="B32" s="127">
        <v>2</v>
      </c>
      <c r="C32" s="741">
        <f>SUMIF(ГР10М,2,№ИГР10)</f>
        <v>24</v>
      </c>
      <c r="D32" s="126" t="str">
        <f>IF(C32="",C32,VLOOKUP(C32,'Списки участников'!A:I,3,FALSE))</f>
        <v>КЛЕСТОВ Евгений</v>
      </c>
      <c r="E32" s="126">
        <f>IF(C32="",C32,VLOOKUP(C32,'Списки участников'!A:I,5,FALSE))</f>
        <v>168</v>
      </c>
      <c r="F32" s="742" t="str">
        <f>IF(C32="",C32,VLOOKUP(C32,'Списки участников'!A:I,6,FALSE))</f>
        <v>Людиново  Кал.обл.</v>
      </c>
      <c r="G32" s="171"/>
      <c r="H32" s="801"/>
      <c r="I32" s="171"/>
      <c r="J32" s="171"/>
      <c r="K32" s="801"/>
      <c r="L32" s="171"/>
      <c r="M32" s="171"/>
      <c r="N32" s="171"/>
      <c r="O32" s="171"/>
      <c r="P32" s="171"/>
      <c r="Q32" s="171"/>
      <c r="R32" s="171"/>
    </row>
    <row r="33" spans="1:18" ht="15.75" hidden="1" outlineLevel="1" x14ac:dyDescent="0.2">
      <c r="A33" s="125" t="s">
        <v>777</v>
      </c>
      <c r="B33" s="127">
        <v>2</v>
      </c>
      <c r="C33" s="741">
        <f>SUMIF(ГР11М,2,№ИГР11)</f>
        <v>45</v>
      </c>
      <c r="D33" s="126" t="str">
        <f>IF(C33="",C33,VLOOKUP(C33,'Списки участников'!A:I,3,FALSE))</f>
        <v>ПЛАХОТНИК Александр</v>
      </c>
      <c r="E33" s="126">
        <f>IF(C33="",C33,VLOOKUP(C33,'Списки участников'!A:I,5,FALSE))</f>
        <v>90</v>
      </c>
      <c r="F33" s="742" t="str">
        <f>IF(C33="",C33,VLOOKUP(C33,'Списки участников'!A:I,6,FALSE))</f>
        <v>Москва</v>
      </c>
      <c r="G33" s="171"/>
      <c r="H33" s="802"/>
      <c r="I33" s="171"/>
      <c r="J33" s="171"/>
      <c r="K33" s="801"/>
      <c r="L33" s="171"/>
      <c r="M33" s="171"/>
      <c r="N33" s="801"/>
      <c r="O33" s="171"/>
      <c r="P33" s="171"/>
      <c r="Q33" s="171"/>
      <c r="R33" s="171"/>
    </row>
    <row r="34" spans="1:18" ht="15.75" hidden="1" outlineLevel="1" x14ac:dyDescent="0.2">
      <c r="A34" s="125" t="s">
        <v>778</v>
      </c>
      <c r="B34" s="127">
        <v>2</v>
      </c>
      <c r="C34" s="741">
        <f>SUMIF(ГР12М,2,№ИГР12)</f>
        <v>22</v>
      </c>
      <c r="D34" s="126" t="str">
        <f>IF(C34="",C34,VLOOKUP(C34,'Списки участников'!A:I,3,FALSE))</f>
        <v>СТАРОСТИН Максим</v>
      </c>
      <c r="E34" s="126">
        <f>IF(C34="",C34,VLOOKUP(C34,'Списки участников'!A:I,5,FALSE))</f>
        <v>175</v>
      </c>
      <c r="F34" s="742" t="str">
        <f>IF(C34="",C34,VLOOKUP(C34,'Списки участников'!A:I,6,FALSE))</f>
        <v>Екатеринбург</v>
      </c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</row>
    <row r="35" spans="1:18" ht="15.75" hidden="1" outlineLevel="1" x14ac:dyDescent="0.2">
      <c r="A35" s="125" t="s">
        <v>779</v>
      </c>
      <c r="B35" s="127">
        <v>2</v>
      </c>
      <c r="C35" s="741">
        <f>SUMIF(ГР13М,2,№ИГР13)</f>
        <v>47</v>
      </c>
      <c r="D35" s="126" t="str">
        <f>IF(C35="",C35,VLOOKUP(C35,'Списки участников'!A:I,3,FALSE))</f>
        <v>ПРОХОРОВ Кирилл</v>
      </c>
      <c r="E35" s="126">
        <f>IF(C35="",C35,VLOOKUP(C35,'Списки участников'!A:I,5,FALSE))</f>
        <v>82</v>
      </c>
      <c r="F35" s="742" t="str">
        <f>IF(C35="",C35,VLOOKUP(C35,'Списки участников'!A:I,6,FALSE))</f>
        <v>Домодедово  М.о.</v>
      </c>
      <c r="G35" s="171"/>
      <c r="H35" s="801"/>
      <c r="I35" s="171"/>
      <c r="J35" s="171"/>
      <c r="K35" s="801"/>
      <c r="L35" s="171"/>
      <c r="M35" s="171"/>
      <c r="N35" s="801"/>
      <c r="O35" s="171"/>
      <c r="P35" s="171"/>
      <c r="Q35" s="171"/>
      <c r="R35" s="171"/>
    </row>
    <row r="36" spans="1:18" ht="15.75" hidden="1" outlineLevel="1" x14ac:dyDescent="0.2">
      <c r="A36" s="125" t="s">
        <v>780</v>
      </c>
      <c r="B36" s="127">
        <v>2</v>
      </c>
      <c r="C36" s="741">
        <f>SUMIF(ГР14М,2,№ИГР14)</f>
        <v>14</v>
      </c>
      <c r="D36" s="126" t="str">
        <f>IF(C36="",C36,VLOOKUP(C36,'Списки участников'!A:I,3,FALSE))</f>
        <v>ПЕРФИЛЬЕВ Алексей</v>
      </c>
      <c r="E36" s="126">
        <f>IF(C36="",C36,VLOOKUP(C36,'Списки участников'!A:I,5,FALSE))</f>
        <v>221</v>
      </c>
      <c r="F36" s="742" t="str">
        <f>IF(C36="",C36,VLOOKUP(C36,'Списки участников'!A:I,6,FALSE))</f>
        <v>Барнаул</v>
      </c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</row>
    <row r="37" spans="1:18" ht="15.75" hidden="1" outlineLevel="1" x14ac:dyDescent="0.2">
      <c r="A37" s="125" t="s">
        <v>781</v>
      </c>
      <c r="B37" s="127">
        <v>2</v>
      </c>
      <c r="C37" s="741">
        <f>SUMIF(ГР15М,2,№ИГР15)</f>
        <v>111</v>
      </c>
      <c r="D37" s="126" t="str">
        <f>IF(C37="",C37,VLOOKUP(C37,'Списки участников'!A:I,3,FALSE))</f>
        <v>ТАДЖИБАЕВ Артур</v>
      </c>
      <c r="E37" s="126">
        <f>IF(C37="",C37,VLOOKUP(C37,'Списки участников'!A:I,5,FALSE))</f>
        <v>0</v>
      </c>
      <c r="F37" s="742" t="str">
        <f>IF(C37="",C37,VLOOKUP(C37,'Списки участников'!A:I,6,FALSE))</f>
        <v>Дмитров</v>
      </c>
      <c r="G37" s="171"/>
      <c r="H37" s="801"/>
      <c r="I37" s="171"/>
      <c r="J37" s="171"/>
      <c r="K37" s="801"/>
      <c r="L37" s="171"/>
      <c r="M37" s="171"/>
      <c r="N37" s="801"/>
      <c r="O37" s="171"/>
      <c r="P37" s="171"/>
      <c r="Q37" s="171"/>
      <c r="R37" s="171"/>
    </row>
    <row r="38" spans="1:18" ht="15.75" hidden="1" outlineLevel="1" x14ac:dyDescent="0.2">
      <c r="A38" s="125" t="s">
        <v>782</v>
      </c>
      <c r="B38" s="127">
        <v>2</v>
      </c>
      <c r="C38" s="741">
        <f>SUMIF(ГР16М,2,№ИГР16)</f>
        <v>18</v>
      </c>
      <c r="D38" s="126" t="str">
        <f>IF(C38="",C38,VLOOKUP(C38,'Списки участников'!A:I,3,FALSE))</f>
        <v>КОРОЛЬ Владислав</v>
      </c>
      <c r="E38" s="126">
        <f>IF(C38="",C38,VLOOKUP(C38,'Списки участников'!A:I,5,FALSE))</f>
        <v>192</v>
      </c>
      <c r="F38" s="742" t="str">
        <f>IF(C38="",C38,VLOOKUP(C38,'Списки участников'!A:I,6,FALSE))</f>
        <v>Москва</v>
      </c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</row>
    <row r="39" spans="1:18" collapsed="1" x14ac:dyDescent="0.2">
      <c r="A39" s="132"/>
      <c r="B39" s="132"/>
      <c r="C39" s="133"/>
      <c r="D39" s="132"/>
      <c r="E39" s="134"/>
      <c r="F39" s="132"/>
      <c r="G39" s="171"/>
      <c r="H39" s="171"/>
      <c r="I39" s="171"/>
      <c r="J39" s="171"/>
      <c r="K39" s="801"/>
      <c r="L39" s="171"/>
      <c r="M39" s="171"/>
      <c r="N39" s="801"/>
      <c r="O39" s="171"/>
      <c r="P39" s="171"/>
      <c r="Q39" s="171"/>
      <c r="R39" s="171"/>
    </row>
    <row r="40" spans="1:18" x14ac:dyDescent="0.2">
      <c r="A40" s="132"/>
      <c r="B40" s="132"/>
      <c r="C40" s="133"/>
      <c r="D40" s="132"/>
      <c r="E40" s="134"/>
      <c r="F40" s="132"/>
      <c r="G40" s="171"/>
      <c r="H40" s="801"/>
      <c r="I40" s="171"/>
      <c r="J40" s="171"/>
      <c r="K40" s="171"/>
      <c r="L40" s="171"/>
      <c r="M40" s="171"/>
      <c r="N40" s="171"/>
      <c r="O40" s="171"/>
      <c r="P40" s="171"/>
      <c r="Q40" s="171"/>
      <c r="R40" s="171"/>
    </row>
    <row r="41" spans="1:18" ht="12.75" customHeight="1" x14ac:dyDescent="0.2">
      <c r="A41" s="1437" t="s">
        <v>765</v>
      </c>
      <c r="B41" s="1437"/>
      <c r="C41" s="1437"/>
      <c r="D41" s="1437"/>
      <c r="E41" s="1437"/>
      <c r="F41" s="1438"/>
      <c r="G41" s="1441"/>
      <c r="H41" s="861"/>
      <c r="I41" s="861"/>
      <c r="J41" s="1441"/>
      <c r="K41" s="861"/>
      <c r="L41" s="861"/>
      <c r="M41" s="1441"/>
      <c r="N41" s="861"/>
      <c r="O41" s="861"/>
      <c r="P41" s="1441"/>
      <c r="Q41" s="861"/>
      <c r="R41" s="861"/>
    </row>
    <row r="42" spans="1:18" x14ac:dyDescent="0.2">
      <c r="A42" s="1439" t="s">
        <v>784</v>
      </c>
      <c r="B42" s="1439"/>
      <c r="C42" s="1439"/>
      <c r="D42" s="1439"/>
      <c r="E42" s="1439"/>
      <c r="F42" s="1440"/>
      <c r="G42" s="1441"/>
      <c r="H42" s="304"/>
      <c r="I42" s="213"/>
      <c r="J42" s="1441"/>
      <c r="K42" s="304"/>
      <c r="L42" s="213"/>
      <c r="M42" s="1441"/>
      <c r="N42" s="304"/>
      <c r="O42" s="213"/>
      <c r="P42" s="1441"/>
      <c r="Q42" s="304"/>
      <c r="R42" s="213"/>
    </row>
    <row r="43" spans="1:18" ht="15.75" x14ac:dyDescent="0.2">
      <c r="A43" s="125" t="s">
        <v>767</v>
      </c>
      <c r="B43" s="127">
        <v>3</v>
      </c>
      <c r="C43" s="741">
        <f>SUMIF(ГР1М,3,№ИГР1)</f>
        <v>35</v>
      </c>
      <c r="D43" s="126" t="str">
        <f>IF(C43="",C43,VLOOKUP(C43,'Списки участников'!A:I,3,FALSE))</f>
        <v>ДЯГЕЛЕВ Артем</v>
      </c>
      <c r="E43" s="126">
        <f>IF(C43="",C43,VLOOKUP(C43,'Списки участников'!A:I,5,FALSE))</f>
        <v>126</v>
      </c>
      <c r="F43" s="126" t="str">
        <f>IF(C43="",C43,VLOOKUP(C43,'Списки участников'!A:I,6,FALSE))</f>
        <v>Москва</v>
      </c>
      <c r="G43" s="1441"/>
      <c r="H43" s="304"/>
      <c r="I43" s="213"/>
      <c r="J43" s="1441"/>
      <c r="K43" s="304"/>
      <c r="L43" s="213"/>
      <c r="M43" s="1441"/>
      <c r="N43" s="304"/>
      <c r="O43" s="213"/>
      <c r="P43" s="1441"/>
      <c r="Q43" s="304"/>
      <c r="R43" s="213"/>
    </row>
    <row r="44" spans="1:18" ht="15.75" customHeight="1" x14ac:dyDescent="0.2">
      <c r="A44" s="125" t="s">
        <v>768</v>
      </c>
      <c r="B44" s="127">
        <v>3</v>
      </c>
      <c r="C44" s="741">
        <f>SUMIF(ГР2М,3,№ИГР2)</f>
        <v>36</v>
      </c>
      <c r="D44" s="126" t="str">
        <f>IF(C44="",C44,VLOOKUP(C44,'Списки участников'!A:I,3,FALSE))</f>
        <v>БАНДУРИН Михаил</v>
      </c>
      <c r="E44" s="126">
        <f>IF(C44="",C44,VLOOKUP(C44,'Списки участников'!A:I,5,FALSE))</f>
        <v>124</v>
      </c>
      <c r="F44" s="126" t="str">
        <f>IF(C44="",C44,VLOOKUP(C44,'Списки участников'!A:I,6,FALSE))</f>
        <v>Москва</v>
      </c>
      <c r="G44" s="1441"/>
      <c r="H44" s="304"/>
      <c r="I44" s="213"/>
      <c r="J44" s="1441"/>
      <c r="K44" s="304"/>
      <c r="L44" s="213"/>
      <c r="M44" s="1441"/>
      <c r="N44" s="304"/>
      <c r="O44" s="213"/>
      <c r="P44" s="1441"/>
      <c r="Q44" s="304"/>
      <c r="R44" s="213"/>
    </row>
    <row r="45" spans="1:18" ht="15.75" x14ac:dyDescent="0.2">
      <c r="A45" s="125" t="s">
        <v>769</v>
      </c>
      <c r="B45" s="127">
        <v>3</v>
      </c>
      <c r="C45" s="741">
        <f>SUMIF(ГР3М,3,№ИГР3)</f>
        <v>69</v>
      </c>
      <c r="D45" s="126" t="str">
        <f>IF(C45="",C45,VLOOKUP(C45,'Списки участников'!A:I,3,FALSE))</f>
        <v>ЮНУСОВ Михаил</v>
      </c>
      <c r="E45" s="126">
        <f>IF(C45="",C45,VLOOKUP(C45,'Списки участников'!A:I,5,FALSE))</f>
        <v>34</v>
      </c>
      <c r="F45" s="126" t="str">
        <f>IF(C45="",C45,VLOOKUP(C45,'Списки участников'!A:I,6,FALSE))</f>
        <v>Москва</v>
      </c>
      <c r="G45" s="1441"/>
      <c r="H45" s="304"/>
      <c r="I45" s="213"/>
      <c r="J45" s="1441"/>
      <c r="K45" s="304"/>
      <c r="L45" s="213"/>
      <c r="M45" s="1441"/>
      <c r="N45" s="304"/>
      <c r="O45" s="213"/>
      <c r="P45" s="1441"/>
      <c r="Q45" s="304"/>
      <c r="R45" s="213"/>
    </row>
    <row r="46" spans="1:18" ht="15.75" x14ac:dyDescent="0.2">
      <c r="A46" s="125" t="s">
        <v>770</v>
      </c>
      <c r="B46" s="127">
        <v>3</v>
      </c>
      <c r="C46" s="741">
        <f>SUMIF(ГР4М,3,№ИГР4)</f>
        <v>38</v>
      </c>
      <c r="D46" s="126" t="str">
        <f>IF(C46="",C46,VLOOKUP(C46,'Списки участников'!A:I,3,FALSE))</f>
        <v>САВИЧЕВ Дмитрий</v>
      </c>
      <c r="E46" s="126">
        <f>IF(C46="",C46,VLOOKUP(C46,'Списки участников'!A:I,5,FALSE))</f>
        <v>115</v>
      </c>
      <c r="F46" s="126" t="str">
        <f>IF(C46="",C46,VLOOKUP(C46,'Списки участников'!A:I,6,FALSE))</f>
        <v>Москва</v>
      </c>
      <c r="G46" s="1441"/>
      <c r="H46" s="304"/>
      <c r="I46" s="213"/>
      <c r="J46" s="1441"/>
      <c r="K46" s="304"/>
      <c r="L46" s="213"/>
      <c r="M46" s="1441"/>
      <c r="N46" s="304"/>
      <c r="O46" s="213"/>
      <c r="P46" s="1441"/>
      <c r="Q46" s="304"/>
      <c r="R46" s="213"/>
    </row>
    <row r="47" spans="1:18" ht="15.75" customHeight="1" x14ac:dyDescent="0.2">
      <c r="A47" s="125" t="s">
        <v>771</v>
      </c>
      <c r="B47" s="127">
        <v>3</v>
      </c>
      <c r="C47" s="741">
        <f>SUMIF(ГР5М,3,№ИГР5)</f>
        <v>31</v>
      </c>
      <c r="D47" s="126" t="str">
        <f>IF(C47="",C47,VLOOKUP(C47,'Списки участников'!A:I,3,FALSE))</f>
        <v>МАРКИН Иван</v>
      </c>
      <c r="E47" s="126">
        <f>IF(C47="",C47,VLOOKUP(C47,'Списки участников'!A:I,5,FALSE))</f>
        <v>144</v>
      </c>
      <c r="F47" s="126" t="str">
        <f>IF(C47="",C47,VLOOKUP(C47,'Списки участников'!A:I,6,FALSE))</f>
        <v>Москва</v>
      </c>
      <c r="G47" s="1441"/>
      <c r="H47" s="304"/>
      <c r="I47" s="213"/>
      <c r="J47" s="1441"/>
      <c r="K47" s="304"/>
      <c r="L47" s="213"/>
      <c r="M47" s="1441"/>
      <c r="N47" s="304"/>
      <c r="O47" s="213"/>
      <c r="P47" s="1441"/>
      <c r="Q47" s="304"/>
      <c r="R47" s="213"/>
    </row>
    <row r="48" spans="1:18" ht="15.75" x14ac:dyDescent="0.2">
      <c r="A48" s="125" t="s">
        <v>772</v>
      </c>
      <c r="B48" s="127">
        <v>3</v>
      </c>
      <c r="C48" s="741">
        <f>SUMIF(ГР6М,3,№ИГР6)</f>
        <v>40</v>
      </c>
      <c r="D48" s="126" t="str">
        <f>IF(C48="",C48,VLOOKUP(C48,'Списки участников'!A:I,3,FALSE))</f>
        <v>НАСИРОВ Федор</v>
      </c>
      <c r="E48" s="126">
        <f>IF(C48="",C48,VLOOKUP(C48,'Списки участников'!A:I,5,FALSE))</f>
        <v>111</v>
      </c>
      <c r="F48" s="126" t="str">
        <f>IF(C48="",C48,VLOOKUP(C48,'Списки участников'!A:I,6,FALSE))</f>
        <v>Орехово-Зуево</v>
      </c>
      <c r="G48" s="1441"/>
      <c r="H48" s="304"/>
      <c r="I48" s="213"/>
      <c r="J48" s="1441"/>
      <c r="K48" s="304"/>
      <c r="L48" s="213"/>
      <c r="M48" s="1441"/>
      <c r="N48" s="304"/>
      <c r="O48" s="213"/>
      <c r="P48" s="1441"/>
      <c r="Q48" s="304"/>
      <c r="R48" s="213"/>
    </row>
    <row r="49" spans="1:18" ht="15.75" x14ac:dyDescent="0.2">
      <c r="A49" s="125" t="s">
        <v>773</v>
      </c>
      <c r="B49" s="127">
        <v>3</v>
      </c>
      <c r="C49" s="741">
        <f>SUMIF(ГР7М,3,№ИГР7)</f>
        <v>41</v>
      </c>
      <c r="D49" s="126" t="str">
        <f>IF(C49="",C49,VLOOKUP(C49,'Списки участников'!A:I,3,FALSE))</f>
        <v>ДУБРОВСКИЙ Иван</v>
      </c>
      <c r="E49" s="126">
        <f>IF(C49="",C49,VLOOKUP(C49,'Списки участников'!A:I,5,FALSE))</f>
        <v>107</v>
      </c>
      <c r="F49" s="126" t="str">
        <f>IF(C49="",C49,VLOOKUP(C49,'Списки участников'!A:I,6,FALSE))</f>
        <v>Калуга</v>
      </c>
      <c r="G49" s="1441"/>
      <c r="H49" s="304"/>
      <c r="I49" s="213"/>
      <c r="J49" s="1441"/>
      <c r="K49" s="304"/>
      <c r="L49" s="213"/>
      <c r="M49" s="1441"/>
      <c r="N49" s="304"/>
      <c r="O49" s="213"/>
      <c r="P49" s="1441"/>
      <c r="Q49" s="304"/>
      <c r="R49" s="213"/>
    </row>
    <row r="50" spans="1:18" ht="15.75" customHeight="1" x14ac:dyDescent="0.2">
      <c r="A50" s="125" t="s">
        <v>774</v>
      </c>
      <c r="B50" s="127">
        <v>3</v>
      </c>
      <c r="C50" s="741">
        <f>SUMIF(ГР8М,3,№ИГР8)</f>
        <v>42</v>
      </c>
      <c r="D50" s="126" t="str">
        <f>IF(C50="",C50,VLOOKUP(C50,'Списки участников'!A:I,3,FALSE))</f>
        <v>СИТНИКОВ Кирилл</v>
      </c>
      <c r="E50" s="126">
        <f>IF(C50="",C50,VLOOKUP(C50,'Списки участников'!A:I,5,FALSE))</f>
        <v>106</v>
      </c>
      <c r="F50" s="126" t="str">
        <f>IF(C50="",C50,VLOOKUP(C50,'Списки участников'!A:I,6,FALSE))</f>
        <v>Рязань</v>
      </c>
      <c r="G50" s="1441"/>
      <c r="H50" s="304"/>
      <c r="I50" s="213"/>
      <c r="J50" s="1441"/>
      <c r="K50" s="304"/>
      <c r="L50" s="213"/>
      <c r="M50" s="1441"/>
      <c r="N50" s="304"/>
      <c r="O50" s="213"/>
      <c r="P50" s="1441"/>
      <c r="Q50" s="304"/>
      <c r="R50" s="213"/>
    </row>
    <row r="51" spans="1:18" ht="15.75" hidden="1" customHeight="1" outlineLevel="1" x14ac:dyDescent="0.2">
      <c r="A51" s="125" t="s">
        <v>775</v>
      </c>
      <c r="B51" s="127">
        <v>3</v>
      </c>
      <c r="C51" s="741">
        <f>SUMIF(ГР9М,3,№ИГР9)</f>
        <v>9</v>
      </c>
      <c r="D51" s="126" t="str">
        <f>IF(C51="",C51,VLOOKUP(C51,'Списки участников'!A:I,3,FALSE))</f>
        <v>САВЕЛЬЕВ Никита</v>
      </c>
      <c r="E51" s="126">
        <f>IF(C51="",C51,VLOOKUP(C51,'Списки участников'!A:I,5,FALSE))</f>
        <v>276</v>
      </c>
      <c r="F51" s="742" t="str">
        <f>IF(C51="",C51,VLOOKUP(C51,'Списки участников'!A:I,6,FALSE))</f>
        <v>Москва</v>
      </c>
      <c r="G51" s="799"/>
      <c r="H51" s="304"/>
      <c r="I51" s="171"/>
      <c r="J51" s="304"/>
      <c r="K51" s="304"/>
      <c r="L51" s="171"/>
      <c r="M51" s="171"/>
      <c r="N51" s="171"/>
      <c r="O51" s="171"/>
      <c r="P51" s="171"/>
      <c r="Q51" s="171"/>
      <c r="R51" s="171"/>
    </row>
    <row r="52" spans="1:18" ht="15.75" hidden="1" customHeight="1" outlineLevel="1" x14ac:dyDescent="0.2">
      <c r="A52" s="125" t="s">
        <v>776</v>
      </c>
      <c r="B52" s="127">
        <v>3</v>
      </c>
      <c r="C52" s="741">
        <f>SUMIF(ГР10М,3,№ИГР10)</f>
        <v>44</v>
      </c>
      <c r="D52" s="126" t="str">
        <f>IF(C52="",C52,VLOOKUP(C52,'Списки участников'!A:I,3,FALSE))</f>
        <v>НАЗАРКИН Максим</v>
      </c>
      <c r="E52" s="126">
        <f>IF(C52="",C52,VLOOKUP(C52,'Списки участников'!A:I,5,FALSE))</f>
        <v>93</v>
      </c>
      <c r="F52" s="742" t="str">
        <f>IF(C52="",C52,VLOOKUP(C52,'Списки участников'!A:I,6,FALSE))</f>
        <v>Москва</v>
      </c>
      <c r="G52" s="304"/>
      <c r="H52" s="304"/>
      <c r="I52" s="171"/>
      <c r="J52" s="304"/>
      <c r="K52" s="800"/>
      <c r="L52" s="171"/>
      <c r="M52" s="171"/>
      <c r="N52" s="801"/>
      <c r="O52" s="171"/>
      <c r="P52" s="171"/>
      <c r="Q52" s="171"/>
      <c r="R52" s="171"/>
    </row>
    <row r="53" spans="1:18" ht="15.75" hidden="1" customHeight="1" outlineLevel="1" x14ac:dyDescent="0.2">
      <c r="A53" s="125" t="s">
        <v>777</v>
      </c>
      <c r="B53" s="127">
        <v>3</v>
      </c>
      <c r="C53" s="741">
        <f>SUMIF(ГР11М,3,№ИГР11)</f>
        <v>56</v>
      </c>
      <c r="D53" s="126" t="str">
        <f>IF(C53="",C53,VLOOKUP(C53,'Списки участников'!A:I,3,FALSE))</f>
        <v>ГИНОСЯН Геворг</v>
      </c>
      <c r="E53" s="126">
        <f>IF(C53="",C53,VLOOKUP(C53,'Списки участников'!A:I,5,FALSE))</f>
        <v>56</v>
      </c>
      <c r="F53" s="742" t="str">
        <f>IF(C53="",C53,VLOOKUP(C53,'Списки участников'!A:I,6,FALSE))</f>
        <v>Коломна</v>
      </c>
      <c r="G53" s="304"/>
      <c r="H53" s="304"/>
      <c r="I53" s="171"/>
      <c r="J53" s="304"/>
      <c r="K53" s="304"/>
      <c r="L53" s="171"/>
      <c r="M53" s="171"/>
      <c r="N53" s="171"/>
      <c r="O53" s="171"/>
      <c r="P53" s="171"/>
      <c r="Q53" s="171"/>
      <c r="R53" s="171"/>
    </row>
    <row r="54" spans="1:18" ht="15.75" hidden="1" customHeight="1" outlineLevel="1" x14ac:dyDescent="0.2">
      <c r="A54" s="125" t="s">
        <v>778</v>
      </c>
      <c r="B54" s="127">
        <v>3</v>
      </c>
      <c r="C54" s="741">
        <f>SUMIF(ГР12М,3,№ИГР12)</f>
        <v>16</v>
      </c>
      <c r="D54" s="126" t="str">
        <f>IF(C54="",C54,VLOOKUP(C54,'Списки участников'!A:I,3,FALSE))</f>
        <v>ТИХОНОВ Евгений</v>
      </c>
      <c r="E54" s="126">
        <f>IF(C54="",C54,VLOOKUP(C54,'Списки участников'!A:I,5,FALSE))</f>
        <v>208</v>
      </c>
      <c r="F54" s="742" t="str">
        <f>IF(C54="",C54,VLOOKUP(C54,'Списки участников'!A:I,6,FALSE))</f>
        <v>Москва</v>
      </c>
      <c r="G54" s="304"/>
      <c r="H54" s="304"/>
      <c r="I54" s="171"/>
      <c r="J54" s="304"/>
      <c r="K54" s="800"/>
      <c r="L54" s="171"/>
      <c r="M54" s="171"/>
      <c r="N54" s="801"/>
      <c r="O54" s="171"/>
      <c r="P54" s="171"/>
      <c r="Q54" s="171"/>
      <c r="R54" s="171"/>
    </row>
    <row r="55" spans="1:18" ht="15.75" hidden="1" customHeight="1" outlineLevel="1" x14ac:dyDescent="0.2">
      <c r="A55" s="125" t="s">
        <v>779</v>
      </c>
      <c r="B55" s="127">
        <v>3</v>
      </c>
      <c r="C55" s="741">
        <f>SUMIF(ГР13М,3,№ИГР13)</f>
        <v>53</v>
      </c>
      <c r="D55" s="126" t="str">
        <f>IF(C55="",C55,VLOOKUP(C55,'Списки участников'!A:I,3,FALSE))</f>
        <v>ПОПОВ Данила</v>
      </c>
      <c r="E55" s="126">
        <f>IF(C55="",C55,VLOOKUP(C55,'Списки участников'!A:I,5,FALSE))</f>
        <v>61</v>
      </c>
      <c r="F55" s="742" t="str">
        <f>IF(C55="",C55,VLOOKUP(C55,'Списки участников'!A:I,6,FALSE))</f>
        <v>Москва</v>
      </c>
      <c r="G55" s="304"/>
      <c r="H55" s="304"/>
      <c r="I55" s="171"/>
      <c r="J55" s="304"/>
      <c r="K55" s="304"/>
      <c r="L55" s="171"/>
      <c r="M55" s="171"/>
      <c r="N55" s="171"/>
      <c r="O55" s="171"/>
      <c r="P55" s="171"/>
      <c r="Q55" s="171"/>
      <c r="R55" s="171"/>
    </row>
    <row r="56" spans="1:18" ht="15.75" hidden="1" customHeight="1" outlineLevel="1" x14ac:dyDescent="0.2">
      <c r="A56" s="125" t="s">
        <v>780</v>
      </c>
      <c r="B56" s="127">
        <v>3</v>
      </c>
      <c r="C56" s="741">
        <f>SUMIF(ГР14М,3,№ИГР14)</f>
        <v>48</v>
      </c>
      <c r="D56" s="126" t="str">
        <f>IF(C56="",C56,VLOOKUP(C56,'Списки участников'!A:I,3,FALSE))</f>
        <v>ЛОМАКИН Павел</v>
      </c>
      <c r="E56" s="126">
        <f>IF(C56="",C56,VLOOKUP(C56,'Списки участников'!A:I,5,FALSE))</f>
        <v>76</v>
      </c>
      <c r="F56" s="742" t="str">
        <f>IF(C56="",C56,VLOOKUP(C56,'Списки участников'!A:I,6,FALSE))</f>
        <v>Москва</v>
      </c>
      <c r="G56" s="304"/>
      <c r="H56" s="304"/>
      <c r="I56" s="171"/>
      <c r="J56" s="304"/>
      <c r="K56" s="800"/>
      <c r="L56" s="171"/>
      <c r="M56" s="171"/>
      <c r="N56" s="801"/>
      <c r="O56" s="171"/>
      <c r="P56" s="171"/>
      <c r="Q56" s="171"/>
      <c r="R56" s="171"/>
    </row>
    <row r="57" spans="1:18" ht="15.75" hidden="1" customHeight="1" outlineLevel="1" x14ac:dyDescent="0.2">
      <c r="A57" s="125" t="s">
        <v>781</v>
      </c>
      <c r="B57" s="127">
        <v>3</v>
      </c>
      <c r="C57" s="741">
        <f>SUMIF(ГР15М,3,№ИГР15)</f>
        <v>54</v>
      </c>
      <c r="D57" s="126" t="str">
        <f>IF(C57="",C57,VLOOKUP(C57,'Списки участников'!A:I,3,FALSE))</f>
        <v>ПЕТУХОВ Антон</v>
      </c>
      <c r="E57" s="126">
        <f>IF(C57="",C57,VLOOKUP(C57,'Списки участников'!A:I,5,FALSE))</f>
        <v>59</v>
      </c>
      <c r="F57" s="742" t="str">
        <f>IF(C57="",C57,VLOOKUP(C57,'Списки участников'!A:I,6,FALSE))</f>
        <v>Домодедово  М.о.</v>
      </c>
      <c r="G57" s="304"/>
      <c r="H57" s="304"/>
      <c r="I57" s="171"/>
      <c r="J57" s="304"/>
      <c r="K57" s="304"/>
      <c r="L57" s="171"/>
      <c r="M57" s="171"/>
      <c r="N57" s="171"/>
      <c r="O57" s="171"/>
      <c r="P57" s="171"/>
      <c r="Q57" s="171"/>
      <c r="R57" s="171"/>
    </row>
    <row r="58" spans="1:18" ht="15.75" hidden="1" customHeight="1" outlineLevel="1" x14ac:dyDescent="0.2">
      <c r="A58" s="125" t="s">
        <v>782</v>
      </c>
      <c r="B58" s="127">
        <v>3</v>
      </c>
      <c r="C58" s="741">
        <f>SUMIF(ГР16М,3,№ИГР16)</f>
        <v>84</v>
      </c>
      <c r="D58" s="126" t="str">
        <f>IF(C58="",C58,VLOOKUP(C58,'Списки участников'!A:I,3,FALSE))</f>
        <v>ЗОЛОТКОВ Максим</v>
      </c>
      <c r="E58" s="126">
        <f>IF(C58="",C58,VLOOKUP(C58,'Списки участников'!A:I,5,FALSE))</f>
        <v>16</v>
      </c>
      <c r="F58" s="742" t="str">
        <f>IF(C58="",C58,VLOOKUP(C58,'Списки участников'!A:I,6,FALSE))</f>
        <v>Пушкин  М.о.</v>
      </c>
      <c r="G58" s="304"/>
      <c r="H58" s="304"/>
      <c r="I58" s="171"/>
      <c r="J58" s="304"/>
      <c r="K58" s="800"/>
      <c r="L58" s="171"/>
      <c r="M58" s="171"/>
      <c r="N58" s="801"/>
      <c r="O58" s="171"/>
      <c r="P58" s="171"/>
      <c r="Q58" s="171"/>
      <c r="R58" s="171"/>
    </row>
    <row r="59" spans="1:18" collapsed="1" x14ac:dyDescent="0.2">
      <c r="A59" s="2"/>
      <c r="B59" s="2"/>
      <c r="C59" s="128"/>
      <c r="D59" s="129"/>
      <c r="E59" s="130"/>
      <c r="F59" s="131"/>
      <c r="G59" s="304"/>
      <c r="H59" s="304"/>
      <c r="I59" s="171"/>
      <c r="J59" s="304"/>
      <c r="K59" s="304"/>
      <c r="L59" s="171"/>
      <c r="M59" s="171"/>
      <c r="N59" s="171"/>
      <c r="O59" s="171"/>
      <c r="P59" s="171"/>
      <c r="Q59" s="171"/>
      <c r="R59" s="171"/>
    </row>
    <row r="60" spans="1:18" ht="12.75" customHeight="1" x14ac:dyDescent="0.2">
      <c r="A60" s="1437" t="s">
        <v>765</v>
      </c>
      <c r="B60" s="1437"/>
      <c r="C60" s="1437"/>
      <c r="D60" s="1437"/>
      <c r="E60" s="1437"/>
      <c r="F60" s="1438"/>
      <c r="G60" s="1441"/>
      <c r="H60" s="861"/>
      <c r="I60" s="861"/>
      <c r="J60" s="1441"/>
      <c r="K60" s="861"/>
      <c r="L60" s="861"/>
      <c r="M60" s="1441"/>
      <c r="N60" s="861"/>
      <c r="O60" s="861"/>
      <c r="P60" s="1441"/>
      <c r="Q60" s="861"/>
      <c r="R60" s="861"/>
    </row>
    <row r="61" spans="1:18" x14ac:dyDescent="0.2">
      <c r="A61" s="1439" t="s">
        <v>785</v>
      </c>
      <c r="B61" s="1439"/>
      <c r="C61" s="1439"/>
      <c r="D61" s="1439"/>
      <c r="E61" s="1439"/>
      <c r="F61" s="1440"/>
      <c r="G61" s="1441"/>
      <c r="H61" s="304"/>
      <c r="I61" s="213"/>
      <c r="J61" s="1441"/>
      <c r="K61" s="304"/>
      <c r="L61" s="213"/>
      <c r="M61" s="1441"/>
      <c r="N61" s="304"/>
      <c r="O61" s="213"/>
      <c r="P61" s="1441"/>
      <c r="Q61" s="304"/>
      <c r="R61" s="213"/>
    </row>
    <row r="62" spans="1:18" ht="15.75" x14ac:dyDescent="0.2">
      <c r="A62" s="125" t="s">
        <v>767</v>
      </c>
      <c r="B62" s="127">
        <v>4</v>
      </c>
      <c r="C62" s="741">
        <f>SUMIF(ГР1М,4,№ИГР1)</f>
        <v>99</v>
      </c>
      <c r="D62" s="126" t="str">
        <f>IF(C62="",C62,VLOOKUP(C62,'Списки участников'!A:I,3,FALSE))</f>
        <v>ГРИЦЕВИЧ Станислав</v>
      </c>
      <c r="E62" s="126">
        <f>IF(C62="",C62,VLOOKUP(C62,'Списки участников'!A:I,5,FALSE))</f>
        <v>0</v>
      </c>
      <c r="F62" s="126" t="str">
        <f>IF(C62="",C62,VLOOKUP(C62,'Списки участников'!A:I,6,FALSE))</f>
        <v>Москва</v>
      </c>
      <c r="G62" s="1441"/>
      <c r="H62" s="304"/>
      <c r="I62" s="213"/>
      <c r="J62" s="1441"/>
      <c r="K62" s="304"/>
      <c r="L62" s="213"/>
      <c r="M62" s="1441"/>
      <c r="N62" s="304"/>
      <c r="O62" s="213"/>
      <c r="P62" s="1441"/>
      <c r="Q62" s="304"/>
      <c r="R62" s="213"/>
    </row>
    <row r="63" spans="1:18" ht="15.75" x14ac:dyDescent="0.2">
      <c r="A63" s="125" t="s">
        <v>768</v>
      </c>
      <c r="B63" s="127">
        <v>4</v>
      </c>
      <c r="C63" s="741">
        <f>SUMIF(ГР2М,4,№ИГР2)</f>
        <v>98</v>
      </c>
      <c r="D63" s="126" t="str">
        <f>IF(C63="",C63,VLOOKUP(C63,'Списки участников'!A:I,3,FALSE))</f>
        <v>ЧИКИН Александр</v>
      </c>
      <c r="E63" s="126">
        <f>IF(C63="",C63,VLOOKUP(C63,'Списки участников'!A:I,5,FALSE))</f>
        <v>2</v>
      </c>
      <c r="F63" s="126" t="str">
        <f>IF(C63="",C63,VLOOKUP(C63,'Списки участников'!A:I,6,FALSE))</f>
        <v>Москва</v>
      </c>
      <c r="G63" s="1441"/>
      <c r="H63" s="304"/>
      <c r="I63" s="213"/>
      <c r="J63" s="1441"/>
      <c r="K63" s="304"/>
      <c r="L63" s="213"/>
      <c r="M63" s="1441"/>
      <c r="N63" s="304"/>
      <c r="O63" s="213"/>
      <c r="P63" s="1441"/>
      <c r="Q63" s="304"/>
      <c r="R63" s="213"/>
    </row>
    <row r="64" spans="1:18" ht="15.75" x14ac:dyDescent="0.2">
      <c r="A64" s="125" t="s">
        <v>769</v>
      </c>
      <c r="B64" s="127">
        <v>4</v>
      </c>
      <c r="C64" s="741">
        <f>SUMIF(ГР3М,4,№ИГР3)</f>
        <v>63</v>
      </c>
      <c r="D64" s="126" t="str">
        <f>IF(C64="",C64,VLOOKUP(C64,'Списки участников'!A:I,3,FALSE))</f>
        <v>ПОПОВ Павел</v>
      </c>
      <c r="E64" s="126">
        <f>IF(C64="",C64,VLOOKUP(C64,'Списки участников'!A:I,5,FALSE))</f>
        <v>46</v>
      </c>
      <c r="F64" s="126" t="str">
        <f>IF(C64="",C64,VLOOKUP(C64,'Списки участников'!A:I,6,FALSE))</f>
        <v>Москва</v>
      </c>
      <c r="G64" s="1441"/>
      <c r="H64" s="304"/>
      <c r="I64" s="213"/>
      <c r="J64" s="1441"/>
      <c r="K64" s="304"/>
      <c r="L64" s="213"/>
      <c r="M64" s="1441"/>
      <c r="N64" s="304"/>
      <c r="O64" s="213"/>
      <c r="P64" s="1441"/>
      <c r="Q64" s="304"/>
      <c r="R64" s="213"/>
    </row>
    <row r="65" spans="1:18" ht="15.75" x14ac:dyDescent="0.2">
      <c r="A65" s="125" t="s">
        <v>770</v>
      </c>
      <c r="B65" s="127">
        <v>4</v>
      </c>
      <c r="C65" s="741">
        <f>SUMIF(ГР4М,4,№ИГР4)</f>
        <v>101</v>
      </c>
      <c r="D65" s="126" t="str">
        <f>IF(C65="",C65,VLOOKUP(C65,'Списки участников'!A:I,3,FALSE))</f>
        <v>РОДИОНОВ Всеволод</v>
      </c>
      <c r="E65" s="126">
        <f>IF(C65="",C65,VLOOKUP(C65,'Списки участников'!A:I,5,FALSE))</f>
        <v>167</v>
      </c>
      <c r="F65" s="126" t="str">
        <f>IF(C65="",C65,VLOOKUP(C65,'Списки участников'!A:I,6,FALSE))</f>
        <v>Москва</v>
      </c>
      <c r="G65" s="1441"/>
      <c r="H65" s="304"/>
      <c r="I65" s="213"/>
      <c r="J65" s="1441"/>
      <c r="K65" s="304"/>
      <c r="L65" s="213"/>
      <c r="M65" s="1441"/>
      <c r="N65" s="304"/>
      <c r="O65" s="213"/>
      <c r="P65" s="1441"/>
      <c r="Q65" s="304"/>
      <c r="R65" s="213"/>
    </row>
    <row r="66" spans="1:18" ht="15.75" x14ac:dyDescent="0.2">
      <c r="A66" s="125" t="s">
        <v>771</v>
      </c>
      <c r="B66" s="127">
        <v>4</v>
      </c>
      <c r="C66" s="741">
        <f>SUMIF(ГР5М,4,№ИГР5)</f>
        <v>62</v>
      </c>
      <c r="D66" s="126" t="str">
        <f>IF(C66="",C66,VLOOKUP(C66,'Списки участников'!A:I,3,FALSE))</f>
        <v>ЛЕДНЕВ Даниил</v>
      </c>
      <c r="E66" s="126">
        <f>IF(C66="",C66,VLOOKUP(C66,'Списки участников'!A:I,5,FALSE))</f>
        <v>46</v>
      </c>
      <c r="F66" s="126" t="str">
        <f>IF(C66="",C66,VLOOKUP(C66,'Списки участников'!A:I,6,FALSE))</f>
        <v>Москва</v>
      </c>
      <c r="G66" s="1441"/>
      <c r="H66" s="304"/>
      <c r="I66" s="213"/>
      <c r="J66" s="1441"/>
      <c r="K66" s="304"/>
      <c r="L66" s="213"/>
      <c r="M66" s="1441"/>
      <c r="N66" s="304"/>
      <c r="O66" s="213"/>
      <c r="P66" s="1441"/>
      <c r="Q66" s="304"/>
      <c r="R66" s="213"/>
    </row>
    <row r="67" spans="1:18" ht="15.75" x14ac:dyDescent="0.2">
      <c r="A67" s="125" t="s">
        <v>772</v>
      </c>
      <c r="B67" s="127">
        <v>4</v>
      </c>
      <c r="C67" s="741">
        <f>SUMIF(ГР6М,4,№ИГР6)</f>
        <v>71</v>
      </c>
      <c r="D67" s="126" t="str">
        <f>IF(C67="",C67,VLOOKUP(C67,'Списки участников'!A:I,3,FALSE))</f>
        <v>ЦЫГАНКОВ Вадим</v>
      </c>
      <c r="E67" s="126">
        <f>IF(C67="",C67,VLOOKUP(C67,'Списки участников'!A:I,5,FALSE))</f>
        <v>33</v>
      </c>
      <c r="F67" s="126" t="str">
        <f>IF(C67="",C67,VLOOKUP(C67,'Списки участников'!A:I,6,FALSE))</f>
        <v>Москва</v>
      </c>
      <c r="G67" s="1441"/>
      <c r="H67" s="304"/>
      <c r="I67" s="213"/>
      <c r="J67" s="1441"/>
      <c r="K67" s="304"/>
      <c r="L67" s="213"/>
      <c r="M67" s="1441"/>
      <c r="N67" s="304"/>
      <c r="O67" s="213"/>
      <c r="P67" s="1441"/>
      <c r="Q67" s="304"/>
      <c r="R67" s="213"/>
    </row>
    <row r="68" spans="1:18" ht="15.75" x14ac:dyDescent="0.2">
      <c r="A68" s="125" t="s">
        <v>773</v>
      </c>
      <c r="B68" s="127">
        <v>4</v>
      </c>
      <c r="C68" s="741">
        <f>SUMIF(ГР7М,4,№ИГР7)</f>
        <v>112</v>
      </c>
      <c r="D68" s="126" t="str">
        <f>IF(C68="",C68,VLOOKUP(C68,'Списки участников'!A:I,3,FALSE))</f>
        <v>ЧЕРНОВ Артемий</v>
      </c>
      <c r="E68" s="126">
        <f>IF(C68="",C68,VLOOKUP(C68,'Списки участников'!A:I,5,FALSE))</f>
        <v>0</v>
      </c>
      <c r="F68" s="126" t="str">
        <f>IF(C68="",C68,VLOOKUP(C68,'Списки участников'!A:I,6,FALSE))</f>
        <v>Москва</v>
      </c>
      <c r="G68" s="1441"/>
      <c r="H68" s="304"/>
      <c r="I68" s="213"/>
      <c r="J68" s="1441"/>
      <c r="K68" s="304"/>
      <c r="L68" s="213"/>
      <c r="M68" s="1441"/>
      <c r="N68" s="304"/>
      <c r="O68" s="213"/>
      <c r="P68" s="1441"/>
      <c r="Q68" s="304"/>
      <c r="R68" s="213"/>
    </row>
    <row r="69" spans="1:18" ht="15.75" x14ac:dyDescent="0.2">
      <c r="A69" s="125" t="s">
        <v>774</v>
      </c>
      <c r="B69" s="127">
        <v>4</v>
      </c>
      <c r="C69" s="741">
        <f>SUMIF(ГР8М,4,№ИГР8)</f>
        <v>74</v>
      </c>
      <c r="D69" s="126" t="str">
        <f>IF(C69="",C69,VLOOKUP(C69,'Списки участников'!A:I,3,FALSE))</f>
        <v>ДИНИСЕНКО Тимофей</v>
      </c>
      <c r="E69" s="126">
        <f>IF(C69="",C69,VLOOKUP(C69,'Списки участников'!A:I,5,FALSE))</f>
        <v>25</v>
      </c>
      <c r="F69" s="126" t="str">
        <f>IF(C69="",C69,VLOOKUP(C69,'Списки участников'!A:I,6,FALSE))</f>
        <v>Москва</v>
      </c>
      <c r="G69" s="1441"/>
      <c r="H69" s="304"/>
      <c r="I69" s="213"/>
      <c r="J69" s="1441"/>
      <c r="K69" s="304"/>
      <c r="L69" s="213"/>
      <c r="M69" s="1441"/>
      <c r="N69" s="304"/>
      <c r="O69" s="213"/>
      <c r="P69" s="1441"/>
      <c r="Q69" s="304"/>
      <c r="R69" s="213"/>
    </row>
    <row r="70" spans="1:18" ht="15.75" hidden="1" outlineLevel="1" x14ac:dyDescent="0.2">
      <c r="A70" s="125" t="s">
        <v>775</v>
      </c>
      <c r="B70" s="127">
        <v>4</v>
      </c>
      <c r="C70" s="741">
        <f>SUMIF(ГР9М,4,№ИГР9)</f>
        <v>58</v>
      </c>
      <c r="D70" s="126" t="str">
        <f>IF(C70="",C70,VLOOKUP(C70,'Списки участников'!A:I,3,FALSE))</f>
        <v>КУРИЛОВИЧ Ярослав</v>
      </c>
      <c r="E70" s="126">
        <f>IF(C70="",C70,VLOOKUP(C70,'Списки участников'!A:I,5,FALSE))</f>
        <v>51</v>
      </c>
      <c r="F70" s="742" t="str">
        <f>IF(C70="",C70,VLOOKUP(C70,'Списки участников'!A:I,6,FALSE))</f>
        <v>Москва</v>
      </c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</row>
    <row r="71" spans="1:18" ht="15.75" hidden="1" outlineLevel="1" x14ac:dyDescent="0.2">
      <c r="A71" s="125" t="s">
        <v>776</v>
      </c>
      <c r="B71" s="127">
        <v>4</v>
      </c>
      <c r="C71" s="741">
        <f>SUMIF(ГР10М,4,№ИГР10)</f>
        <v>76</v>
      </c>
      <c r="D71" s="126" t="str">
        <f>IF(C71="",C71,VLOOKUP(C71,'Списки участников'!A:I,3,FALSE))</f>
        <v>ОСМОЛОВСКИЙ Никита</v>
      </c>
      <c r="E71" s="126">
        <f>IF(C71="",C71,VLOOKUP(C71,'Списки участников'!A:I,5,FALSE))</f>
        <v>23</v>
      </c>
      <c r="F71" s="742" t="str">
        <f>IF(C71="",C71,VLOOKUP(C71,'Списки участников'!A:I,6,FALSE))</f>
        <v>Дмитров</v>
      </c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</row>
    <row r="72" spans="1:18" ht="15.75" hidden="1" outlineLevel="1" x14ac:dyDescent="0.2">
      <c r="A72" s="125" t="s">
        <v>777</v>
      </c>
      <c r="B72" s="127">
        <v>4</v>
      </c>
      <c r="C72" s="741">
        <f>SUMIF(ГР11М,4,№ИГР11)</f>
        <v>23</v>
      </c>
      <c r="D72" s="126" t="str">
        <f>IF(C72="",C72,VLOOKUP(C72,'Списки участников'!A:I,3,FALSE))</f>
        <v>КОМИССАРОВ Даниил</v>
      </c>
      <c r="E72" s="126">
        <f>IF(C72="",C72,VLOOKUP(C72,'Списки участников'!A:I,5,FALSE))</f>
        <v>172</v>
      </c>
      <c r="F72" s="742" t="str">
        <f>IF(C72="",C72,VLOOKUP(C72,'Списки участников'!A:I,6,FALSE))</f>
        <v>Москва</v>
      </c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</row>
    <row r="73" spans="1:18" ht="15.75" hidden="1" outlineLevel="1" x14ac:dyDescent="0.2">
      <c r="A73" s="125" t="s">
        <v>778</v>
      </c>
      <c r="B73" s="127">
        <v>4</v>
      </c>
      <c r="C73" s="741">
        <f>SUMIF(ГР12М,4,№ИГР12)</f>
        <v>46</v>
      </c>
      <c r="D73" s="126" t="str">
        <f>IF(C73="",C73,VLOOKUP(C73,'Списки участников'!A:I,3,FALSE))</f>
        <v>ВОЛЫНКИН Александр</v>
      </c>
      <c r="E73" s="126">
        <f>IF(C73="",C73,VLOOKUP(C73,'Списки участников'!A:I,5,FALSE))</f>
        <v>83</v>
      </c>
      <c r="F73" s="742" t="str">
        <f>IF(C73="",C73,VLOOKUP(C73,'Списки участников'!A:I,6,FALSE))</f>
        <v>Барнаул</v>
      </c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</row>
    <row r="74" spans="1:18" ht="15.75" hidden="1" outlineLevel="1" x14ac:dyDescent="0.2">
      <c r="A74" s="125" t="s">
        <v>779</v>
      </c>
      <c r="B74" s="127">
        <v>4</v>
      </c>
      <c r="C74" s="741">
        <f>SUMIF(ГР13М,4,№ИГР13)</f>
        <v>88</v>
      </c>
      <c r="D74" s="126" t="str">
        <f>IF(C74="",C74,VLOOKUP(C74,'Списки участников'!A:I,3,FALSE))</f>
        <v>ОДЕРКОВ Марк</v>
      </c>
      <c r="E74" s="126">
        <f>IF(C74="",C74,VLOOKUP(C74,'Списки участников'!A:I,5,FALSE))</f>
        <v>11</v>
      </c>
      <c r="F74" s="742" t="str">
        <f>IF(C74="",C74,VLOOKUP(C74,'Списки участников'!A:I,6,FALSE))</f>
        <v>Скопин  Ряз.о.</v>
      </c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</row>
    <row r="75" spans="1:18" ht="15.75" hidden="1" outlineLevel="1" x14ac:dyDescent="0.2">
      <c r="A75" s="125" t="s">
        <v>780</v>
      </c>
      <c r="B75" s="127">
        <v>4</v>
      </c>
      <c r="C75" s="741">
        <f>SUMIF(ГР14М,4,№ИГР14)</f>
        <v>52</v>
      </c>
      <c r="D75" s="126" t="str">
        <f>IF(C75="",C75,VLOOKUP(C75,'Списки участников'!A:I,3,FALSE))</f>
        <v>СВИРЩЕВСКИЙ Юрий</v>
      </c>
      <c r="E75" s="126">
        <f>IF(C75="",C75,VLOOKUP(C75,'Списки участников'!A:I,5,FALSE))</f>
        <v>62</v>
      </c>
      <c r="F75" s="742" t="str">
        <f>IF(C75="",C75,VLOOKUP(C75,'Списки участников'!A:I,6,FALSE))</f>
        <v>Москва</v>
      </c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</row>
    <row r="76" spans="1:18" ht="15.75" hidden="1" outlineLevel="1" x14ac:dyDescent="0.2">
      <c r="A76" s="125" t="s">
        <v>781</v>
      </c>
      <c r="B76" s="127">
        <v>4</v>
      </c>
      <c r="C76" s="741">
        <f>SUMIF(ГР15М,4,№ИГР15)</f>
        <v>15</v>
      </c>
      <c r="D76" s="126" t="str">
        <f>IF(C76="",C76,VLOOKUP(C76,'Списки участников'!A:I,3,FALSE))</f>
        <v>ШИЛОВ Владимир</v>
      </c>
      <c r="E76" s="126">
        <f>IF(C76="",C76,VLOOKUP(C76,'Списки участников'!A:I,5,FALSE))</f>
        <v>216</v>
      </c>
      <c r="F76" s="742" t="str">
        <f>IF(C76="",C76,VLOOKUP(C76,'Списки участников'!A:I,6,FALSE))</f>
        <v>Орехово-Зуево</v>
      </c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</row>
    <row r="77" spans="1:18" ht="15.75" hidden="1" outlineLevel="1" x14ac:dyDescent="0.2">
      <c r="A77" s="125" t="s">
        <v>782</v>
      </c>
      <c r="B77" s="127">
        <v>4</v>
      </c>
      <c r="C77" s="741">
        <f>SUMIF(ГР16М,4,№ИГР16)</f>
        <v>85</v>
      </c>
      <c r="D77" s="126" t="str">
        <f>IF(C77="",C77,VLOOKUP(C77,'Списки участников'!A:I,3,FALSE))</f>
        <v>УШКАРЕВ Максим</v>
      </c>
      <c r="E77" s="126">
        <f>IF(C77="",C77,VLOOKUP(C77,'Списки участников'!A:I,5,FALSE))</f>
        <v>16</v>
      </c>
      <c r="F77" s="742" t="str">
        <f>IF(C77="",C77,VLOOKUP(C77,'Списки участников'!A:I,6,FALSE))</f>
        <v>Жуковский</v>
      </c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</row>
    <row r="78" spans="1:18" collapsed="1" x14ac:dyDescent="0.2"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</row>
    <row r="79" spans="1:18" x14ac:dyDescent="0.2"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</row>
    <row r="80" spans="1:18" x14ac:dyDescent="0.2">
      <c r="A80" s="1437" t="s">
        <v>765</v>
      </c>
      <c r="B80" s="1437"/>
      <c r="C80" s="1437"/>
      <c r="D80" s="1437"/>
      <c r="E80" s="1437"/>
      <c r="F80" s="1438"/>
      <c r="G80" s="171"/>
      <c r="H80" s="171"/>
    </row>
    <row r="81" spans="1:8" x14ac:dyDescent="0.2">
      <c r="A81" s="1439" t="s">
        <v>786</v>
      </c>
      <c r="B81" s="1439"/>
      <c r="C81" s="1439"/>
      <c r="D81" s="1439"/>
      <c r="E81" s="1439"/>
      <c r="F81" s="1440"/>
      <c r="G81" s="171"/>
      <c r="H81" s="171"/>
    </row>
    <row r="82" spans="1:8" ht="15.75" x14ac:dyDescent="0.2">
      <c r="A82" s="125" t="s">
        <v>767</v>
      </c>
      <c r="B82" s="127">
        <v>5</v>
      </c>
      <c r="C82" s="741">
        <f>SUMIF(ГР1М,5,№ИГР1)</f>
        <v>101</v>
      </c>
      <c r="D82" s="126" t="str">
        <f>IF(C82="",C82,VLOOKUP(C82,'Списки участников'!A:I,3,FALSE))</f>
        <v>РОДИОНОВ Всеволод</v>
      </c>
      <c r="E82" s="126">
        <f>IF(C82="",C82,VLOOKUP(C82,'Списки участников'!A:I,5,FALSE))</f>
        <v>167</v>
      </c>
      <c r="F82" s="126" t="str">
        <f>IF(C82="",C82,VLOOKUP(C82,'Списки участников'!A:I,6,FALSE))</f>
        <v>Москва</v>
      </c>
      <c r="G82" s="171"/>
      <c r="H82" s="171"/>
    </row>
    <row r="83" spans="1:8" ht="15.75" x14ac:dyDescent="0.2">
      <c r="A83" s="125" t="s">
        <v>768</v>
      </c>
      <c r="B83" s="127">
        <v>5</v>
      </c>
      <c r="C83" s="741">
        <f>SUMIF(ГР2М,5,№ИГР2)</f>
        <v>64</v>
      </c>
      <c r="D83" s="126" t="str">
        <f>IF(C83="",C83,VLOOKUP(C83,'Списки участников'!A:I,3,FALSE))</f>
        <v>АКЕНТЬЕВ Алексей</v>
      </c>
      <c r="E83" s="126">
        <f>IF(C83="",C83,VLOOKUP(C83,'Списки участников'!A:I,5,FALSE))</f>
        <v>43</v>
      </c>
      <c r="F83" s="126" t="str">
        <f>IF(C83="",C83,VLOOKUP(C83,'Списки участников'!A:I,6,FALSE))</f>
        <v>Одинцово</v>
      </c>
    </row>
    <row r="84" spans="1:8" ht="15.75" x14ac:dyDescent="0.2">
      <c r="A84" s="125" t="s">
        <v>769</v>
      </c>
      <c r="B84" s="127">
        <v>5</v>
      </c>
      <c r="C84" s="741">
        <f>SUMIF(ГР3М,5,№ИГР3)</f>
        <v>103</v>
      </c>
      <c r="D84" s="126" t="str">
        <f>IF(C84="",C84,VLOOKUP(C84,'Списки участников'!A:I,3,FALSE))</f>
        <v>ПЕТРОВ Егор</v>
      </c>
      <c r="E84" s="126">
        <f>IF(C84="",C84,VLOOKUP(C84,'Списки участников'!A:I,5,FALSE))</f>
        <v>0</v>
      </c>
      <c r="F84" s="126" t="str">
        <f>IF(C84="",C84,VLOOKUP(C84,'Списки участников'!A:I,6,FALSE))</f>
        <v>Одинцово</v>
      </c>
    </row>
    <row r="85" spans="1:8" ht="15.75" x14ac:dyDescent="0.2">
      <c r="A85" s="125" t="s">
        <v>770</v>
      </c>
      <c r="B85" s="127">
        <v>5</v>
      </c>
      <c r="C85" s="741">
        <f>SUMIF(ГР4М,5,№ИГР4)</f>
        <v>65</v>
      </c>
      <c r="D85" s="126" t="str">
        <f>IF(C85="",C85,VLOOKUP(C85,'Списки участников'!A:I,3,FALSE))</f>
        <v>СОБАКИН Юрий</v>
      </c>
      <c r="E85" s="126">
        <f>IF(C85="",C85,VLOOKUP(C85,'Списки участников'!A:I,5,FALSE))</f>
        <v>43</v>
      </c>
      <c r="F85" s="126" t="str">
        <f>IF(C85="",C85,VLOOKUP(C85,'Списки участников'!A:I,6,FALSE))</f>
        <v>Москва</v>
      </c>
    </row>
    <row r="86" spans="1:8" ht="15.75" x14ac:dyDescent="0.2">
      <c r="A86" s="125" t="s">
        <v>771</v>
      </c>
      <c r="B86" s="127">
        <v>5</v>
      </c>
      <c r="C86" s="741">
        <f>SUMIF(ГР5М,5,№ИГР5)</f>
        <v>101</v>
      </c>
      <c r="D86" s="126" t="str">
        <f>IF(C86="",C86,VLOOKUP(C86,'Списки участников'!A:I,3,FALSE))</f>
        <v>РОДИОНОВ Всеволод</v>
      </c>
      <c r="E86" s="126">
        <f>IF(C86="",C86,VLOOKUP(C86,'Списки участников'!A:I,5,FALSE))</f>
        <v>167</v>
      </c>
      <c r="F86" s="126" t="str">
        <f>IF(C86="",C86,VLOOKUP(C86,'Списки участников'!A:I,6,FALSE))</f>
        <v>Москва</v>
      </c>
    </row>
    <row r="87" spans="1:8" ht="15.75" x14ac:dyDescent="0.2">
      <c r="A87" s="125" t="s">
        <v>772</v>
      </c>
      <c r="B87" s="127">
        <v>5</v>
      </c>
      <c r="C87" s="741">
        <f>SUMIF(ГР6М,5,№ИГР6)</f>
        <v>61</v>
      </c>
      <c r="D87" s="126" t="str">
        <f>IF(C87="",C87,VLOOKUP(C87,'Списки участников'!A:I,3,FALSE))</f>
        <v>БУРГАСОВ Владимир</v>
      </c>
      <c r="E87" s="126">
        <f>IF(C87="",C87,VLOOKUP(C87,'Списки участников'!A:I,5,FALSE))</f>
        <v>46</v>
      </c>
      <c r="F87" s="126" t="str">
        <f>IF(C87="",C87,VLOOKUP(C87,'Списки участников'!A:I,6,FALSE))</f>
        <v>Москва</v>
      </c>
    </row>
    <row r="88" spans="1:8" ht="15.75" x14ac:dyDescent="0.2">
      <c r="A88" s="125" t="s">
        <v>773</v>
      </c>
      <c r="B88" s="127">
        <v>5</v>
      </c>
      <c r="C88" s="741">
        <f>SUMIF(ГР7М,5,№ИГР7)</f>
        <v>60</v>
      </c>
      <c r="D88" s="126" t="str">
        <f>IF(C88="",C88,VLOOKUP(C88,'Списки участников'!A:I,3,FALSE))</f>
        <v>АВЕРИН Денис</v>
      </c>
      <c r="E88" s="126">
        <f>IF(C88="",C88,VLOOKUP(C88,'Списки участников'!A:I,5,FALSE))</f>
        <v>49</v>
      </c>
      <c r="F88" s="126" t="str">
        <f>IF(C88="",C88,VLOOKUP(C88,'Списки участников'!A:I,6,FALSE))</f>
        <v>Электросталь</v>
      </c>
    </row>
    <row r="89" spans="1:8" ht="15.75" x14ac:dyDescent="0.2">
      <c r="A89" s="125" t="s">
        <v>774</v>
      </c>
      <c r="B89" s="127">
        <v>5</v>
      </c>
      <c r="C89" s="741">
        <f>SUMIF(ГР8М,5,№ИГР8)</f>
        <v>59</v>
      </c>
      <c r="D89" s="126" t="str">
        <f>IF(C89="",C89,VLOOKUP(C89,'Списки участников'!A:I,3,FALSE))</f>
        <v>СУРОВЦЕВ Денис</v>
      </c>
      <c r="E89" s="126">
        <f>IF(C89="",C89,VLOOKUP(C89,'Списки участников'!A:I,5,FALSE))</f>
        <v>50</v>
      </c>
      <c r="F89" s="126" t="str">
        <f>IF(C89="",C89,VLOOKUP(C89,'Списки участников'!A:I,6,FALSE))</f>
        <v>Ильинский</v>
      </c>
    </row>
    <row r="90" spans="1:8" ht="15.75" hidden="1" outlineLevel="1" x14ac:dyDescent="0.2">
      <c r="A90" s="125" t="s">
        <v>775</v>
      </c>
      <c r="B90" s="127">
        <v>5</v>
      </c>
      <c r="C90" s="741">
        <f>SUMIF(ГР9М,5,№ИГР9)</f>
        <v>91</v>
      </c>
      <c r="D90" s="126" t="str">
        <f>IF(C90="",C90,VLOOKUP(C90,'Списки участников'!A:I,3,FALSE))</f>
        <v>ВАСИКОВ Евгений</v>
      </c>
      <c r="E90" s="126">
        <f>IF(C90="",C90,VLOOKUP(C90,'Списки участников'!A:I,5,FALSE))</f>
        <v>8</v>
      </c>
      <c r="F90" s="126" t="str">
        <f>IF(C90="",C90,VLOOKUP(C90,'Списки участников'!A:I,6,FALSE))</f>
        <v>Людиново  Кал.обл.</v>
      </c>
    </row>
    <row r="91" spans="1:8" ht="15.75" hidden="1" outlineLevel="1" x14ac:dyDescent="0.2">
      <c r="A91" s="125" t="s">
        <v>776</v>
      </c>
      <c r="B91" s="127">
        <v>5</v>
      </c>
      <c r="C91" s="741">
        <f>SUMIF(ГР10М,5,№ИГР10)</f>
        <v>57</v>
      </c>
      <c r="D91" s="126" t="str">
        <f>IF(C91="",C91,VLOOKUP(C91,'Списки участников'!A:I,3,FALSE))</f>
        <v>АКИНЬЩИКОВ Станислав</v>
      </c>
      <c r="E91" s="126">
        <f>IF(C91="",C91,VLOOKUP(C91,'Списки участников'!A:I,5,FALSE))</f>
        <v>55</v>
      </c>
      <c r="F91" s="126" t="str">
        <f>IF(C91="",C91,VLOOKUP(C91,'Списки участников'!A:I,6,FALSE))</f>
        <v>Ильинский</v>
      </c>
    </row>
    <row r="92" spans="1:8" ht="15.75" hidden="1" outlineLevel="1" x14ac:dyDescent="0.2">
      <c r="A92" s="125" t="s">
        <v>777</v>
      </c>
      <c r="B92" s="127">
        <v>5</v>
      </c>
      <c r="C92" s="741">
        <f>SUMIF(ГР11М,5,№ИГР11)</f>
        <v>77</v>
      </c>
      <c r="D92" s="126" t="str">
        <f>IF(C92="",C92,VLOOKUP(C92,'Списки участников'!A:I,3,FALSE))</f>
        <v>РЕКУТИН Вадим</v>
      </c>
      <c r="E92" s="126">
        <f>IF(C92="",C92,VLOOKUP(C92,'Списки участников'!A:I,5,FALSE))</f>
        <v>22</v>
      </c>
      <c r="F92" s="126" t="str">
        <f>IF(C92="",C92,VLOOKUP(C92,'Списки участников'!A:I,6,FALSE))</f>
        <v>Дрезна  Мос.обл.</v>
      </c>
    </row>
    <row r="93" spans="1:8" ht="15.75" hidden="1" outlineLevel="1" x14ac:dyDescent="0.2">
      <c r="A93" s="125" t="s">
        <v>778</v>
      </c>
      <c r="B93" s="127">
        <v>5</v>
      </c>
      <c r="C93" s="741">
        <f>SUMIF(ГР12М,5,№ИГР12)</f>
        <v>81</v>
      </c>
      <c r="D93" s="126" t="str">
        <f>IF(C93="",C93,VLOOKUP(C93,'Списки участников'!A:I,3,FALSE))</f>
        <v>ОСТАШОВ Артем</v>
      </c>
      <c r="E93" s="126">
        <f>IF(C93="",C93,VLOOKUP(C93,'Списки участников'!A:I,5,FALSE))</f>
        <v>19</v>
      </c>
      <c r="F93" s="126" t="str">
        <f>IF(C93="",C93,VLOOKUP(C93,'Списки участников'!A:I,6,FALSE))</f>
        <v>Москва</v>
      </c>
    </row>
    <row r="94" spans="1:8" ht="15.75" hidden="1" outlineLevel="1" x14ac:dyDescent="0.2">
      <c r="A94" s="125" t="s">
        <v>779</v>
      </c>
      <c r="B94" s="127">
        <v>5</v>
      </c>
      <c r="C94" s="741">
        <f>SUMIF(ГР13М,5,№ИГР13)</f>
        <v>109</v>
      </c>
      <c r="D94" s="126" t="str">
        <f>IF(C94="",C94,VLOOKUP(C94,'Списки участников'!A:I,3,FALSE))</f>
        <v>РЯБОШАПКА Федор</v>
      </c>
      <c r="E94" s="126">
        <f>IF(C94="",C94,VLOOKUP(C94,'Списки участников'!A:I,5,FALSE))</f>
        <v>0</v>
      </c>
      <c r="F94" s="126" t="str">
        <f>IF(C94="",C94,VLOOKUP(C94,'Списки участников'!A:I,6,FALSE))</f>
        <v>Домодедово  М.о.</v>
      </c>
    </row>
    <row r="95" spans="1:8" ht="15.75" hidden="1" outlineLevel="1" x14ac:dyDescent="0.2">
      <c r="A95" s="125" t="s">
        <v>780</v>
      </c>
      <c r="B95" s="127">
        <v>5</v>
      </c>
      <c r="C95" s="741">
        <f>SUMIF(ГР14М,5,№ИГР14)</f>
        <v>87</v>
      </c>
      <c r="D95" s="126" t="str">
        <f>IF(C95="",C95,VLOOKUP(C95,'Списки участников'!A:I,3,FALSE))</f>
        <v>РОСТОШИНСКИЙ Иван</v>
      </c>
      <c r="E95" s="126">
        <f>IF(C95="",C95,VLOOKUP(C95,'Списки участников'!A:I,5,FALSE))</f>
        <v>12</v>
      </c>
      <c r="F95" s="126" t="str">
        <f>IF(C95="",C95,VLOOKUP(C95,'Списки участников'!A:I,6,FALSE))</f>
        <v>Москва</v>
      </c>
    </row>
    <row r="96" spans="1:8" ht="15.75" hidden="1" outlineLevel="1" x14ac:dyDescent="0.2">
      <c r="A96" s="125" t="s">
        <v>781</v>
      </c>
      <c r="B96" s="127">
        <v>5</v>
      </c>
      <c r="C96" s="741">
        <f>SUMIF(ГР15М,5,№ИГР15)</f>
        <v>49</v>
      </c>
      <c r="D96" s="126" t="str">
        <f>IF(C96="",C96,VLOOKUP(C96,'Списки участников'!A:I,3,FALSE))</f>
        <v>НОВИКОВ Кирилл</v>
      </c>
      <c r="E96" s="126">
        <f>IF(C96="",C96,VLOOKUP(C96,'Списки участников'!A:I,5,FALSE))</f>
        <v>71</v>
      </c>
      <c r="F96" s="126" t="str">
        <f>IF(C96="",C96,VLOOKUP(C96,'Списки участников'!A:I,6,FALSE))</f>
        <v>Москва</v>
      </c>
    </row>
    <row r="97" spans="1:6" ht="15.75" hidden="1" outlineLevel="1" x14ac:dyDescent="0.2">
      <c r="A97" s="125" t="s">
        <v>782</v>
      </c>
      <c r="B97" s="127">
        <v>5</v>
      </c>
      <c r="C97" s="741">
        <f>SUMIF(ГР16М,5,№ИГР16)</f>
        <v>50</v>
      </c>
      <c r="D97" s="126" t="str">
        <f>IF(C97="",C97,VLOOKUP(C97,'Списки участников'!A:I,3,FALSE))</f>
        <v>ПИВОВАРОВ Иван</v>
      </c>
      <c r="E97" s="126">
        <f>IF(C97="",C97,VLOOKUP(C97,'Списки участников'!A:I,5,FALSE))</f>
        <v>66</v>
      </c>
      <c r="F97" s="126" t="str">
        <f>IF(C97="",C97,VLOOKUP(C97,'Списки участников'!A:I,6,FALSE))</f>
        <v>Москва</v>
      </c>
    </row>
    <row r="98" spans="1:6" collapsed="1" x14ac:dyDescent="0.2">
      <c r="A98" s="2"/>
      <c r="B98" s="2"/>
      <c r="C98" s="128"/>
      <c r="D98" s="129"/>
      <c r="E98" s="130"/>
      <c r="F98" s="131"/>
    </row>
    <row r="99" spans="1:6" x14ac:dyDescent="0.2">
      <c r="A99" s="1437" t="s">
        <v>765</v>
      </c>
      <c r="B99" s="1437"/>
      <c r="C99" s="1437"/>
      <c r="D99" s="1437"/>
      <c r="E99" s="1437"/>
      <c r="F99" s="1438"/>
    </row>
    <row r="100" spans="1:6" x14ac:dyDescent="0.2">
      <c r="A100" s="1439" t="s">
        <v>787</v>
      </c>
      <c r="B100" s="1439"/>
      <c r="C100" s="1439"/>
      <c r="D100" s="1439"/>
      <c r="E100" s="1439"/>
      <c r="F100" s="1440"/>
    </row>
    <row r="101" spans="1:6" ht="15.75" x14ac:dyDescent="0.2">
      <c r="A101" s="125" t="s">
        <v>767</v>
      </c>
      <c r="B101" s="127">
        <v>6</v>
      </c>
      <c r="C101" s="741">
        <f>SUMIF(ГР1М,6,№ИГР1)</f>
        <v>66</v>
      </c>
      <c r="D101" s="126" t="str">
        <f>IF(C101="",C101,VLOOKUP(C101,'Списки участников'!A:I,3,FALSE))</f>
        <v>АКИНьЩИКОВ Ярослав</v>
      </c>
      <c r="E101" s="126">
        <f>IF(C101="",C101,VLOOKUP(C101,'Списки участников'!A:I,5,FALSE))</f>
        <v>42</v>
      </c>
      <c r="F101" s="126" t="str">
        <f>IF(C101="",C101,VLOOKUP(C101,'Списки участников'!A:I,6,FALSE))</f>
        <v>Жуковский</v>
      </c>
    </row>
    <row r="102" spans="1:6" ht="15.75" x14ac:dyDescent="0.2">
      <c r="A102" s="125" t="s">
        <v>768</v>
      </c>
      <c r="B102" s="127">
        <v>6</v>
      </c>
      <c r="C102" s="741">
        <f>SUMIF(ГР2М,6,№ИГР2)</f>
        <v>68</v>
      </c>
      <c r="D102" s="126" t="str">
        <f>IF(C102="",C102,VLOOKUP(C102,'Списки участников'!A:I,3,FALSE))</f>
        <v>МАКАРОВ Никита</v>
      </c>
      <c r="E102" s="126">
        <f>IF(C102="",C102,VLOOKUP(C102,'Списки участников'!A:I,5,FALSE))</f>
        <v>35</v>
      </c>
      <c r="F102" s="126" t="str">
        <f>IF(C102="",C102,VLOOKUP(C102,'Списки участников'!A:I,6,FALSE))</f>
        <v>Москва</v>
      </c>
    </row>
    <row r="103" spans="1:6" ht="15.75" x14ac:dyDescent="0.2">
      <c r="A103" s="125" t="s">
        <v>769</v>
      </c>
      <c r="B103" s="127">
        <v>6</v>
      </c>
      <c r="C103" s="741">
        <f>SUMIF(ГР3М,6,№ИГР3)</f>
        <v>97</v>
      </c>
      <c r="D103" s="126" t="str">
        <f>IF(C103="",C103,VLOOKUP(C103,'Списки участников'!A:I,3,FALSE))</f>
        <v>ЖИЛОВ Кристиан</v>
      </c>
      <c r="E103" s="126">
        <f>IF(C103="",C103,VLOOKUP(C103,'Списки участников'!A:I,5,FALSE))</f>
        <v>3</v>
      </c>
      <c r="F103" s="126" t="str">
        <f>IF(C103="",C103,VLOOKUP(C103,'Списки участников'!A:I,6,FALSE))</f>
        <v>Москва</v>
      </c>
    </row>
    <row r="104" spans="1:6" ht="15.75" x14ac:dyDescent="0.2">
      <c r="A104" s="125" t="s">
        <v>770</v>
      </c>
      <c r="B104" s="127">
        <v>6</v>
      </c>
      <c r="C104" s="741">
        <f>SUMIF(ГР4М,6,№ИГР4)</f>
        <v>70</v>
      </c>
      <c r="D104" s="126" t="str">
        <f>IF(C104="",C104,VLOOKUP(C104,'Списки участников'!A:I,3,FALSE))</f>
        <v>МАСЛАКОВ Антон</v>
      </c>
      <c r="E104" s="126">
        <f>IF(C104="",C104,VLOOKUP(C104,'Списки участников'!A:I,5,FALSE))</f>
        <v>33</v>
      </c>
      <c r="F104" s="126" t="str">
        <f>IF(C104="",C104,VLOOKUP(C104,'Списки участников'!A:I,6,FALSE))</f>
        <v>Орехово-Зуево</v>
      </c>
    </row>
    <row r="105" spans="1:6" ht="15.75" x14ac:dyDescent="0.2">
      <c r="A105" s="125" t="s">
        <v>771</v>
      </c>
      <c r="B105" s="127">
        <v>6</v>
      </c>
      <c r="C105" s="741">
        <f>SUMIF(ГР5М,6,№ИГР5)</f>
        <v>72</v>
      </c>
      <c r="D105" s="126" t="str">
        <f>IF(C105="",C105,VLOOKUP(C105,'Списки участников'!A:I,3,FALSE))</f>
        <v>ЦЫГАНКОВ Егор</v>
      </c>
      <c r="E105" s="126">
        <f>IF(C105="",C105,VLOOKUP(C105,'Списки участников'!A:I,5,FALSE))</f>
        <v>33</v>
      </c>
      <c r="F105" s="126" t="str">
        <f>IF(C105="",C105,VLOOKUP(C105,'Списки участников'!A:I,6,FALSE))</f>
        <v>Москва</v>
      </c>
    </row>
    <row r="106" spans="1:6" ht="15.75" x14ac:dyDescent="0.2">
      <c r="A106" s="125" t="s">
        <v>772</v>
      </c>
      <c r="B106" s="127">
        <v>6</v>
      </c>
      <c r="C106" s="741">
        <f>SUMIF(ГР6М,6,№ИГР6)</f>
        <v>106</v>
      </c>
      <c r="D106" s="126" t="str">
        <f>IF(C106="",C106,VLOOKUP(C106,'Списки участников'!A:I,3,FALSE))</f>
        <v>НОВОСЕЛОВ Марк</v>
      </c>
      <c r="E106" s="126">
        <f>IF(C106="",C106,VLOOKUP(C106,'Списки участников'!A:I,5,FALSE))</f>
        <v>0</v>
      </c>
      <c r="F106" s="126" t="str">
        <f>IF(C106="",C106,VLOOKUP(C106,'Списки участников'!A:I,6,FALSE))</f>
        <v>Дмский р-н, Мос о.</v>
      </c>
    </row>
    <row r="107" spans="1:6" ht="15.75" x14ac:dyDescent="0.2">
      <c r="A107" s="125" t="s">
        <v>773</v>
      </c>
      <c r="B107" s="127">
        <v>6</v>
      </c>
      <c r="C107" s="741">
        <f>SUMIF(ГР7М,6,№ИГР7)</f>
        <v>73</v>
      </c>
      <c r="D107" s="126" t="str">
        <f>IF(C107="",C107,VLOOKUP(C107,'Списки участников'!A:I,3,FALSE))</f>
        <v>РЫЖОВ Петр</v>
      </c>
      <c r="E107" s="126">
        <f>IF(C107="",C107,VLOOKUP(C107,'Списки участников'!A:I,5,FALSE))</f>
        <v>32</v>
      </c>
      <c r="F107" s="126" t="str">
        <f>IF(C107="",C107,VLOOKUP(C107,'Списки участников'!A:I,6,FALSE))</f>
        <v>Москва</v>
      </c>
    </row>
    <row r="108" spans="1:6" ht="15.75" x14ac:dyDescent="0.2">
      <c r="A108" s="125" t="s">
        <v>774</v>
      </c>
      <c r="B108" s="127">
        <v>6</v>
      </c>
      <c r="C108" s="741">
        <f>SUMIF(ГР8М,6,№ИГР8)</f>
        <v>111</v>
      </c>
      <c r="D108" s="126" t="str">
        <f>IF(C108="",C108,VLOOKUP(C108,'Списки участников'!A:I,3,FALSE))</f>
        <v>ТАДЖИБАЕВ Артур</v>
      </c>
      <c r="E108" s="126">
        <f>IF(C108="",C108,VLOOKUP(C108,'Списки участников'!A:I,5,FALSE))</f>
        <v>0</v>
      </c>
      <c r="F108" s="126" t="str">
        <f>IF(C108="",C108,VLOOKUP(C108,'Списки участников'!A:I,6,FALSE))</f>
        <v>Дмитров</v>
      </c>
    </row>
    <row r="109" spans="1:6" ht="15.75" hidden="1" outlineLevel="1" x14ac:dyDescent="0.2">
      <c r="A109" s="125" t="s">
        <v>775</v>
      </c>
      <c r="B109" s="127">
        <v>6</v>
      </c>
      <c r="C109" s="741">
        <f>SUMIF(ГР9М,6,№ИГР9)</f>
        <v>75</v>
      </c>
      <c r="D109" s="126" t="str">
        <f>IF(C109="",C109,VLOOKUP(C109,'Списки участников'!A:I,3,FALSE))</f>
        <v>МИШУКОВ Михаил</v>
      </c>
      <c r="E109" s="126">
        <f>IF(C109="",C109,VLOOKUP(C109,'Списки участников'!A:I,5,FALSE))</f>
        <v>24</v>
      </c>
      <c r="F109" s="126" t="str">
        <f>IF(C109="",C109,VLOOKUP(C109,'Списки участников'!A:I,6,FALSE))</f>
        <v>Москва</v>
      </c>
    </row>
    <row r="110" spans="1:6" ht="15.75" hidden="1" outlineLevel="1" x14ac:dyDescent="0.2">
      <c r="A110" s="125" t="s">
        <v>776</v>
      </c>
      <c r="B110" s="127">
        <v>6</v>
      </c>
      <c r="C110" s="741">
        <f>SUMIF(ГР10М,6,№ИГР10)</f>
        <v>90</v>
      </c>
      <c r="D110" s="126" t="str">
        <f>IF(C110="",C110,VLOOKUP(C110,'Списки участников'!A:I,3,FALSE))</f>
        <v>КАРТАВЦЕВ Михаил</v>
      </c>
      <c r="E110" s="126">
        <f>IF(C110="",C110,VLOOKUP(C110,'Списки участников'!A:I,5,FALSE))</f>
        <v>9</v>
      </c>
      <c r="F110" s="126" t="str">
        <f>IF(C110="",C110,VLOOKUP(C110,'Списки участников'!A:I,6,FALSE))</f>
        <v>Москва</v>
      </c>
    </row>
    <row r="111" spans="1:6" ht="15.75" hidden="1" outlineLevel="1" x14ac:dyDescent="0.2">
      <c r="A111" s="125" t="s">
        <v>777</v>
      </c>
      <c r="B111" s="127">
        <v>6</v>
      </c>
      <c r="C111" s="741">
        <f>SUMIF(ГР11М,6,№ИГР11)</f>
        <v>89</v>
      </c>
      <c r="D111" s="126" t="str">
        <f>IF(C111="",C111,VLOOKUP(C111,'Списки участников'!A:I,3,FALSE))</f>
        <v>МАЛЫК Никита</v>
      </c>
      <c r="E111" s="126">
        <f>IF(C111="",C111,VLOOKUP(C111,'Списки участников'!A:I,5,FALSE))</f>
        <v>10</v>
      </c>
      <c r="F111" s="126" t="str">
        <f>IF(C111="",C111,VLOOKUP(C111,'Списки участников'!A:I,6,FALSE))</f>
        <v>Москва</v>
      </c>
    </row>
    <row r="112" spans="1:6" ht="15.75" hidden="1" outlineLevel="1" x14ac:dyDescent="0.2">
      <c r="A112" s="125" t="s">
        <v>778</v>
      </c>
      <c r="B112" s="127">
        <v>6</v>
      </c>
      <c r="C112" s="741">
        <f>SUMIF(ГР12М,6,№ИГР12)</f>
        <v>83</v>
      </c>
      <c r="D112" s="126" t="str">
        <f>IF(C112="",C112,VLOOKUP(C112,'Списки участников'!A:I,3,FALSE))</f>
        <v>ШКРЕД Илья</v>
      </c>
      <c r="E112" s="126">
        <f>IF(C112="",C112,VLOOKUP(C112,'Списки участников'!A:I,5,FALSE))</f>
        <v>19</v>
      </c>
      <c r="F112" s="126" t="str">
        <f>IF(C112="",C112,VLOOKUP(C112,'Списки участников'!A:I,6,FALSE))</f>
        <v>Дрезна  Мос.обл.</v>
      </c>
    </row>
    <row r="113" spans="1:6" ht="15.75" hidden="1" outlineLevel="1" x14ac:dyDescent="0.2">
      <c r="A113" s="125" t="s">
        <v>779</v>
      </c>
      <c r="B113" s="127">
        <v>6</v>
      </c>
      <c r="C113" s="741">
        <f>SUMIF(ГР13М,6,№ИГР13)</f>
        <v>82</v>
      </c>
      <c r="D113" s="126" t="str">
        <f>IF(C113="",C113,VLOOKUP(C113,'Списки участников'!A:I,3,FALSE))</f>
        <v>СУЧКОВ Артемий</v>
      </c>
      <c r="E113" s="126">
        <f>IF(C113="",C113,VLOOKUP(C113,'Списки участников'!A:I,5,FALSE))</f>
        <v>19</v>
      </c>
      <c r="F113" s="126" t="str">
        <f>IF(C113="",C113,VLOOKUP(C113,'Списки участников'!A:I,6,FALSE))</f>
        <v>Дмитров</v>
      </c>
    </row>
    <row r="114" spans="1:6" ht="15.75" hidden="1" outlineLevel="1" x14ac:dyDescent="0.2">
      <c r="A114" s="125" t="s">
        <v>780</v>
      </c>
      <c r="B114" s="127">
        <v>6</v>
      </c>
      <c r="C114" s="741">
        <f>SUMIF(ГР14М,6,№ИГР14)</f>
        <v>78</v>
      </c>
      <c r="D114" s="126" t="str">
        <f>IF(C114="",C114,VLOOKUP(C114,'Списки участников'!A:I,3,FALSE))</f>
        <v>АМУРСКИЙ Василий</v>
      </c>
      <c r="E114" s="126">
        <f>IF(C114="",C114,VLOOKUP(C114,'Списки участников'!A:I,5,FALSE))</f>
        <v>19</v>
      </c>
      <c r="F114" s="126" t="str">
        <f>IF(C114="",C114,VLOOKUP(C114,'Списки участников'!A:I,6,FALSE))</f>
        <v>Москва</v>
      </c>
    </row>
    <row r="115" spans="1:6" ht="15.75" hidden="1" outlineLevel="1" x14ac:dyDescent="0.2">
      <c r="A115" s="125" t="s">
        <v>781</v>
      </c>
      <c r="B115" s="127">
        <v>6</v>
      </c>
      <c r="C115" s="741">
        <f>SUMIF(ГР15М,6,№ИГР15)</f>
        <v>86</v>
      </c>
      <c r="D115" s="126" t="str">
        <f>IF(C115="",C115,VLOOKUP(C115,'Списки участников'!A:I,3,FALSE))</f>
        <v xml:space="preserve">КОРОЛЬКОВ Егор </v>
      </c>
      <c r="E115" s="126">
        <f>IF(C115="",C115,VLOOKUP(C115,'Списки участников'!A:I,5,FALSE))</f>
        <v>15</v>
      </c>
      <c r="F115" s="126" t="str">
        <f>IF(C115="",C115,VLOOKUP(C115,'Списки участников'!A:I,6,FALSE))</f>
        <v>Москва</v>
      </c>
    </row>
    <row r="116" spans="1:6" ht="15.75" hidden="1" outlineLevel="1" x14ac:dyDescent="0.2">
      <c r="A116" s="125" t="s">
        <v>782</v>
      </c>
      <c r="B116" s="127">
        <v>6</v>
      </c>
      <c r="C116" s="741">
        <f>SUMIF(ГР16М,6,№ИГР16)</f>
        <v>51</v>
      </c>
      <c r="D116" s="126" t="str">
        <f>IF(C116="",C116,VLOOKUP(C116,'Списки участников'!A:I,3,FALSE))</f>
        <v>АРИСТОВ Александр</v>
      </c>
      <c r="E116" s="126">
        <f>IF(C116="",C116,VLOOKUP(C116,'Списки участников'!A:I,5,FALSE))</f>
        <v>64</v>
      </c>
      <c r="F116" s="126" t="str">
        <f>IF(C116="",C116,VLOOKUP(C116,'Списки участников'!A:I,6,FALSE))</f>
        <v>Москва</v>
      </c>
    </row>
    <row r="117" spans="1:6" collapsed="1" x14ac:dyDescent="0.2">
      <c r="A117" s="132"/>
      <c r="B117" s="132"/>
      <c r="C117" s="133"/>
      <c r="D117" s="132"/>
      <c r="E117" s="134"/>
      <c r="F117" s="132"/>
    </row>
    <row r="118" spans="1:6" x14ac:dyDescent="0.2">
      <c r="A118" s="132"/>
      <c r="B118" s="132"/>
      <c r="C118" s="133"/>
      <c r="D118" s="132"/>
      <c r="E118" s="134"/>
      <c r="F118" s="132"/>
    </row>
    <row r="119" spans="1:6" x14ac:dyDescent="0.2">
      <c r="A119" s="1437" t="s">
        <v>765</v>
      </c>
      <c r="B119" s="1437"/>
      <c r="C119" s="1437"/>
      <c r="D119" s="1437"/>
      <c r="E119" s="1437"/>
      <c r="F119" s="1438"/>
    </row>
    <row r="120" spans="1:6" x14ac:dyDescent="0.2">
      <c r="A120" s="1439" t="s">
        <v>1141</v>
      </c>
      <c r="B120" s="1439"/>
      <c r="C120" s="1439"/>
      <c r="D120" s="1439"/>
      <c r="E120" s="1439"/>
      <c r="F120" s="1440"/>
    </row>
    <row r="121" spans="1:6" ht="15.75" x14ac:dyDescent="0.2">
      <c r="A121" s="125" t="s">
        <v>767</v>
      </c>
      <c r="B121" s="127">
        <v>7</v>
      </c>
      <c r="C121" s="741">
        <f>SUMIF(ГР1М,7,№ИГР1)</f>
        <v>67</v>
      </c>
      <c r="D121" s="126" t="str">
        <f>IF(C121="",C121,VLOOKUP(C121,'Списки участников'!A:I,3,FALSE))</f>
        <v>АНДРОНОВ Федор</v>
      </c>
      <c r="E121" s="126">
        <f>IF(C121="",C121,VLOOKUP(C121,'Списки участников'!A:I,5,FALSE))</f>
        <v>40</v>
      </c>
      <c r="F121" s="126" t="str">
        <f>IF(C121="",C121,VLOOKUP(C121,'Списки участников'!A:I,6,FALSE))</f>
        <v>Москва</v>
      </c>
    </row>
    <row r="122" spans="1:6" ht="15.75" x14ac:dyDescent="0.2">
      <c r="A122" s="125" t="s">
        <v>768</v>
      </c>
      <c r="B122" s="127">
        <v>7</v>
      </c>
      <c r="C122" s="741">
        <f>SUMIF(ГР2М,7,№ИГР2)</f>
        <v>102</v>
      </c>
      <c r="D122" s="126" t="str">
        <f>IF(C122="",C122,VLOOKUP(C122,'Списки участников'!A:I,3,FALSE))</f>
        <v>КРАСНОЖОН Михаил</v>
      </c>
      <c r="E122" s="126">
        <f>IF(C122="",C122,VLOOKUP(C122,'Списки участников'!A:I,5,FALSE))</f>
        <v>0</v>
      </c>
      <c r="F122" s="126" t="str">
        <f>IF(C122="",C122,VLOOKUP(C122,'Списки участников'!A:I,6,FALSE))</f>
        <v>Домодедово  М.о.</v>
      </c>
    </row>
    <row r="123" spans="1:6" ht="15.75" x14ac:dyDescent="0.2">
      <c r="A123" s="125" t="s">
        <v>769</v>
      </c>
      <c r="B123" s="127">
        <v>7</v>
      </c>
      <c r="C123" s="741">
        <f>SUMIF(ГР3М,7,№ИГР3)</f>
        <v>37</v>
      </c>
      <c r="D123" s="126" t="str">
        <f>IF(C123="",C123,VLOOKUP(C123,'Списки участников'!A:I,3,FALSE))</f>
        <v>МАКЕЕВ Александр</v>
      </c>
      <c r="E123" s="126">
        <f>IF(C123="",C123,VLOOKUP(C123,'Списки участников'!A:I,5,FALSE))</f>
        <v>116</v>
      </c>
      <c r="F123" s="126" t="str">
        <f>IF(C123="",C123,VLOOKUP(C123,'Списки участников'!A:I,6,FALSE))</f>
        <v>Москва</v>
      </c>
    </row>
    <row r="124" spans="1:6" ht="15.75" x14ac:dyDescent="0.2">
      <c r="A124" s="125" t="s">
        <v>770</v>
      </c>
      <c r="B124" s="127">
        <v>7</v>
      </c>
      <c r="C124" s="741">
        <f>SUMIF(ГР4М,7,№ИГР4)</f>
        <v>107</v>
      </c>
      <c r="D124" s="126" t="str">
        <f>IF(C124="",C124,VLOOKUP(C124,'Списки участников'!A:I,3,FALSE))</f>
        <v>ПОПОВ Максим</v>
      </c>
      <c r="E124" s="126">
        <f>IF(C124="",C124,VLOOKUP(C124,'Списки участников'!A:I,5,FALSE))</f>
        <v>0</v>
      </c>
      <c r="F124" s="126" t="str">
        <f>IF(C124="",C124,VLOOKUP(C124,'Списки участников'!A:I,6,FALSE))</f>
        <v>Электросталь</v>
      </c>
    </row>
    <row r="125" spans="1:6" ht="15.75" x14ac:dyDescent="0.2">
      <c r="A125" s="125" t="s">
        <v>771</v>
      </c>
      <c r="B125" s="127">
        <v>7</v>
      </c>
      <c r="C125" s="741">
        <f>SUMIF(ГР5М,7,№ИГР5)</f>
        <v>95</v>
      </c>
      <c r="D125" s="126" t="str">
        <f>IF(C125="",C125,VLOOKUP(C125,'Списки участников'!A:I,3,FALSE))</f>
        <v>БОЖЕНКОВ Евгений</v>
      </c>
      <c r="E125" s="126">
        <f>IF(C125="",C125,VLOOKUP(C125,'Списки участников'!A:I,5,FALSE))</f>
        <v>5</v>
      </c>
      <c r="F125" s="126" t="str">
        <f>IF(C125="",C125,VLOOKUP(C125,'Списки участников'!A:I,6,FALSE))</f>
        <v>Дмитров</v>
      </c>
    </row>
    <row r="126" spans="1:6" ht="15.75" x14ac:dyDescent="0.2">
      <c r="A126" s="125" t="s">
        <v>772</v>
      </c>
      <c r="B126" s="127">
        <v>7</v>
      </c>
      <c r="C126" s="741">
        <f>SUMIF(ГР6М,7,№ИГР6)</f>
        <v>96</v>
      </c>
      <c r="D126" s="126" t="str">
        <f>IF(C126="",C126,VLOOKUP(C126,'Списки участников'!A:I,3,FALSE))</f>
        <v>КОБЗЕВ Прохор</v>
      </c>
      <c r="E126" s="126">
        <f>IF(C126="",C126,VLOOKUP(C126,'Списки участников'!A:I,5,FALSE))</f>
        <v>5</v>
      </c>
      <c r="F126" s="126" t="str">
        <f>IF(C126="",C126,VLOOKUP(C126,'Списки участников'!A:I,6,FALSE))</f>
        <v>Людиново  Кал.обл.</v>
      </c>
    </row>
    <row r="127" spans="1:6" ht="15.75" x14ac:dyDescent="0.2">
      <c r="A127" s="125" t="s">
        <v>773</v>
      </c>
      <c r="B127" s="127">
        <v>7</v>
      </c>
      <c r="C127" s="741">
        <f>SUMIF(ГР7М,7,№ИГР7)</f>
        <v>92</v>
      </c>
      <c r="D127" s="126" t="str">
        <f>IF(C127="",C127,VLOOKUP(C127,'Списки участников'!A:I,3,FALSE))</f>
        <v>СОРОКИН Николай</v>
      </c>
      <c r="E127" s="126">
        <f>IF(C127="",C127,VLOOKUP(C127,'Списки участников'!A:I,5,FALSE))</f>
        <v>8</v>
      </c>
      <c r="F127" s="126" t="str">
        <f>IF(C127="",C127,VLOOKUP(C127,'Списки участников'!A:I,6,FALSE))</f>
        <v>Ильинский</v>
      </c>
    </row>
    <row r="128" spans="1:6" ht="15.75" x14ac:dyDescent="0.2">
      <c r="A128" s="125" t="s">
        <v>774</v>
      </c>
      <c r="B128" s="127">
        <v>7</v>
      </c>
      <c r="C128" s="741">
        <f>SUMIF(ГР8М,7,№ИГР8)</f>
        <v>93</v>
      </c>
      <c r="D128" s="126" t="str">
        <f>IF(C128="",C128,VLOOKUP(C128,'Списки участников'!A:I,3,FALSE))</f>
        <v>ЗАЙЦЕВ Сергей</v>
      </c>
      <c r="E128" s="126">
        <f>IF(C128="",C128,VLOOKUP(C128,'Списки участников'!A:I,5,FALSE))</f>
        <v>7</v>
      </c>
      <c r="F128" s="126" t="str">
        <f>IF(C128="",C128,VLOOKUP(C128,'Списки участников'!A:I,6,FALSE))</f>
        <v>Дмитров</v>
      </c>
    </row>
    <row r="129" spans="1:6" ht="15.75" hidden="1" outlineLevel="1" x14ac:dyDescent="0.2">
      <c r="A129" s="125" t="s">
        <v>775</v>
      </c>
      <c r="B129" s="127">
        <v>7</v>
      </c>
      <c r="C129" s="741">
        <f>SUMIF(ГР9М,7,№ИГР9)</f>
        <v>108</v>
      </c>
      <c r="D129" s="126" t="str">
        <f>IF(C129="",C129,VLOOKUP(C129,'Списки участников'!A:I,3,FALSE))</f>
        <v>ПРИЗЕНКО Артем</v>
      </c>
      <c r="E129" s="126">
        <f>IF(C129="",C129,VLOOKUP(C129,'Списки участников'!A:I,5,FALSE))</f>
        <v>0</v>
      </c>
      <c r="F129" s="126" t="str">
        <f>IF(C129="",C129,VLOOKUP(C129,'Списки участников'!A:I,6,FALSE))</f>
        <v>Москва</v>
      </c>
    </row>
    <row r="130" spans="1:6" ht="15.75" hidden="1" outlineLevel="1" x14ac:dyDescent="0.2">
      <c r="A130" s="125" t="s">
        <v>776</v>
      </c>
      <c r="B130" s="127">
        <v>7</v>
      </c>
      <c r="C130" s="741">
        <f>SUMIF(ГР10М,7,№ИГР10)</f>
        <v>109</v>
      </c>
      <c r="D130" s="126" t="str">
        <f>IF(C130="",C130,VLOOKUP(C130,'Списки участников'!A:I,3,FALSE))</f>
        <v>РЯБОШАПКА Федор</v>
      </c>
      <c r="E130" s="126">
        <f>IF(C130="",C130,VLOOKUP(C130,'Списки участников'!A:I,5,FALSE))</f>
        <v>0</v>
      </c>
      <c r="F130" s="126" t="str">
        <f>IF(C130="",C130,VLOOKUP(C130,'Списки участников'!A:I,6,FALSE))</f>
        <v>Домодедово  М.о.</v>
      </c>
    </row>
    <row r="131" spans="1:6" ht="15.75" hidden="1" outlineLevel="1" x14ac:dyDescent="0.2">
      <c r="A131" s="125" t="s">
        <v>777</v>
      </c>
      <c r="B131" s="127">
        <v>7</v>
      </c>
      <c r="C131" s="741">
        <f>SUMIF(ГР11М,7,№ИГР11)</f>
        <v>104</v>
      </c>
      <c r="D131" s="126" t="str">
        <f>IF(C131="",C131,VLOOKUP(C131,'Списки участников'!A:I,3,FALSE))</f>
        <v>БУЛАВИН Михаил</v>
      </c>
      <c r="E131" s="126">
        <f>IF(C131="",C131,VLOOKUP(C131,'Списки участников'!A:I,5,FALSE))</f>
        <v>0</v>
      </c>
      <c r="F131" s="126" t="str">
        <f>IF(C131="",C131,VLOOKUP(C131,'Списки участников'!A:I,6,FALSE))</f>
        <v>Домодедово  М.о.</v>
      </c>
    </row>
    <row r="132" spans="1:6" ht="15.75" hidden="1" outlineLevel="1" x14ac:dyDescent="0.2">
      <c r="A132" s="125" t="s">
        <v>778</v>
      </c>
      <c r="B132" s="127">
        <v>7</v>
      </c>
      <c r="C132" s="741">
        <f>SUMIF(ГР12М,7,№ИГР12)</f>
        <v>100</v>
      </c>
      <c r="D132" s="126" t="str">
        <f>IF(C132="",C132,VLOOKUP(C132,'Списки участников'!A:I,3,FALSE))</f>
        <v>ЕЛИСЕЕВ Илья</v>
      </c>
      <c r="E132" s="126">
        <f>IF(C132="",C132,VLOOKUP(C132,'Списки участников'!A:I,5,FALSE))</f>
        <v>0</v>
      </c>
      <c r="F132" s="126" t="str">
        <f>IF(C132="",C132,VLOOKUP(C132,'Списки участников'!A:I,6,FALSE))</f>
        <v>Москва</v>
      </c>
    </row>
    <row r="133" spans="1:6" ht="15.75" hidden="1" outlineLevel="1" x14ac:dyDescent="0.2">
      <c r="A133" s="125" t="s">
        <v>779</v>
      </c>
      <c r="B133" s="127">
        <v>7</v>
      </c>
      <c r="C133" s="741">
        <f>SUMIF(ГР13М,7,№ИГР13)</f>
        <v>21</v>
      </c>
      <c r="D133" s="126" t="str">
        <f>IF(C133="",C133,VLOOKUP(C133,'Списки участников'!A:I,3,FALSE))</f>
        <v>ДЕРНИКОВ Ефим</v>
      </c>
      <c r="E133" s="126">
        <f>IF(C133="",C133,VLOOKUP(C133,'Списки участников'!A:I,5,FALSE))</f>
        <v>185</v>
      </c>
      <c r="F133" s="126" t="str">
        <f>IF(C133="",C133,VLOOKUP(C133,'Списки участников'!A:I,6,FALSE))</f>
        <v>Москва</v>
      </c>
    </row>
    <row r="134" spans="1:6" ht="15.75" hidden="1" outlineLevel="1" x14ac:dyDescent="0.2">
      <c r="A134" s="125" t="s">
        <v>780</v>
      </c>
      <c r="B134" s="127">
        <v>7</v>
      </c>
      <c r="C134" s="741">
        <f>SUMIF(ГР14М,7,№ИГР14)</f>
        <v>0</v>
      </c>
      <c r="D134" s="126" t="e">
        <f>IF(C134="",C134,VLOOKUP(C134,'Списки участников'!A:I,3,FALSE))</f>
        <v>#N/A</v>
      </c>
      <c r="E134" s="126" t="e">
        <f>IF(C134="",C134,VLOOKUP(C134,'Списки участников'!A:I,5,FALSE))</f>
        <v>#N/A</v>
      </c>
      <c r="F134" s="126" t="e">
        <f>IF(C134="",C134,VLOOKUP(C134,'Списки участников'!A:I,6,FALSE))</f>
        <v>#N/A</v>
      </c>
    </row>
    <row r="135" spans="1:6" ht="15.75" hidden="1" outlineLevel="1" x14ac:dyDescent="0.2">
      <c r="A135" s="125" t="s">
        <v>781</v>
      </c>
      <c r="B135" s="127">
        <v>7</v>
      </c>
      <c r="C135" s="741">
        <f>SUMIF(ГР15М,7,№ИГР15)</f>
        <v>80</v>
      </c>
      <c r="D135" s="126" t="str">
        <f>IF(C135="",C135,VLOOKUP(C135,'Списки участников'!A:I,3,FALSE))</f>
        <v>ЛЕОНИДОВ Александр</v>
      </c>
      <c r="E135" s="126">
        <f>IF(C135="",C135,VLOOKUP(C135,'Списки участников'!A:I,5,FALSE))</f>
        <v>19</v>
      </c>
      <c r="F135" s="126" t="str">
        <f>IF(C135="",C135,VLOOKUP(C135,'Списки участников'!A:I,6,FALSE))</f>
        <v>Москва</v>
      </c>
    </row>
    <row r="136" spans="1:6" ht="15.75" hidden="1" outlineLevel="1" x14ac:dyDescent="0.2">
      <c r="A136" s="125" t="s">
        <v>782</v>
      </c>
      <c r="B136" s="127">
        <v>7</v>
      </c>
      <c r="C136" s="741">
        <f>SUMIF(ГР16М,7,№ИГР16)</f>
        <v>0</v>
      </c>
      <c r="D136" s="126" t="e">
        <f>IF(C136="",C136,VLOOKUP(C136,'Списки участников'!A:I,3,FALSE))</f>
        <v>#N/A</v>
      </c>
      <c r="E136" s="126" t="e">
        <f>IF(C136="",C136,VLOOKUP(C136,'Списки участников'!A:I,5,FALSE))</f>
        <v>#N/A</v>
      </c>
      <c r="F136" s="126" t="e">
        <f>IF(C136="",C136,VLOOKUP(C136,'Списки участников'!A:I,6,FALSE))</f>
        <v>#N/A</v>
      </c>
    </row>
    <row r="137" spans="1:6" collapsed="1" x14ac:dyDescent="0.2">
      <c r="A137" s="2"/>
      <c r="B137" s="2"/>
      <c r="C137" s="128"/>
      <c r="D137" s="129"/>
      <c r="E137" s="130"/>
      <c r="F137" s="131"/>
    </row>
    <row r="138" spans="1:6" x14ac:dyDescent="0.2">
      <c r="A138" s="1437" t="s">
        <v>765</v>
      </c>
      <c r="B138" s="1437"/>
      <c r="C138" s="1437"/>
      <c r="D138" s="1437"/>
      <c r="E138" s="1437"/>
      <c r="F138" s="1438"/>
    </row>
    <row r="139" spans="1:6" x14ac:dyDescent="0.2">
      <c r="A139" s="1439" t="s">
        <v>1142</v>
      </c>
      <c r="B139" s="1439"/>
      <c r="C139" s="1439"/>
      <c r="D139" s="1439"/>
      <c r="E139" s="1439"/>
      <c r="F139" s="1440"/>
    </row>
    <row r="140" spans="1:6" ht="15.75" x14ac:dyDescent="0.2">
      <c r="A140" s="125" t="s">
        <v>767</v>
      </c>
      <c r="B140" s="127">
        <v>8</v>
      </c>
      <c r="C140" s="741">
        <f>SUMIF(ГР1М,8,№ИГР1)</f>
        <v>112</v>
      </c>
      <c r="D140" s="126" t="str">
        <f>IF(C140="",C140,VLOOKUP(C140,'Списки участников'!A:I,3,FALSE))</f>
        <v>ЧЕРНОВ Артемий</v>
      </c>
      <c r="E140" s="126">
        <f>IF(C140="",C140,VLOOKUP(C140,'Списки участников'!A:I,5,FALSE))</f>
        <v>0</v>
      </c>
      <c r="F140" s="126" t="str">
        <f>IF(C140="",C140,VLOOKUP(C140,'Списки участников'!A:I,6,FALSE))</f>
        <v>Москва</v>
      </c>
    </row>
    <row r="141" spans="1:6" ht="15.75" x14ac:dyDescent="0.2">
      <c r="A141" s="125" t="s">
        <v>768</v>
      </c>
      <c r="B141" s="127">
        <v>8</v>
      </c>
      <c r="C141" s="741">
        <f>SUMIF(ГР2М,8,№ИГР2)</f>
        <v>0</v>
      </c>
      <c r="D141" s="126" t="e">
        <f>IF(C141="",C141,VLOOKUP(C141,'Списки участников'!A:I,3,FALSE))</f>
        <v>#N/A</v>
      </c>
      <c r="E141" s="126" t="e">
        <f>IF(C141="",C141,VLOOKUP(C141,'Списки участников'!A:I,5,FALSE))</f>
        <v>#N/A</v>
      </c>
      <c r="F141" s="126" t="e">
        <f>IF(C141="",C141,VLOOKUP(C141,'Списки участников'!A:I,6,FALSE))</f>
        <v>#N/A</v>
      </c>
    </row>
    <row r="142" spans="1:6" ht="15.75" x14ac:dyDescent="0.2">
      <c r="A142" s="125" t="s">
        <v>769</v>
      </c>
      <c r="B142" s="127">
        <v>8</v>
      </c>
      <c r="C142" s="741">
        <f>SUMIF(ГР3М,8,№ИГР3)</f>
        <v>0</v>
      </c>
      <c r="D142" s="126" t="e">
        <f>IF(C142="",C142,VLOOKUP(C142,'Списки участников'!A:I,3,FALSE))</f>
        <v>#N/A</v>
      </c>
      <c r="E142" s="126" t="e">
        <f>IF(C142="",C142,VLOOKUP(C142,'Списки участников'!A:I,5,FALSE))</f>
        <v>#N/A</v>
      </c>
      <c r="F142" s="126" t="e">
        <f>IF(C142="",C142,VLOOKUP(C142,'Списки участников'!A:I,6,FALSE))</f>
        <v>#N/A</v>
      </c>
    </row>
    <row r="143" spans="1:6" ht="15.75" x14ac:dyDescent="0.2">
      <c r="A143" s="125" t="s">
        <v>770</v>
      </c>
      <c r="B143" s="127">
        <v>8</v>
      </c>
      <c r="C143" s="741">
        <f>SUMIF(ГР4М,8,№ИГР4)</f>
        <v>0</v>
      </c>
      <c r="D143" s="126" t="e">
        <f>IF(C143="",C143,VLOOKUP(C143,'Списки участников'!A:I,3,FALSE))</f>
        <v>#N/A</v>
      </c>
      <c r="E143" s="126" t="e">
        <f>IF(C143="",C143,VLOOKUP(C143,'Списки участников'!A:I,5,FALSE))</f>
        <v>#N/A</v>
      </c>
      <c r="F143" s="126" t="e">
        <f>IF(C143="",C143,VLOOKUP(C143,'Списки участников'!A:I,6,FALSE))</f>
        <v>#N/A</v>
      </c>
    </row>
    <row r="144" spans="1:6" ht="15.75" x14ac:dyDescent="0.2">
      <c r="A144" s="125" t="s">
        <v>771</v>
      </c>
      <c r="B144" s="127">
        <v>8</v>
      </c>
      <c r="C144" s="741">
        <f>SUMIF(ГР5М,8,№ИГР5)</f>
        <v>0</v>
      </c>
      <c r="D144" s="126" t="e">
        <f>IF(C144="",C144,VLOOKUP(C144,'Списки участников'!A:I,3,FALSE))</f>
        <v>#N/A</v>
      </c>
      <c r="E144" s="126" t="e">
        <f>IF(C144="",C144,VLOOKUP(C144,'Списки участников'!A:I,5,FALSE))</f>
        <v>#N/A</v>
      </c>
      <c r="F144" s="126" t="e">
        <f>IF(C144="",C144,VLOOKUP(C144,'Списки участников'!A:I,6,FALSE))</f>
        <v>#N/A</v>
      </c>
    </row>
    <row r="145" spans="1:6" ht="15.75" x14ac:dyDescent="0.2">
      <c r="A145" s="125" t="s">
        <v>772</v>
      </c>
      <c r="B145" s="127">
        <v>8</v>
      </c>
      <c r="C145" s="741">
        <f>SUMIF(ГР6М,8,№ИГР6)</f>
        <v>0</v>
      </c>
      <c r="D145" s="126" t="e">
        <f>IF(C145="",C145,VLOOKUP(C145,'Списки участников'!A:I,3,FALSE))</f>
        <v>#N/A</v>
      </c>
      <c r="E145" s="126" t="e">
        <f>IF(C145="",C145,VLOOKUP(C145,'Списки участников'!A:I,5,FALSE))</f>
        <v>#N/A</v>
      </c>
      <c r="F145" s="126" t="e">
        <f>IF(C145="",C145,VLOOKUP(C145,'Списки участников'!A:I,6,FALSE))</f>
        <v>#N/A</v>
      </c>
    </row>
    <row r="146" spans="1:6" ht="15.75" x14ac:dyDescent="0.2">
      <c r="A146" s="125" t="s">
        <v>773</v>
      </c>
      <c r="B146" s="127">
        <v>8</v>
      </c>
      <c r="C146" s="741">
        <f>SUMIF(ГР7М,8,№ИГР7)</f>
        <v>0</v>
      </c>
      <c r="D146" s="126" t="e">
        <f>IF(C146="",C146,VLOOKUP(C146,'Списки участников'!A:I,3,FALSE))</f>
        <v>#N/A</v>
      </c>
      <c r="E146" s="126" t="e">
        <f>IF(C146="",C146,VLOOKUP(C146,'Списки участников'!A:I,5,FALSE))</f>
        <v>#N/A</v>
      </c>
      <c r="F146" s="126" t="e">
        <f>IF(C146="",C146,VLOOKUP(C146,'Списки участников'!A:I,6,FALSE))</f>
        <v>#N/A</v>
      </c>
    </row>
    <row r="147" spans="1:6" ht="15.75" x14ac:dyDescent="0.2">
      <c r="A147" s="125" t="s">
        <v>774</v>
      </c>
      <c r="B147" s="127">
        <v>8</v>
      </c>
      <c r="C147" s="741">
        <f>SUMIF(ГР8М,8,№ИГР8)</f>
        <v>0</v>
      </c>
      <c r="D147" s="126" t="e">
        <f>IF(C147="",C147,VLOOKUP(C147,'Списки участников'!A:I,3,FALSE))</f>
        <v>#N/A</v>
      </c>
      <c r="E147" s="126" t="e">
        <f>IF(C147="",C147,VLOOKUP(C147,'Списки участников'!A:I,5,FALSE))</f>
        <v>#N/A</v>
      </c>
      <c r="F147" s="126" t="e">
        <f>IF(C147="",C147,VLOOKUP(C147,'Списки участников'!A:I,6,FALSE))</f>
        <v>#N/A</v>
      </c>
    </row>
    <row r="148" spans="1:6" ht="15.75" hidden="1" outlineLevel="1" x14ac:dyDescent="0.2">
      <c r="A148" s="125" t="s">
        <v>775</v>
      </c>
      <c r="B148" s="127">
        <v>8</v>
      </c>
      <c r="C148" s="741">
        <f>SUMIF(ГР9М,8,№ИГР9)</f>
        <v>0</v>
      </c>
      <c r="D148" s="126" t="e">
        <f>IF(C148="",C148,VLOOKUP(C148,'Списки участников'!A:I,3,FALSE))</f>
        <v>#N/A</v>
      </c>
      <c r="E148" s="126" t="e">
        <f>IF(C148="",C148,VLOOKUP(C148,'Списки участников'!A:I,5,FALSE))</f>
        <v>#N/A</v>
      </c>
      <c r="F148" s="126" t="e">
        <f>IF(C148="",C148,VLOOKUP(C148,'Списки участников'!A:I,6,FALSE))</f>
        <v>#N/A</v>
      </c>
    </row>
    <row r="149" spans="1:6" ht="15.75" hidden="1" outlineLevel="1" x14ac:dyDescent="0.2">
      <c r="A149" s="125" t="s">
        <v>776</v>
      </c>
      <c r="B149" s="127">
        <v>8</v>
      </c>
      <c r="C149" s="741">
        <f>SUMIF(ГР10М,8,№ИГР10)</f>
        <v>0</v>
      </c>
      <c r="D149" s="126" t="e">
        <f>IF(C149="",C149,VLOOKUP(C149,'Списки участников'!A:I,3,FALSE))</f>
        <v>#N/A</v>
      </c>
      <c r="E149" s="126" t="e">
        <f>IF(C149="",C149,VLOOKUP(C149,'Списки участников'!A:I,5,FALSE))</f>
        <v>#N/A</v>
      </c>
      <c r="F149" s="126" t="e">
        <f>IF(C149="",C149,VLOOKUP(C149,'Списки участников'!A:I,6,FALSE))</f>
        <v>#N/A</v>
      </c>
    </row>
    <row r="150" spans="1:6" ht="15.75" hidden="1" outlineLevel="1" x14ac:dyDescent="0.2">
      <c r="A150" s="125" t="s">
        <v>777</v>
      </c>
      <c r="B150" s="127">
        <v>8</v>
      </c>
      <c r="C150" s="741">
        <f>SUMIF(ГР11М,8,№ИГР11)</f>
        <v>0</v>
      </c>
      <c r="D150" s="126" t="e">
        <f>IF(C150="",C150,VLOOKUP(C150,'Списки участников'!A:I,3,FALSE))</f>
        <v>#N/A</v>
      </c>
      <c r="E150" s="126" t="e">
        <f>IF(C150="",C150,VLOOKUP(C150,'Списки участников'!A:I,5,FALSE))</f>
        <v>#N/A</v>
      </c>
      <c r="F150" s="126" t="e">
        <f>IF(C150="",C150,VLOOKUP(C150,'Списки участников'!A:I,6,FALSE))</f>
        <v>#N/A</v>
      </c>
    </row>
    <row r="151" spans="1:6" ht="15.75" hidden="1" outlineLevel="1" x14ac:dyDescent="0.2">
      <c r="A151" s="125" t="s">
        <v>778</v>
      </c>
      <c r="B151" s="127">
        <v>8</v>
      </c>
      <c r="C151" s="741">
        <f>SUMIF(ГР12М,8,№ИГР12)</f>
        <v>0</v>
      </c>
      <c r="D151" s="126" t="e">
        <f>IF(C151="",C151,VLOOKUP(C151,'Списки участников'!A:I,3,FALSE))</f>
        <v>#N/A</v>
      </c>
      <c r="E151" s="126" t="e">
        <f>IF(C151="",C151,VLOOKUP(C151,'Списки участников'!A:I,5,FALSE))</f>
        <v>#N/A</v>
      </c>
      <c r="F151" s="126" t="e">
        <f>IF(C151="",C151,VLOOKUP(C151,'Списки участников'!A:I,6,FALSE))</f>
        <v>#N/A</v>
      </c>
    </row>
    <row r="152" spans="1:6" ht="15.75" hidden="1" outlineLevel="1" x14ac:dyDescent="0.2">
      <c r="A152" s="125" t="s">
        <v>779</v>
      </c>
      <c r="B152" s="127">
        <v>8</v>
      </c>
      <c r="C152" s="741">
        <f>SUMIF(ГР13М,8,№ИГР13)</f>
        <v>0</v>
      </c>
      <c r="D152" s="126" t="e">
        <f>IF(C152="",C152,VLOOKUP(C152,'Списки участников'!A:I,3,FALSE))</f>
        <v>#N/A</v>
      </c>
      <c r="E152" s="126" t="e">
        <f>IF(C152="",C152,VLOOKUP(C152,'Списки участников'!A:I,5,FALSE))</f>
        <v>#N/A</v>
      </c>
      <c r="F152" s="126" t="e">
        <f>IF(C152="",C152,VLOOKUP(C152,'Списки участников'!A:I,6,FALSE))</f>
        <v>#N/A</v>
      </c>
    </row>
    <row r="153" spans="1:6" ht="15.75" hidden="1" outlineLevel="1" x14ac:dyDescent="0.2">
      <c r="A153" s="125" t="s">
        <v>780</v>
      </c>
      <c r="B153" s="127">
        <v>8</v>
      </c>
      <c r="C153" s="741">
        <f>SUMIF(ГР14М,8,№ИГР14)</f>
        <v>0</v>
      </c>
      <c r="D153" s="126" t="e">
        <f>IF(C153="",C153,VLOOKUP(C153,'Списки участников'!A:I,3,FALSE))</f>
        <v>#N/A</v>
      </c>
      <c r="E153" s="126" t="e">
        <f>IF(C153="",C153,VLOOKUP(C153,'Списки участников'!A:I,5,FALSE))</f>
        <v>#N/A</v>
      </c>
      <c r="F153" s="126" t="e">
        <f>IF(C153="",C153,VLOOKUP(C153,'Списки участников'!A:I,6,FALSE))</f>
        <v>#N/A</v>
      </c>
    </row>
    <row r="154" spans="1:6" ht="15.75" hidden="1" outlineLevel="1" x14ac:dyDescent="0.2">
      <c r="A154" s="125" t="s">
        <v>781</v>
      </c>
      <c r="B154" s="127">
        <v>8</v>
      </c>
      <c r="C154" s="741">
        <f>SUMIF(ГР15М,8,№ИГР15)</f>
        <v>0</v>
      </c>
      <c r="D154" s="126" t="e">
        <f>IF(C154="",C154,VLOOKUP(C154,'Списки участников'!A:I,3,FALSE))</f>
        <v>#N/A</v>
      </c>
      <c r="E154" s="126" t="e">
        <f>IF(C154="",C154,VLOOKUP(C154,'Списки участников'!A:I,5,FALSE))</f>
        <v>#N/A</v>
      </c>
      <c r="F154" s="126" t="e">
        <f>IF(C154="",C154,VLOOKUP(C154,'Списки участников'!A:I,6,FALSE))</f>
        <v>#N/A</v>
      </c>
    </row>
    <row r="155" spans="1:6" ht="15.75" hidden="1" outlineLevel="1" x14ac:dyDescent="0.2">
      <c r="A155" s="125" t="s">
        <v>782</v>
      </c>
      <c r="B155" s="127">
        <v>8</v>
      </c>
      <c r="C155" s="741">
        <f>SUMIF(ГР16М,8,№ИГР16)</f>
        <v>0</v>
      </c>
      <c r="D155" s="126" t="e">
        <f>IF(C155="",C155,VLOOKUP(C155,'Списки участников'!A:I,3,FALSE))</f>
        <v>#N/A</v>
      </c>
      <c r="E155" s="126" t="e">
        <f>IF(C155="",C155,VLOOKUP(C155,'Списки участников'!A:I,5,FALSE))</f>
        <v>#N/A</v>
      </c>
      <c r="F155" s="126" t="e">
        <f>IF(C155="",C155,VLOOKUP(C155,'Списки участников'!A:I,6,FALSE))</f>
        <v>#N/A</v>
      </c>
    </row>
    <row r="156" spans="1:6" collapsed="1" x14ac:dyDescent="0.2"/>
    <row r="157" spans="1:6" x14ac:dyDescent="0.2">
      <c r="A157" s="1437" t="s">
        <v>765</v>
      </c>
      <c r="B157" s="1437"/>
      <c r="C157" s="1437"/>
      <c r="D157" s="1437"/>
      <c r="E157" s="1437"/>
      <c r="F157" s="1438"/>
    </row>
    <row r="158" spans="1:6" x14ac:dyDescent="0.2">
      <c r="A158" s="1439" t="s">
        <v>1143</v>
      </c>
      <c r="B158" s="1439"/>
      <c r="C158" s="1439"/>
      <c r="D158" s="1439"/>
      <c r="E158" s="1439"/>
      <c r="F158" s="1440"/>
    </row>
    <row r="159" spans="1:6" ht="15.75" x14ac:dyDescent="0.2">
      <c r="A159" s="125" t="s">
        <v>767</v>
      </c>
      <c r="B159" s="127">
        <v>9</v>
      </c>
      <c r="C159" s="741">
        <f>SUMIF(ГР1М,9,№ИГР1)</f>
        <v>0</v>
      </c>
      <c r="D159" s="126" t="e">
        <f>IF(C159="",C159,VLOOKUP(C159,'Списки участников'!A:I,3,FALSE))</f>
        <v>#N/A</v>
      </c>
      <c r="E159" s="126" t="e">
        <f>IF(C159="",C159,VLOOKUP(C159,'Списки участников'!A:I,5,FALSE))</f>
        <v>#N/A</v>
      </c>
      <c r="F159" s="126" t="e">
        <f>IF(C159="",C159,VLOOKUP(C159,'Списки участников'!A:I,6,FALSE))</f>
        <v>#N/A</v>
      </c>
    </row>
    <row r="160" spans="1:6" ht="15.75" x14ac:dyDescent="0.2">
      <c r="A160" s="125" t="s">
        <v>768</v>
      </c>
      <c r="B160" s="127">
        <v>9</v>
      </c>
      <c r="C160" s="741">
        <f>SUMIF(ГР2М,9,№ИГР2)</f>
        <v>0</v>
      </c>
      <c r="D160" s="126" t="e">
        <f>IF(C160="",C160,VLOOKUP(C160,'Списки участников'!A:I,3,FALSE))</f>
        <v>#N/A</v>
      </c>
      <c r="E160" s="126" t="e">
        <f>IF(C160="",C160,VLOOKUP(C160,'Списки участников'!A:I,5,FALSE))</f>
        <v>#N/A</v>
      </c>
      <c r="F160" s="126" t="e">
        <f>IF(C160="",C160,VLOOKUP(C160,'Списки участников'!A:I,6,FALSE))</f>
        <v>#N/A</v>
      </c>
    </row>
    <row r="161" spans="1:6" ht="15.75" x14ac:dyDescent="0.2">
      <c r="A161" s="125" t="s">
        <v>769</v>
      </c>
      <c r="B161" s="127">
        <v>9</v>
      </c>
      <c r="C161" s="741">
        <f>SUMIF(ГР3М,9,№ИГР3)</f>
        <v>0</v>
      </c>
      <c r="D161" s="126" t="e">
        <f>IF(C161="",C161,VLOOKUP(C161,'Списки участников'!A:I,3,FALSE))</f>
        <v>#N/A</v>
      </c>
      <c r="E161" s="126" t="e">
        <f>IF(C161="",C161,VLOOKUP(C161,'Списки участников'!A:I,5,FALSE))</f>
        <v>#N/A</v>
      </c>
      <c r="F161" s="126" t="e">
        <f>IF(C161="",C161,VLOOKUP(C161,'Списки участников'!A:I,6,FALSE))</f>
        <v>#N/A</v>
      </c>
    </row>
    <row r="162" spans="1:6" ht="15.75" x14ac:dyDescent="0.2">
      <c r="A162" s="125" t="s">
        <v>770</v>
      </c>
      <c r="B162" s="127">
        <v>9</v>
      </c>
      <c r="C162" s="741">
        <f>SUMIF(ГР4М,9,№ИГР4)</f>
        <v>0</v>
      </c>
      <c r="D162" s="126" t="e">
        <f>IF(C162="",C162,VLOOKUP(C162,'Списки участников'!A:I,3,FALSE))</f>
        <v>#N/A</v>
      </c>
      <c r="E162" s="126" t="e">
        <f>IF(C162="",C162,VLOOKUP(C162,'Списки участников'!A:I,5,FALSE))</f>
        <v>#N/A</v>
      </c>
      <c r="F162" s="126" t="e">
        <f>IF(C162="",C162,VLOOKUP(C162,'Списки участников'!A:I,6,FALSE))</f>
        <v>#N/A</v>
      </c>
    </row>
    <row r="163" spans="1:6" ht="15.75" x14ac:dyDescent="0.2">
      <c r="A163" s="125" t="s">
        <v>771</v>
      </c>
      <c r="B163" s="127">
        <v>9</v>
      </c>
      <c r="C163" s="741">
        <f>SUMIF(ГР5М,9,№ИГР5)</f>
        <v>0</v>
      </c>
      <c r="D163" s="126" t="e">
        <f>IF(C163="",C163,VLOOKUP(C163,'Списки участников'!A:I,3,FALSE))</f>
        <v>#N/A</v>
      </c>
      <c r="E163" s="126" t="e">
        <f>IF(C163="",C163,VLOOKUP(C163,'Списки участников'!A:I,5,FALSE))</f>
        <v>#N/A</v>
      </c>
      <c r="F163" s="126" t="e">
        <f>IF(C163="",C163,VLOOKUP(C163,'Списки участников'!A:I,6,FALSE))</f>
        <v>#N/A</v>
      </c>
    </row>
    <row r="164" spans="1:6" ht="15.75" x14ac:dyDescent="0.2">
      <c r="A164" s="125" t="s">
        <v>772</v>
      </c>
      <c r="B164" s="127">
        <v>9</v>
      </c>
      <c r="C164" s="741">
        <f>SUMIF(ГР6М,9,№ИГР6)</f>
        <v>0</v>
      </c>
      <c r="D164" s="126" t="e">
        <f>IF(C164="",C164,VLOOKUP(C164,'Списки участников'!A:I,3,FALSE))</f>
        <v>#N/A</v>
      </c>
      <c r="E164" s="126" t="e">
        <f>IF(C164="",C164,VLOOKUP(C164,'Списки участников'!A:I,5,FALSE))</f>
        <v>#N/A</v>
      </c>
      <c r="F164" s="126" t="e">
        <f>IF(C164="",C164,VLOOKUP(C164,'Списки участников'!A:I,6,FALSE))</f>
        <v>#N/A</v>
      </c>
    </row>
    <row r="165" spans="1:6" ht="15.75" x14ac:dyDescent="0.2">
      <c r="A165" s="125" t="s">
        <v>773</v>
      </c>
      <c r="B165" s="127">
        <v>9</v>
      </c>
      <c r="C165" s="741">
        <f>SUMIF(ГР7М,9,№ИГР7)</f>
        <v>0</v>
      </c>
      <c r="D165" s="126" t="e">
        <f>IF(C165="",C165,VLOOKUP(C165,'Списки участников'!A:I,3,FALSE))</f>
        <v>#N/A</v>
      </c>
      <c r="E165" s="126" t="e">
        <f>IF(C165="",C165,VLOOKUP(C165,'Списки участников'!A:I,5,FALSE))</f>
        <v>#N/A</v>
      </c>
      <c r="F165" s="126" t="e">
        <f>IF(C165="",C165,VLOOKUP(C165,'Списки участников'!A:I,6,FALSE))</f>
        <v>#N/A</v>
      </c>
    </row>
    <row r="166" spans="1:6" ht="15.75" x14ac:dyDescent="0.2">
      <c r="A166" s="125" t="s">
        <v>774</v>
      </c>
      <c r="B166" s="127">
        <v>9</v>
      </c>
      <c r="C166" s="741">
        <f>SUMIF(ГР8М,9,№ИГР8)</f>
        <v>0</v>
      </c>
      <c r="D166" s="126" t="e">
        <f>IF(C166="",C166,VLOOKUP(C166,'Списки участников'!A:I,3,FALSE))</f>
        <v>#N/A</v>
      </c>
      <c r="E166" s="126" t="e">
        <f>IF(C166="",C166,VLOOKUP(C166,'Списки участников'!A:I,5,FALSE))</f>
        <v>#N/A</v>
      </c>
      <c r="F166" s="126" t="e">
        <f>IF(C166="",C166,VLOOKUP(C166,'Списки участников'!A:I,6,FALSE))</f>
        <v>#N/A</v>
      </c>
    </row>
    <row r="167" spans="1:6" ht="15.75" hidden="1" outlineLevel="1" x14ac:dyDescent="0.2">
      <c r="A167" s="125" t="s">
        <v>775</v>
      </c>
      <c r="B167" s="127">
        <v>9</v>
      </c>
      <c r="C167" s="741">
        <f>SUMIF(ГР9М,9,№ИГР9)</f>
        <v>0</v>
      </c>
      <c r="D167" s="126" t="e">
        <f>IF(C167="",C167,VLOOKUP(C167,'Списки участников'!A:I,3,FALSE))</f>
        <v>#N/A</v>
      </c>
      <c r="E167" s="126" t="e">
        <f>IF(C167="",C167,VLOOKUP(C167,'Списки участников'!A:I,5,FALSE))</f>
        <v>#N/A</v>
      </c>
      <c r="F167" s="126" t="e">
        <f>IF(C167="",C167,VLOOKUP(C167,'Списки участников'!A:I,6,FALSE))</f>
        <v>#N/A</v>
      </c>
    </row>
    <row r="168" spans="1:6" ht="15.75" hidden="1" outlineLevel="1" x14ac:dyDescent="0.2">
      <c r="A168" s="125" t="s">
        <v>776</v>
      </c>
      <c r="B168" s="127">
        <v>9</v>
      </c>
      <c r="C168" s="741">
        <f>SUMIF(ГР10М,9,№ИГР10)</f>
        <v>0</v>
      </c>
      <c r="D168" s="126" t="e">
        <f>IF(C168="",C168,VLOOKUP(C168,'Списки участников'!A:I,3,FALSE))</f>
        <v>#N/A</v>
      </c>
      <c r="E168" s="126" t="e">
        <f>IF(C168="",C168,VLOOKUP(C168,'Списки участников'!A:I,5,FALSE))</f>
        <v>#N/A</v>
      </c>
      <c r="F168" s="126" t="e">
        <f>IF(C168="",C168,VLOOKUP(C168,'Списки участников'!A:I,6,FALSE))</f>
        <v>#N/A</v>
      </c>
    </row>
    <row r="169" spans="1:6" ht="15.75" hidden="1" outlineLevel="1" x14ac:dyDescent="0.2">
      <c r="A169" s="125" t="s">
        <v>777</v>
      </c>
      <c r="B169" s="127">
        <v>9</v>
      </c>
      <c r="C169" s="741">
        <f>SUMIF(ГР11М,9,№ИГР11)</f>
        <v>0</v>
      </c>
      <c r="D169" s="126" t="e">
        <f>IF(C169="",C169,VLOOKUP(C169,'Списки участников'!A:I,3,FALSE))</f>
        <v>#N/A</v>
      </c>
      <c r="E169" s="126" t="e">
        <f>IF(C169="",C169,VLOOKUP(C169,'Списки участников'!A:I,5,FALSE))</f>
        <v>#N/A</v>
      </c>
      <c r="F169" s="126" t="e">
        <f>IF(C169="",C169,VLOOKUP(C169,'Списки участников'!A:I,6,FALSE))</f>
        <v>#N/A</v>
      </c>
    </row>
    <row r="170" spans="1:6" ht="15.75" hidden="1" outlineLevel="1" x14ac:dyDescent="0.2">
      <c r="A170" s="125" t="s">
        <v>778</v>
      </c>
      <c r="B170" s="127">
        <v>9</v>
      </c>
      <c r="C170" s="741">
        <f>SUMIF(ГР12М,9,№ИГР12)</f>
        <v>0</v>
      </c>
      <c r="D170" s="126" t="e">
        <f>IF(C170="",C170,VLOOKUP(C170,'Списки участников'!A:I,3,FALSE))</f>
        <v>#N/A</v>
      </c>
      <c r="E170" s="126" t="e">
        <f>IF(C170="",C170,VLOOKUP(C170,'Списки участников'!A:I,5,FALSE))</f>
        <v>#N/A</v>
      </c>
      <c r="F170" s="126" t="e">
        <f>IF(C170="",C170,VLOOKUP(C170,'Списки участников'!A:I,6,FALSE))</f>
        <v>#N/A</v>
      </c>
    </row>
    <row r="171" spans="1:6" ht="15.75" hidden="1" outlineLevel="1" x14ac:dyDescent="0.2">
      <c r="A171" s="125" t="s">
        <v>779</v>
      </c>
      <c r="B171" s="127">
        <v>9</v>
      </c>
      <c r="C171" s="741">
        <f>SUMIF(ГР13М,9,№ИГР13)</f>
        <v>0</v>
      </c>
      <c r="D171" s="126" t="e">
        <f>IF(C171="",C171,VLOOKUP(C171,'Списки участников'!A:I,3,FALSE))</f>
        <v>#N/A</v>
      </c>
      <c r="E171" s="126" t="e">
        <f>IF(C171="",C171,VLOOKUP(C171,'Списки участников'!A:I,5,FALSE))</f>
        <v>#N/A</v>
      </c>
      <c r="F171" s="126" t="e">
        <f>IF(C171="",C171,VLOOKUP(C171,'Списки участников'!A:I,6,FALSE))</f>
        <v>#N/A</v>
      </c>
    </row>
    <row r="172" spans="1:6" ht="15.75" hidden="1" outlineLevel="1" x14ac:dyDescent="0.2">
      <c r="A172" s="125" t="s">
        <v>780</v>
      </c>
      <c r="B172" s="127">
        <v>9</v>
      </c>
      <c r="C172" s="741">
        <f>SUMIF(ГР14М,9,№ИГР14)</f>
        <v>0</v>
      </c>
      <c r="D172" s="126" t="e">
        <f>IF(C172="",C172,VLOOKUP(C172,'Списки участников'!A:I,3,FALSE))</f>
        <v>#N/A</v>
      </c>
      <c r="E172" s="126" t="e">
        <f>IF(C172="",C172,VLOOKUP(C172,'Списки участников'!A:I,5,FALSE))</f>
        <v>#N/A</v>
      </c>
      <c r="F172" s="126" t="e">
        <f>IF(C172="",C172,VLOOKUP(C172,'Списки участников'!A:I,6,FALSE))</f>
        <v>#N/A</v>
      </c>
    </row>
    <row r="173" spans="1:6" ht="15.75" hidden="1" outlineLevel="1" x14ac:dyDescent="0.2">
      <c r="A173" s="125" t="s">
        <v>781</v>
      </c>
      <c r="B173" s="127">
        <v>9</v>
      </c>
      <c r="C173" s="741">
        <f>SUMIF(ГР15М,9,№ИГР15)</f>
        <v>0</v>
      </c>
      <c r="D173" s="126" t="e">
        <f>IF(C173="",C173,VLOOKUP(C173,'Списки участников'!A:I,3,FALSE))</f>
        <v>#N/A</v>
      </c>
      <c r="E173" s="126" t="e">
        <f>IF(C173="",C173,VLOOKUP(C173,'Списки участников'!A:I,5,FALSE))</f>
        <v>#N/A</v>
      </c>
      <c r="F173" s="126" t="e">
        <f>IF(C173="",C173,VLOOKUP(C173,'Списки участников'!A:I,6,FALSE))</f>
        <v>#N/A</v>
      </c>
    </row>
    <row r="174" spans="1:6" ht="15.75" hidden="1" outlineLevel="1" x14ac:dyDescent="0.2">
      <c r="A174" s="125" t="s">
        <v>782</v>
      </c>
      <c r="B174" s="127">
        <v>9</v>
      </c>
      <c r="C174" s="741">
        <f>SUMIF(ГР16М,9,№ИГР16)</f>
        <v>0</v>
      </c>
      <c r="D174" s="126" t="e">
        <f>IF(C174="",C174,VLOOKUP(C174,'Списки участников'!A:I,3,FALSE))</f>
        <v>#N/A</v>
      </c>
      <c r="E174" s="126" t="e">
        <f>IF(C174="",C174,VLOOKUP(C174,'Списки участников'!A:I,5,FALSE))</f>
        <v>#N/A</v>
      </c>
      <c r="F174" s="126" t="e">
        <f>IF(C174="",C174,VLOOKUP(C174,'Списки участников'!A:I,6,FALSE))</f>
        <v>#N/A</v>
      </c>
    </row>
    <row r="175" spans="1:6" ht="15.75" collapsed="1" x14ac:dyDescent="0.2">
      <c r="A175" s="905"/>
      <c r="B175" s="906"/>
      <c r="C175" s="907"/>
      <c r="D175" s="908"/>
      <c r="E175" s="908"/>
      <c r="F175" s="908"/>
    </row>
    <row r="176" spans="1:6" ht="15.75" x14ac:dyDescent="0.2">
      <c r="A176" s="905"/>
      <c r="B176" s="906"/>
      <c r="C176" s="907"/>
      <c r="D176" s="908"/>
      <c r="E176" s="908"/>
      <c r="F176" s="908"/>
    </row>
    <row r="177" spans="1:6" ht="15.75" x14ac:dyDescent="0.2">
      <c r="A177" s="905"/>
      <c r="B177" s="906"/>
      <c r="C177" s="907"/>
      <c r="D177" s="908"/>
      <c r="E177" s="908"/>
      <c r="F177" s="908"/>
    </row>
    <row r="178" spans="1:6" ht="15.75" x14ac:dyDescent="0.2">
      <c r="A178" s="905"/>
      <c r="B178" s="906"/>
      <c r="C178" s="907"/>
      <c r="D178" s="908"/>
      <c r="E178" s="908"/>
      <c r="F178" s="908"/>
    </row>
    <row r="179" spans="1:6" ht="15.75" x14ac:dyDescent="0.2">
      <c r="A179" s="905"/>
      <c r="B179" s="906"/>
      <c r="C179" s="907"/>
      <c r="D179" s="908"/>
      <c r="E179" s="908"/>
      <c r="F179" s="908"/>
    </row>
    <row r="180" spans="1:6" ht="15.75" x14ac:dyDescent="0.2">
      <c r="A180" s="905"/>
      <c r="B180" s="906"/>
      <c r="C180" s="907"/>
      <c r="D180" s="908"/>
      <c r="E180" s="908"/>
      <c r="F180" s="908"/>
    </row>
    <row r="181" spans="1:6" ht="15.75" x14ac:dyDescent="0.2">
      <c r="A181" s="905"/>
      <c r="B181" s="906"/>
      <c r="C181" s="907"/>
      <c r="D181" s="908"/>
      <c r="E181" s="908"/>
      <c r="F181" s="908"/>
    </row>
    <row r="182" spans="1:6" ht="15.75" x14ac:dyDescent="0.2">
      <c r="A182" s="905"/>
      <c r="B182" s="906"/>
      <c r="C182" s="907"/>
      <c r="D182" s="908"/>
      <c r="E182" s="908"/>
      <c r="F182" s="908"/>
    </row>
    <row r="183" spans="1:6" ht="15.75" x14ac:dyDescent="0.2">
      <c r="A183" s="905"/>
      <c r="B183" s="906"/>
      <c r="C183" s="907"/>
      <c r="D183" s="908"/>
      <c r="E183" s="908"/>
      <c r="F183" s="908"/>
    </row>
    <row r="184" spans="1:6" ht="15.75" x14ac:dyDescent="0.2">
      <c r="A184" s="905"/>
      <c r="B184" s="906"/>
      <c r="C184" s="907"/>
      <c r="D184" s="908"/>
      <c r="E184" s="908"/>
      <c r="F184" s="908"/>
    </row>
    <row r="185" spans="1:6" ht="15.75" x14ac:dyDescent="0.2">
      <c r="A185" s="905"/>
      <c r="B185" s="906"/>
      <c r="C185" s="907"/>
      <c r="D185" s="908"/>
      <c r="E185" s="908"/>
      <c r="F185" s="908"/>
    </row>
    <row r="186" spans="1:6" x14ac:dyDescent="0.2">
      <c r="A186" s="905"/>
    </row>
  </sheetData>
  <mergeCells count="34">
    <mergeCell ref="A2:F2"/>
    <mergeCell ref="G2:G11"/>
    <mergeCell ref="J2:J11"/>
    <mergeCell ref="M2:M11"/>
    <mergeCell ref="P2:P11"/>
    <mergeCell ref="A3:F3"/>
    <mergeCell ref="A21:F21"/>
    <mergeCell ref="G21:G30"/>
    <mergeCell ref="J21:J30"/>
    <mergeCell ref="M21:M30"/>
    <mergeCell ref="P21:P30"/>
    <mergeCell ref="A22:F22"/>
    <mergeCell ref="A41:F41"/>
    <mergeCell ref="G41:G50"/>
    <mergeCell ref="J41:J50"/>
    <mergeCell ref="M41:M50"/>
    <mergeCell ref="P41:P50"/>
    <mergeCell ref="A42:F42"/>
    <mergeCell ref="A60:F60"/>
    <mergeCell ref="G60:G69"/>
    <mergeCell ref="J60:J69"/>
    <mergeCell ref="M60:M69"/>
    <mergeCell ref="P60:P69"/>
    <mergeCell ref="A61:F61"/>
    <mergeCell ref="A120:F120"/>
    <mergeCell ref="A138:F138"/>
    <mergeCell ref="A139:F139"/>
    <mergeCell ref="A157:F157"/>
    <mergeCell ref="A158:F158"/>
    <mergeCell ref="A80:F80"/>
    <mergeCell ref="A81:F81"/>
    <mergeCell ref="A99:F99"/>
    <mergeCell ref="A100:F100"/>
    <mergeCell ref="A119:F119"/>
  </mergeCells>
  <conditionalFormatting sqref="H33:I33">
    <cfRule type="containsText" dxfId="6" priority="7" stopIfTrue="1" operator="containsText" text="ОТСОРТИРЙТЕ">
      <formula>NOT(ISERROR(SEARCH("ОТСОРТИРЙТЕ",H33)))</formula>
    </cfRule>
  </conditionalFormatting>
  <conditionalFormatting sqref="H33">
    <cfRule type="containsText" dxfId="5" priority="6" stopIfTrue="1" operator="containsText" text="ОТСОРТИРУЙТЕ">
      <formula>NOT(ISERROR(SEARCH("ОТСОРТИРУЙТЕ",H33)))</formula>
    </cfRule>
  </conditionalFormatting>
  <conditionalFormatting sqref="D1">
    <cfRule type="containsText" dxfId="4" priority="1" stopIfTrue="1" operator="containsText" text="ОТ">
      <formula>NOT(ISERROR(SEARCH("ОТ",D1)))</formula>
    </cfRule>
    <cfRule type="containsText" dxfId="3" priority="2" stopIfTrue="1" operator="containsText" text="ОТСОРТИРЙТЕ">
      <formula>NOT(ISERROR(SEARCH("ОТСОРТИРЙТЕ",D1)))</formula>
    </cfRule>
    <cfRule type="containsText" dxfId="2" priority="3" stopIfTrue="1" operator="containsText" text="&quot;ОТСОРТИРУЙТЕ&quot;">
      <formula>NOT(ISERROR(SEARCH("""ОТСОРТИРУЙТЕ""",D1)))</formula>
    </cfRule>
    <cfRule type="containsText" dxfId="1" priority="4" stopIfTrue="1" operator="containsText" text="&quot;ОТСОРТИРУЙТЕ&quot;">
      <formula>NOT(ISERROR(SEARCH("""ОТСОРТИРУЙТЕ""",D1)))</formula>
    </cfRule>
    <cfRule type="containsText" dxfId="0" priority="5" stopIfTrue="1" operator="containsText" text="&quot;ОТСОРТИРУЙТЕ&quot;">
      <formula>NOT(ISERROR(SEARCH("""ОТСОРТИРУЙТЕ""",D1)))</formula>
    </cfRule>
  </conditionalFormatting>
  <pageMargins left="0.70866141732283472" right="0.70866141732283472" top="0.74803149606299213" bottom="0.74803149606299213" header="0.31496062992125984" footer="0.31496062992125984"/>
  <pageSetup paperSize="9" scale="94" orientation="portrait" r:id="rId1"/>
  <rowBreaks count="2" manualBreakCount="2">
    <brk id="77" max="5" man="1"/>
    <brk id="147" max="5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0070C0"/>
  </sheetPr>
  <dimension ref="A1:G4334"/>
  <sheetViews>
    <sheetView topLeftCell="A2732" zoomScale="130" zoomScaleNormal="130" workbookViewId="0">
      <selection activeCell="C2739" sqref="C2739"/>
    </sheetView>
  </sheetViews>
  <sheetFormatPr defaultColWidth="9.33203125" defaultRowHeight="15" x14ac:dyDescent="0.25"/>
  <cols>
    <col min="1" max="2" width="14.83203125" style="940" customWidth="1"/>
    <col min="3" max="3" width="30" customWidth="1"/>
    <col min="4" max="4" width="20.6640625" style="940" customWidth="1"/>
    <col min="5" max="5" width="34.6640625" customWidth="1"/>
    <col min="6" max="6" width="8.83203125" customWidth="1"/>
    <col min="7" max="16384" width="9.33203125" style="114"/>
  </cols>
  <sheetData>
    <row r="1" spans="1:7" x14ac:dyDescent="0.25">
      <c r="A1" s="942" t="s">
        <v>100</v>
      </c>
      <c r="B1" s="942" t="s">
        <v>6</v>
      </c>
      <c r="C1" s="942" t="s">
        <v>101</v>
      </c>
      <c r="D1" s="942" t="s">
        <v>5</v>
      </c>
      <c r="E1" s="942" t="s">
        <v>44</v>
      </c>
    </row>
    <row r="2" spans="1:7" x14ac:dyDescent="0.25">
      <c r="A2" s="940">
        <v>3395</v>
      </c>
      <c r="B2" s="940">
        <v>1</v>
      </c>
      <c r="C2" t="s">
        <v>2604</v>
      </c>
      <c r="D2" s="940" t="s">
        <v>2605</v>
      </c>
      <c r="E2" t="s">
        <v>2606</v>
      </c>
      <c r="F2">
        <v>1</v>
      </c>
    </row>
    <row r="3" spans="1:7" x14ac:dyDescent="0.25">
      <c r="A3" s="940">
        <v>730</v>
      </c>
      <c r="B3" s="940">
        <v>330</v>
      </c>
      <c r="C3" t="s">
        <v>2607</v>
      </c>
      <c r="D3" s="940" t="s">
        <v>2608</v>
      </c>
      <c r="E3" t="s">
        <v>140</v>
      </c>
      <c r="F3">
        <v>1</v>
      </c>
    </row>
    <row r="4" spans="1:7" x14ac:dyDescent="0.25">
      <c r="A4" s="940">
        <v>664</v>
      </c>
      <c r="B4" s="940">
        <v>368</v>
      </c>
      <c r="C4" t="s">
        <v>2609</v>
      </c>
      <c r="D4" s="940" t="s">
        <v>2610</v>
      </c>
      <c r="E4" t="s">
        <v>103</v>
      </c>
      <c r="F4">
        <v>1</v>
      </c>
      <c r="G4" s="135"/>
    </row>
    <row r="5" spans="1:7" x14ac:dyDescent="0.25">
      <c r="A5" s="940">
        <v>1500</v>
      </c>
      <c r="B5" s="940">
        <v>106</v>
      </c>
      <c r="C5" t="s">
        <v>2611</v>
      </c>
      <c r="D5" s="940" t="s">
        <v>2612</v>
      </c>
      <c r="E5" t="s">
        <v>2613</v>
      </c>
      <c r="F5">
        <v>1</v>
      </c>
      <c r="G5" s="135"/>
    </row>
    <row r="6" spans="1:7" x14ac:dyDescent="0.25">
      <c r="A6" s="940">
        <v>2370</v>
      </c>
      <c r="B6" s="940">
        <v>32</v>
      </c>
      <c r="C6" t="s">
        <v>2614</v>
      </c>
      <c r="D6" s="940" t="s">
        <v>2615</v>
      </c>
      <c r="E6" t="s">
        <v>2613</v>
      </c>
      <c r="F6">
        <v>1</v>
      </c>
      <c r="G6" s="135"/>
    </row>
    <row r="7" spans="1:7" x14ac:dyDescent="0.25">
      <c r="A7" s="940">
        <v>1193</v>
      </c>
      <c r="B7" s="940">
        <v>158</v>
      </c>
      <c r="C7" t="s">
        <v>2616</v>
      </c>
      <c r="D7" s="940" t="s">
        <v>2617</v>
      </c>
      <c r="E7" t="s">
        <v>105</v>
      </c>
      <c r="F7">
        <v>1</v>
      </c>
      <c r="G7" s="135"/>
    </row>
    <row r="8" spans="1:7" x14ac:dyDescent="0.25">
      <c r="A8" s="940">
        <v>2461</v>
      </c>
      <c r="B8" s="940">
        <v>27</v>
      </c>
      <c r="C8" t="s">
        <v>2618</v>
      </c>
      <c r="D8" s="940" t="s">
        <v>2619</v>
      </c>
      <c r="E8" t="s">
        <v>74</v>
      </c>
      <c r="F8">
        <v>1</v>
      </c>
      <c r="G8" s="135"/>
    </row>
    <row r="9" spans="1:7" x14ac:dyDescent="0.25">
      <c r="A9" s="940">
        <v>2626</v>
      </c>
      <c r="B9" s="940">
        <v>19</v>
      </c>
      <c r="C9" t="s">
        <v>2620</v>
      </c>
      <c r="D9" s="940" t="s">
        <v>2621</v>
      </c>
      <c r="E9" t="s">
        <v>72</v>
      </c>
      <c r="F9">
        <v>1</v>
      </c>
      <c r="G9" s="135"/>
    </row>
    <row r="10" spans="1:7" x14ac:dyDescent="0.25">
      <c r="A10" s="940">
        <v>3490</v>
      </c>
      <c r="B10" s="940">
        <v>0</v>
      </c>
      <c r="C10" t="s">
        <v>2622</v>
      </c>
      <c r="D10" s="940" t="s">
        <v>2623</v>
      </c>
      <c r="E10" t="s">
        <v>2624</v>
      </c>
      <c r="F10">
        <v>1</v>
      </c>
      <c r="G10" s="135"/>
    </row>
    <row r="11" spans="1:7" x14ac:dyDescent="0.25">
      <c r="A11" s="940">
        <v>3045</v>
      </c>
      <c r="B11" s="940">
        <v>7</v>
      </c>
      <c r="C11" t="s">
        <v>2625</v>
      </c>
      <c r="D11" s="940" t="s">
        <v>2626</v>
      </c>
      <c r="E11" t="s">
        <v>99</v>
      </c>
      <c r="F11">
        <v>1</v>
      </c>
      <c r="G11" s="135"/>
    </row>
    <row r="12" spans="1:7" x14ac:dyDescent="0.25">
      <c r="A12" s="940">
        <v>560</v>
      </c>
      <c r="B12" s="940">
        <v>427</v>
      </c>
      <c r="C12" t="s">
        <v>2627</v>
      </c>
      <c r="D12" s="940" t="s">
        <v>2628</v>
      </c>
      <c r="E12" t="s">
        <v>107</v>
      </c>
      <c r="F12">
        <v>1</v>
      </c>
      <c r="G12" s="135"/>
    </row>
    <row r="13" spans="1:7" x14ac:dyDescent="0.25">
      <c r="A13" s="940">
        <v>1011</v>
      </c>
      <c r="B13" s="940">
        <v>212</v>
      </c>
      <c r="C13" t="s">
        <v>2629</v>
      </c>
      <c r="D13" s="940" t="s">
        <v>2630</v>
      </c>
      <c r="E13" t="s">
        <v>111</v>
      </c>
      <c r="F13">
        <v>1</v>
      </c>
      <c r="G13" s="135"/>
    </row>
    <row r="14" spans="1:7" x14ac:dyDescent="0.25">
      <c r="A14" s="940">
        <v>2174</v>
      </c>
      <c r="B14" s="940">
        <v>44</v>
      </c>
      <c r="C14" t="s">
        <v>2631</v>
      </c>
      <c r="D14" s="940" t="s">
        <v>2632</v>
      </c>
      <c r="E14" t="s">
        <v>1214</v>
      </c>
      <c r="F14">
        <v>1</v>
      </c>
      <c r="G14" s="135"/>
    </row>
    <row r="15" spans="1:7" x14ac:dyDescent="0.25">
      <c r="A15" s="940">
        <v>54</v>
      </c>
      <c r="B15" s="940">
        <v>1272</v>
      </c>
      <c r="C15" t="s">
        <v>1161</v>
      </c>
      <c r="D15" s="940" t="s">
        <v>2633</v>
      </c>
      <c r="E15" t="s">
        <v>1171</v>
      </c>
      <c r="F15">
        <v>1</v>
      </c>
      <c r="G15" s="135"/>
    </row>
    <row r="16" spans="1:7" x14ac:dyDescent="0.25">
      <c r="A16" s="940">
        <v>887</v>
      </c>
      <c r="B16" s="940">
        <v>259</v>
      </c>
      <c r="C16" t="s">
        <v>1164</v>
      </c>
      <c r="D16" s="940" t="s">
        <v>2634</v>
      </c>
      <c r="E16" t="s">
        <v>118</v>
      </c>
      <c r="F16">
        <v>1</v>
      </c>
      <c r="G16" s="135"/>
    </row>
    <row r="17" spans="1:7" x14ac:dyDescent="0.25">
      <c r="A17" s="940">
        <v>1484</v>
      </c>
      <c r="B17" s="940">
        <v>108</v>
      </c>
      <c r="C17" t="s">
        <v>1165</v>
      </c>
      <c r="D17" s="940" t="s">
        <v>2635</v>
      </c>
      <c r="E17" t="s">
        <v>114</v>
      </c>
      <c r="F17">
        <v>1</v>
      </c>
      <c r="G17" s="135"/>
    </row>
    <row r="18" spans="1:7" x14ac:dyDescent="0.25">
      <c r="A18" s="940">
        <v>1627</v>
      </c>
      <c r="B18" s="940">
        <v>92</v>
      </c>
      <c r="C18" t="s">
        <v>2636</v>
      </c>
      <c r="D18" s="940" t="s">
        <v>2637</v>
      </c>
      <c r="E18" t="s">
        <v>111</v>
      </c>
      <c r="F18">
        <v>1</v>
      </c>
      <c r="G18" s="135"/>
    </row>
    <row r="19" spans="1:7" x14ac:dyDescent="0.25">
      <c r="A19" s="940">
        <v>3490</v>
      </c>
      <c r="B19" s="940">
        <v>0</v>
      </c>
      <c r="C19" t="s">
        <v>2638</v>
      </c>
      <c r="D19" s="940" t="s">
        <v>2639</v>
      </c>
      <c r="E19" t="s">
        <v>105</v>
      </c>
      <c r="F19">
        <v>1</v>
      </c>
      <c r="G19" s="135"/>
    </row>
    <row r="20" spans="1:7" x14ac:dyDescent="0.25">
      <c r="A20" s="940">
        <v>2714</v>
      </c>
      <c r="B20" s="940">
        <v>16</v>
      </c>
      <c r="C20" t="s">
        <v>2640</v>
      </c>
      <c r="D20" s="940" t="s">
        <v>2641</v>
      </c>
      <c r="E20" t="s">
        <v>1460</v>
      </c>
      <c r="F20">
        <v>1</v>
      </c>
      <c r="G20" s="135"/>
    </row>
    <row r="21" spans="1:7" x14ac:dyDescent="0.25">
      <c r="A21" s="940">
        <v>1174</v>
      </c>
      <c r="B21" s="940">
        <v>163</v>
      </c>
      <c r="C21" t="s">
        <v>2642</v>
      </c>
      <c r="D21" s="940" t="s">
        <v>2643</v>
      </c>
      <c r="E21" t="s">
        <v>427</v>
      </c>
      <c r="F21">
        <v>1</v>
      </c>
      <c r="G21" s="135"/>
    </row>
    <row r="22" spans="1:7" x14ac:dyDescent="0.25">
      <c r="A22" s="940">
        <v>2515</v>
      </c>
      <c r="B22" s="940">
        <v>24</v>
      </c>
      <c r="C22" t="s">
        <v>2644</v>
      </c>
      <c r="D22" s="940" t="s">
        <v>2645</v>
      </c>
      <c r="E22" t="s">
        <v>1856</v>
      </c>
      <c r="F22">
        <v>1</v>
      </c>
      <c r="G22" s="135"/>
    </row>
    <row r="23" spans="1:7" x14ac:dyDescent="0.25">
      <c r="A23" s="940">
        <v>2461</v>
      </c>
      <c r="B23" s="940">
        <v>27</v>
      </c>
      <c r="C23" t="s">
        <v>2646</v>
      </c>
      <c r="D23" s="940" t="s">
        <v>2647</v>
      </c>
      <c r="E23" t="s">
        <v>105</v>
      </c>
      <c r="F23">
        <v>1</v>
      </c>
      <c r="G23" s="135"/>
    </row>
    <row r="24" spans="1:7" x14ac:dyDescent="0.25">
      <c r="A24" s="940">
        <v>3327</v>
      </c>
      <c r="B24" s="940">
        <v>2</v>
      </c>
      <c r="C24" t="s">
        <v>2648</v>
      </c>
      <c r="D24" s="940" t="s">
        <v>2649</v>
      </c>
      <c r="E24" t="s">
        <v>231</v>
      </c>
      <c r="F24">
        <v>1</v>
      </c>
      <c r="G24" s="135"/>
    </row>
    <row r="25" spans="1:7" x14ac:dyDescent="0.25">
      <c r="A25" s="940">
        <v>1781</v>
      </c>
      <c r="B25" s="940">
        <v>75</v>
      </c>
      <c r="C25" t="s">
        <v>2650</v>
      </c>
      <c r="D25" s="940" t="s">
        <v>2651</v>
      </c>
      <c r="E25" t="s">
        <v>1221</v>
      </c>
      <c r="F25">
        <v>1</v>
      </c>
      <c r="G25" s="135"/>
    </row>
    <row r="26" spans="1:7" x14ac:dyDescent="0.25">
      <c r="A26" s="940">
        <v>3490</v>
      </c>
      <c r="B26" s="940">
        <v>0</v>
      </c>
      <c r="C26" t="s">
        <v>2652</v>
      </c>
      <c r="D26" s="940" t="s">
        <v>2653</v>
      </c>
      <c r="E26" t="s">
        <v>2654</v>
      </c>
      <c r="F26">
        <v>1</v>
      </c>
      <c r="G26" s="135"/>
    </row>
    <row r="27" spans="1:7" x14ac:dyDescent="0.25">
      <c r="A27" s="940">
        <v>852</v>
      </c>
      <c r="B27" s="940">
        <v>272</v>
      </c>
      <c r="C27" t="s">
        <v>2655</v>
      </c>
      <c r="D27" s="940" t="s">
        <v>2656</v>
      </c>
      <c r="E27" t="s">
        <v>163</v>
      </c>
      <c r="F27">
        <v>1</v>
      </c>
      <c r="G27" s="135"/>
    </row>
    <row r="28" spans="1:7" x14ac:dyDescent="0.25">
      <c r="A28" s="940">
        <v>1090</v>
      </c>
      <c r="B28" s="940">
        <v>185</v>
      </c>
      <c r="C28" t="s">
        <v>2534</v>
      </c>
      <c r="D28" s="940" t="s">
        <v>2657</v>
      </c>
      <c r="E28" t="s">
        <v>133</v>
      </c>
      <c r="F28">
        <v>1</v>
      </c>
      <c r="G28" s="135"/>
    </row>
    <row r="29" spans="1:7" x14ac:dyDescent="0.25">
      <c r="A29" s="940">
        <v>2098</v>
      </c>
      <c r="B29" s="940">
        <v>49</v>
      </c>
      <c r="C29" t="s">
        <v>2658</v>
      </c>
      <c r="D29" s="940" t="s">
        <v>2659</v>
      </c>
      <c r="E29" t="s">
        <v>2660</v>
      </c>
      <c r="F29">
        <v>1</v>
      </c>
      <c r="G29" s="135"/>
    </row>
    <row r="30" spans="1:7" x14ac:dyDescent="0.25">
      <c r="A30" s="940">
        <v>1210</v>
      </c>
      <c r="B30" s="940">
        <v>154</v>
      </c>
      <c r="C30" t="s">
        <v>2661</v>
      </c>
      <c r="D30" s="940" t="s">
        <v>2662</v>
      </c>
      <c r="E30" t="s">
        <v>105</v>
      </c>
      <c r="F30">
        <v>1</v>
      </c>
      <c r="G30" s="135"/>
    </row>
    <row r="31" spans="1:7" x14ac:dyDescent="0.25">
      <c r="A31" s="940">
        <v>3490</v>
      </c>
      <c r="B31" s="940">
        <v>0</v>
      </c>
      <c r="C31" t="s">
        <v>2663</v>
      </c>
      <c r="D31" s="940" t="s">
        <v>2664</v>
      </c>
      <c r="E31" t="s">
        <v>1221</v>
      </c>
      <c r="F31">
        <v>1</v>
      </c>
      <c r="G31" s="135"/>
    </row>
    <row r="32" spans="1:7" x14ac:dyDescent="0.25">
      <c r="A32" s="940">
        <v>3490</v>
      </c>
      <c r="B32" s="940">
        <v>0</v>
      </c>
      <c r="C32" t="s">
        <v>2665</v>
      </c>
      <c r="D32" s="940" t="s">
        <v>2666</v>
      </c>
      <c r="E32" t="s">
        <v>2667</v>
      </c>
      <c r="F32">
        <v>1</v>
      </c>
      <c r="G32" s="135"/>
    </row>
    <row r="33" spans="1:7" x14ac:dyDescent="0.25">
      <c r="A33" s="940">
        <v>1452</v>
      </c>
      <c r="B33" s="940">
        <v>113</v>
      </c>
      <c r="C33" t="s">
        <v>2668</v>
      </c>
      <c r="D33" s="940" t="s">
        <v>2669</v>
      </c>
      <c r="E33" t="s">
        <v>72</v>
      </c>
      <c r="F33">
        <v>1</v>
      </c>
      <c r="G33" s="135"/>
    </row>
    <row r="34" spans="1:7" x14ac:dyDescent="0.25">
      <c r="A34" s="940">
        <v>1266</v>
      </c>
      <c r="B34" s="940">
        <v>142</v>
      </c>
      <c r="C34" t="s">
        <v>2670</v>
      </c>
      <c r="D34" s="940" t="s">
        <v>2671</v>
      </c>
      <c r="E34" t="s">
        <v>2672</v>
      </c>
      <c r="F34">
        <v>1</v>
      </c>
      <c r="G34" s="135"/>
    </row>
    <row r="35" spans="1:7" x14ac:dyDescent="0.25">
      <c r="A35" s="940">
        <v>2907</v>
      </c>
      <c r="B35" s="940">
        <v>10</v>
      </c>
      <c r="C35" t="s">
        <v>2673</v>
      </c>
      <c r="D35" s="940" t="s">
        <v>2674</v>
      </c>
      <c r="E35" t="s">
        <v>186</v>
      </c>
      <c r="F35">
        <v>1</v>
      </c>
      <c r="G35" s="135"/>
    </row>
    <row r="36" spans="1:7" x14ac:dyDescent="0.25">
      <c r="A36" s="940">
        <v>3490</v>
      </c>
      <c r="B36" s="940">
        <v>0</v>
      </c>
      <c r="C36" t="s">
        <v>2675</v>
      </c>
      <c r="D36" s="940" t="s">
        <v>2676</v>
      </c>
      <c r="E36" t="s">
        <v>99</v>
      </c>
      <c r="F36">
        <v>1</v>
      </c>
      <c r="G36" s="135"/>
    </row>
    <row r="37" spans="1:7" x14ac:dyDescent="0.25">
      <c r="A37" s="940">
        <v>2152</v>
      </c>
      <c r="B37" s="940">
        <v>45</v>
      </c>
      <c r="C37" t="s">
        <v>2677</v>
      </c>
      <c r="D37" s="940" t="s">
        <v>2678</v>
      </c>
      <c r="E37" t="s">
        <v>1358</v>
      </c>
      <c r="F37">
        <v>1</v>
      </c>
      <c r="G37" s="135"/>
    </row>
    <row r="38" spans="1:7" x14ac:dyDescent="0.25">
      <c r="A38" s="940">
        <v>3490</v>
      </c>
      <c r="B38" s="940">
        <v>0</v>
      </c>
      <c r="C38" t="s">
        <v>2679</v>
      </c>
      <c r="D38" s="940" t="s">
        <v>2680</v>
      </c>
      <c r="E38" t="s">
        <v>120</v>
      </c>
      <c r="F38">
        <v>1</v>
      </c>
      <c r="G38" s="135"/>
    </row>
    <row r="39" spans="1:7" x14ac:dyDescent="0.25">
      <c r="A39" s="940">
        <v>2959</v>
      </c>
      <c r="B39" s="940">
        <v>9</v>
      </c>
      <c r="C39" t="s">
        <v>2681</v>
      </c>
      <c r="D39" s="940" t="s">
        <v>2682</v>
      </c>
      <c r="E39" t="s">
        <v>105</v>
      </c>
      <c r="F39">
        <v>1</v>
      </c>
      <c r="G39" s="135"/>
    </row>
    <row r="40" spans="1:7" x14ac:dyDescent="0.25">
      <c r="A40" s="940">
        <v>3490</v>
      </c>
      <c r="B40" s="940">
        <v>0</v>
      </c>
      <c r="C40" t="s">
        <v>2683</v>
      </c>
      <c r="D40" s="940" t="s">
        <v>2684</v>
      </c>
      <c r="E40" t="s">
        <v>186</v>
      </c>
      <c r="F40">
        <v>1</v>
      </c>
      <c r="G40" s="135"/>
    </row>
    <row r="41" spans="1:7" x14ac:dyDescent="0.25">
      <c r="A41" s="940">
        <v>2256</v>
      </c>
      <c r="B41" s="940">
        <v>39</v>
      </c>
      <c r="C41" t="s">
        <v>2685</v>
      </c>
      <c r="D41" s="940" t="s">
        <v>2686</v>
      </c>
      <c r="E41" t="s">
        <v>170</v>
      </c>
      <c r="F41">
        <v>1</v>
      </c>
      <c r="G41" s="135"/>
    </row>
    <row r="42" spans="1:7" x14ac:dyDescent="0.25">
      <c r="A42" s="940">
        <v>3089</v>
      </c>
      <c r="B42" s="940">
        <v>6</v>
      </c>
      <c r="C42" t="s">
        <v>2687</v>
      </c>
      <c r="D42" s="940" t="s">
        <v>2688</v>
      </c>
      <c r="E42" t="s">
        <v>241</v>
      </c>
      <c r="F42">
        <v>1</v>
      </c>
      <c r="G42" s="135"/>
    </row>
    <row r="43" spans="1:7" x14ac:dyDescent="0.25">
      <c r="A43" s="940">
        <v>2152</v>
      </c>
      <c r="B43" s="940">
        <v>45</v>
      </c>
      <c r="C43" t="s">
        <v>2689</v>
      </c>
      <c r="D43" s="940" t="s">
        <v>2690</v>
      </c>
      <c r="E43" t="s">
        <v>74</v>
      </c>
      <c r="F43">
        <v>1</v>
      </c>
      <c r="G43" s="135"/>
    </row>
    <row r="44" spans="1:7" x14ac:dyDescent="0.25">
      <c r="A44" s="940">
        <v>692</v>
      </c>
      <c r="B44" s="940">
        <v>352</v>
      </c>
      <c r="C44" t="s">
        <v>2691</v>
      </c>
      <c r="D44" s="940" t="s">
        <v>2692</v>
      </c>
      <c r="E44" t="s">
        <v>2693</v>
      </c>
      <c r="F44">
        <v>1</v>
      </c>
      <c r="G44" s="135"/>
    </row>
    <row r="45" spans="1:7" x14ac:dyDescent="0.25">
      <c r="A45" s="940">
        <v>2381</v>
      </c>
      <c r="B45" s="940">
        <v>31</v>
      </c>
      <c r="C45" t="s">
        <v>2694</v>
      </c>
      <c r="D45" s="940" t="s">
        <v>2695</v>
      </c>
      <c r="E45" t="s">
        <v>2291</v>
      </c>
      <c r="F45">
        <v>1</v>
      </c>
      <c r="G45" s="135"/>
    </row>
    <row r="46" spans="1:7" x14ac:dyDescent="0.25">
      <c r="A46" s="940">
        <v>519</v>
      </c>
      <c r="B46" s="940">
        <v>453</v>
      </c>
      <c r="C46" t="s">
        <v>2696</v>
      </c>
      <c r="D46" s="940" t="s">
        <v>2697</v>
      </c>
      <c r="E46" t="s">
        <v>2291</v>
      </c>
      <c r="F46">
        <v>1</v>
      </c>
      <c r="G46" s="135"/>
    </row>
    <row r="47" spans="1:7" x14ac:dyDescent="0.25">
      <c r="A47" s="940">
        <v>212</v>
      </c>
      <c r="B47" s="940">
        <v>877</v>
      </c>
      <c r="C47" t="s">
        <v>2698</v>
      </c>
      <c r="D47" s="940" t="s">
        <v>2699</v>
      </c>
      <c r="E47" t="s">
        <v>1584</v>
      </c>
      <c r="F47">
        <v>1</v>
      </c>
      <c r="G47" s="135"/>
    </row>
    <row r="48" spans="1:7" x14ac:dyDescent="0.25">
      <c r="A48" s="940">
        <v>3327</v>
      </c>
      <c r="B48" s="940">
        <v>2</v>
      </c>
      <c r="C48" t="s">
        <v>2700</v>
      </c>
      <c r="D48" s="940" t="s">
        <v>2701</v>
      </c>
      <c r="E48" t="s">
        <v>1214</v>
      </c>
      <c r="F48">
        <v>1</v>
      </c>
      <c r="G48" s="135"/>
    </row>
    <row r="49" spans="1:7" x14ac:dyDescent="0.25">
      <c r="A49" s="940">
        <v>1313</v>
      </c>
      <c r="B49" s="940">
        <v>133</v>
      </c>
      <c r="C49" t="s">
        <v>2702</v>
      </c>
      <c r="D49" s="940" t="s">
        <v>2703</v>
      </c>
      <c r="E49" t="s">
        <v>1675</v>
      </c>
      <c r="F49">
        <v>1</v>
      </c>
      <c r="G49" s="135"/>
    </row>
    <row r="50" spans="1:7" x14ac:dyDescent="0.25">
      <c r="A50" s="940">
        <v>3490</v>
      </c>
      <c r="B50" s="940">
        <v>0</v>
      </c>
      <c r="C50" t="s">
        <v>2704</v>
      </c>
      <c r="D50" s="940" t="s">
        <v>2705</v>
      </c>
      <c r="E50" t="s">
        <v>163</v>
      </c>
      <c r="F50">
        <v>1</v>
      </c>
      <c r="G50" s="135"/>
    </row>
    <row r="51" spans="1:7" x14ac:dyDescent="0.25">
      <c r="A51" s="940">
        <v>892</v>
      </c>
      <c r="B51" s="940">
        <v>257</v>
      </c>
      <c r="C51" t="s">
        <v>2706</v>
      </c>
      <c r="D51" s="940" t="s">
        <v>2707</v>
      </c>
      <c r="E51" t="s">
        <v>72</v>
      </c>
      <c r="F51">
        <v>1</v>
      </c>
      <c r="G51" s="135"/>
    </row>
    <row r="52" spans="1:7" x14ac:dyDescent="0.25">
      <c r="A52" s="940">
        <v>2256</v>
      </c>
      <c r="B52" s="940">
        <v>39</v>
      </c>
      <c r="C52" t="s">
        <v>2708</v>
      </c>
      <c r="D52" s="940" t="s">
        <v>2709</v>
      </c>
      <c r="E52" t="s">
        <v>122</v>
      </c>
      <c r="F52">
        <v>1</v>
      </c>
      <c r="G52" s="135"/>
    </row>
    <row r="53" spans="1:7" x14ac:dyDescent="0.25">
      <c r="A53" s="940">
        <v>711</v>
      </c>
      <c r="B53" s="940">
        <v>343</v>
      </c>
      <c r="C53" t="s">
        <v>2710</v>
      </c>
      <c r="D53" s="940" t="s">
        <v>2711</v>
      </c>
      <c r="E53" t="s">
        <v>2712</v>
      </c>
      <c r="F53">
        <v>1</v>
      </c>
      <c r="G53" s="135"/>
    </row>
    <row r="54" spans="1:7" x14ac:dyDescent="0.25">
      <c r="A54" s="940">
        <v>3490</v>
      </c>
      <c r="B54" s="940">
        <v>0</v>
      </c>
      <c r="C54" t="s">
        <v>2713</v>
      </c>
      <c r="D54" s="940" t="s">
        <v>2714</v>
      </c>
      <c r="E54" t="s">
        <v>120</v>
      </c>
      <c r="F54">
        <v>1</v>
      </c>
      <c r="G54" s="135"/>
    </row>
    <row r="55" spans="1:7" x14ac:dyDescent="0.25">
      <c r="A55" s="940">
        <v>3490</v>
      </c>
      <c r="B55" s="940">
        <v>0</v>
      </c>
      <c r="C55" t="s">
        <v>2715</v>
      </c>
      <c r="D55" s="940" t="s">
        <v>2714</v>
      </c>
      <c r="E55" t="s">
        <v>120</v>
      </c>
      <c r="F55">
        <v>1</v>
      </c>
      <c r="G55" s="135"/>
    </row>
    <row r="56" spans="1:7" x14ac:dyDescent="0.25">
      <c r="A56" s="940">
        <v>2659</v>
      </c>
      <c r="B56" s="940">
        <v>18</v>
      </c>
      <c r="C56" t="s">
        <v>2716</v>
      </c>
      <c r="D56" s="940" t="s">
        <v>2717</v>
      </c>
      <c r="E56" t="s">
        <v>164</v>
      </c>
      <c r="F56">
        <v>1</v>
      </c>
      <c r="G56" s="135"/>
    </row>
    <row r="57" spans="1:7" x14ac:dyDescent="0.25">
      <c r="A57" s="940">
        <v>2187</v>
      </c>
      <c r="B57" s="940">
        <v>43</v>
      </c>
      <c r="C57" t="s">
        <v>2718</v>
      </c>
      <c r="D57" s="940" t="s">
        <v>2719</v>
      </c>
      <c r="E57" t="s">
        <v>2720</v>
      </c>
      <c r="F57">
        <v>1</v>
      </c>
      <c r="G57" s="135"/>
    </row>
    <row r="58" spans="1:7" x14ac:dyDescent="0.25">
      <c r="A58" s="940">
        <v>3490</v>
      </c>
      <c r="B58" s="940">
        <v>0</v>
      </c>
      <c r="C58" t="s">
        <v>2721</v>
      </c>
      <c r="D58" s="940" t="s">
        <v>2722</v>
      </c>
      <c r="E58" t="s">
        <v>2723</v>
      </c>
      <c r="F58">
        <v>1</v>
      </c>
      <c r="G58" s="135"/>
    </row>
    <row r="59" spans="1:7" x14ac:dyDescent="0.25">
      <c r="A59" s="940">
        <v>2839</v>
      </c>
      <c r="B59" s="940">
        <v>12</v>
      </c>
      <c r="C59" t="s">
        <v>2724</v>
      </c>
      <c r="D59" s="940" t="s">
        <v>2725</v>
      </c>
      <c r="E59" t="s">
        <v>1330</v>
      </c>
      <c r="F59">
        <v>1</v>
      </c>
      <c r="G59" s="135"/>
    </row>
    <row r="60" spans="1:7" x14ac:dyDescent="0.25">
      <c r="A60" s="940">
        <v>1666</v>
      </c>
      <c r="B60" s="940">
        <v>87</v>
      </c>
      <c r="C60" t="s">
        <v>1180</v>
      </c>
      <c r="D60" s="940" t="s">
        <v>2726</v>
      </c>
      <c r="E60" t="s">
        <v>105</v>
      </c>
      <c r="F60">
        <v>1</v>
      </c>
      <c r="G60" s="135"/>
    </row>
    <row r="61" spans="1:7" x14ac:dyDescent="0.25">
      <c r="A61" s="940">
        <v>1872</v>
      </c>
      <c r="B61" s="940">
        <v>66</v>
      </c>
      <c r="C61" t="s">
        <v>1180</v>
      </c>
      <c r="D61" s="940" t="s">
        <v>2727</v>
      </c>
      <c r="E61" t="s">
        <v>2542</v>
      </c>
      <c r="F61">
        <v>1</v>
      </c>
      <c r="G61" s="135"/>
    </row>
    <row r="62" spans="1:7" x14ac:dyDescent="0.25">
      <c r="A62" s="940">
        <v>2004</v>
      </c>
      <c r="B62" s="940">
        <v>55</v>
      </c>
      <c r="C62" t="s">
        <v>2728</v>
      </c>
      <c r="D62" s="940" t="s">
        <v>2714</v>
      </c>
      <c r="E62" t="s">
        <v>1939</v>
      </c>
      <c r="F62">
        <v>1</v>
      </c>
      <c r="G62" s="135"/>
    </row>
    <row r="63" spans="1:7" x14ac:dyDescent="0.25">
      <c r="A63" s="940">
        <v>2206</v>
      </c>
      <c r="B63" s="940">
        <v>42</v>
      </c>
      <c r="C63" t="s">
        <v>2729</v>
      </c>
      <c r="D63" s="940" t="s">
        <v>2714</v>
      </c>
      <c r="E63" t="s">
        <v>1939</v>
      </c>
      <c r="F63">
        <v>1</v>
      </c>
      <c r="G63" s="135"/>
    </row>
    <row r="64" spans="1:7" x14ac:dyDescent="0.25">
      <c r="A64" s="940">
        <v>1406</v>
      </c>
      <c r="B64" s="940">
        <v>119</v>
      </c>
      <c r="C64" t="s">
        <v>2730</v>
      </c>
      <c r="D64" s="940" t="s">
        <v>2731</v>
      </c>
      <c r="E64" t="s">
        <v>2732</v>
      </c>
      <c r="F64">
        <v>1</v>
      </c>
      <c r="G64" s="135"/>
    </row>
    <row r="65" spans="1:7" x14ac:dyDescent="0.25">
      <c r="A65" s="940">
        <v>2609</v>
      </c>
      <c r="B65" s="940">
        <v>20</v>
      </c>
      <c r="C65" t="s">
        <v>2733</v>
      </c>
      <c r="D65" s="940" t="s">
        <v>2734</v>
      </c>
      <c r="E65" t="s">
        <v>2735</v>
      </c>
      <c r="F65">
        <v>1</v>
      </c>
      <c r="G65" s="135"/>
    </row>
    <row r="66" spans="1:7" x14ac:dyDescent="0.25">
      <c r="A66" s="940">
        <v>2381</v>
      </c>
      <c r="B66" s="940">
        <v>31</v>
      </c>
      <c r="C66" t="s">
        <v>2736</v>
      </c>
      <c r="D66" s="940" t="s">
        <v>2737</v>
      </c>
      <c r="E66" t="s">
        <v>1358</v>
      </c>
      <c r="F66">
        <v>1</v>
      </c>
      <c r="G66" s="135"/>
    </row>
    <row r="67" spans="1:7" x14ac:dyDescent="0.25">
      <c r="A67" s="940">
        <v>3490</v>
      </c>
      <c r="B67" s="940">
        <v>0</v>
      </c>
      <c r="C67" t="s">
        <v>2738</v>
      </c>
      <c r="D67" s="940" t="s">
        <v>2739</v>
      </c>
      <c r="E67" t="s">
        <v>1311</v>
      </c>
      <c r="F67">
        <v>1</v>
      </c>
      <c r="G67" s="135"/>
    </row>
    <row r="68" spans="1:7" x14ac:dyDescent="0.25">
      <c r="A68" s="940">
        <v>1132</v>
      </c>
      <c r="B68" s="940">
        <v>172</v>
      </c>
      <c r="C68" t="s">
        <v>1185</v>
      </c>
      <c r="D68" s="940" t="s">
        <v>2740</v>
      </c>
      <c r="E68" t="s">
        <v>120</v>
      </c>
      <c r="F68">
        <v>1</v>
      </c>
      <c r="G68" s="135"/>
    </row>
    <row r="69" spans="1:7" x14ac:dyDescent="0.25">
      <c r="A69" s="940">
        <v>670</v>
      </c>
      <c r="B69" s="940">
        <v>365</v>
      </c>
      <c r="C69" t="s">
        <v>1186</v>
      </c>
      <c r="D69" s="940" t="s">
        <v>2741</v>
      </c>
      <c r="E69" t="s">
        <v>117</v>
      </c>
      <c r="F69">
        <v>1</v>
      </c>
      <c r="G69" s="135"/>
    </row>
    <row r="70" spans="1:7" x14ac:dyDescent="0.25">
      <c r="A70" s="940">
        <v>3395</v>
      </c>
      <c r="B70" s="940">
        <v>1</v>
      </c>
      <c r="C70" t="s">
        <v>2742</v>
      </c>
      <c r="D70" s="940" t="s">
        <v>2743</v>
      </c>
      <c r="E70" t="s">
        <v>2744</v>
      </c>
      <c r="F70">
        <v>1</v>
      </c>
      <c r="G70" s="135"/>
    </row>
    <row r="71" spans="1:7" x14ac:dyDescent="0.25">
      <c r="A71" s="940">
        <v>947</v>
      </c>
      <c r="B71" s="940">
        <v>238</v>
      </c>
      <c r="C71" t="s">
        <v>1187</v>
      </c>
      <c r="D71" s="940" t="s">
        <v>2745</v>
      </c>
      <c r="E71" t="s">
        <v>105</v>
      </c>
      <c r="F71">
        <v>1</v>
      </c>
      <c r="G71" s="135"/>
    </row>
    <row r="72" spans="1:7" x14ac:dyDescent="0.25">
      <c r="A72" s="940">
        <v>3490</v>
      </c>
      <c r="B72" s="940">
        <v>0</v>
      </c>
      <c r="C72" t="s">
        <v>2746</v>
      </c>
      <c r="D72" s="940" t="s">
        <v>2747</v>
      </c>
      <c r="E72" t="s">
        <v>1460</v>
      </c>
      <c r="F72">
        <v>1</v>
      </c>
      <c r="G72" s="135"/>
    </row>
    <row r="73" spans="1:7" x14ac:dyDescent="0.25">
      <c r="A73" s="940">
        <v>469</v>
      </c>
      <c r="B73" s="940">
        <v>505</v>
      </c>
      <c r="C73" t="s">
        <v>2748</v>
      </c>
      <c r="D73" s="940" t="s">
        <v>2749</v>
      </c>
      <c r="E73" t="s">
        <v>105</v>
      </c>
      <c r="F73">
        <v>1</v>
      </c>
      <c r="G73" s="135"/>
    </row>
    <row r="74" spans="1:7" x14ac:dyDescent="0.25">
      <c r="A74" s="940">
        <v>3490</v>
      </c>
      <c r="B74" s="940">
        <v>0</v>
      </c>
      <c r="C74" t="s">
        <v>2750</v>
      </c>
      <c r="D74" s="940" t="s">
        <v>2751</v>
      </c>
      <c r="E74" t="s">
        <v>170</v>
      </c>
      <c r="F74">
        <v>1</v>
      </c>
      <c r="G74" s="135"/>
    </row>
    <row r="75" spans="1:7" x14ac:dyDescent="0.25">
      <c r="A75" s="940">
        <v>3490</v>
      </c>
      <c r="B75" s="940">
        <v>0</v>
      </c>
      <c r="C75" t="s">
        <v>2752</v>
      </c>
      <c r="D75" s="940" t="s">
        <v>2753</v>
      </c>
      <c r="E75" t="s">
        <v>120</v>
      </c>
      <c r="F75">
        <v>1</v>
      </c>
      <c r="G75" s="135"/>
    </row>
    <row r="76" spans="1:7" x14ac:dyDescent="0.25">
      <c r="A76" s="940">
        <v>3490</v>
      </c>
      <c r="B76" s="940">
        <v>0</v>
      </c>
      <c r="C76" t="s">
        <v>1189</v>
      </c>
      <c r="D76" s="940" t="s">
        <v>2754</v>
      </c>
      <c r="E76" t="s">
        <v>1741</v>
      </c>
      <c r="F76">
        <v>1</v>
      </c>
      <c r="G76" s="135"/>
    </row>
    <row r="77" spans="1:7" x14ac:dyDescent="0.25">
      <c r="A77" s="940">
        <v>3196</v>
      </c>
      <c r="B77" s="940">
        <v>4</v>
      </c>
      <c r="C77" t="s">
        <v>2755</v>
      </c>
      <c r="D77" s="940" t="s">
        <v>2756</v>
      </c>
      <c r="E77" t="s">
        <v>1200</v>
      </c>
      <c r="F77">
        <v>1</v>
      </c>
      <c r="G77" s="135"/>
    </row>
    <row r="78" spans="1:7" x14ac:dyDescent="0.25">
      <c r="A78" s="940">
        <v>1085</v>
      </c>
      <c r="B78" s="940">
        <v>186</v>
      </c>
      <c r="C78" t="s">
        <v>2757</v>
      </c>
      <c r="D78" s="940" t="s">
        <v>2758</v>
      </c>
      <c r="E78" t="s">
        <v>1236</v>
      </c>
      <c r="F78">
        <v>1</v>
      </c>
      <c r="G78" s="135"/>
    </row>
    <row r="79" spans="1:7" x14ac:dyDescent="0.25">
      <c r="A79" s="940">
        <v>3490</v>
      </c>
      <c r="B79" s="940">
        <v>0</v>
      </c>
      <c r="C79" t="s">
        <v>2759</v>
      </c>
      <c r="D79" s="940" t="s">
        <v>2760</v>
      </c>
      <c r="E79" t="s">
        <v>105</v>
      </c>
      <c r="F79">
        <v>1</v>
      </c>
      <c r="G79" s="135"/>
    </row>
    <row r="80" spans="1:7" x14ac:dyDescent="0.25">
      <c r="A80" s="940">
        <v>2743</v>
      </c>
      <c r="B80" s="940">
        <v>15</v>
      </c>
      <c r="C80" t="s">
        <v>2761</v>
      </c>
      <c r="D80" s="940" t="s">
        <v>2753</v>
      </c>
      <c r="E80" t="s">
        <v>2732</v>
      </c>
      <c r="F80">
        <v>1</v>
      </c>
      <c r="G80" s="135"/>
    </row>
    <row r="81" spans="1:7" x14ac:dyDescent="0.25">
      <c r="A81" s="940">
        <v>1525</v>
      </c>
      <c r="B81" s="940">
        <v>103</v>
      </c>
      <c r="C81" t="s">
        <v>2762</v>
      </c>
      <c r="D81" s="940" t="s">
        <v>2763</v>
      </c>
      <c r="E81" t="s">
        <v>72</v>
      </c>
      <c r="F81">
        <v>1</v>
      </c>
      <c r="G81" s="135"/>
    </row>
    <row r="82" spans="1:7" x14ac:dyDescent="0.25">
      <c r="A82" s="940">
        <v>1178</v>
      </c>
      <c r="B82" s="940">
        <v>162</v>
      </c>
      <c r="C82" t="s">
        <v>2764</v>
      </c>
      <c r="D82" s="940" t="s">
        <v>2765</v>
      </c>
      <c r="E82" t="s">
        <v>2766</v>
      </c>
      <c r="F82">
        <v>1</v>
      </c>
      <c r="G82" s="135"/>
    </row>
    <row r="83" spans="1:7" x14ac:dyDescent="0.25">
      <c r="A83" s="940">
        <v>2484</v>
      </c>
      <c r="B83" s="940">
        <v>26</v>
      </c>
      <c r="C83" t="s">
        <v>2767</v>
      </c>
      <c r="D83" s="940" t="s">
        <v>2768</v>
      </c>
      <c r="E83" t="s">
        <v>122</v>
      </c>
      <c r="F83">
        <v>1</v>
      </c>
      <c r="G83" s="135"/>
    </row>
    <row r="84" spans="1:7" x14ac:dyDescent="0.25">
      <c r="A84" s="940">
        <v>1468</v>
      </c>
      <c r="B84" s="940">
        <v>110</v>
      </c>
      <c r="C84" t="s">
        <v>2769</v>
      </c>
      <c r="D84" s="940" t="s">
        <v>2770</v>
      </c>
      <c r="E84" t="s">
        <v>118</v>
      </c>
      <c r="F84">
        <v>1</v>
      </c>
      <c r="G84" s="135"/>
    </row>
    <row r="85" spans="1:7" x14ac:dyDescent="0.25">
      <c r="A85" s="940">
        <v>1924</v>
      </c>
      <c r="B85" s="940">
        <v>62</v>
      </c>
      <c r="C85" t="s">
        <v>2771</v>
      </c>
      <c r="D85" s="940" t="s">
        <v>2772</v>
      </c>
      <c r="E85" t="s">
        <v>1275</v>
      </c>
      <c r="F85">
        <v>1</v>
      </c>
      <c r="G85" s="135"/>
    </row>
    <row r="86" spans="1:7" x14ac:dyDescent="0.25">
      <c r="A86" s="940">
        <v>2106</v>
      </c>
      <c r="B86" s="940">
        <v>48</v>
      </c>
      <c r="C86" t="s">
        <v>2773</v>
      </c>
      <c r="D86" s="940" t="s">
        <v>2774</v>
      </c>
      <c r="E86" t="s">
        <v>120</v>
      </c>
      <c r="F86">
        <v>1</v>
      </c>
      <c r="G86" s="135"/>
    </row>
    <row r="87" spans="1:7" x14ac:dyDescent="0.25">
      <c r="A87" s="940">
        <v>2907</v>
      </c>
      <c r="B87" s="940">
        <v>10</v>
      </c>
      <c r="C87" t="s">
        <v>2775</v>
      </c>
      <c r="D87" s="940" t="s">
        <v>2776</v>
      </c>
      <c r="E87" t="s">
        <v>105</v>
      </c>
      <c r="F87">
        <v>1</v>
      </c>
      <c r="G87" s="135"/>
    </row>
    <row r="88" spans="1:7" x14ac:dyDescent="0.25">
      <c r="A88" s="940">
        <v>3395</v>
      </c>
      <c r="B88" s="940">
        <v>1</v>
      </c>
      <c r="C88" t="s">
        <v>2777</v>
      </c>
      <c r="D88" s="940" t="s">
        <v>2778</v>
      </c>
      <c r="E88" t="s">
        <v>74</v>
      </c>
      <c r="F88">
        <v>1</v>
      </c>
      <c r="G88" s="135"/>
    </row>
    <row r="89" spans="1:7" x14ac:dyDescent="0.25">
      <c r="A89" s="940">
        <v>3327</v>
      </c>
      <c r="B89" s="940">
        <v>2</v>
      </c>
      <c r="C89" t="s">
        <v>2779</v>
      </c>
      <c r="D89" s="940" t="s">
        <v>2780</v>
      </c>
      <c r="E89" t="s">
        <v>614</v>
      </c>
      <c r="F89">
        <v>1</v>
      </c>
      <c r="G89" s="135"/>
    </row>
    <row r="90" spans="1:7" x14ac:dyDescent="0.25">
      <c r="A90" s="940">
        <v>482</v>
      </c>
      <c r="B90" s="940">
        <v>490</v>
      </c>
      <c r="C90" t="s">
        <v>123</v>
      </c>
      <c r="D90" s="940" t="s">
        <v>2781</v>
      </c>
      <c r="E90" t="s">
        <v>99</v>
      </c>
      <c r="F90">
        <v>1</v>
      </c>
      <c r="G90" s="135"/>
    </row>
    <row r="91" spans="1:7" x14ac:dyDescent="0.25">
      <c r="A91" s="940">
        <v>3490</v>
      </c>
      <c r="B91" s="940">
        <v>0</v>
      </c>
      <c r="C91" t="s">
        <v>2782</v>
      </c>
      <c r="D91" s="940" t="s">
        <v>2783</v>
      </c>
      <c r="E91" t="s">
        <v>140</v>
      </c>
      <c r="F91">
        <v>1</v>
      </c>
      <c r="G91" s="135"/>
    </row>
    <row r="92" spans="1:7" x14ac:dyDescent="0.25">
      <c r="A92" s="940">
        <v>1781</v>
      </c>
      <c r="B92" s="940">
        <v>75</v>
      </c>
      <c r="C92" t="s">
        <v>2784</v>
      </c>
      <c r="D92" s="940" t="s">
        <v>2785</v>
      </c>
      <c r="E92" t="s">
        <v>1638</v>
      </c>
      <c r="F92">
        <v>1</v>
      </c>
      <c r="G92" s="135"/>
    </row>
    <row r="93" spans="1:7" x14ac:dyDescent="0.25">
      <c r="A93" s="940">
        <v>1379</v>
      </c>
      <c r="B93" s="940">
        <v>123</v>
      </c>
      <c r="C93" t="s">
        <v>1201</v>
      </c>
      <c r="D93" s="940" t="s">
        <v>2786</v>
      </c>
      <c r="E93" t="s">
        <v>109</v>
      </c>
      <c r="F93">
        <v>1</v>
      </c>
      <c r="G93" s="135"/>
    </row>
    <row r="94" spans="1:7" x14ac:dyDescent="0.25">
      <c r="A94" s="940">
        <v>1247</v>
      </c>
      <c r="B94" s="940">
        <v>146</v>
      </c>
      <c r="C94" t="s">
        <v>2787</v>
      </c>
      <c r="D94" s="940" t="s">
        <v>2788</v>
      </c>
      <c r="E94" t="s">
        <v>170</v>
      </c>
      <c r="F94">
        <v>1</v>
      </c>
      <c r="G94" s="135"/>
    </row>
    <row r="95" spans="1:7" x14ac:dyDescent="0.25">
      <c r="A95" s="940">
        <v>373</v>
      </c>
      <c r="B95" s="940">
        <v>608</v>
      </c>
      <c r="C95" t="s">
        <v>2789</v>
      </c>
      <c r="D95" s="940" t="s">
        <v>2790</v>
      </c>
      <c r="E95" t="s">
        <v>112</v>
      </c>
      <c r="F95">
        <v>1</v>
      </c>
      <c r="G95" s="135"/>
    </row>
    <row r="96" spans="1:7" x14ac:dyDescent="0.25">
      <c r="A96" s="940">
        <v>2609</v>
      </c>
      <c r="B96" s="940">
        <v>20</v>
      </c>
      <c r="C96" t="s">
        <v>2791</v>
      </c>
      <c r="D96" s="940" t="s">
        <v>2792</v>
      </c>
      <c r="E96" t="s">
        <v>2793</v>
      </c>
      <c r="F96">
        <v>1</v>
      </c>
      <c r="G96" s="135"/>
    </row>
    <row r="97" spans="1:7" x14ac:dyDescent="0.25">
      <c r="A97" s="940">
        <v>3089</v>
      </c>
      <c r="B97" s="940">
        <v>6</v>
      </c>
      <c r="C97" t="s">
        <v>2794</v>
      </c>
      <c r="D97" s="940" t="s">
        <v>2795</v>
      </c>
      <c r="E97" t="s">
        <v>111</v>
      </c>
      <c r="F97">
        <v>1</v>
      </c>
      <c r="G97" s="135"/>
    </row>
    <row r="98" spans="1:7" x14ac:dyDescent="0.25">
      <c r="A98" s="940">
        <v>3490</v>
      </c>
      <c r="B98" s="940">
        <v>0</v>
      </c>
      <c r="C98" t="s">
        <v>2796</v>
      </c>
      <c r="D98" s="940" t="s">
        <v>2797</v>
      </c>
      <c r="E98" t="s">
        <v>105</v>
      </c>
      <c r="F98">
        <v>1</v>
      </c>
      <c r="G98" s="135"/>
    </row>
    <row r="99" spans="1:7" x14ac:dyDescent="0.25">
      <c r="A99" s="940">
        <v>1049</v>
      </c>
      <c r="B99" s="940">
        <v>200</v>
      </c>
      <c r="C99" t="s">
        <v>2798</v>
      </c>
      <c r="D99" s="940" t="s">
        <v>2799</v>
      </c>
      <c r="E99" t="s">
        <v>257</v>
      </c>
      <c r="F99">
        <v>1</v>
      </c>
      <c r="G99" s="135"/>
    </row>
    <row r="100" spans="1:7" x14ac:dyDescent="0.25">
      <c r="A100" s="940">
        <v>139</v>
      </c>
      <c r="B100" s="940">
        <v>1001</v>
      </c>
      <c r="C100" t="s">
        <v>125</v>
      </c>
      <c r="D100" s="940" t="s">
        <v>2800</v>
      </c>
      <c r="E100" t="s">
        <v>130</v>
      </c>
      <c r="F100">
        <v>1</v>
      </c>
      <c r="G100" s="135"/>
    </row>
    <row r="101" spans="1:7" x14ac:dyDescent="0.25">
      <c r="A101" s="940">
        <v>2959</v>
      </c>
      <c r="B101" s="940">
        <v>9</v>
      </c>
      <c r="C101" t="s">
        <v>2801</v>
      </c>
      <c r="D101" s="940" t="s">
        <v>2802</v>
      </c>
      <c r="E101" t="s">
        <v>1968</v>
      </c>
      <c r="F101">
        <v>1</v>
      </c>
      <c r="G101" s="135"/>
    </row>
    <row r="102" spans="1:7" x14ac:dyDescent="0.25">
      <c r="A102" s="940">
        <v>2558</v>
      </c>
      <c r="B102" s="940">
        <v>22</v>
      </c>
      <c r="C102" t="s">
        <v>2803</v>
      </c>
      <c r="D102" s="940" t="s">
        <v>2804</v>
      </c>
      <c r="E102" t="s">
        <v>179</v>
      </c>
      <c r="F102">
        <v>1</v>
      </c>
      <c r="G102" s="135"/>
    </row>
    <row r="103" spans="1:7" x14ac:dyDescent="0.25">
      <c r="A103" s="940">
        <v>3265</v>
      </c>
      <c r="B103" s="940">
        <v>3</v>
      </c>
      <c r="C103" t="s">
        <v>2803</v>
      </c>
      <c r="D103" s="940" t="s">
        <v>2805</v>
      </c>
      <c r="E103" t="s">
        <v>105</v>
      </c>
      <c r="F103">
        <v>1</v>
      </c>
      <c r="G103" s="135"/>
    </row>
    <row r="104" spans="1:7" x14ac:dyDescent="0.25">
      <c r="A104" s="940">
        <v>2582</v>
      </c>
      <c r="B104" s="940">
        <v>21</v>
      </c>
      <c r="C104" t="s">
        <v>2806</v>
      </c>
      <c r="D104" s="940" t="s">
        <v>2807</v>
      </c>
      <c r="E104" t="s">
        <v>1221</v>
      </c>
      <c r="F104">
        <v>1</v>
      </c>
      <c r="G104" s="135"/>
    </row>
    <row r="105" spans="1:7" x14ac:dyDescent="0.25">
      <c r="A105" s="940">
        <v>2839</v>
      </c>
      <c r="B105" s="940">
        <v>12</v>
      </c>
      <c r="C105" t="s">
        <v>2808</v>
      </c>
      <c r="D105" s="940" t="s">
        <v>2809</v>
      </c>
      <c r="E105" t="s">
        <v>170</v>
      </c>
      <c r="F105">
        <v>1</v>
      </c>
      <c r="G105" s="135"/>
    </row>
    <row r="106" spans="1:7" x14ac:dyDescent="0.25">
      <c r="A106" s="940">
        <v>3490</v>
      </c>
      <c r="B106" s="940">
        <v>0</v>
      </c>
      <c r="C106" t="s">
        <v>2810</v>
      </c>
      <c r="D106" s="940" t="s">
        <v>2811</v>
      </c>
      <c r="E106" t="s">
        <v>170</v>
      </c>
      <c r="F106">
        <v>1</v>
      </c>
      <c r="G106" s="135"/>
    </row>
    <row r="107" spans="1:7" x14ac:dyDescent="0.25">
      <c r="A107" s="940">
        <v>2626</v>
      </c>
      <c r="B107" s="940">
        <v>19</v>
      </c>
      <c r="C107" t="s">
        <v>2812</v>
      </c>
      <c r="D107" s="940" t="s">
        <v>2813</v>
      </c>
      <c r="E107" t="s">
        <v>105</v>
      </c>
      <c r="F107">
        <v>1</v>
      </c>
      <c r="G107" s="135"/>
    </row>
    <row r="108" spans="1:7" x14ac:dyDescent="0.25">
      <c r="A108" s="940">
        <v>1594</v>
      </c>
      <c r="B108" s="940">
        <v>96</v>
      </c>
      <c r="C108" t="s">
        <v>425</v>
      </c>
      <c r="D108" s="940" t="s">
        <v>2814</v>
      </c>
      <c r="E108" t="s">
        <v>120</v>
      </c>
      <c r="F108">
        <v>1</v>
      </c>
      <c r="G108" s="135"/>
    </row>
    <row r="109" spans="1:7" x14ac:dyDescent="0.25">
      <c r="A109" s="940">
        <v>3490</v>
      </c>
      <c r="B109" s="940">
        <v>0</v>
      </c>
      <c r="C109" t="s">
        <v>2815</v>
      </c>
      <c r="D109" s="940" t="s">
        <v>2816</v>
      </c>
      <c r="E109" t="s">
        <v>105</v>
      </c>
      <c r="F109">
        <v>1</v>
      </c>
      <c r="G109" s="135"/>
    </row>
    <row r="110" spans="1:7" x14ac:dyDescent="0.25">
      <c r="A110" s="940">
        <v>242</v>
      </c>
      <c r="B110" s="940">
        <v>831</v>
      </c>
      <c r="C110" t="s">
        <v>2817</v>
      </c>
      <c r="D110" s="940" t="s">
        <v>2818</v>
      </c>
      <c r="E110" t="s">
        <v>105</v>
      </c>
      <c r="F110">
        <v>1</v>
      </c>
      <c r="G110" s="135"/>
    </row>
    <row r="111" spans="1:7" x14ac:dyDescent="0.25">
      <c r="A111" s="940">
        <v>2539</v>
      </c>
      <c r="B111" s="940">
        <v>23</v>
      </c>
      <c r="C111" t="s">
        <v>2819</v>
      </c>
      <c r="D111" s="940" t="s">
        <v>2820</v>
      </c>
      <c r="E111" t="s">
        <v>1493</v>
      </c>
      <c r="F111">
        <v>1</v>
      </c>
      <c r="G111" s="135"/>
    </row>
    <row r="112" spans="1:7" x14ac:dyDescent="0.25">
      <c r="A112" s="940">
        <v>3196</v>
      </c>
      <c r="B112" s="940">
        <v>4</v>
      </c>
      <c r="C112" t="s">
        <v>2821</v>
      </c>
      <c r="D112" s="940" t="s">
        <v>2822</v>
      </c>
      <c r="E112" t="s">
        <v>1214</v>
      </c>
      <c r="F112">
        <v>1</v>
      </c>
      <c r="G112" s="135"/>
    </row>
    <row r="113" spans="1:7" x14ac:dyDescent="0.25">
      <c r="A113" s="940">
        <v>3265</v>
      </c>
      <c r="B113" s="940">
        <v>3</v>
      </c>
      <c r="C113" t="s">
        <v>2823</v>
      </c>
      <c r="D113" s="940" t="s">
        <v>2824</v>
      </c>
      <c r="E113" t="s">
        <v>122</v>
      </c>
      <c r="F113">
        <v>1</v>
      </c>
      <c r="G113" s="135"/>
    </row>
    <row r="114" spans="1:7" x14ac:dyDescent="0.25">
      <c r="A114" s="940">
        <v>3045</v>
      </c>
      <c r="B114" s="940">
        <v>7</v>
      </c>
      <c r="C114" t="s">
        <v>1206</v>
      </c>
      <c r="D114" s="940" t="s">
        <v>2825</v>
      </c>
      <c r="E114" t="s">
        <v>74</v>
      </c>
      <c r="F114">
        <v>1</v>
      </c>
      <c r="G114" s="135"/>
    </row>
    <row r="115" spans="1:7" x14ac:dyDescent="0.25">
      <c r="A115" s="940">
        <v>3490</v>
      </c>
      <c r="B115" s="940">
        <v>0</v>
      </c>
      <c r="C115" t="s">
        <v>2826</v>
      </c>
      <c r="D115" s="940" t="s">
        <v>2827</v>
      </c>
      <c r="E115" t="s">
        <v>110</v>
      </c>
      <c r="F115">
        <v>1</v>
      </c>
      <c r="G115" s="135"/>
    </row>
    <row r="116" spans="1:7" x14ac:dyDescent="0.25">
      <c r="A116" s="940">
        <v>3490</v>
      </c>
      <c r="B116" s="940">
        <v>0</v>
      </c>
      <c r="C116" t="s">
        <v>2828</v>
      </c>
      <c r="D116" s="940" t="s">
        <v>2829</v>
      </c>
      <c r="E116" t="s">
        <v>73</v>
      </c>
      <c r="F116">
        <v>1</v>
      </c>
      <c r="G116" s="135"/>
    </row>
    <row r="117" spans="1:7" x14ac:dyDescent="0.25">
      <c r="A117" s="940">
        <v>690</v>
      </c>
      <c r="B117" s="940">
        <v>353</v>
      </c>
      <c r="C117" t="s">
        <v>2830</v>
      </c>
      <c r="D117" s="940" t="s">
        <v>2831</v>
      </c>
      <c r="E117" t="s">
        <v>108</v>
      </c>
      <c r="F117">
        <v>1</v>
      </c>
      <c r="G117" s="135"/>
    </row>
    <row r="118" spans="1:7" x14ac:dyDescent="0.25">
      <c r="A118" s="940">
        <v>546</v>
      </c>
      <c r="B118" s="940">
        <v>437</v>
      </c>
      <c r="C118" t="s">
        <v>2832</v>
      </c>
      <c r="D118" s="940" t="s">
        <v>2833</v>
      </c>
      <c r="E118" t="s">
        <v>105</v>
      </c>
      <c r="F118">
        <v>1</v>
      </c>
      <c r="G118" s="135"/>
    </row>
    <row r="119" spans="1:7" x14ac:dyDescent="0.25">
      <c r="A119" s="940">
        <v>1730</v>
      </c>
      <c r="B119" s="940">
        <v>80</v>
      </c>
      <c r="C119" t="s">
        <v>2832</v>
      </c>
      <c r="D119" s="940" t="s">
        <v>2834</v>
      </c>
      <c r="E119" t="s">
        <v>111</v>
      </c>
      <c r="F119">
        <v>1</v>
      </c>
      <c r="G119" s="135"/>
    </row>
    <row r="120" spans="1:7" x14ac:dyDescent="0.25">
      <c r="A120" s="940">
        <v>3089</v>
      </c>
      <c r="B120" s="940">
        <v>6</v>
      </c>
      <c r="C120" t="s">
        <v>2832</v>
      </c>
      <c r="D120" s="940" t="s">
        <v>2835</v>
      </c>
      <c r="E120" t="s">
        <v>105</v>
      </c>
      <c r="F120">
        <v>1</v>
      </c>
      <c r="G120" s="135"/>
    </row>
    <row r="121" spans="1:7" x14ac:dyDescent="0.25">
      <c r="A121" s="940">
        <v>3490</v>
      </c>
      <c r="B121" s="940">
        <v>0</v>
      </c>
      <c r="C121" t="s">
        <v>2836</v>
      </c>
      <c r="D121" s="940" t="s">
        <v>2837</v>
      </c>
      <c r="E121" t="s">
        <v>1200</v>
      </c>
      <c r="F121">
        <v>1</v>
      </c>
      <c r="G121" s="135"/>
    </row>
    <row r="122" spans="1:7" x14ac:dyDescent="0.25">
      <c r="A122" s="940">
        <v>3490</v>
      </c>
      <c r="B122" s="940">
        <v>0</v>
      </c>
      <c r="C122" t="s">
        <v>2838</v>
      </c>
      <c r="D122" s="940" t="s">
        <v>2839</v>
      </c>
      <c r="E122" t="s">
        <v>1435</v>
      </c>
      <c r="F122">
        <v>1</v>
      </c>
      <c r="G122" s="135"/>
    </row>
    <row r="123" spans="1:7" x14ac:dyDescent="0.25">
      <c r="A123" s="940">
        <v>3395</v>
      </c>
      <c r="B123" s="940">
        <v>1</v>
      </c>
      <c r="C123" t="s">
        <v>2840</v>
      </c>
      <c r="D123" s="940" t="s">
        <v>2841</v>
      </c>
      <c r="E123" t="s">
        <v>105</v>
      </c>
      <c r="F123">
        <v>1</v>
      </c>
      <c r="G123" s="135"/>
    </row>
    <row r="124" spans="1:7" x14ac:dyDescent="0.25">
      <c r="A124" s="940">
        <v>282</v>
      </c>
      <c r="B124" s="940">
        <v>741</v>
      </c>
      <c r="C124" t="s">
        <v>2842</v>
      </c>
      <c r="D124" s="940" t="s">
        <v>2843</v>
      </c>
      <c r="E124" t="s">
        <v>661</v>
      </c>
      <c r="F124">
        <v>1</v>
      </c>
      <c r="G124" s="135"/>
    </row>
    <row r="125" spans="1:7" x14ac:dyDescent="0.25">
      <c r="A125" s="940">
        <v>3490</v>
      </c>
      <c r="B125" s="940">
        <v>0</v>
      </c>
      <c r="C125" t="s">
        <v>2844</v>
      </c>
      <c r="D125" s="940" t="s">
        <v>2845</v>
      </c>
      <c r="E125" t="s">
        <v>2846</v>
      </c>
      <c r="F125">
        <v>1</v>
      </c>
      <c r="G125" s="135"/>
    </row>
    <row r="126" spans="1:7" x14ac:dyDescent="0.25">
      <c r="A126" s="940">
        <v>2320</v>
      </c>
      <c r="B126" s="940">
        <v>35</v>
      </c>
      <c r="C126" t="s">
        <v>2847</v>
      </c>
      <c r="D126" s="940" t="s">
        <v>2848</v>
      </c>
      <c r="E126" t="s">
        <v>227</v>
      </c>
      <c r="F126">
        <v>1</v>
      </c>
      <c r="G126" s="135"/>
    </row>
    <row r="127" spans="1:7" x14ac:dyDescent="0.25">
      <c r="A127" s="940">
        <v>23</v>
      </c>
      <c r="B127" s="940">
        <v>1443</v>
      </c>
      <c r="C127" t="s">
        <v>2849</v>
      </c>
      <c r="D127" s="940" t="s">
        <v>2850</v>
      </c>
      <c r="E127" t="s">
        <v>128</v>
      </c>
      <c r="F127">
        <v>1</v>
      </c>
      <c r="G127" s="135"/>
    </row>
    <row r="128" spans="1:7" x14ac:dyDescent="0.25">
      <c r="A128" s="940">
        <v>3490</v>
      </c>
      <c r="B128" s="940">
        <v>0</v>
      </c>
      <c r="C128" t="s">
        <v>2851</v>
      </c>
      <c r="D128" s="940" t="s">
        <v>2852</v>
      </c>
      <c r="E128" t="s">
        <v>105</v>
      </c>
      <c r="F128">
        <v>1</v>
      </c>
      <c r="G128" s="135"/>
    </row>
    <row r="129" spans="1:7" x14ac:dyDescent="0.25">
      <c r="A129" s="940">
        <v>2241</v>
      </c>
      <c r="B129" s="940">
        <v>40</v>
      </c>
      <c r="C129" t="s">
        <v>2853</v>
      </c>
      <c r="D129" s="940" t="s">
        <v>2854</v>
      </c>
      <c r="E129" t="s">
        <v>105</v>
      </c>
      <c r="F129">
        <v>1</v>
      </c>
      <c r="G129" s="135"/>
    </row>
    <row r="130" spans="1:7" x14ac:dyDescent="0.25">
      <c r="A130" s="940">
        <v>2004</v>
      </c>
      <c r="B130" s="940">
        <v>55</v>
      </c>
      <c r="C130" t="s">
        <v>2855</v>
      </c>
      <c r="D130" s="940" t="s">
        <v>2856</v>
      </c>
      <c r="E130" t="s">
        <v>105</v>
      </c>
      <c r="F130">
        <v>1</v>
      </c>
      <c r="G130" s="135"/>
    </row>
    <row r="131" spans="1:7" x14ac:dyDescent="0.25">
      <c r="A131" s="940">
        <v>2515</v>
      </c>
      <c r="B131" s="940">
        <v>24</v>
      </c>
      <c r="C131" t="s">
        <v>2857</v>
      </c>
      <c r="D131" s="940" t="s">
        <v>2858</v>
      </c>
      <c r="E131" t="s">
        <v>76</v>
      </c>
      <c r="F131">
        <v>1</v>
      </c>
      <c r="G131" s="135"/>
    </row>
    <row r="132" spans="1:7" x14ac:dyDescent="0.25">
      <c r="A132" s="940">
        <v>2907</v>
      </c>
      <c r="B132" s="940">
        <v>10</v>
      </c>
      <c r="C132" t="s">
        <v>2859</v>
      </c>
      <c r="D132" s="940" t="s">
        <v>2860</v>
      </c>
      <c r="E132" t="s">
        <v>106</v>
      </c>
      <c r="F132">
        <v>1</v>
      </c>
      <c r="G132" s="135"/>
    </row>
    <row r="133" spans="1:7" x14ac:dyDescent="0.25">
      <c r="A133" s="940">
        <v>59</v>
      </c>
      <c r="B133" s="940">
        <v>1259</v>
      </c>
      <c r="C133" t="s">
        <v>2861</v>
      </c>
      <c r="D133" s="940" t="s">
        <v>2862</v>
      </c>
      <c r="E133" t="s">
        <v>105</v>
      </c>
      <c r="F133">
        <v>1</v>
      </c>
      <c r="G133" s="135"/>
    </row>
    <row r="134" spans="1:7" x14ac:dyDescent="0.25">
      <c r="A134" s="940">
        <v>201</v>
      </c>
      <c r="B134" s="940">
        <v>889</v>
      </c>
      <c r="C134" t="s">
        <v>2861</v>
      </c>
      <c r="D134" s="940" t="s">
        <v>2863</v>
      </c>
      <c r="E134" t="s">
        <v>1211</v>
      </c>
      <c r="F134">
        <v>1</v>
      </c>
      <c r="G134" s="135"/>
    </row>
    <row r="135" spans="1:7" x14ac:dyDescent="0.25">
      <c r="A135" s="940">
        <v>3490</v>
      </c>
      <c r="B135" s="940">
        <v>0</v>
      </c>
      <c r="C135" t="s">
        <v>2864</v>
      </c>
      <c r="D135" s="940" t="s">
        <v>2865</v>
      </c>
      <c r="E135" t="s">
        <v>122</v>
      </c>
      <c r="F135">
        <v>1</v>
      </c>
      <c r="G135" s="135"/>
    </row>
    <row r="136" spans="1:7" x14ac:dyDescent="0.25">
      <c r="A136" s="940">
        <v>2441</v>
      </c>
      <c r="B136" s="940">
        <v>28</v>
      </c>
      <c r="C136" t="s">
        <v>1212</v>
      </c>
      <c r="D136" s="940" t="s">
        <v>2866</v>
      </c>
      <c r="E136" t="s">
        <v>122</v>
      </c>
      <c r="F136">
        <v>1</v>
      </c>
      <c r="G136" s="135"/>
    </row>
    <row r="137" spans="1:7" x14ac:dyDescent="0.25">
      <c r="A137" s="940">
        <v>751</v>
      </c>
      <c r="B137" s="940">
        <v>319</v>
      </c>
      <c r="C137" t="s">
        <v>1215</v>
      </c>
      <c r="D137" s="940" t="s">
        <v>2867</v>
      </c>
      <c r="E137" t="s">
        <v>118</v>
      </c>
      <c r="F137">
        <v>1</v>
      </c>
      <c r="G137" s="135"/>
    </row>
    <row r="138" spans="1:7" x14ac:dyDescent="0.25">
      <c r="A138" s="940">
        <v>369</v>
      </c>
      <c r="B138" s="940">
        <v>612</v>
      </c>
      <c r="C138" t="s">
        <v>1216</v>
      </c>
      <c r="D138" s="940" t="s">
        <v>2868</v>
      </c>
      <c r="E138" t="s">
        <v>105</v>
      </c>
      <c r="F138">
        <v>1</v>
      </c>
      <c r="G138" s="135"/>
    </row>
    <row r="139" spans="1:7" x14ac:dyDescent="0.25">
      <c r="A139" s="940">
        <v>2416</v>
      </c>
      <c r="B139" s="940">
        <v>29</v>
      </c>
      <c r="C139" t="s">
        <v>2869</v>
      </c>
      <c r="D139" s="940" t="s">
        <v>2870</v>
      </c>
      <c r="E139" t="s">
        <v>163</v>
      </c>
      <c r="F139">
        <v>1</v>
      </c>
      <c r="G139" s="135"/>
    </row>
    <row r="140" spans="1:7" x14ac:dyDescent="0.25">
      <c r="A140" s="940">
        <v>823</v>
      </c>
      <c r="B140" s="940">
        <v>289</v>
      </c>
      <c r="C140" t="s">
        <v>2871</v>
      </c>
      <c r="D140" s="940" t="s">
        <v>2872</v>
      </c>
      <c r="E140" t="s">
        <v>105</v>
      </c>
      <c r="F140">
        <v>1</v>
      </c>
      <c r="G140" s="135"/>
    </row>
    <row r="141" spans="1:7" x14ac:dyDescent="0.25">
      <c r="A141" s="940">
        <v>510</v>
      </c>
      <c r="B141" s="940">
        <v>458</v>
      </c>
      <c r="C141" t="s">
        <v>2873</v>
      </c>
      <c r="D141" s="940" t="s">
        <v>2874</v>
      </c>
      <c r="E141" t="s">
        <v>129</v>
      </c>
      <c r="F141">
        <v>1</v>
      </c>
      <c r="G141" s="135"/>
    </row>
    <row r="142" spans="1:7" x14ac:dyDescent="0.25">
      <c r="A142" s="940">
        <v>1562</v>
      </c>
      <c r="B142" s="940">
        <v>99</v>
      </c>
      <c r="C142" t="s">
        <v>2875</v>
      </c>
      <c r="D142" s="940" t="s">
        <v>2876</v>
      </c>
      <c r="E142" t="s">
        <v>2877</v>
      </c>
      <c r="F142">
        <v>1</v>
      </c>
      <c r="G142" s="135"/>
    </row>
    <row r="143" spans="1:7" x14ac:dyDescent="0.25">
      <c r="A143" s="940">
        <v>689</v>
      </c>
      <c r="B143" s="940">
        <v>354</v>
      </c>
      <c r="C143" t="s">
        <v>2878</v>
      </c>
      <c r="D143" s="940" t="s">
        <v>2879</v>
      </c>
      <c r="E143" t="s">
        <v>2880</v>
      </c>
      <c r="F143">
        <v>1</v>
      </c>
      <c r="G143" s="135"/>
    </row>
    <row r="144" spans="1:7" x14ac:dyDescent="0.25">
      <c r="A144" s="940">
        <v>1178</v>
      </c>
      <c r="B144" s="940">
        <v>162</v>
      </c>
      <c r="C144" t="s">
        <v>2881</v>
      </c>
      <c r="D144" s="940" t="s">
        <v>2882</v>
      </c>
      <c r="E144" t="s">
        <v>1211</v>
      </c>
      <c r="F144">
        <v>1</v>
      </c>
      <c r="G144" s="135"/>
    </row>
    <row r="145" spans="1:7" x14ac:dyDescent="0.25">
      <c r="A145" s="940">
        <v>2416</v>
      </c>
      <c r="B145" s="940">
        <v>29</v>
      </c>
      <c r="C145" t="s">
        <v>2883</v>
      </c>
      <c r="D145" s="940" t="s">
        <v>2884</v>
      </c>
      <c r="E145" t="s">
        <v>1222</v>
      </c>
      <c r="F145">
        <v>1</v>
      </c>
      <c r="G145" s="135"/>
    </row>
    <row r="146" spans="1:7" x14ac:dyDescent="0.25">
      <c r="A146" s="940">
        <v>2996</v>
      </c>
      <c r="B146" s="940">
        <v>8</v>
      </c>
      <c r="C146" t="s">
        <v>2885</v>
      </c>
      <c r="D146" s="940" t="s">
        <v>2886</v>
      </c>
      <c r="E146" t="s">
        <v>1156</v>
      </c>
      <c r="F146">
        <v>1</v>
      </c>
      <c r="G146" s="135"/>
    </row>
    <row r="147" spans="1:7" x14ac:dyDescent="0.25">
      <c r="A147" s="940">
        <v>2461</v>
      </c>
      <c r="B147" s="940">
        <v>27</v>
      </c>
      <c r="C147" t="s">
        <v>2887</v>
      </c>
      <c r="D147" s="940" t="s">
        <v>2888</v>
      </c>
      <c r="E147" t="s">
        <v>170</v>
      </c>
      <c r="F147">
        <v>1</v>
      </c>
      <c r="G147" s="135"/>
    </row>
    <row r="148" spans="1:7" x14ac:dyDescent="0.25">
      <c r="A148" s="940">
        <v>1478</v>
      </c>
      <c r="B148" s="940">
        <v>109</v>
      </c>
      <c r="C148" t="s">
        <v>131</v>
      </c>
      <c r="D148" s="940" t="s">
        <v>2889</v>
      </c>
      <c r="E148" t="s">
        <v>128</v>
      </c>
      <c r="F148">
        <v>1</v>
      </c>
      <c r="G148" s="135"/>
    </row>
    <row r="149" spans="1:7" x14ac:dyDescent="0.25">
      <c r="A149" s="940">
        <v>1968</v>
      </c>
      <c r="B149" s="940">
        <v>59</v>
      </c>
      <c r="C149" t="s">
        <v>2890</v>
      </c>
      <c r="D149" s="940" t="s">
        <v>2891</v>
      </c>
      <c r="E149" t="s">
        <v>139</v>
      </c>
      <c r="F149">
        <v>1</v>
      </c>
      <c r="G149" s="135"/>
    </row>
    <row r="150" spans="1:7" x14ac:dyDescent="0.25">
      <c r="A150" s="940">
        <v>1478</v>
      </c>
      <c r="B150" s="940">
        <v>109</v>
      </c>
      <c r="C150" t="s">
        <v>2892</v>
      </c>
      <c r="D150" s="940" t="s">
        <v>2893</v>
      </c>
      <c r="E150" t="s">
        <v>119</v>
      </c>
      <c r="F150">
        <v>1</v>
      </c>
      <c r="G150" s="135"/>
    </row>
    <row r="151" spans="1:7" x14ac:dyDescent="0.25">
      <c r="A151" s="940">
        <v>298</v>
      </c>
      <c r="B151" s="940">
        <v>717</v>
      </c>
      <c r="C151" t="s">
        <v>1220</v>
      </c>
      <c r="D151" s="940" t="s">
        <v>2894</v>
      </c>
      <c r="E151" t="s">
        <v>105</v>
      </c>
      <c r="F151">
        <v>1</v>
      </c>
      <c r="G151" s="135"/>
    </row>
    <row r="152" spans="1:7" x14ac:dyDescent="0.25">
      <c r="A152" s="940">
        <v>2347</v>
      </c>
      <c r="B152" s="940">
        <v>33</v>
      </c>
      <c r="C152" t="s">
        <v>2895</v>
      </c>
      <c r="D152" s="940" t="s">
        <v>2896</v>
      </c>
      <c r="E152" t="s">
        <v>1675</v>
      </c>
      <c r="F152">
        <v>1</v>
      </c>
      <c r="G152" s="135"/>
    </row>
    <row r="153" spans="1:7" x14ac:dyDescent="0.25">
      <c r="A153" s="940">
        <v>69</v>
      </c>
      <c r="B153" s="940">
        <v>1223</v>
      </c>
      <c r="C153" t="s">
        <v>2897</v>
      </c>
      <c r="D153" s="940" t="s">
        <v>2898</v>
      </c>
      <c r="E153" t="s">
        <v>1221</v>
      </c>
      <c r="F153">
        <v>1</v>
      </c>
      <c r="G153" s="135"/>
    </row>
    <row r="154" spans="1:7" x14ac:dyDescent="0.25">
      <c r="A154" s="940">
        <v>2174</v>
      </c>
      <c r="B154" s="940">
        <v>44</v>
      </c>
      <c r="C154" t="s">
        <v>2899</v>
      </c>
      <c r="D154" s="940" t="s">
        <v>2900</v>
      </c>
      <c r="E154" t="s">
        <v>72</v>
      </c>
      <c r="F154">
        <v>1</v>
      </c>
      <c r="G154" s="135"/>
    </row>
    <row r="155" spans="1:7" x14ac:dyDescent="0.25">
      <c r="A155" s="940">
        <v>1765</v>
      </c>
      <c r="B155" s="940">
        <v>77</v>
      </c>
      <c r="C155" t="s">
        <v>2901</v>
      </c>
      <c r="D155" s="940" t="s">
        <v>2902</v>
      </c>
      <c r="E155" t="s">
        <v>144</v>
      </c>
      <c r="F155">
        <v>1</v>
      </c>
      <c r="G155" s="135"/>
    </row>
    <row r="156" spans="1:7" x14ac:dyDescent="0.25">
      <c r="A156" s="940">
        <v>3395</v>
      </c>
      <c r="B156" s="940">
        <v>1</v>
      </c>
      <c r="C156" t="s">
        <v>2903</v>
      </c>
      <c r="D156" s="940" t="s">
        <v>2904</v>
      </c>
      <c r="E156" t="s">
        <v>165</v>
      </c>
      <c r="F156">
        <v>1</v>
      </c>
      <c r="G156" s="135"/>
    </row>
    <row r="157" spans="1:7" x14ac:dyDescent="0.25">
      <c r="A157" s="940">
        <v>3395</v>
      </c>
      <c r="B157" s="940">
        <v>1</v>
      </c>
      <c r="C157" t="s">
        <v>2905</v>
      </c>
      <c r="D157" s="940" t="s">
        <v>2906</v>
      </c>
      <c r="E157" t="s">
        <v>111</v>
      </c>
      <c r="F157">
        <v>1</v>
      </c>
      <c r="G157" s="135"/>
    </row>
    <row r="158" spans="1:7" x14ac:dyDescent="0.25">
      <c r="A158" s="940">
        <v>3141</v>
      </c>
      <c r="B158" s="940">
        <v>5</v>
      </c>
      <c r="C158" t="s">
        <v>2907</v>
      </c>
      <c r="D158" s="940" t="s">
        <v>2908</v>
      </c>
      <c r="E158" t="s">
        <v>73</v>
      </c>
      <c r="F158">
        <v>1</v>
      </c>
      <c r="G158" s="135"/>
    </row>
    <row r="159" spans="1:7" x14ac:dyDescent="0.25">
      <c r="A159" s="940">
        <v>310</v>
      </c>
      <c r="B159" s="940">
        <v>691</v>
      </c>
      <c r="C159" t="s">
        <v>2909</v>
      </c>
      <c r="D159" s="940" t="s">
        <v>2910</v>
      </c>
      <c r="E159" t="s">
        <v>132</v>
      </c>
      <c r="F159">
        <v>1</v>
      </c>
      <c r="G159" s="135"/>
    </row>
    <row r="160" spans="1:7" x14ac:dyDescent="0.25">
      <c r="A160" s="940">
        <v>2441</v>
      </c>
      <c r="B160" s="940">
        <v>28</v>
      </c>
      <c r="C160" t="s">
        <v>2911</v>
      </c>
      <c r="D160" s="940" t="s">
        <v>2912</v>
      </c>
      <c r="E160" t="s">
        <v>2913</v>
      </c>
      <c r="F160">
        <v>1</v>
      </c>
      <c r="G160" s="135"/>
    </row>
    <row r="161" spans="1:7" x14ac:dyDescent="0.25">
      <c r="A161" s="940">
        <v>1367</v>
      </c>
      <c r="B161" s="940">
        <v>124</v>
      </c>
      <c r="C161" t="s">
        <v>2914</v>
      </c>
      <c r="D161" s="940" t="s">
        <v>2915</v>
      </c>
      <c r="E161" t="s">
        <v>2916</v>
      </c>
      <c r="F161">
        <v>1</v>
      </c>
      <c r="G161" s="135"/>
    </row>
    <row r="162" spans="1:7" x14ac:dyDescent="0.25">
      <c r="A162" s="940">
        <v>725</v>
      </c>
      <c r="B162" s="940">
        <v>333</v>
      </c>
      <c r="C162" t="s">
        <v>2917</v>
      </c>
      <c r="D162" s="940" t="s">
        <v>2918</v>
      </c>
      <c r="E162" t="s">
        <v>1906</v>
      </c>
      <c r="F162">
        <v>1</v>
      </c>
      <c r="G162" s="135"/>
    </row>
    <row r="163" spans="1:7" x14ac:dyDescent="0.25">
      <c r="A163" s="940">
        <v>2996</v>
      </c>
      <c r="B163" s="940">
        <v>8</v>
      </c>
      <c r="C163" t="s">
        <v>2919</v>
      </c>
      <c r="D163" s="940" t="s">
        <v>2920</v>
      </c>
      <c r="E163" t="s">
        <v>99</v>
      </c>
      <c r="F163">
        <v>1</v>
      </c>
      <c r="G163" s="135"/>
    </row>
    <row r="164" spans="1:7" x14ac:dyDescent="0.25">
      <c r="A164" s="940">
        <v>1898</v>
      </c>
      <c r="B164" s="940">
        <v>64</v>
      </c>
      <c r="C164" t="s">
        <v>2921</v>
      </c>
      <c r="D164" s="940" t="s">
        <v>2922</v>
      </c>
      <c r="E164" t="s">
        <v>105</v>
      </c>
      <c r="F164">
        <v>1</v>
      </c>
      <c r="G164" s="135"/>
    </row>
    <row r="165" spans="1:7" x14ac:dyDescent="0.25">
      <c r="A165" s="940">
        <v>1233</v>
      </c>
      <c r="B165" s="940">
        <v>149</v>
      </c>
      <c r="C165" t="s">
        <v>663</v>
      </c>
      <c r="D165" s="940" t="s">
        <v>2923</v>
      </c>
      <c r="E165" t="s">
        <v>183</v>
      </c>
      <c r="F165">
        <v>1</v>
      </c>
      <c r="G165" s="135"/>
    </row>
    <row r="166" spans="1:7" x14ac:dyDescent="0.25">
      <c r="A166" s="940">
        <v>3490</v>
      </c>
      <c r="B166" s="940">
        <v>0</v>
      </c>
      <c r="C166" t="s">
        <v>2924</v>
      </c>
      <c r="D166" s="940" t="s">
        <v>2925</v>
      </c>
      <c r="E166" t="s">
        <v>105</v>
      </c>
      <c r="F166">
        <v>1</v>
      </c>
      <c r="G166" s="135"/>
    </row>
    <row r="167" spans="1:7" x14ac:dyDescent="0.25">
      <c r="A167" s="940">
        <v>1424</v>
      </c>
      <c r="B167" s="940">
        <v>116</v>
      </c>
      <c r="C167" t="s">
        <v>2926</v>
      </c>
      <c r="D167" s="940" t="s">
        <v>2927</v>
      </c>
      <c r="E167" t="s">
        <v>2928</v>
      </c>
      <c r="F167">
        <v>1</v>
      </c>
      <c r="G167" s="135"/>
    </row>
    <row r="168" spans="1:7" x14ac:dyDescent="0.25">
      <c r="A168" s="940">
        <v>3490</v>
      </c>
      <c r="B168" s="940">
        <v>0</v>
      </c>
      <c r="C168" t="s">
        <v>2929</v>
      </c>
      <c r="D168" s="940" t="s">
        <v>2930</v>
      </c>
      <c r="E168" t="s">
        <v>113</v>
      </c>
      <c r="F168">
        <v>1</v>
      </c>
      <c r="G168" s="135"/>
    </row>
    <row r="169" spans="1:7" x14ac:dyDescent="0.25">
      <c r="A169" s="940">
        <v>3490</v>
      </c>
      <c r="B169" s="940">
        <v>0</v>
      </c>
      <c r="C169" t="s">
        <v>2931</v>
      </c>
      <c r="D169" s="940" t="s">
        <v>2932</v>
      </c>
      <c r="E169" t="s">
        <v>164</v>
      </c>
      <c r="F169">
        <v>1</v>
      </c>
      <c r="G169" s="135"/>
    </row>
    <row r="170" spans="1:7" x14ac:dyDescent="0.25">
      <c r="A170" s="940">
        <v>3490</v>
      </c>
      <c r="B170" s="940">
        <v>0</v>
      </c>
      <c r="C170" t="s">
        <v>2933</v>
      </c>
      <c r="D170" s="940" t="s">
        <v>2934</v>
      </c>
      <c r="E170" t="s">
        <v>74</v>
      </c>
      <c r="F170">
        <v>1</v>
      </c>
      <c r="G170" s="135"/>
    </row>
    <row r="171" spans="1:7" x14ac:dyDescent="0.25">
      <c r="A171" s="940">
        <v>1787</v>
      </c>
      <c r="B171" s="940">
        <v>74</v>
      </c>
      <c r="C171" t="s">
        <v>2935</v>
      </c>
      <c r="D171" s="940" t="s">
        <v>2936</v>
      </c>
      <c r="E171" t="s">
        <v>111</v>
      </c>
      <c r="F171">
        <v>1</v>
      </c>
      <c r="G171" s="135"/>
    </row>
    <row r="172" spans="1:7" x14ac:dyDescent="0.25">
      <c r="A172" s="940">
        <v>74</v>
      </c>
      <c r="B172" s="940">
        <v>1203</v>
      </c>
      <c r="C172" t="s">
        <v>428</v>
      </c>
      <c r="D172" s="940" t="s">
        <v>2937</v>
      </c>
      <c r="E172" t="s">
        <v>120</v>
      </c>
      <c r="F172">
        <v>1</v>
      </c>
      <c r="G172" s="135"/>
    </row>
    <row r="173" spans="1:7" x14ac:dyDescent="0.25">
      <c r="A173" s="940">
        <v>292</v>
      </c>
      <c r="B173" s="940">
        <v>724</v>
      </c>
      <c r="C173" t="s">
        <v>2938</v>
      </c>
      <c r="D173" s="940" t="s">
        <v>2939</v>
      </c>
      <c r="E173" t="s">
        <v>1171</v>
      </c>
      <c r="F173">
        <v>1</v>
      </c>
      <c r="G173" s="135"/>
    </row>
    <row r="174" spans="1:7" x14ac:dyDescent="0.25">
      <c r="A174" s="940">
        <v>417</v>
      </c>
      <c r="B174" s="940">
        <v>554</v>
      </c>
      <c r="C174" t="s">
        <v>2940</v>
      </c>
      <c r="D174" s="940" t="s">
        <v>2941</v>
      </c>
      <c r="E174" t="s">
        <v>1158</v>
      </c>
      <c r="F174">
        <v>1</v>
      </c>
      <c r="G174" s="135"/>
    </row>
    <row r="175" spans="1:7" x14ac:dyDescent="0.25">
      <c r="A175" s="940">
        <v>3490</v>
      </c>
      <c r="B175" s="940">
        <v>0</v>
      </c>
      <c r="C175" t="s">
        <v>2942</v>
      </c>
      <c r="D175" s="940" t="s">
        <v>2943</v>
      </c>
      <c r="E175" t="s">
        <v>105</v>
      </c>
      <c r="F175">
        <v>1</v>
      </c>
      <c r="G175" s="135"/>
    </row>
    <row r="176" spans="1:7" x14ac:dyDescent="0.25">
      <c r="A176" s="940">
        <v>3490</v>
      </c>
      <c r="B176" s="940">
        <v>0</v>
      </c>
      <c r="C176" t="s">
        <v>2944</v>
      </c>
      <c r="D176" s="940" t="s">
        <v>2945</v>
      </c>
      <c r="E176" t="s">
        <v>163</v>
      </c>
      <c r="F176">
        <v>1</v>
      </c>
      <c r="G176" s="135"/>
    </row>
    <row r="177" spans="1:7" x14ac:dyDescent="0.25">
      <c r="A177" s="940">
        <v>1724</v>
      </c>
      <c r="B177" s="940">
        <v>81</v>
      </c>
      <c r="C177" t="s">
        <v>2946</v>
      </c>
      <c r="D177" s="940" t="s">
        <v>2947</v>
      </c>
      <c r="E177" t="s">
        <v>111</v>
      </c>
      <c r="F177">
        <v>1</v>
      </c>
      <c r="G177" s="135"/>
    </row>
    <row r="178" spans="1:7" x14ac:dyDescent="0.25">
      <c r="A178" s="940">
        <v>1724</v>
      </c>
      <c r="B178" s="940">
        <v>81</v>
      </c>
      <c r="C178" t="s">
        <v>2948</v>
      </c>
      <c r="D178" s="940" t="s">
        <v>2949</v>
      </c>
      <c r="E178" t="s">
        <v>2880</v>
      </c>
      <c r="F178">
        <v>1</v>
      </c>
      <c r="G178" s="135"/>
    </row>
    <row r="179" spans="1:7" x14ac:dyDescent="0.25">
      <c r="A179" s="940">
        <v>2959</v>
      </c>
      <c r="B179" s="940">
        <v>9</v>
      </c>
      <c r="C179" t="s">
        <v>2950</v>
      </c>
      <c r="D179" s="940" t="s">
        <v>2951</v>
      </c>
      <c r="E179" t="s">
        <v>2735</v>
      </c>
      <c r="F179">
        <v>1</v>
      </c>
      <c r="G179" s="135"/>
    </row>
    <row r="180" spans="1:7" x14ac:dyDescent="0.25">
      <c r="A180" s="940">
        <v>3141</v>
      </c>
      <c r="B180" s="940">
        <v>5</v>
      </c>
      <c r="C180" t="s">
        <v>2952</v>
      </c>
      <c r="D180" s="940" t="s">
        <v>2953</v>
      </c>
      <c r="E180" t="s">
        <v>84</v>
      </c>
      <c r="F180">
        <v>1</v>
      </c>
      <c r="G180" s="135"/>
    </row>
    <row r="181" spans="1:7" x14ac:dyDescent="0.25">
      <c r="A181" s="940">
        <v>1994</v>
      </c>
      <c r="B181" s="940">
        <v>56</v>
      </c>
      <c r="C181" t="s">
        <v>2954</v>
      </c>
      <c r="D181" s="940" t="s">
        <v>2955</v>
      </c>
      <c r="E181" t="s">
        <v>84</v>
      </c>
      <c r="F181">
        <v>1</v>
      </c>
      <c r="G181" s="135"/>
    </row>
    <row r="182" spans="1:7" x14ac:dyDescent="0.25">
      <c r="A182" s="940">
        <v>3490</v>
      </c>
      <c r="B182" s="940">
        <v>0</v>
      </c>
      <c r="C182" t="s">
        <v>2956</v>
      </c>
      <c r="D182" s="940" t="s">
        <v>2763</v>
      </c>
      <c r="E182" t="s">
        <v>105</v>
      </c>
      <c r="F182">
        <v>1</v>
      </c>
      <c r="G182" s="135"/>
    </row>
    <row r="183" spans="1:7" x14ac:dyDescent="0.25">
      <c r="A183" s="940">
        <v>1137</v>
      </c>
      <c r="B183" s="940">
        <v>171</v>
      </c>
      <c r="C183" t="s">
        <v>2957</v>
      </c>
      <c r="D183" s="940" t="s">
        <v>2958</v>
      </c>
      <c r="E183" t="s">
        <v>113</v>
      </c>
      <c r="F183">
        <v>1</v>
      </c>
      <c r="G183" s="135"/>
    </row>
    <row r="184" spans="1:7" x14ac:dyDescent="0.25">
      <c r="A184" s="940">
        <v>3490</v>
      </c>
      <c r="B184" s="940">
        <v>0</v>
      </c>
      <c r="C184" t="s">
        <v>2959</v>
      </c>
      <c r="D184" s="940" t="s">
        <v>2960</v>
      </c>
      <c r="E184" t="s">
        <v>120</v>
      </c>
      <c r="F184">
        <v>1</v>
      </c>
      <c r="G184" s="135"/>
    </row>
    <row r="185" spans="1:7" x14ac:dyDescent="0.25">
      <c r="A185" s="940">
        <v>3490</v>
      </c>
      <c r="B185" s="940">
        <v>0</v>
      </c>
      <c r="C185" t="s">
        <v>2961</v>
      </c>
      <c r="D185" s="940" t="s">
        <v>2962</v>
      </c>
      <c r="E185" t="s">
        <v>2963</v>
      </c>
      <c r="F185">
        <v>1</v>
      </c>
      <c r="G185" s="135"/>
    </row>
    <row r="186" spans="1:7" x14ac:dyDescent="0.25">
      <c r="A186" s="940">
        <v>3490</v>
      </c>
      <c r="B186" s="940">
        <v>0</v>
      </c>
      <c r="C186" t="s">
        <v>2964</v>
      </c>
      <c r="D186" s="940" t="s">
        <v>2965</v>
      </c>
      <c r="E186" t="s">
        <v>105</v>
      </c>
      <c r="F186">
        <v>1</v>
      </c>
      <c r="G186" s="135"/>
    </row>
    <row r="187" spans="1:7" x14ac:dyDescent="0.25">
      <c r="A187" s="940">
        <v>2016</v>
      </c>
      <c r="B187" s="940">
        <v>54</v>
      </c>
      <c r="C187" t="s">
        <v>2966</v>
      </c>
      <c r="D187" s="940" t="s">
        <v>2967</v>
      </c>
      <c r="E187" t="s">
        <v>1214</v>
      </c>
      <c r="F187">
        <v>1</v>
      </c>
      <c r="G187" s="135"/>
    </row>
    <row r="188" spans="1:7" x14ac:dyDescent="0.25">
      <c r="A188" s="940">
        <v>3490</v>
      </c>
      <c r="B188" s="940">
        <v>0</v>
      </c>
      <c r="C188" t="s">
        <v>2968</v>
      </c>
      <c r="D188" s="940" t="s">
        <v>2969</v>
      </c>
      <c r="E188" t="s">
        <v>2970</v>
      </c>
      <c r="F188">
        <v>1</v>
      </c>
      <c r="G188" s="135"/>
    </row>
    <row r="189" spans="1:7" x14ac:dyDescent="0.25">
      <c r="A189" s="940">
        <v>3196</v>
      </c>
      <c r="B189" s="940">
        <v>4</v>
      </c>
      <c r="C189" t="s">
        <v>2971</v>
      </c>
      <c r="D189" s="940" t="s">
        <v>2972</v>
      </c>
      <c r="E189" t="s">
        <v>105</v>
      </c>
      <c r="F189">
        <v>1</v>
      </c>
      <c r="G189" s="135"/>
    </row>
    <row r="190" spans="1:7" x14ac:dyDescent="0.25">
      <c r="A190" s="940">
        <v>1356</v>
      </c>
      <c r="B190" s="940">
        <v>126</v>
      </c>
      <c r="C190" t="s">
        <v>2973</v>
      </c>
      <c r="D190" s="940" t="s">
        <v>2974</v>
      </c>
      <c r="E190" t="s">
        <v>2916</v>
      </c>
      <c r="F190">
        <v>1</v>
      </c>
      <c r="G190" s="135"/>
    </row>
    <row r="191" spans="1:7" x14ac:dyDescent="0.25">
      <c r="A191" s="940">
        <v>333</v>
      </c>
      <c r="B191" s="940">
        <v>655</v>
      </c>
      <c r="C191" t="s">
        <v>2975</v>
      </c>
      <c r="D191" s="940" t="s">
        <v>2976</v>
      </c>
      <c r="E191" t="s">
        <v>1214</v>
      </c>
      <c r="F191">
        <v>1</v>
      </c>
      <c r="G191" s="135"/>
    </row>
    <row r="192" spans="1:7" x14ac:dyDescent="0.25">
      <c r="A192" s="940">
        <v>1994</v>
      </c>
      <c r="B192" s="940">
        <v>56</v>
      </c>
      <c r="C192" t="s">
        <v>2977</v>
      </c>
      <c r="D192" s="940" t="s">
        <v>2978</v>
      </c>
      <c r="E192" t="s">
        <v>2979</v>
      </c>
      <c r="F192">
        <v>1</v>
      </c>
      <c r="G192" s="135"/>
    </row>
    <row r="193" spans="1:7" x14ac:dyDescent="0.25">
      <c r="A193" s="940">
        <v>2582</v>
      </c>
      <c r="B193" s="940">
        <v>21</v>
      </c>
      <c r="C193" t="s">
        <v>2980</v>
      </c>
      <c r="D193" s="940" t="s">
        <v>2981</v>
      </c>
      <c r="E193" t="s">
        <v>111</v>
      </c>
      <c r="F193">
        <v>1</v>
      </c>
      <c r="G193" s="135"/>
    </row>
    <row r="194" spans="1:7" x14ac:dyDescent="0.25">
      <c r="A194" s="940">
        <v>467</v>
      </c>
      <c r="B194" s="940">
        <v>506</v>
      </c>
      <c r="C194" t="s">
        <v>2982</v>
      </c>
      <c r="D194" s="940" t="s">
        <v>2983</v>
      </c>
      <c r="E194" t="s">
        <v>2984</v>
      </c>
      <c r="F194">
        <v>1</v>
      </c>
      <c r="G194" s="135"/>
    </row>
    <row r="195" spans="1:7" x14ac:dyDescent="0.25">
      <c r="A195" s="940">
        <v>3490</v>
      </c>
      <c r="B195" s="940">
        <v>0</v>
      </c>
      <c r="C195" t="s">
        <v>2985</v>
      </c>
      <c r="D195" s="940" t="s">
        <v>2657</v>
      </c>
      <c r="E195" t="s">
        <v>73</v>
      </c>
      <c r="F195">
        <v>1</v>
      </c>
      <c r="G195" s="135"/>
    </row>
    <row r="196" spans="1:7" x14ac:dyDescent="0.25">
      <c r="A196" s="940">
        <v>483</v>
      </c>
      <c r="B196" s="940">
        <v>489</v>
      </c>
      <c r="C196" t="s">
        <v>2986</v>
      </c>
      <c r="D196" s="940" t="s">
        <v>2987</v>
      </c>
      <c r="E196" t="s">
        <v>1200</v>
      </c>
      <c r="F196">
        <v>1</v>
      </c>
      <c r="G196" s="135"/>
    </row>
    <row r="197" spans="1:7" x14ac:dyDescent="0.25">
      <c r="A197" s="940">
        <v>2659</v>
      </c>
      <c r="B197" s="940">
        <v>18</v>
      </c>
      <c r="C197" t="s">
        <v>2988</v>
      </c>
      <c r="D197" s="940" t="s">
        <v>2989</v>
      </c>
      <c r="E197" t="s">
        <v>128</v>
      </c>
      <c r="F197">
        <v>1</v>
      </c>
      <c r="G197" s="135"/>
    </row>
    <row r="198" spans="1:7" x14ac:dyDescent="0.25">
      <c r="A198" s="940">
        <v>1787</v>
      </c>
      <c r="B198" s="940">
        <v>74</v>
      </c>
      <c r="C198" t="s">
        <v>2990</v>
      </c>
      <c r="D198" s="940" t="s">
        <v>2991</v>
      </c>
      <c r="E198" t="s">
        <v>1332</v>
      </c>
      <c r="F198">
        <v>1</v>
      </c>
      <c r="G198" s="135"/>
    </row>
    <row r="199" spans="1:7" x14ac:dyDescent="0.25">
      <c r="A199" s="940">
        <v>881</v>
      </c>
      <c r="B199" s="940">
        <v>260</v>
      </c>
      <c r="C199" t="s">
        <v>2992</v>
      </c>
      <c r="D199" s="940" t="s">
        <v>2993</v>
      </c>
      <c r="E199" t="s">
        <v>2654</v>
      </c>
      <c r="F199">
        <v>1</v>
      </c>
      <c r="G199" s="135"/>
    </row>
    <row r="200" spans="1:7" x14ac:dyDescent="0.25">
      <c r="A200" s="940">
        <v>963</v>
      </c>
      <c r="B200" s="940">
        <v>231</v>
      </c>
      <c r="C200" t="s">
        <v>2994</v>
      </c>
      <c r="D200" s="940" t="s">
        <v>2995</v>
      </c>
      <c r="E200" t="s">
        <v>2735</v>
      </c>
      <c r="F200">
        <v>1</v>
      </c>
      <c r="G200" s="135"/>
    </row>
    <row r="201" spans="1:7" x14ac:dyDescent="0.25">
      <c r="A201" s="940">
        <v>1309</v>
      </c>
      <c r="B201" s="940">
        <v>134</v>
      </c>
      <c r="C201" t="s">
        <v>2996</v>
      </c>
      <c r="D201" s="940" t="s">
        <v>2997</v>
      </c>
      <c r="E201" t="s">
        <v>186</v>
      </c>
      <c r="F201">
        <v>1</v>
      </c>
      <c r="G201" s="135"/>
    </row>
    <row r="202" spans="1:7" x14ac:dyDescent="0.25">
      <c r="A202" s="940">
        <v>1188</v>
      </c>
      <c r="B202" s="940">
        <v>159</v>
      </c>
      <c r="C202" t="s">
        <v>664</v>
      </c>
      <c r="D202" s="940" t="s">
        <v>2786</v>
      </c>
      <c r="E202" t="s">
        <v>1229</v>
      </c>
      <c r="F202">
        <v>1</v>
      </c>
      <c r="G202" s="135"/>
    </row>
    <row r="203" spans="1:7" x14ac:dyDescent="0.25">
      <c r="A203" s="940">
        <v>711</v>
      </c>
      <c r="B203" s="940">
        <v>343</v>
      </c>
      <c r="C203" t="s">
        <v>2998</v>
      </c>
      <c r="D203" s="940" t="s">
        <v>2999</v>
      </c>
      <c r="E203" t="s">
        <v>120</v>
      </c>
      <c r="F203">
        <v>1</v>
      </c>
      <c r="G203" s="135"/>
    </row>
    <row r="204" spans="1:7" x14ac:dyDescent="0.25">
      <c r="A204" s="940">
        <v>3395</v>
      </c>
      <c r="B204" s="940">
        <v>1</v>
      </c>
      <c r="C204" t="s">
        <v>3000</v>
      </c>
      <c r="D204" s="940" t="s">
        <v>3001</v>
      </c>
      <c r="E204" t="s">
        <v>74</v>
      </c>
      <c r="F204">
        <v>1</v>
      </c>
      <c r="G204" s="135"/>
    </row>
    <row r="205" spans="1:7" x14ac:dyDescent="0.25">
      <c r="A205" s="940">
        <v>3490</v>
      </c>
      <c r="B205" s="940">
        <v>0</v>
      </c>
      <c r="C205" t="s">
        <v>3002</v>
      </c>
      <c r="D205" s="940" t="s">
        <v>3003</v>
      </c>
      <c r="E205" t="s">
        <v>661</v>
      </c>
      <c r="F205">
        <v>1</v>
      </c>
      <c r="G205" s="135"/>
    </row>
    <row r="206" spans="1:7" x14ac:dyDescent="0.25">
      <c r="A206" s="940">
        <v>301</v>
      </c>
      <c r="B206" s="940">
        <v>711</v>
      </c>
      <c r="C206" t="s">
        <v>1233</v>
      </c>
      <c r="D206" s="940" t="s">
        <v>3004</v>
      </c>
      <c r="E206" t="s">
        <v>227</v>
      </c>
      <c r="F206">
        <v>1</v>
      </c>
      <c r="G206" s="135"/>
    </row>
    <row r="207" spans="1:7" x14ac:dyDescent="0.25">
      <c r="A207" s="940">
        <v>3490</v>
      </c>
      <c r="B207" s="940">
        <v>0</v>
      </c>
      <c r="C207" t="s">
        <v>3005</v>
      </c>
      <c r="D207" s="940" t="s">
        <v>3006</v>
      </c>
      <c r="E207" t="s">
        <v>1702</v>
      </c>
      <c r="F207">
        <v>1</v>
      </c>
      <c r="G207" s="135"/>
    </row>
    <row r="208" spans="1:7" x14ac:dyDescent="0.25">
      <c r="A208" s="940">
        <v>3490</v>
      </c>
      <c r="B208" s="940">
        <v>0</v>
      </c>
      <c r="C208" t="s">
        <v>3007</v>
      </c>
      <c r="D208" s="940" t="s">
        <v>3008</v>
      </c>
      <c r="E208" t="s">
        <v>1251</v>
      </c>
      <c r="F208">
        <v>1</v>
      </c>
      <c r="G208" s="135"/>
    </row>
    <row r="209" spans="1:7" x14ac:dyDescent="0.25">
      <c r="A209" s="940">
        <v>1254</v>
      </c>
      <c r="B209" s="940">
        <v>144</v>
      </c>
      <c r="C209" t="s">
        <v>3009</v>
      </c>
      <c r="D209" s="940" t="s">
        <v>3010</v>
      </c>
      <c r="E209" t="s">
        <v>1251</v>
      </c>
      <c r="F209">
        <v>1</v>
      </c>
      <c r="G209" s="135"/>
    </row>
    <row r="210" spans="1:7" x14ac:dyDescent="0.25">
      <c r="A210" s="940">
        <v>487</v>
      </c>
      <c r="B210" s="940">
        <v>482</v>
      </c>
      <c r="C210" t="s">
        <v>3011</v>
      </c>
      <c r="D210" s="940" t="s">
        <v>3012</v>
      </c>
      <c r="E210" t="s">
        <v>165</v>
      </c>
      <c r="F210">
        <v>1</v>
      </c>
      <c r="G210" s="135"/>
    </row>
    <row r="211" spans="1:7" x14ac:dyDescent="0.25">
      <c r="A211" s="940">
        <v>289</v>
      </c>
      <c r="B211" s="940">
        <v>731</v>
      </c>
      <c r="C211" t="s">
        <v>1234</v>
      </c>
      <c r="D211" s="940" t="s">
        <v>3013</v>
      </c>
      <c r="E211" t="s">
        <v>83</v>
      </c>
      <c r="F211">
        <v>1</v>
      </c>
      <c r="G211" s="135"/>
    </row>
    <row r="212" spans="1:7" x14ac:dyDescent="0.25">
      <c r="A212" s="940">
        <v>1672</v>
      </c>
      <c r="B212" s="940">
        <v>86</v>
      </c>
      <c r="C212" t="s">
        <v>3014</v>
      </c>
      <c r="D212" s="940" t="s">
        <v>3015</v>
      </c>
      <c r="E212" t="s">
        <v>2880</v>
      </c>
      <c r="F212">
        <v>1</v>
      </c>
      <c r="G212" s="135"/>
    </row>
    <row r="213" spans="1:7" x14ac:dyDescent="0.25">
      <c r="A213" s="940">
        <v>1781</v>
      </c>
      <c r="B213" s="940">
        <v>75</v>
      </c>
      <c r="C213" t="s">
        <v>3016</v>
      </c>
      <c r="D213" s="940" t="s">
        <v>3017</v>
      </c>
      <c r="E213" t="s">
        <v>138</v>
      </c>
      <c r="F213">
        <v>1</v>
      </c>
      <c r="G213" s="135"/>
    </row>
    <row r="214" spans="1:7" x14ac:dyDescent="0.25">
      <c r="A214" s="940">
        <v>3327</v>
      </c>
      <c r="B214" s="940">
        <v>2</v>
      </c>
      <c r="C214" t="s">
        <v>3018</v>
      </c>
      <c r="D214" s="940" t="s">
        <v>3019</v>
      </c>
      <c r="E214" t="s">
        <v>118</v>
      </c>
      <c r="F214">
        <v>1</v>
      </c>
      <c r="G214" s="135"/>
    </row>
    <row r="215" spans="1:7" x14ac:dyDescent="0.25">
      <c r="A215" s="940">
        <v>1765</v>
      </c>
      <c r="B215" s="940">
        <v>77</v>
      </c>
      <c r="C215" t="s">
        <v>3020</v>
      </c>
      <c r="D215" s="940" t="s">
        <v>3021</v>
      </c>
      <c r="E215" t="s">
        <v>1475</v>
      </c>
      <c r="F215">
        <v>1</v>
      </c>
      <c r="G215" s="135"/>
    </row>
    <row r="216" spans="1:7" x14ac:dyDescent="0.25">
      <c r="A216" s="940">
        <v>685</v>
      </c>
      <c r="B216" s="940">
        <v>355</v>
      </c>
      <c r="C216" t="s">
        <v>3022</v>
      </c>
      <c r="D216" s="940" t="s">
        <v>3023</v>
      </c>
      <c r="E216" t="s">
        <v>74</v>
      </c>
      <c r="F216">
        <v>1</v>
      </c>
      <c r="G216" s="135"/>
    </row>
    <row r="217" spans="1:7" x14ac:dyDescent="0.25">
      <c r="A217" s="940">
        <v>3395</v>
      </c>
      <c r="B217" s="940">
        <v>1</v>
      </c>
      <c r="C217" t="s">
        <v>3024</v>
      </c>
      <c r="D217" s="940" t="s">
        <v>3025</v>
      </c>
      <c r="E217" t="s">
        <v>3026</v>
      </c>
      <c r="F217">
        <v>1</v>
      </c>
      <c r="G217" s="135"/>
    </row>
    <row r="218" spans="1:7" x14ac:dyDescent="0.25">
      <c r="A218" s="940">
        <v>1711</v>
      </c>
      <c r="B218" s="940">
        <v>82</v>
      </c>
      <c r="C218" t="s">
        <v>3027</v>
      </c>
      <c r="D218" s="940" t="s">
        <v>3028</v>
      </c>
      <c r="E218" t="s">
        <v>111</v>
      </c>
      <c r="F218">
        <v>1</v>
      </c>
      <c r="G218" s="135"/>
    </row>
    <row r="219" spans="1:7" x14ac:dyDescent="0.25">
      <c r="A219" s="940">
        <v>1188</v>
      </c>
      <c r="B219" s="940">
        <v>159</v>
      </c>
      <c r="C219" t="s">
        <v>3029</v>
      </c>
      <c r="D219" s="940" t="s">
        <v>3030</v>
      </c>
      <c r="E219" t="s">
        <v>103</v>
      </c>
      <c r="F219">
        <v>1</v>
      </c>
      <c r="G219" s="135"/>
    </row>
    <row r="220" spans="1:7" x14ac:dyDescent="0.25">
      <c r="A220" s="940">
        <v>1787</v>
      </c>
      <c r="B220" s="940">
        <v>74</v>
      </c>
      <c r="C220" t="s">
        <v>3031</v>
      </c>
      <c r="D220" s="940" t="s">
        <v>3032</v>
      </c>
      <c r="E220" t="s">
        <v>120</v>
      </c>
      <c r="F220">
        <v>1</v>
      </c>
      <c r="G220" s="135"/>
    </row>
    <row r="221" spans="1:7" x14ac:dyDescent="0.25">
      <c r="A221" s="940">
        <v>1367</v>
      </c>
      <c r="B221" s="940">
        <v>124</v>
      </c>
      <c r="C221" t="s">
        <v>433</v>
      </c>
      <c r="D221" s="940" t="s">
        <v>3033</v>
      </c>
      <c r="E221" t="s">
        <v>141</v>
      </c>
      <c r="F221">
        <v>1</v>
      </c>
      <c r="G221" s="135"/>
    </row>
    <row r="222" spans="1:7" x14ac:dyDescent="0.25">
      <c r="A222" s="940">
        <v>230</v>
      </c>
      <c r="B222" s="940">
        <v>851</v>
      </c>
      <c r="C222" t="s">
        <v>3034</v>
      </c>
      <c r="D222" s="940" t="s">
        <v>3035</v>
      </c>
      <c r="E222" t="s">
        <v>141</v>
      </c>
      <c r="F222">
        <v>1</v>
      </c>
      <c r="G222" s="135"/>
    </row>
    <row r="223" spans="1:7" x14ac:dyDescent="0.25">
      <c r="A223" s="940">
        <v>1615</v>
      </c>
      <c r="B223" s="940">
        <v>93</v>
      </c>
      <c r="C223" t="s">
        <v>3036</v>
      </c>
      <c r="D223" s="940" t="s">
        <v>3037</v>
      </c>
      <c r="E223" t="s">
        <v>1158</v>
      </c>
      <c r="F223">
        <v>1</v>
      </c>
      <c r="G223" s="135"/>
    </row>
    <row r="224" spans="1:7" x14ac:dyDescent="0.25">
      <c r="A224" s="940">
        <v>346</v>
      </c>
      <c r="B224" s="940">
        <v>638</v>
      </c>
      <c r="C224" t="s">
        <v>3038</v>
      </c>
      <c r="D224" s="940" t="s">
        <v>3039</v>
      </c>
      <c r="E224" t="s">
        <v>120</v>
      </c>
      <c r="F224">
        <v>1</v>
      </c>
      <c r="G224" s="135"/>
    </row>
    <row r="225" spans="1:7" x14ac:dyDescent="0.25">
      <c r="A225" s="940">
        <v>3490</v>
      </c>
      <c r="B225" s="940">
        <v>0</v>
      </c>
      <c r="C225" t="s">
        <v>3040</v>
      </c>
      <c r="D225" s="940" t="s">
        <v>3041</v>
      </c>
      <c r="E225" t="s">
        <v>1507</v>
      </c>
      <c r="F225">
        <v>1</v>
      </c>
      <c r="G225" s="135"/>
    </row>
    <row r="226" spans="1:7" x14ac:dyDescent="0.25">
      <c r="A226" s="940">
        <v>3490</v>
      </c>
      <c r="B226" s="940">
        <v>0</v>
      </c>
      <c r="C226" t="s">
        <v>3042</v>
      </c>
      <c r="D226" s="940" t="s">
        <v>3043</v>
      </c>
      <c r="E226" t="s">
        <v>118</v>
      </c>
      <c r="F226">
        <v>1</v>
      </c>
      <c r="G226" s="135"/>
    </row>
    <row r="227" spans="1:7" x14ac:dyDescent="0.25">
      <c r="A227" s="940">
        <v>2272</v>
      </c>
      <c r="B227" s="940">
        <v>38</v>
      </c>
      <c r="C227" t="s">
        <v>3044</v>
      </c>
      <c r="D227" s="940" t="s">
        <v>3045</v>
      </c>
      <c r="E227" t="s">
        <v>105</v>
      </c>
      <c r="F227">
        <v>1</v>
      </c>
      <c r="G227" s="135"/>
    </row>
    <row r="228" spans="1:7" x14ac:dyDescent="0.25">
      <c r="A228" s="940">
        <v>3490</v>
      </c>
      <c r="B228" s="940">
        <v>0</v>
      </c>
      <c r="C228" t="s">
        <v>3046</v>
      </c>
      <c r="D228" s="940" t="s">
        <v>3047</v>
      </c>
      <c r="E228" t="s">
        <v>117</v>
      </c>
      <c r="F228">
        <v>1</v>
      </c>
      <c r="G228" s="135"/>
    </row>
    <row r="229" spans="1:7" x14ac:dyDescent="0.25">
      <c r="A229" s="940">
        <v>1574</v>
      </c>
      <c r="B229" s="940">
        <v>98</v>
      </c>
      <c r="C229" t="s">
        <v>434</v>
      </c>
      <c r="D229" s="940" t="s">
        <v>3048</v>
      </c>
      <c r="E229" t="s">
        <v>115</v>
      </c>
      <c r="F229">
        <v>1</v>
      </c>
      <c r="G229" s="135"/>
    </row>
    <row r="230" spans="1:7" x14ac:dyDescent="0.25">
      <c r="A230" s="940">
        <v>174</v>
      </c>
      <c r="B230" s="940">
        <v>939</v>
      </c>
      <c r="C230" t="s">
        <v>3049</v>
      </c>
      <c r="D230" s="940" t="s">
        <v>3050</v>
      </c>
      <c r="E230" t="s">
        <v>105</v>
      </c>
      <c r="F230">
        <v>1</v>
      </c>
      <c r="G230" s="135"/>
    </row>
    <row r="231" spans="1:7" x14ac:dyDescent="0.25">
      <c r="A231" s="940">
        <v>355</v>
      </c>
      <c r="B231" s="940">
        <v>628</v>
      </c>
      <c r="C231" t="s">
        <v>3051</v>
      </c>
      <c r="D231" s="940" t="s">
        <v>3052</v>
      </c>
      <c r="E231" t="s">
        <v>1675</v>
      </c>
      <c r="F231">
        <v>1</v>
      </c>
      <c r="G231" s="135"/>
    </row>
    <row r="232" spans="1:7" x14ac:dyDescent="0.25">
      <c r="A232" s="940">
        <v>3490</v>
      </c>
      <c r="B232" s="940">
        <v>0</v>
      </c>
      <c r="C232" t="s">
        <v>3053</v>
      </c>
      <c r="D232" s="940" t="s">
        <v>3054</v>
      </c>
      <c r="E232" t="s">
        <v>3055</v>
      </c>
      <c r="F232">
        <v>1</v>
      </c>
      <c r="G232" s="135"/>
    </row>
    <row r="233" spans="1:7" x14ac:dyDescent="0.25">
      <c r="A233" s="940">
        <v>1292</v>
      </c>
      <c r="B233" s="940">
        <v>137</v>
      </c>
      <c r="C233" t="s">
        <v>3056</v>
      </c>
      <c r="D233" s="940" t="s">
        <v>3057</v>
      </c>
      <c r="E233" t="s">
        <v>3058</v>
      </c>
      <c r="F233">
        <v>1</v>
      </c>
      <c r="G233" s="135"/>
    </row>
    <row r="234" spans="1:7" x14ac:dyDescent="0.25">
      <c r="A234" s="940">
        <v>3490</v>
      </c>
      <c r="B234" s="940">
        <v>0</v>
      </c>
      <c r="C234" t="s">
        <v>3059</v>
      </c>
      <c r="D234" s="940" t="s">
        <v>3060</v>
      </c>
      <c r="E234" t="s">
        <v>175</v>
      </c>
      <c r="F234">
        <v>1</v>
      </c>
      <c r="G234" s="135"/>
    </row>
    <row r="235" spans="1:7" x14ac:dyDescent="0.25">
      <c r="A235" s="940">
        <v>566</v>
      </c>
      <c r="B235" s="940">
        <v>424</v>
      </c>
      <c r="C235" t="s">
        <v>1247</v>
      </c>
      <c r="D235" s="940" t="s">
        <v>3061</v>
      </c>
      <c r="E235" t="s">
        <v>1248</v>
      </c>
      <c r="F235">
        <v>1</v>
      </c>
      <c r="G235" s="135"/>
    </row>
    <row r="236" spans="1:7" x14ac:dyDescent="0.25">
      <c r="A236" s="940">
        <v>17</v>
      </c>
      <c r="B236" s="940">
        <v>1521</v>
      </c>
      <c r="C236" t="s">
        <v>3062</v>
      </c>
      <c r="D236" s="940" t="s">
        <v>3063</v>
      </c>
      <c r="E236" t="s">
        <v>105</v>
      </c>
      <c r="F236">
        <v>1</v>
      </c>
      <c r="G236" s="135"/>
    </row>
    <row r="237" spans="1:7" x14ac:dyDescent="0.25">
      <c r="A237" s="940">
        <v>3265</v>
      </c>
      <c r="B237" s="940">
        <v>3</v>
      </c>
      <c r="C237" t="s">
        <v>3064</v>
      </c>
      <c r="D237" s="940" t="s">
        <v>3065</v>
      </c>
      <c r="E237" t="s">
        <v>3066</v>
      </c>
      <c r="F237">
        <v>1</v>
      </c>
      <c r="G237" s="135"/>
    </row>
    <row r="238" spans="1:7" x14ac:dyDescent="0.25">
      <c r="A238" s="940">
        <v>249</v>
      </c>
      <c r="B238" s="940">
        <v>817</v>
      </c>
      <c r="C238" t="s">
        <v>3067</v>
      </c>
      <c r="D238" s="940" t="s">
        <v>3068</v>
      </c>
      <c r="E238" t="s">
        <v>1332</v>
      </c>
      <c r="F238">
        <v>1</v>
      </c>
      <c r="G238" s="135"/>
    </row>
    <row r="239" spans="1:7" x14ac:dyDescent="0.25">
      <c r="A239" s="940">
        <v>1206</v>
      </c>
      <c r="B239" s="940">
        <v>155</v>
      </c>
      <c r="C239" t="s">
        <v>3069</v>
      </c>
      <c r="D239" s="940" t="s">
        <v>3070</v>
      </c>
      <c r="E239" t="s">
        <v>213</v>
      </c>
      <c r="F239">
        <v>1</v>
      </c>
      <c r="G239" s="135"/>
    </row>
    <row r="240" spans="1:7" x14ac:dyDescent="0.25">
      <c r="A240" s="940">
        <v>3490</v>
      </c>
      <c r="B240" s="940">
        <v>0</v>
      </c>
      <c r="C240" t="s">
        <v>3071</v>
      </c>
      <c r="D240" s="940" t="s">
        <v>2795</v>
      </c>
      <c r="E240" t="s">
        <v>105</v>
      </c>
      <c r="F240">
        <v>1</v>
      </c>
      <c r="G240" s="135"/>
    </row>
    <row r="241" spans="1:7" x14ac:dyDescent="0.25">
      <c r="A241" s="940">
        <v>628</v>
      </c>
      <c r="B241" s="940">
        <v>384</v>
      </c>
      <c r="C241" t="s">
        <v>3072</v>
      </c>
      <c r="D241" s="940" t="s">
        <v>3073</v>
      </c>
      <c r="E241" t="s">
        <v>1251</v>
      </c>
      <c r="F241">
        <v>1</v>
      </c>
      <c r="G241" s="135"/>
    </row>
    <row r="242" spans="1:7" x14ac:dyDescent="0.25">
      <c r="A242" s="940">
        <v>2291</v>
      </c>
      <c r="B242" s="940">
        <v>37</v>
      </c>
      <c r="C242" t="s">
        <v>3074</v>
      </c>
      <c r="D242" s="940" t="s">
        <v>3075</v>
      </c>
      <c r="E242" t="s">
        <v>1590</v>
      </c>
      <c r="F242">
        <v>1</v>
      </c>
      <c r="G242" s="135"/>
    </row>
    <row r="243" spans="1:7" x14ac:dyDescent="0.25">
      <c r="A243" s="940">
        <v>2996</v>
      </c>
      <c r="B243" s="940">
        <v>8</v>
      </c>
      <c r="C243" t="s">
        <v>3076</v>
      </c>
      <c r="D243" s="940" t="s">
        <v>3077</v>
      </c>
      <c r="E243" t="s">
        <v>3078</v>
      </c>
      <c r="F243">
        <v>1</v>
      </c>
      <c r="G243" s="135"/>
    </row>
    <row r="244" spans="1:7" x14ac:dyDescent="0.25">
      <c r="A244" s="940">
        <v>1254</v>
      </c>
      <c r="B244" s="940">
        <v>144</v>
      </c>
      <c r="C244" t="s">
        <v>3079</v>
      </c>
      <c r="D244" s="940" t="s">
        <v>3080</v>
      </c>
      <c r="E244" t="s">
        <v>105</v>
      </c>
      <c r="F244">
        <v>1</v>
      </c>
      <c r="G244" s="135"/>
    </row>
    <row r="245" spans="1:7" x14ac:dyDescent="0.25">
      <c r="A245" s="940">
        <v>1233</v>
      </c>
      <c r="B245" s="940">
        <v>149</v>
      </c>
      <c r="C245" t="s">
        <v>3081</v>
      </c>
      <c r="D245" s="940" t="s">
        <v>3082</v>
      </c>
      <c r="E245" t="s">
        <v>1460</v>
      </c>
      <c r="F245">
        <v>1</v>
      </c>
      <c r="G245" s="135"/>
    </row>
    <row r="246" spans="1:7" x14ac:dyDescent="0.25">
      <c r="A246" s="940">
        <v>3490</v>
      </c>
      <c r="B246" s="940">
        <v>0</v>
      </c>
      <c r="C246" t="s">
        <v>3083</v>
      </c>
      <c r="D246" s="940" t="s">
        <v>3084</v>
      </c>
      <c r="E246" t="s">
        <v>1844</v>
      </c>
      <c r="F246">
        <v>1</v>
      </c>
      <c r="G246" s="135"/>
    </row>
    <row r="247" spans="1:7" x14ac:dyDescent="0.25">
      <c r="A247" s="940">
        <v>2499</v>
      </c>
      <c r="B247" s="940">
        <v>25</v>
      </c>
      <c r="C247" t="s">
        <v>3085</v>
      </c>
      <c r="D247" s="940" t="s">
        <v>3086</v>
      </c>
      <c r="E247" t="s">
        <v>111</v>
      </c>
      <c r="F247">
        <v>1</v>
      </c>
      <c r="G247" s="135"/>
    </row>
    <row r="248" spans="1:7" x14ac:dyDescent="0.25">
      <c r="A248" s="940">
        <v>2347</v>
      </c>
      <c r="B248" s="940">
        <v>33</v>
      </c>
      <c r="C248" t="s">
        <v>3087</v>
      </c>
      <c r="D248" s="940" t="s">
        <v>2666</v>
      </c>
      <c r="E248" t="s">
        <v>120</v>
      </c>
      <c r="F248">
        <v>1</v>
      </c>
      <c r="G248" s="135"/>
    </row>
    <row r="249" spans="1:7" x14ac:dyDescent="0.25">
      <c r="A249" s="940">
        <v>995</v>
      </c>
      <c r="B249" s="940">
        <v>218</v>
      </c>
      <c r="C249" t="s">
        <v>3088</v>
      </c>
      <c r="D249" s="940" t="s">
        <v>3089</v>
      </c>
      <c r="E249" t="s">
        <v>3090</v>
      </c>
      <c r="F249">
        <v>1</v>
      </c>
      <c r="G249" s="135"/>
    </row>
    <row r="250" spans="1:7" x14ac:dyDescent="0.25">
      <c r="A250" s="940">
        <v>1643</v>
      </c>
      <c r="B250" s="940">
        <v>90</v>
      </c>
      <c r="C250" t="s">
        <v>3091</v>
      </c>
      <c r="D250" s="940" t="s">
        <v>3092</v>
      </c>
      <c r="E250" t="s">
        <v>118</v>
      </c>
      <c r="F250">
        <v>1</v>
      </c>
      <c r="G250" s="135"/>
    </row>
    <row r="251" spans="1:7" x14ac:dyDescent="0.25">
      <c r="A251" s="940">
        <v>3490</v>
      </c>
      <c r="B251" s="940">
        <v>0</v>
      </c>
      <c r="C251" t="s">
        <v>3093</v>
      </c>
      <c r="D251" s="940" t="s">
        <v>3084</v>
      </c>
      <c r="E251" t="s">
        <v>120</v>
      </c>
      <c r="F251">
        <v>1</v>
      </c>
      <c r="G251" s="135"/>
    </row>
    <row r="252" spans="1:7" x14ac:dyDescent="0.25">
      <c r="A252" s="940">
        <v>2152</v>
      </c>
      <c r="B252" s="940">
        <v>45</v>
      </c>
      <c r="C252" t="s">
        <v>3094</v>
      </c>
      <c r="D252" s="940" t="s">
        <v>3095</v>
      </c>
      <c r="E252" t="s">
        <v>120</v>
      </c>
      <c r="F252">
        <v>1</v>
      </c>
      <c r="G252" s="135"/>
    </row>
    <row r="253" spans="1:7" x14ac:dyDescent="0.25">
      <c r="A253" s="940">
        <v>1452</v>
      </c>
      <c r="B253" s="940">
        <v>113</v>
      </c>
      <c r="C253" t="s">
        <v>3096</v>
      </c>
      <c r="D253" s="940" t="s">
        <v>3097</v>
      </c>
      <c r="E253" t="s">
        <v>3098</v>
      </c>
      <c r="F253">
        <v>1</v>
      </c>
      <c r="G253" s="135"/>
    </row>
    <row r="254" spans="1:7" x14ac:dyDescent="0.25">
      <c r="A254" s="940">
        <v>145</v>
      </c>
      <c r="B254" s="940">
        <v>987</v>
      </c>
      <c r="C254" t="s">
        <v>1253</v>
      </c>
      <c r="D254" s="940" t="s">
        <v>2633</v>
      </c>
      <c r="E254" t="s">
        <v>120</v>
      </c>
      <c r="F254">
        <v>1</v>
      </c>
      <c r="G254" s="135"/>
    </row>
    <row r="255" spans="1:7" x14ac:dyDescent="0.25">
      <c r="A255" s="940">
        <v>1105</v>
      </c>
      <c r="B255" s="940">
        <v>179</v>
      </c>
      <c r="C255" t="s">
        <v>3099</v>
      </c>
      <c r="D255" s="940" t="s">
        <v>3100</v>
      </c>
      <c r="E255" t="s">
        <v>290</v>
      </c>
      <c r="F255">
        <v>1</v>
      </c>
      <c r="G255" s="135"/>
    </row>
    <row r="256" spans="1:7" x14ac:dyDescent="0.25">
      <c r="A256" s="940">
        <v>1514</v>
      </c>
      <c r="B256" s="940">
        <v>104</v>
      </c>
      <c r="C256" t="s">
        <v>3101</v>
      </c>
      <c r="D256" s="940" t="s">
        <v>3102</v>
      </c>
      <c r="E256" t="s">
        <v>1507</v>
      </c>
      <c r="F256">
        <v>1</v>
      </c>
      <c r="G256" s="135"/>
    </row>
    <row r="257" spans="1:7" x14ac:dyDescent="0.25">
      <c r="A257" s="940">
        <v>1468</v>
      </c>
      <c r="B257" s="940">
        <v>110</v>
      </c>
      <c r="C257" t="s">
        <v>3103</v>
      </c>
      <c r="D257" s="940" t="s">
        <v>3104</v>
      </c>
      <c r="E257" t="s">
        <v>1507</v>
      </c>
      <c r="F257">
        <v>1</v>
      </c>
      <c r="G257" s="135"/>
    </row>
    <row r="258" spans="1:7" x14ac:dyDescent="0.25">
      <c r="A258" s="940">
        <v>277</v>
      </c>
      <c r="B258" s="940">
        <v>747</v>
      </c>
      <c r="C258" t="s">
        <v>3105</v>
      </c>
      <c r="D258" s="940" t="s">
        <v>3106</v>
      </c>
      <c r="E258" t="s">
        <v>1162</v>
      </c>
      <c r="F258">
        <v>1</v>
      </c>
      <c r="G258" s="135"/>
    </row>
    <row r="259" spans="1:7" x14ac:dyDescent="0.25">
      <c r="A259" s="940">
        <v>1367</v>
      </c>
      <c r="B259" s="940">
        <v>124</v>
      </c>
      <c r="C259" t="s">
        <v>1259</v>
      </c>
      <c r="D259" s="940" t="s">
        <v>3107</v>
      </c>
      <c r="E259" t="s">
        <v>72</v>
      </c>
      <c r="F259">
        <v>1</v>
      </c>
      <c r="G259" s="135"/>
    </row>
    <row r="260" spans="1:7" x14ac:dyDescent="0.25">
      <c r="A260" s="940">
        <v>2206</v>
      </c>
      <c r="B260" s="940">
        <v>42</v>
      </c>
      <c r="C260" t="s">
        <v>3108</v>
      </c>
      <c r="D260" s="940" t="s">
        <v>3109</v>
      </c>
      <c r="E260" t="s">
        <v>110</v>
      </c>
      <c r="F260">
        <v>1</v>
      </c>
      <c r="G260" s="135"/>
    </row>
    <row r="261" spans="1:7" x14ac:dyDescent="0.25">
      <c r="A261" s="940">
        <v>1898</v>
      </c>
      <c r="B261" s="940">
        <v>64</v>
      </c>
      <c r="C261" t="s">
        <v>3110</v>
      </c>
      <c r="D261" s="940" t="s">
        <v>3111</v>
      </c>
      <c r="E261" t="s">
        <v>99</v>
      </c>
      <c r="F261">
        <v>1</v>
      </c>
      <c r="G261" s="135"/>
    </row>
    <row r="262" spans="1:7" x14ac:dyDescent="0.25">
      <c r="A262" s="940">
        <v>3490</v>
      </c>
      <c r="B262" s="940">
        <v>0</v>
      </c>
      <c r="C262" t="s">
        <v>3112</v>
      </c>
      <c r="D262" s="940" t="s">
        <v>2927</v>
      </c>
      <c r="E262" t="s">
        <v>3098</v>
      </c>
      <c r="F262">
        <v>1</v>
      </c>
      <c r="G262" s="135"/>
    </row>
    <row r="263" spans="1:7" x14ac:dyDescent="0.25">
      <c r="A263" s="940">
        <v>3141</v>
      </c>
      <c r="B263" s="940">
        <v>5</v>
      </c>
      <c r="C263" t="s">
        <v>3113</v>
      </c>
      <c r="D263" s="940" t="s">
        <v>2783</v>
      </c>
      <c r="E263" t="s">
        <v>3114</v>
      </c>
      <c r="F263">
        <v>1</v>
      </c>
      <c r="G263" s="135"/>
    </row>
    <row r="264" spans="1:7" x14ac:dyDescent="0.25">
      <c r="A264" s="940">
        <v>1367</v>
      </c>
      <c r="B264" s="940">
        <v>124</v>
      </c>
      <c r="C264" t="s">
        <v>1262</v>
      </c>
      <c r="D264" s="940" t="s">
        <v>3115</v>
      </c>
      <c r="E264" t="s">
        <v>105</v>
      </c>
      <c r="F264">
        <v>1</v>
      </c>
      <c r="G264" s="135"/>
    </row>
    <row r="265" spans="1:7" x14ac:dyDescent="0.25">
      <c r="A265" s="940">
        <v>3490</v>
      </c>
      <c r="B265" s="940">
        <v>0</v>
      </c>
      <c r="C265" t="s">
        <v>3116</v>
      </c>
      <c r="D265" s="940" t="s">
        <v>3117</v>
      </c>
      <c r="E265" t="s">
        <v>133</v>
      </c>
      <c r="F265">
        <v>1</v>
      </c>
      <c r="G265" s="135"/>
    </row>
    <row r="266" spans="1:7" x14ac:dyDescent="0.25">
      <c r="A266" s="940">
        <v>581</v>
      </c>
      <c r="B266" s="940">
        <v>414</v>
      </c>
      <c r="C266" t="s">
        <v>3118</v>
      </c>
      <c r="D266" s="940" t="s">
        <v>3119</v>
      </c>
      <c r="E266" t="s">
        <v>130</v>
      </c>
      <c r="F266">
        <v>1</v>
      </c>
      <c r="G266" s="135"/>
    </row>
    <row r="267" spans="1:7" x14ac:dyDescent="0.25">
      <c r="A267" s="940">
        <v>1062</v>
      </c>
      <c r="B267" s="940">
        <v>195</v>
      </c>
      <c r="C267" t="s">
        <v>3120</v>
      </c>
      <c r="D267" s="940" t="s">
        <v>3121</v>
      </c>
      <c r="E267" t="s">
        <v>130</v>
      </c>
      <c r="F267">
        <v>1</v>
      </c>
      <c r="G267" s="135"/>
    </row>
    <row r="268" spans="1:7" x14ac:dyDescent="0.25">
      <c r="A268" s="940">
        <v>201</v>
      </c>
      <c r="B268" s="940">
        <v>889</v>
      </c>
      <c r="C268" t="s">
        <v>3122</v>
      </c>
      <c r="D268" s="940" t="s">
        <v>3123</v>
      </c>
      <c r="E268" t="s">
        <v>166</v>
      </c>
      <c r="F268">
        <v>1</v>
      </c>
      <c r="G268" s="135"/>
    </row>
    <row r="269" spans="1:7" x14ac:dyDescent="0.25">
      <c r="A269" s="940">
        <v>1356</v>
      </c>
      <c r="B269" s="940">
        <v>126</v>
      </c>
      <c r="C269" t="s">
        <v>3124</v>
      </c>
      <c r="D269" s="940" t="s">
        <v>3125</v>
      </c>
      <c r="E269" t="s">
        <v>1284</v>
      </c>
      <c r="F269">
        <v>1</v>
      </c>
      <c r="G269" s="135"/>
    </row>
    <row r="270" spans="1:7" x14ac:dyDescent="0.25">
      <c r="A270" s="940">
        <v>3045</v>
      </c>
      <c r="B270" s="940">
        <v>7</v>
      </c>
      <c r="C270" t="s">
        <v>3126</v>
      </c>
      <c r="D270" s="940" t="s">
        <v>3127</v>
      </c>
      <c r="E270" t="s">
        <v>3128</v>
      </c>
      <c r="F270">
        <v>1</v>
      </c>
      <c r="G270" s="135"/>
    </row>
    <row r="271" spans="1:7" x14ac:dyDescent="0.25">
      <c r="A271" s="940">
        <v>3490</v>
      </c>
      <c r="B271" s="940">
        <v>0</v>
      </c>
      <c r="C271" t="s">
        <v>3129</v>
      </c>
      <c r="D271" s="940" t="s">
        <v>3127</v>
      </c>
      <c r="E271" t="s">
        <v>3128</v>
      </c>
      <c r="F271">
        <v>1</v>
      </c>
      <c r="G271" s="135"/>
    </row>
    <row r="272" spans="1:7" x14ac:dyDescent="0.25">
      <c r="A272" s="940">
        <v>3490</v>
      </c>
      <c r="B272" s="940">
        <v>0</v>
      </c>
      <c r="C272" t="s">
        <v>3130</v>
      </c>
      <c r="D272" s="940" t="s">
        <v>3131</v>
      </c>
      <c r="E272" t="s">
        <v>118</v>
      </c>
      <c r="F272">
        <v>1</v>
      </c>
      <c r="G272" s="135"/>
    </row>
    <row r="273" spans="1:7" x14ac:dyDescent="0.25">
      <c r="A273" s="940">
        <v>3490</v>
      </c>
      <c r="B273" s="940">
        <v>0</v>
      </c>
      <c r="C273" t="s">
        <v>3132</v>
      </c>
      <c r="D273" s="940" t="s">
        <v>3133</v>
      </c>
      <c r="E273" t="s">
        <v>120</v>
      </c>
      <c r="F273">
        <v>1</v>
      </c>
      <c r="G273" s="135"/>
    </row>
    <row r="274" spans="1:7" x14ac:dyDescent="0.25">
      <c r="A274" s="940">
        <v>430</v>
      </c>
      <c r="B274" s="940">
        <v>542</v>
      </c>
      <c r="C274" t="s">
        <v>1266</v>
      </c>
      <c r="D274" s="940" t="s">
        <v>3134</v>
      </c>
      <c r="E274" t="s">
        <v>1267</v>
      </c>
      <c r="F274">
        <v>1</v>
      </c>
      <c r="G274" s="135"/>
    </row>
    <row r="275" spans="1:7" x14ac:dyDescent="0.25">
      <c r="A275" s="940">
        <v>2381</v>
      </c>
      <c r="B275" s="940">
        <v>31</v>
      </c>
      <c r="C275" t="s">
        <v>3135</v>
      </c>
      <c r="D275" s="940" t="s">
        <v>3136</v>
      </c>
      <c r="E275" t="s">
        <v>3137</v>
      </c>
      <c r="F275">
        <v>1</v>
      </c>
      <c r="G275" s="135"/>
    </row>
    <row r="276" spans="1:7" x14ac:dyDescent="0.25">
      <c r="A276" s="940">
        <v>2609</v>
      </c>
      <c r="B276" s="940">
        <v>20</v>
      </c>
      <c r="C276" t="s">
        <v>3138</v>
      </c>
      <c r="D276" s="940" t="s">
        <v>3139</v>
      </c>
      <c r="E276" t="s">
        <v>3140</v>
      </c>
      <c r="F276">
        <v>1</v>
      </c>
      <c r="G276" s="135"/>
    </row>
    <row r="277" spans="1:7" x14ac:dyDescent="0.25">
      <c r="A277" s="940">
        <v>2582</v>
      </c>
      <c r="B277" s="940">
        <v>21</v>
      </c>
      <c r="C277" t="s">
        <v>3141</v>
      </c>
      <c r="D277" s="940" t="s">
        <v>3142</v>
      </c>
      <c r="E277" t="s">
        <v>1435</v>
      </c>
      <c r="F277">
        <v>1</v>
      </c>
      <c r="G277" s="135"/>
    </row>
    <row r="278" spans="1:7" x14ac:dyDescent="0.25">
      <c r="A278" s="940">
        <v>2839</v>
      </c>
      <c r="B278" s="940">
        <v>12</v>
      </c>
      <c r="C278" t="s">
        <v>3141</v>
      </c>
      <c r="D278" s="940" t="s">
        <v>2930</v>
      </c>
      <c r="E278" t="s">
        <v>164</v>
      </c>
      <c r="F278">
        <v>1</v>
      </c>
      <c r="G278" s="135"/>
    </row>
    <row r="279" spans="1:7" x14ac:dyDescent="0.25">
      <c r="A279" s="940">
        <v>3490</v>
      </c>
      <c r="B279" s="940">
        <v>0</v>
      </c>
      <c r="C279" t="s">
        <v>3143</v>
      </c>
      <c r="D279" s="940" t="s">
        <v>3144</v>
      </c>
      <c r="E279" t="s">
        <v>257</v>
      </c>
      <c r="F279">
        <v>1</v>
      </c>
      <c r="G279" s="135"/>
    </row>
    <row r="280" spans="1:7" x14ac:dyDescent="0.25">
      <c r="A280" s="940">
        <v>2626</v>
      </c>
      <c r="B280" s="940">
        <v>19</v>
      </c>
      <c r="C280" t="s">
        <v>3145</v>
      </c>
      <c r="D280" s="940" t="s">
        <v>3146</v>
      </c>
      <c r="E280" t="s">
        <v>74</v>
      </c>
      <c r="F280">
        <v>1</v>
      </c>
      <c r="G280" s="135"/>
    </row>
    <row r="281" spans="1:7" x14ac:dyDescent="0.25">
      <c r="A281" s="940">
        <v>1272</v>
      </c>
      <c r="B281" s="940">
        <v>141</v>
      </c>
      <c r="C281" t="s">
        <v>3147</v>
      </c>
      <c r="D281" s="940" t="s">
        <v>3148</v>
      </c>
      <c r="E281" t="s">
        <v>1251</v>
      </c>
      <c r="F281">
        <v>1</v>
      </c>
      <c r="G281" s="135"/>
    </row>
    <row r="282" spans="1:7" x14ac:dyDescent="0.25">
      <c r="A282" s="940">
        <v>3490</v>
      </c>
      <c r="B282" s="940">
        <v>0</v>
      </c>
      <c r="C282" t="s">
        <v>3149</v>
      </c>
      <c r="D282" s="940" t="s">
        <v>3086</v>
      </c>
      <c r="E282" t="s">
        <v>118</v>
      </c>
      <c r="F282">
        <v>1</v>
      </c>
      <c r="G282" s="135"/>
    </row>
    <row r="283" spans="1:7" x14ac:dyDescent="0.25">
      <c r="A283" s="940">
        <v>1836</v>
      </c>
      <c r="B283" s="940">
        <v>69</v>
      </c>
      <c r="C283" t="s">
        <v>3150</v>
      </c>
      <c r="D283" s="940" t="s">
        <v>3151</v>
      </c>
      <c r="E283" t="s">
        <v>1483</v>
      </c>
      <c r="F283">
        <v>1</v>
      </c>
      <c r="G283" s="135"/>
    </row>
    <row r="284" spans="1:7" x14ac:dyDescent="0.25">
      <c r="A284" s="940">
        <v>769</v>
      </c>
      <c r="B284" s="940">
        <v>308</v>
      </c>
      <c r="C284" t="s">
        <v>151</v>
      </c>
      <c r="D284" s="940" t="s">
        <v>3152</v>
      </c>
      <c r="E284" t="s">
        <v>128</v>
      </c>
      <c r="F284">
        <v>1</v>
      </c>
      <c r="G284" s="135"/>
    </row>
    <row r="285" spans="1:7" x14ac:dyDescent="0.25">
      <c r="A285" s="940">
        <v>3327</v>
      </c>
      <c r="B285" s="940">
        <v>2</v>
      </c>
      <c r="C285" t="s">
        <v>3153</v>
      </c>
      <c r="D285" s="940" t="s">
        <v>3154</v>
      </c>
      <c r="E285" t="s">
        <v>1436</v>
      </c>
      <c r="F285">
        <v>1</v>
      </c>
      <c r="G285" s="135"/>
    </row>
    <row r="286" spans="1:7" x14ac:dyDescent="0.25">
      <c r="A286" s="940">
        <v>2106</v>
      </c>
      <c r="B286" s="940">
        <v>48</v>
      </c>
      <c r="C286" t="s">
        <v>3155</v>
      </c>
      <c r="D286" s="940" t="s">
        <v>3156</v>
      </c>
      <c r="E286" t="s">
        <v>2877</v>
      </c>
      <c r="F286">
        <v>1</v>
      </c>
      <c r="G286" s="135"/>
    </row>
    <row r="287" spans="1:7" x14ac:dyDescent="0.25">
      <c r="A287" s="940">
        <v>864</v>
      </c>
      <c r="B287" s="940">
        <v>268</v>
      </c>
      <c r="C287" t="s">
        <v>1272</v>
      </c>
      <c r="D287" s="940" t="s">
        <v>3157</v>
      </c>
      <c r="E287" t="s">
        <v>99</v>
      </c>
      <c r="F287">
        <v>1</v>
      </c>
      <c r="G287" s="135"/>
    </row>
    <row r="288" spans="1:7" x14ac:dyDescent="0.25">
      <c r="A288" s="940">
        <v>2907</v>
      </c>
      <c r="B288" s="940">
        <v>10</v>
      </c>
      <c r="C288" t="s">
        <v>3158</v>
      </c>
      <c r="D288" s="813" t="s">
        <v>3159</v>
      </c>
      <c r="E288" t="s">
        <v>1609</v>
      </c>
      <c r="F288">
        <v>1</v>
      </c>
      <c r="G288" s="135"/>
    </row>
    <row r="289" spans="1:7" x14ac:dyDescent="0.25">
      <c r="A289" s="940">
        <v>740</v>
      </c>
      <c r="B289" s="940">
        <v>326</v>
      </c>
      <c r="C289" t="s">
        <v>1273</v>
      </c>
      <c r="D289" s="940" t="s">
        <v>3160</v>
      </c>
      <c r="E289" t="s">
        <v>126</v>
      </c>
      <c r="F289">
        <v>1</v>
      </c>
      <c r="G289" s="135"/>
    </row>
    <row r="290" spans="1:7" x14ac:dyDescent="0.25">
      <c r="A290" s="940">
        <v>2461</v>
      </c>
      <c r="B290" s="940">
        <v>27</v>
      </c>
      <c r="C290" t="s">
        <v>3161</v>
      </c>
      <c r="D290" s="940" t="s">
        <v>3162</v>
      </c>
      <c r="E290" t="s">
        <v>99</v>
      </c>
      <c r="F290">
        <v>1</v>
      </c>
      <c r="G290" s="135"/>
    </row>
    <row r="291" spans="1:7" x14ac:dyDescent="0.25">
      <c r="A291" s="940">
        <v>1322</v>
      </c>
      <c r="B291" s="940">
        <v>131</v>
      </c>
      <c r="C291" t="s">
        <v>3163</v>
      </c>
      <c r="D291" s="940" t="s">
        <v>3164</v>
      </c>
      <c r="E291" t="s">
        <v>208</v>
      </c>
      <c r="F291">
        <v>1</v>
      </c>
      <c r="G291" s="135"/>
    </row>
    <row r="292" spans="1:7" x14ac:dyDescent="0.25">
      <c r="A292" s="940">
        <v>1444</v>
      </c>
      <c r="B292" s="940">
        <v>114</v>
      </c>
      <c r="C292" t="s">
        <v>3165</v>
      </c>
      <c r="D292" s="940" t="s">
        <v>3166</v>
      </c>
      <c r="E292" t="s">
        <v>1214</v>
      </c>
      <c r="F292">
        <v>1</v>
      </c>
      <c r="G292" s="135"/>
    </row>
    <row r="293" spans="1:7" x14ac:dyDescent="0.25">
      <c r="A293" s="940">
        <v>2441</v>
      </c>
      <c r="B293" s="940">
        <v>28</v>
      </c>
      <c r="C293" t="s">
        <v>3167</v>
      </c>
      <c r="D293" s="940" t="s">
        <v>3168</v>
      </c>
      <c r="E293" t="s">
        <v>1507</v>
      </c>
      <c r="F293">
        <v>1</v>
      </c>
      <c r="G293" s="135"/>
    </row>
    <row r="294" spans="1:7" x14ac:dyDescent="0.25">
      <c r="A294" s="940">
        <v>2814</v>
      </c>
      <c r="B294" s="940">
        <v>13</v>
      </c>
      <c r="C294" t="s">
        <v>3169</v>
      </c>
      <c r="D294" s="940" t="s">
        <v>3170</v>
      </c>
      <c r="E294" t="s">
        <v>3171</v>
      </c>
      <c r="F294">
        <v>1</v>
      </c>
      <c r="G294" s="135"/>
    </row>
    <row r="295" spans="1:7" x14ac:dyDescent="0.25">
      <c r="A295" s="940">
        <v>3490</v>
      </c>
      <c r="B295" s="940">
        <v>0</v>
      </c>
      <c r="C295" t="s">
        <v>3172</v>
      </c>
      <c r="D295" s="940" t="s">
        <v>3173</v>
      </c>
      <c r="E295" t="s">
        <v>111</v>
      </c>
      <c r="F295">
        <v>1</v>
      </c>
      <c r="G295" s="135"/>
    </row>
    <row r="296" spans="1:7" x14ac:dyDescent="0.25">
      <c r="A296" s="940">
        <v>769</v>
      </c>
      <c r="B296" s="940">
        <v>308</v>
      </c>
      <c r="C296" t="s">
        <v>3174</v>
      </c>
      <c r="D296" s="940" t="s">
        <v>3175</v>
      </c>
      <c r="E296" t="s">
        <v>3176</v>
      </c>
      <c r="F296">
        <v>1</v>
      </c>
      <c r="G296" s="135"/>
    </row>
    <row r="297" spans="1:7" x14ac:dyDescent="0.25">
      <c r="A297" s="940">
        <v>881</v>
      </c>
      <c r="B297" s="940">
        <v>260</v>
      </c>
      <c r="C297" t="s">
        <v>1274</v>
      </c>
      <c r="D297" s="940" t="s">
        <v>3177</v>
      </c>
      <c r="E297" t="s">
        <v>1171</v>
      </c>
      <c r="F297">
        <v>1</v>
      </c>
      <c r="G297" s="135"/>
    </row>
    <row r="298" spans="1:7" x14ac:dyDescent="0.25">
      <c r="A298" s="940">
        <v>913</v>
      </c>
      <c r="B298" s="940">
        <v>249</v>
      </c>
      <c r="C298" t="s">
        <v>157</v>
      </c>
      <c r="D298" s="940" t="s">
        <v>3178</v>
      </c>
      <c r="E298" t="s">
        <v>1275</v>
      </c>
      <c r="F298">
        <v>1</v>
      </c>
      <c r="G298" s="135"/>
    </row>
    <row r="299" spans="1:7" x14ac:dyDescent="0.25">
      <c r="A299" s="940">
        <v>2241</v>
      </c>
      <c r="B299" s="940">
        <v>40</v>
      </c>
      <c r="C299" t="s">
        <v>3179</v>
      </c>
      <c r="D299" s="940" t="s">
        <v>3180</v>
      </c>
      <c r="E299" t="s">
        <v>115</v>
      </c>
      <c r="F299">
        <v>1</v>
      </c>
      <c r="G299" s="135"/>
    </row>
    <row r="300" spans="1:7" x14ac:dyDescent="0.25">
      <c r="A300" s="940">
        <v>401</v>
      </c>
      <c r="B300" s="940">
        <v>569</v>
      </c>
      <c r="C300" t="s">
        <v>3181</v>
      </c>
      <c r="D300" s="940" t="s">
        <v>3182</v>
      </c>
      <c r="E300" t="s">
        <v>863</v>
      </c>
      <c r="F300">
        <v>1</v>
      </c>
      <c r="G300" s="135"/>
    </row>
    <row r="301" spans="1:7" x14ac:dyDescent="0.25">
      <c r="A301" s="940">
        <v>1083</v>
      </c>
      <c r="B301" s="940">
        <v>187</v>
      </c>
      <c r="C301" t="s">
        <v>1278</v>
      </c>
      <c r="D301" s="940" t="s">
        <v>3183</v>
      </c>
      <c r="E301" t="s">
        <v>99</v>
      </c>
      <c r="F301">
        <v>1</v>
      </c>
      <c r="G301" s="135"/>
    </row>
    <row r="302" spans="1:7" x14ac:dyDescent="0.25">
      <c r="A302" s="940">
        <v>3196</v>
      </c>
      <c r="B302" s="940">
        <v>4</v>
      </c>
      <c r="C302" t="s">
        <v>3184</v>
      </c>
      <c r="D302" s="940" t="s">
        <v>3185</v>
      </c>
      <c r="E302" t="s">
        <v>99</v>
      </c>
      <c r="F302">
        <v>1</v>
      </c>
      <c r="G302" s="135"/>
    </row>
    <row r="303" spans="1:7" x14ac:dyDescent="0.25">
      <c r="A303" s="940">
        <v>2839</v>
      </c>
      <c r="B303" s="940">
        <v>12</v>
      </c>
      <c r="C303" t="s">
        <v>3186</v>
      </c>
      <c r="D303" s="940" t="s">
        <v>3187</v>
      </c>
      <c r="E303" t="s">
        <v>1162</v>
      </c>
      <c r="F303">
        <v>1</v>
      </c>
      <c r="G303" s="135"/>
    </row>
    <row r="304" spans="1:7" x14ac:dyDescent="0.25">
      <c r="A304" s="940">
        <v>1127</v>
      </c>
      <c r="B304" s="940">
        <v>173</v>
      </c>
      <c r="C304" t="s">
        <v>3188</v>
      </c>
      <c r="D304" s="940" t="s">
        <v>3189</v>
      </c>
      <c r="E304" t="s">
        <v>141</v>
      </c>
      <c r="F304">
        <v>1</v>
      </c>
      <c r="G304" s="135"/>
    </row>
    <row r="305" spans="1:7" x14ac:dyDescent="0.25">
      <c r="A305" s="940">
        <v>3045</v>
      </c>
      <c r="B305" s="940">
        <v>7</v>
      </c>
      <c r="C305" t="s">
        <v>3190</v>
      </c>
      <c r="D305" s="940" t="s">
        <v>3191</v>
      </c>
      <c r="E305" t="s">
        <v>74</v>
      </c>
      <c r="F305">
        <v>1</v>
      </c>
      <c r="G305" s="135"/>
    </row>
    <row r="306" spans="1:7" x14ac:dyDescent="0.25">
      <c r="A306" s="940">
        <v>2129</v>
      </c>
      <c r="B306" s="940">
        <v>46</v>
      </c>
      <c r="C306" t="s">
        <v>3192</v>
      </c>
      <c r="D306" s="940" t="s">
        <v>3193</v>
      </c>
      <c r="E306" t="s">
        <v>1256</v>
      </c>
      <c r="F306">
        <v>1</v>
      </c>
      <c r="G306" s="135"/>
    </row>
    <row r="307" spans="1:7" x14ac:dyDescent="0.25">
      <c r="A307" s="940">
        <v>3490</v>
      </c>
      <c r="B307" s="940">
        <v>0</v>
      </c>
      <c r="C307" t="s">
        <v>3194</v>
      </c>
      <c r="D307" s="940" t="s">
        <v>3195</v>
      </c>
      <c r="E307" t="s">
        <v>74</v>
      </c>
      <c r="F307">
        <v>1</v>
      </c>
      <c r="G307" s="135"/>
    </row>
    <row r="308" spans="1:7" x14ac:dyDescent="0.25">
      <c r="A308" s="940">
        <v>1266</v>
      </c>
      <c r="B308" s="940">
        <v>142</v>
      </c>
      <c r="C308" t="s">
        <v>158</v>
      </c>
      <c r="D308" s="940" t="s">
        <v>3196</v>
      </c>
      <c r="E308" t="s">
        <v>1214</v>
      </c>
      <c r="F308">
        <v>1</v>
      </c>
      <c r="G308" s="135"/>
    </row>
    <row r="309" spans="1:7" x14ac:dyDescent="0.25">
      <c r="A309" s="940">
        <v>1627</v>
      </c>
      <c r="B309" s="940">
        <v>92</v>
      </c>
      <c r="C309" t="s">
        <v>3197</v>
      </c>
      <c r="D309" s="940" t="s">
        <v>2768</v>
      </c>
      <c r="E309" t="s">
        <v>163</v>
      </c>
      <c r="F309">
        <v>1</v>
      </c>
      <c r="G309" s="135"/>
    </row>
    <row r="310" spans="1:7" x14ac:dyDescent="0.25">
      <c r="A310" s="940">
        <v>1043</v>
      </c>
      <c r="B310" s="940">
        <v>202</v>
      </c>
      <c r="C310" t="s">
        <v>3198</v>
      </c>
      <c r="D310" s="940" t="s">
        <v>3199</v>
      </c>
      <c r="E310" t="s">
        <v>3200</v>
      </c>
      <c r="F310">
        <v>1</v>
      </c>
      <c r="G310" s="135"/>
    </row>
    <row r="311" spans="1:7" x14ac:dyDescent="0.25">
      <c r="A311" s="940">
        <v>3490</v>
      </c>
      <c r="B311" s="940">
        <v>0</v>
      </c>
      <c r="C311" t="s">
        <v>3201</v>
      </c>
      <c r="D311" s="940" t="s">
        <v>3202</v>
      </c>
      <c r="E311" t="s">
        <v>1182</v>
      </c>
      <c r="F311">
        <v>1</v>
      </c>
      <c r="G311" s="135"/>
    </row>
    <row r="312" spans="1:7" x14ac:dyDescent="0.25">
      <c r="A312" s="940">
        <v>3395</v>
      </c>
      <c r="B312" s="940">
        <v>1</v>
      </c>
      <c r="C312" t="s">
        <v>3203</v>
      </c>
      <c r="D312" s="940" t="s">
        <v>3204</v>
      </c>
      <c r="E312" t="s">
        <v>2880</v>
      </c>
      <c r="F312">
        <v>1</v>
      </c>
      <c r="G312" s="135"/>
    </row>
    <row r="313" spans="1:7" x14ac:dyDescent="0.25">
      <c r="A313" s="940">
        <v>447</v>
      </c>
      <c r="B313" s="940">
        <v>523</v>
      </c>
      <c r="C313" t="s">
        <v>3205</v>
      </c>
      <c r="D313" s="940" t="s">
        <v>3206</v>
      </c>
      <c r="E313" t="s">
        <v>122</v>
      </c>
      <c r="F313">
        <v>1</v>
      </c>
      <c r="G313" s="135"/>
    </row>
    <row r="314" spans="1:7" x14ac:dyDescent="0.25">
      <c r="A314" s="940">
        <v>2959</v>
      </c>
      <c r="B314" s="940">
        <v>9</v>
      </c>
      <c r="C314" t="s">
        <v>3207</v>
      </c>
      <c r="D314" s="940" t="s">
        <v>3208</v>
      </c>
      <c r="E314" t="s">
        <v>222</v>
      </c>
      <c r="F314">
        <v>1</v>
      </c>
      <c r="G314" s="135"/>
    </row>
    <row r="315" spans="1:7" x14ac:dyDescent="0.25">
      <c r="A315" s="940">
        <v>2782</v>
      </c>
      <c r="B315" s="940">
        <v>14</v>
      </c>
      <c r="C315" t="s">
        <v>3209</v>
      </c>
      <c r="D315" s="940" t="s">
        <v>3210</v>
      </c>
      <c r="E315" t="s">
        <v>126</v>
      </c>
      <c r="F315">
        <v>1</v>
      </c>
      <c r="G315" s="135"/>
    </row>
    <row r="316" spans="1:7" x14ac:dyDescent="0.25">
      <c r="A316" s="940">
        <v>1885</v>
      </c>
      <c r="B316" s="940">
        <v>65</v>
      </c>
      <c r="C316" t="s">
        <v>3211</v>
      </c>
      <c r="D316" s="940" t="s">
        <v>3212</v>
      </c>
      <c r="E316" t="s">
        <v>130</v>
      </c>
      <c r="F316">
        <v>1</v>
      </c>
      <c r="G316" s="135"/>
    </row>
    <row r="317" spans="1:7" x14ac:dyDescent="0.25">
      <c r="A317" s="940">
        <v>1026</v>
      </c>
      <c r="B317" s="940">
        <v>206</v>
      </c>
      <c r="C317" t="s">
        <v>161</v>
      </c>
      <c r="D317" s="940" t="s">
        <v>3213</v>
      </c>
      <c r="E317" t="s">
        <v>105</v>
      </c>
      <c r="F317">
        <v>1</v>
      </c>
      <c r="G317" s="135"/>
    </row>
    <row r="318" spans="1:7" x14ac:dyDescent="0.25">
      <c r="A318" s="940">
        <v>2206</v>
      </c>
      <c r="B318" s="940">
        <v>42</v>
      </c>
      <c r="C318" t="s">
        <v>3214</v>
      </c>
      <c r="D318" s="940" t="s">
        <v>3215</v>
      </c>
      <c r="E318" t="s">
        <v>72</v>
      </c>
      <c r="F318">
        <v>1</v>
      </c>
      <c r="G318" s="135"/>
    </row>
    <row r="319" spans="1:7" x14ac:dyDescent="0.25">
      <c r="A319" s="940">
        <v>367</v>
      </c>
      <c r="B319" s="940">
        <v>615</v>
      </c>
      <c r="C319" t="s">
        <v>3216</v>
      </c>
      <c r="D319" s="940" t="s">
        <v>3217</v>
      </c>
      <c r="E319" t="s">
        <v>3218</v>
      </c>
      <c r="F319">
        <v>1</v>
      </c>
      <c r="G319" s="135"/>
    </row>
    <row r="320" spans="1:7" x14ac:dyDescent="0.25">
      <c r="A320" s="940">
        <v>2609</v>
      </c>
      <c r="B320" s="940">
        <v>20</v>
      </c>
      <c r="C320" t="s">
        <v>3219</v>
      </c>
      <c r="D320" s="940" t="s">
        <v>3220</v>
      </c>
      <c r="E320" t="s">
        <v>111</v>
      </c>
      <c r="F320">
        <v>1</v>
      </c>
      <c r="G320" s="135"/>
    </row>
    <row r="321" spans="1:7" x14ac:dyDescent="0.25">
      <c r="A321" s="940">
        <v>3490</v>
      </c>
      <c r="B321" s="940">
        <v>0</v>
      </c>
      <c r="C321" t="s">
        <v>3221</v>
      </c>
      <c r="D321" s="940" t="s">
        <v>3222</v>
      </c>
      <c r="E321" t="s">
        <v>183</v>
      </c>
      <c r="F321">
        <v>1</v>
      </c>
      <c r="G321" s="135"/>
    </row>
    <row r="322" spans="1:7" x14ac:dyDescent="0.25">
      <c r="A322" s="940">
        <v>849</v>
      </c>
      <c r="B322" s="940">
        <v>273</v>
      </c>
      <c r="C322" t="s">
        <v>3223</v>
      </c>
      <c r="D322" s="940" t="s">
        <v>3224</v>
      </c>
      <c r="E322" t="s">
        <v>1286</v>
      </c>
      <c r="F322">
        <v>1</v>
      </c>
      <c r="G322" s="135"/>
    </row>
    <row r="323" spans="1:7" x14ac:dyDescent="0.25">
      <c r="A323" s="940">
        <v>3327</v>
      </c>
      <c r="B323" s="940">
        <v>2</v>
      </c>
      <c r="C323" t="s">
        <v>3225</v>
      </c>
      <c r="D323" s="940" t="s">
        <v>3226</v>
      </c>
      <c r="E323" t="s">
        <v>139</v>
      </c>
      <c r="F323">
        <v>1</v>
      </c>
      <c r="G323" s="135"/>
    </row>
    <row r="324" spans="1:7" x14ac:dyDescent="0.25">
      <c r="A324" s="940">
        <v>604</v>
      </c>
      <c r="B324" s="940">
        <v>402</v>
      </c>
      <c r="C324" t="s">
        <v>3227</v>
      </c>
      <c r="D324" s="940" t="s">
        <v>3228</v>
      </c>
      <c r="E324" t="s">
        <v>1169</v>
      </c>
      <c r="F324">
        <v>1</v>
      </c>
      <c r="G324" s="135"/>
    </row>
    <row r="325" spans="1:7" x14ac:dyDescent="0.25">
      <c r="A325" s="940">
        <v>3490</v>
      </c>
      <c r="B325" s="940">
        <v>0</v>
      </c>
      <c r="C325" t="s">
        <v>3229</v>
      </c>
      <c r="D325" s="940" t="s">
        <v>3230</v>
      </c>
      <c r="E325" t="s">
        <v>1169</v>
      </c>
      <c r="F325">
        <v>1</v>
      </c>
      <c r="G325" s="135"/>
    </row>
    <row r="326" spans="1:7" x14ac:dyDescent="0.25">
      <c r="A326" s="940">
        <v>2320</v>
      </c>
      <c r="B326" s="940">
        <v>35</v>
      </c>
      <c r="C326" t="s">
        <v>3231</v>
      </c>
      <c r="D326" s="940" t="s">
        <v>3232</v>
      </c>
      <c r="E326" t="s">
        <v>1236</v>
      </c>
      <c r="F326">
        <v>1</v>
      </c>
      <c r="G326" s="135"/>
    </row>
    <row r="327" spans="1:7" x14ac:dyDescent="0.25">
      <c r="A327" s="940">
        <v>1505</v>
      </c>
      <c r="B327" s="940">
        <v>105</v>
      </c>
      <c r="C327" t="s">
        <v>1287</v>
      </c>
      <c r="D327" s="940" t="s">
        <v>3233</v>
      </c>
      <c r="E327" t="s">
        <v>120</v>
      </c>
      <c r="F327">
        <v>1</v>
      </c>
      <c r="G327" s="135"/>
    </row>
    <row r="328" spans="1:7" x14ac:dyDescent="0.25">
      <c r="A328" s="940">
        <v>3327</v>
      </c>
      <c r="B328" s="940">
        <v>2</v>
      </c>
      <c r="C328" t="s">
        <v>3234</v>
      </c>
      <c r="D328" s="940" t="s">
        <v>2854</v>
      </c>
      <c r="E328" t="s">
        <v>1460</v>
      </c>
      <c r="F328">
        <v>1</v>
      </c>
      <c r="G328" s="135"/>
    </row>
    <row r="329" spans="1:7" x14ac:dyDescent="0.25">
      <c r="A329" s="940">
        <v>3490</v>
      </c>
      <c r="B329" s="940">
        <v>0</v>
      </c>
      <c r="C329" t="s">
        <v>3235</v>
      </c>
      <c r="D329" s="940" t="s">
        <v>3236</v>
      </c>
      <c r="E329" t="s">
        <v>111</v>
      </c>
      <c r="F329">
        <v>1</v>
      </c>
      <c r="G329" s="135"/>
    </row>
    <row r="330" spans="1:7" x14ac:dyDescent="0.25">
      <c r="A330" s="940">
        <v>534</v>
      </c>
      <c r="B330" s="940">
        <v>441</v>
      </c>
      <c r="C330" t="s">
        <v>162</v>
      </c>
      <c r="D330" s="940" t="s">
        <v>3237</v>
      </c>
      <c r="E330" t="s">
        <v>1190</v>
      </c>
      <c r="F330">
        <v>1</v>
      </c>
      <c r="G330" s="135"/>
    </row>
    <row r="331" spans="1:7" x14ac:dyDescent="0.25">
      <c r="A331" s="940">
        <v>3265</v>
      </c>
      <c r="B331" s="940">
        <v>3</v>
      </c>
      <c r="C331" t="s">
        <v>3238</v>
      </c>
      <c r="D331" s="940" t="s">
        <v>3239</v>
      </c>
      <c r="E331" t="s">
        <v>130</v>
      </c>
      <c r="F331">
        <v>1</v>
      </c>
      <c r="G331" s="135"/>
    </row>
    <row r="332" spans="1:7" x14ac:dyDescent="0.25">
      <c r="A332" s="940">
        <v>2659</v>
      </c>
      <c r="B332" s="940">
        <v>18</v>
      </c>
      <c r="C332" t="s">
        <v>3240</v>
      </c>
      <c r="D332" s="940" t="s">
        <v>3241</v>
      </c>
      <c r="E332" t="s">
        <v>1702</v>
      </c>
      <c r="F332">
        <v>1</v>
      </c>
      <c r="G332" s="135"/>
    </row>
    <row r="333" spans="1:7" x14ac:dyDescent="0.25">
      <c r="A333" s="940">
        <v>1627</v>
      </c>
      <c r="B333" s="940">
        <v>92</v>
      </c>
      <c r="C333" t="s">
        <v>3242</v>
      </c>
      <c r="D333" s="940" t="s">
        <v>2630</v>
      </c>
      <c r="E333" t="s">
        <v>120</v>
      </c>
      <c r="F333">
        <v>1</v>
      </c>
      <c r="G333" s="135"/>
    </row>
    <row r="334" spans="1:7" x14ac:dyDescent="0.25">
      <c r="A334" s="940">
        <v>1942</v>
      </c>
      <c r="B334" s="940">
        <v>61</v>
      </c>
      <c r="C334" t="s">
        <v>3243</v>
      </c>
      <c r="D334" s="940" t="s">
        <v>3244</v>
      </c>
      <c r="E334" t="s">
        <v>120</v>
      </c>
      <c r="F334">
        <v>1</v>
      </c>
      <c r="G334" s="135"/>
    </row>
    <row r="335" spans="1:7" x14ac:dyDescent="0.25">
      <c r="A335" s="940">
        <v>747</v>
      </c>
      <c r="B335" s="940">
        <v>321</v>
      </c>
      <c r="C335" t="s">
        <v>3245</v>
      </c>
      <c r="D335" s="940" t="s">
        <v>3246</v>
      </c>
      <c r="E335" t="s">
        <v>105</v>
      </c>
      <c r="F335">
        <v>1</v>
      </c>
      <c r="G335" s="135"/>
    </row>
    <row r="336" spans="1:7" x14ac:dyDescent="0.25">
      <c r="A336" s="940">
        <v>2484</v>
      </c>
      <c r="B336" s="940">
        <v>26</v>
      </c>
      <c r="C336" t="s">
        <v>3247</v>
      </c>
      <c r="D336" s="940" t="s">
        <v>3248</v>
      </c>
      <c r="E336" t="s">
        <v>1162</v>
      </c>
      <c r="F336">
        <v>1</v>
      </c>
      <c r="G336" s="135"/>
    </row>
    <row r="337" spans="1:7" x14ac:dyDescent="0.25">
      <c r="A337" s="940">
        <v>2907</v>
      </c>
      <c r="B337" s="940">
        <v>10</v>
      </c>
      <c r="C337" t="s">
        <v>3249</v>
      </c>
      <c r="D337" s="940" t="s">
        <v>3250</v>
      </c>
      <c r="E337" t="s">
        <v>200</v>
      </c>
      <c r="F337">
        <v>1</v>
      </c>
      <c r="G337" s="135"/>
    </row>
    <row r="338" spans="1:7" x14ac:dyDescent="0.25">
      <c r="A338" s="940">
        <v>1691</v>
      </c>
      <c r="B338" s="940">
        <v>84</v>
      </c>
      <c r="C338" t="s">
        <v>3251</v>
      </c>
      <c r="D338" s="940" t="s">
        <v>3045</v>
      </c>
      <c r="E338" t="s">
        <v>1315</v>
      </c>
      <c r="F338">
        <v>1</v>
      </c>
      <c r="G338" s="135"/>
    </row>
    <row r="339" spans="1:7" x14ac:dyDescent="0.25">
      <c r="A339" s="940">
        <v>3490</v>
      </c>
      <c r="B339" s="940">
        <v>0</v>
      </c>
      <c r="C339" t="s">
        <v>3252</v>
      </c>
      <c r="D339" s="940" t="s">
        <v>3253</v>
      </c>
      <c r="E339" t="s">
        <v>120</v>
      </c>
      <c r="F339">
        <v>1</v>
      </c>
      <c r="G339" s="135"/>
    </row>
    <row r="340" spans="1:7" x14ac:dyDescent="0.25">
      <c r="A340" s="940">
        <v>646</v>
      </c>
      <c r="B340" s="940">
        <v>378</v>
      </c>
      <c r="C340" t="s">
        <v>3254</v>
      </c>
      <c r="D340" s="940" t="s">
        <v>3255</v>
      </c>
      <c r="E340" t="s">
        <v>1590</v>
      </c>
      <c r="F340">
        <v>1</v>
      </c>
      <c r="G340" s="135"/>
    </row>
    <row r="341" spans="1:7" x14ac:dyDescent="0.25">
      <c r="A341" s="940">
        <v>3196</v>
      </c>
      <c r="B341" s="940">
        <v>4</v>
      </c>
      <c r="C341" t="s">
        <v>1291</v>
      </c>
      <c r="D341" s="940" t="s">
        <v>3256</v>
      </c>
      <c r="E341" t="s">
        <v>222</v>
      </c>
      <c r="F341">
        <v>1</v>
      </c>
      <c r="G341" s="135"/>
    </row>
    <row r="342" spans="1:7" x14ac:dyDescent="0.25">
      <c r="A342" s="940">
        <v>2883</v>
      </c>
      <c r="B342" s="940">
        <v>11</v>
      </c>
      <c r="C342" t="s">
        <v>3257</v>
      </c>
      <c r="D342" s="940" t="s">
        <v>3258</v>
      </c>
      <c r="E342" t="s">
        <v>99</v>
      </c>
      <c r="F342">
        <v>1</v>
      </c>
      <c r="G342" s="135"/>
    </row>
    <row r="343" spans="1:7" x14ac:dyDescent="0.25">
      <c r="A343" s="940">
        <v>2907</v>
      </c>
      <c r="B343" s="940">
        <v>10</v>
      </c>
      <c r="C343" t="s">
        <v>3259</v>
      </c>
      <c r="D343" s="940" t="s">
        <v>3260</v>
      </c>
      <c r="E343" t="s">
        <v>72</v>
      </c>
      <c r="F343">
        <v>1</v>
      </c>
      <c r="G343" s="135"/>
    </row>
    <row r="344" spans="1:7" x14ac:dyDescent="0.25">
      <c r="A344" s="940">
        <v>3395</v>
      </c>
      <c r="B344" s="940">
        <v>1</v>
      </c>
      <c r="C344" t="s">
        <v>3261</v>
      </c>
      <c r="D344" s="940" t="s">
        <v>3262</v>
      </c>
      <c r="E344" t="s">
        <v>1277</v>
      </c>
      <c r="F344">
        <v>1</v>
      </c>
      <c r="G344" s="135"/>
    </row>
    <row r="345" spans="1:7" x14ac:dyDescent="0.25">
      <c r="A345" s="940">
        <v>3490</v>
      </c>
      <c r="B345" s="940">
        <v>0</v>
      </c>
      <c r="C345" t="s">
        <v>3263</v>
      </c>
      <c r="D345" s="940" t="s">
        <v>3185</v>
      </c>
      <c r="E345" t="s">
        <v>99</v>
      </c>
      <c r="F345">
        <v>1</v>
      </c>
      <c r="G345" s="135"/>
    </row>
    <row r="346" spans="1:7" x14ac:dyDescent="0.25">
      <c r="A346" s="940">
        <v>413</v>
      </c>
      <c r="B346" s="940">
        <v>558</v>
      </c>
      <c r="C346" t="s">
        <v>3264</v>
      </c>
      <c r="D346" s="940" t="s">
        <v>3265</v>
      </c>
      <c r="E346" t="s">
        <v>163</v>
      </c>
      <c r="F346">
        <v>1</v>
      </c>
      <c r="G346" s="135"/>
    </row>
    <row r="347" spans="1:7" x14ac:dyDescent="0.25">
      <c r="A347" s="940">
        <v>2959</v>
      </c>
      <c r="B347" s="940">
        <v>9</v>
      </c>
      <c r="C347" t="s">
        <v>3266</v>
      </c>
      <c r="D347" s="940" t="s">
        <v>3267</v>
      </c>
      <c r="E347" t="s">
        <v>105</v>
      </c>
      <c r="F347">
        <v>1</v>
      </c>
      <c r="G347" s="135"/>
    </row>
    <row r="348" spans="1:7" x14ac:dyDescent="0.25">
      <c r="A348" s="940">
        <v>1329</v>
      </c>
      <c r="B348" s="940">
        <v>130</v>
      </c>
      <c r="C348" t="s">
        <v>3268</v>
      </c>
      <c r="D348" s="940" t="s">
        <v>3269</v>
      </c>
      <c r="E348" t="s">
        <v>105</v>
      </c>
      <c r="F348">
        <v>1</v>
      </c>
      <c r="G348" s="135"/>
    </row>
    <row r="349" spans="1:7" x14ac:dyDescent="0.25">
      <c r="A349" s="940">
        <v>857</v>
      </c>
      <c r="B349" s="940">
        <v>270</v>
      </c>
      <c r="C349" t="s">
        <v>3270</v>
      </c>
      <c r="D349" s="940" t="s">
        <v>3271</v>
      </c>
      <c r="E349" t="s">
        <v>2880</v>
      </c>
      <c r="F349">
        <v>1</v>
      </c>
      <c r="G349" s="135"/>
    </row>
    <row r="350" spans="1:7" x14ac:dyDescent="0.25">
      <c r="A350" s="940">
        <v>2839</v>
      </c>
      <c r="B350" s="940">
        <v>12</v>
      </c>
      <c r="C350" t="s">
        <v>3272</v>
      </c>
      <c r="D350" s="940" t="s">
        <v>3273</v>
      </c>
      <c r="E350" t="s">
        <v>170</v>
      </c>
      <c r="F350">
        <v>1</v>
      </c>
      <c r="G350" s="135"/>
    </row>
    <row r="351" spans="1:7" x14ac:dyDescent="0.25">
      <c r="A351" s="940">
        <v>263</v>
      </c>
      <c r="B351" s="940">
        <v>785</v>
      </c>
      <c r="C351" t="s">
        <v>3274</v>
      </c>
      <c r="D351" s="940" t="s">
        <v>3275</v>
      </c>
      <c r="E351" t="s">
        <v>103</v>
      </c>
      <c r="F351">
        <v>1</v>
      </c>
      <c r="G351" s="135"/>
    </row>
    <row r="352" spans="1:7" x14ac:dyDescent="0.25">
      <c r="A352" s="940">
        <v>2714</v>
      </c>
      <c r="B352" s="940">
        <v>16</v>
      </c>
      <c r="C352" t="s">
        <v>3276</v>
      </c>
      <c r="D352" s="940" t="s">
        <v>3277</v>
      </c>
      <c r="E352" t="s">
        <v>1456</v>
      </c>
      <c r="F352">
        <v>1</v>
      </c>
      <c r="G352" s="135"/>
    </row>
    <row r="353" spans="1:7" x14ac:dyDescent="0.25">
      <c r="A353" s="940">
        <v>83</v>
      </c>
      <c r="B353" s="940">
        <v>1163</v>
      </c>
      <c r="C353" t="s">
        <v>3278</v>
      </c>
      <c r="D353" s="940" t="s">
        <v>3279</v>
      </c>
      <c r="E353" t="s">
        <v>130</v>
      </c>
      <c r="F353">
        <v>1</v>
      </c>
      <c r="G353" s="135"/>
    </row>
    <row r="354" spans="1:7" x14ac:dyDescent="0.25">
      <c r="A354" s="940">
        <v>1659</v>
      </c>
      <c r="B354" s="940">
        <v>88</v>
      </c>
      <c r="C354" t="s">
        <v>3280</v>
      </c>
      <c r="D354" s="940" t="s">
        <v>3281</v>
      </c>
      <c r="E354" t="s">
        <v>99</v>
      </c>
      <c r="F354">
        <v>1</v>
      </c>
      <c r="G354" s="135"/>
    </row>
    <row r="355" spans="1:7" x14ac:dyDescent="0.25">
      <c r="A355" s="940">
        <v>605</v>
      </c>
      <c r="B355" s="940">
        <v>400</v>
      </c>
      <c r="C355" t="s">
        <v>3282</v>
      </c>
      <c r="D355" s="940" t="s">
        <v>3283</v>
      </c>
      <c r="E355" t="s">
        <v>2735</v>
      </c>
      <c r="F355">
        <v>1</v>
      </c>
      <c r="G355" s="135"/>
    </row>
    <row r="356" spans="1:7" x14ac:dyDescent="0.25">
      <c r="A356" s="940">
        <v>302</v>
      </c>
      <c r="B356" s="940">
        <v>710</v>
      </c>
      <c r="C356" t="s">
        <v>3284</v>
      </c>
      <c r="D356" s="940" t="s">
        <v>3285</v>
      </c>
      <c r="E356" t="s">
        <v>109</v>
      </c>
      <c r="F356">
        <v>1</v>
      </c>
      <c r="G356" s="135"/>
    </row>
    <row r="357" spans="1:7" x14ac:dyDescent="0.25">
      <c r="A357" s="940">
        <v>1505</v>
      </c>
      <c r="B357" s="940">
        <v>105</v>
      </c>
      <c r="C357" t="s">
        <v>3286</v>
      </c>
      <c r="D357" s="940" t="s">
        <v>3287</v>
      </c>
      <c r="E357" t="s">
        <v>1200</v>
      </c>
      <c r="F357">
        <v>1</v>
      </c>
      <c r="G357" s="135"/>
    </row>
    <row r="358" spans="1:7" x14ac:dyDescent="0.25">
      <c r="A358" s="940">
        <v>2499</v>
      </c>
      <c r="B358" s="940">
        <v>25</v>
      </c>
      <c r="C358" t="s">
        <v>3288</v>
      </c>
      <c r="D358" s="940" t="s">
        <v>3208</v>
      </c>
      <c r="E358" t="s">
        <v>208</v>
      </c>
      <c r="F358">
        <v>1</v>
      </c>
      <c r="G358" s="135"/>
    </row>
    <row r="359" spans="1:7" x14ac:dyDescent="0.25">
      <c r="A359" s="940">
        <v>1666</v>
      </c>
      <c r="B359" s="940">
        <v>87</v>
      </c>
      <c r="C359" t="s">
        <v>1299</v>
      </c>
      <c r="D359" s="940" t="s">
        <v>3289</v>
      </c>
      <c r="E359" t="s">
        <v>614</v>
      </c>
      <c r="F359">
        <v>1</v>
      </c>
      <c r="G359" s="135"/>
    </row>
    <row r="360" spans="1:7" x14ac:dyDescent="0.25">
      <c r="A360" s="940">
        <v>3490</v>
      </c>
      <c r="B360" s="940">
        <v>0</v>
      </c>
      <c r="C360" t="s">
        <v>3290</v>
      </c>
      <c r="D360" s="940" t="s">
        <v>3291</v>
      </c>
      <c r="E360" t="s">
        <v>111</v>
      </c>
      <c r="F360">
        <v>1</v>
      </c>
      <c r="G360" s="135"/>
    </row>
    <row r="361" spans="1:7" x14ac:dyDescent="0.25">
      <c r="A361" s="940">
        <v>191</v>
      </c>
      <c r="B361" s="940">
        <v>911</v>
      </c>
      <c r="C361" t="s">
        <v>167</v>
      </c>
      <c r="D361" s="940" t="s">
        <v>3292</v>
      </c>
      <c r="E361" t="s">
        <v>103</v>
      </c>
      <c r="F361">
        <v>1</v>
      </c>
      <c r="G361" s="135"/>
    </row>
    <row r="362" spans="1:7" x14ac:dyDescent="0.25">
      <c r="A362" s="940">
        <v>165</v>
      </c>
      <c r="B362" s="940">
        <v>944</v>
      </c>
      <c r="C362" t="s">
        <v>3293</v>
      </c>
      <c r="D362" s="940" t="s">
        <v>3294</v>
      </c>
      <c r="E362" t="s">
        <v>1171</v>
      </c>
      <c r="F362">
        <v>1</v>
      </c>
      <c r="G362" s="135"/>
    </row>
    <row r="363" spans="1:7" x14ac:dyDescent="0.25">
      <c r="A363" s="940">
        <v>2206</v>
      </c>
      <c r="B363" s="940">
        <v>42</v>
      </c>
      <c r="C363" t="s">
        <v>3295</v>
      </c>
      <c r="D363" s="940" t="s">
        <v>2756</v>
      </c>
      <c r="E363" t="s">
        <v>2356</v>
      </c>
      <c r="F363">
        <v>1</v>
      </c>
      <c r="G363" s="135"/>
    </row>
    <row r="364" spans="1:7" x14ac:dyDescent="0.25">
      <c r="A364" s="940">
        <v>3141</v>
      </c>
      <c r="B364" s="940">
        <v>5</v>
      </c>
      <c r="C364" t="s">
        <v>3296</v>
      </c>
      <c r="D364" s="940" t="s">
        <v>2645</v>
      </c>
      <c r="E364" t="s">
        <v>3297</v>
      </c>
      <c r="F364">
        <v>1</v>
      </c>
      <c r="G364" s="135"/>
    </row>
    <row r="365" spans="1:7" x14ac:dyDescent="0.25">
      <c r="A365" s="940">
        <v>3490</v>
      </c>
      <c r="B365" s="940">
        <v>0</v>
      </c>
      <c r="C365" t="s">
        <v>3298</v>
      </c>
      <c r="D365" s="940" t="s">
        <v>3299</v>
      </c>
      <c r="E365" t="s">
        <v>160</v>
      </c>
      <c r="F365">
        <v>1</v>
      </c>
      <c r="G365" s="135"/>
    </row>
    <row r="366" spans="1:7" x14ac:dyDescent="0.25">
      <c r="A366" s="940">
        <v>2016</v>
      </c>
      <c r="B366" s="940">
        <v>54</v>
      </c>
      <c r="C366" t="s">
        <v>3300</v>
      </c>
      <c r="D366" s="940" t="s">
        <v>3301</v>
      </c>
      <c r="E366" t="s">
        <v>99</v>
      </c>
      <c r="F366">
        <v>1</v>
      </c>
      <c r="G366" s="135"/>
    </row>
    <row r="367" spans="1:7" x14ac:dyDescent="0.25">
      <c r="A367" s="940">
        <v>2048</v>
      </c>
      <c r="B367" s="940">
        <v>52</v>
      </c>
      <c r="C367" t="s">
        <v>3302</v>
      </c>
      <c r="D367" s="940" t="s">
        <v>3303</v>
      </c>
      <c r="E367" t="s">
        <v>165</v>
      </c>
      <c r="F367">
        <v>1</v>
      </c>
      <c r="G367" s="135"/>
    </row>
    <row r="368" spans="1:7" x14ac:dyDescent="0.25">
      <c r="A368" s="940">
        <v>3045</v>
      </c>
      <c r="B368" s="940">
        <v>7</v>
      </c>
      <c r="C368" t="s">
        <v>3304</v>
      </c>
      <c r="D368" s="940" t="s">
        <v>3305</v>
      </c>
      <c r="E368" t="s">
        <v>130</v>
      </c>
      <c r="F368">
        <v>1</v>
      </c>
      <c r="G368" s="135"/>
    </row>
    <row r="369" spans="1:7" x14ac:dyDescent="0.25">
      <c r="A369" s="940">
        <v>2461</v>
      </c>
      <c r="B369" s="940">
        <v>27</v>
      </c>
      <c r="C369" t="s">
        <v>3306</v>
      </c>
      <c r="D369" s="940" t="s">
        <v>3307</v>
      </c>
      <c r="E369" t="s">
        <v>120</v>
      </c>
      <c r="F369">
        <v>1</v>
      </c>
      <c r="G369" s="135"/>
    </row>
    <row r="370" spans="1:7" x14ac:dyDescent="0.25">
      <c r="A370" s="940">
        <v>2515</v>
      </c>
      <c r="B370" s="940">
        <v>24</v>
      </c>
      <c r="C370" t="s">
        <v>3308</v>
      </c>
      <c r="D370" s="940" t="s">
        <v>2756</v>
      </c>
      <c r="E370" t="s">
        <v>165</v>
      </c>
      <c r="F370">
        <v>1</v>
      </c>
      <c r="G370" s="135"/>
    </row>
    <row r="371" spans="1:7" x14ac:dyDescent="0.25">
      <c r="A371" s="940">
        <v>2558</v>
      </c>
      <c r="B371" s="940">
        <v>22</v>
      </c>
      <c r="C371" t="s">
        <v>3309</v>
      </c>
      <c r="D371" s="940" t="s">
        <v>2731</v>
      </c>
      <c r="E371" t="s">
        <v>246</v>
      </c>
      <c r="F371">
        <v>1</v>
      </c>
      <c r="G371" s="135"/>
    </row>
    <row r="372" spans="1:7" x14ac:dyDescent="0.25">
      <c r="A372" s="940">
        <v>3490</v>
      </c>
      <c r="B372" s="940">
        <v>0</v>
      </c>
      <c r="C372" t="s">
        <v>3310</v>
      </c>
      <c r="D372" s="940" t="s">
        <v>3311</v>
      </c>
      <c r="E372" t="s">
        <v>1238</v>
      </c>
      <c r="F372">
        <v>1</v>
      </c>
      <c r="G372" s="135"/>
    </row>
    <row r="373" spans="1:7" x14ac:dyDescent="0.25">
      <c r="A373" s="940">
        <v>3045</v>
      </c>
      <c r="B373" s="940">
        <v>7</v>
      </c>
      <c r="C373" t="s">
        <v>3312</v>
      </c>
      <c r="D373" s="940" t="s">
        <v>3313</v>
      </c>
      <c r="E373" t="s">
        <v>111</v>
      </c>
      <c r="F373">
        <v>1</v>
      </c>
      <c r="G373" s="135"/>
    </row>
    <row r="374" spans="1:7" x14ac:dyDescent="0.25">
      <c r="A374" s="940">
        <v>1602</v>
      </c>
      <c r="B374" s="940">
        <v>94</v>
      </c>
      <c r="C374" t="s">
        <v>3314</v>
      </c>
      <c r="D374" s="940" t="s">
        <v>3315</v>
      </c>
      <c r="E374" t="s">
        <v>1171</v>
      </c>
      <c r="F374">
        <v>1</v>
      </c>
      <c r="G374" s="135"/>
    </row>
    <row r="375" spans="1:7" x14ac:dyDescent="0.25">
      <c r="A375" s="940">
        <v>3490</v>
      </c>
      <c r="B375" s="940">
        <v>0</v>
      </c>
      <c r="C375" t="s">
        <v>3316</v>
      </c>
      <c r="D375" s="940" t="s">
        <v>3317</v>
      </c>
      <c r="E375" t="s">
        <v>1200</v>
      </c>
      <c r="F375">
        <v>1</v>
      </c>
      <c r="G375" s="135"/>
    </row>
    <row r="376" spans="1:7" x14ac:dyDescent="0.25">
      <c r="A376" s="940">
        <v>3490</v>
      </c>
      <c r="B376" s="940">
        <v>0</v>
      </c>
      <c r="C376" t="s">
        <v>3318</v>
      </c>
      <c r="D376" s="940" t="s">
        <v>3319</v>
      </c>
      <c r="E376" t="s">
        <v>1460</v>
      </c>
      <c r="F376">
        <v>1</v>
      </c>
      <c r="G376" s="135"/>
    </row>
    <row r="377" spans="1:7" x14ac:dyDescent="0.25">
      <c r="A377" s="940">
        <v>307</v>
      </c>
      <c r="B377" s="940">
        <v>704</v>
      </c>
      <c r="C377" t="s">
        <v>3320</v>
      </c>
      <c r="D377" s="940" t="s">
        <v>3321</v>
      </c>
      <c r="E377" t="s">
        <v>75</v>
      </c>
      <c r="F377">
        <v>1</v>
      </c>
      <c r="G377" s="135"/>
    </row>
    <row r="378" spans="1:7" x14ac:dyDescent="0.25">
      <c r="A378" s="940">
        <v>119</v>
      </c>
      <c r="B378" s="940">
        <v>1046</v>
      </c>
      <c r="C378" t="s">
        <v>3322</v>
      </c>
      <c r="D378" s="940" t="s">
        <v>3323</v>
      </c>
      <c r="E378" t="s">
        <v>128</v>
      </c>
      <c r="F378">
        <v>1</v>
      </c>
      <c r="G378" s="135"/>
    </row>
    <row r="379" spans="1:7" x14ac:dyDescent="0.25">
      <c r="A379" s="940">
        <v>128</v>
      </c>
      <c r="B379" s="940">
        <v>1029</v>
      </c>
      <c r="C379" t="s">
        <v>802</v>
      </c>
      <c r="D379" s="940" t="s">
        <v>3324</v>
      </c>
      <c r="E379" t="s">
        <v>105</v>
      </c>
      <c r="F379">
        <v>1</v>
      </c>
      <c r="G379" s="135"/>
    </row>
    <row r="380" spans="1:7" x14ac:dyDescent="0.25">
      <c r="A380" s="940">
        <v>3141</v>
      </c>
      <c r="B380" s="940">
        <v>5</v>
      </c>
      <c r="C380" t="s">
        <v>3325</v>
      </c>
      <c r="D380" s="940" t="s">
        <v>3326</v>
      </c>
      <c r="E380" t="s">
        <v>72</v>
      </c>
      <c r="F380">
        <v>1</v>
      </c>
      <c r="G380" s="135"/>
    </row>
    <row r="381" spans="1:7" x14ac:dyDescent="0.25">
      <c r="A381" s="940">
        <v>3395</v>
      </c>
      <c r="B381" s="940">
        <v>1</v>
      </c>
      <c r="C381" t="s">
        <v>3325</v>
      </c>
      <c r="D381" s="940" t="s">
        <v>3327</v>
      </c>
      <c r="E381" t="s">
        <v>120</v>
      </c>
      <c r="F381">
        <v>1</v>
      </c>
      <c r="G381" s="135"/>
    </row>
    <row r="382" spans="1:7" x14ac:dyDescent="0.25">
      <c r="A382" s="940">
        <v>475</v>
      </c>
      <c r="B382" s="940">
        <v>500</v>
      </c>
      <c r="C382" t="s">
        <v>3328</v>
      </c>
      <c r="D382" s="940" t="s">
        <v>3329</v>
      </c>
      <c r="E382" t="s">
        <v>3330</v>
      </c>
      <c r="F382">
        <v>1</v>
      </c>
      <c r="G382" s="135"/>
    </row>
    <row r="383" spans="1:7" x14ac:dyDescent="0.25">
      <c r="A383" s="940">
        <v>2060</v>
      </c>
      <c r="B383" s="940">
        <v>51</v>
      </c>
      <c r="C383" t="s">
        <v>3331</v>
      </c>
      <c r="D383" s="940" t="s">
        <v>3332</v>
      </c>
      <c r="E383" t="s">
        <v>1170</v>
      </c>
      <c r="F383">
        <v>1</v>
      </c>
      <c r="G383" s="135"/>
    </row>
    <row r="384" spans="1:7" x14ac:dyDescent="0.25">
      <c r="A384" s="940">
        <v>298</v>
      </c>
      <c r="B384" s="940">
        <v>717</v>
      </c>
      <c r="C384" t="s">
        <v>3333</v>
      </c>
      <c r="D384" s="940" t="s">
        <v>3334</v>
      </c>
      <c r="E384" t="s">
        <v>171</v>
      </c>
      <c r="F384">
        <v>1</v>
      </c>
      <c r="G384" s="135"/>
    </row>
    <row r="385" spans="1:7" x14ac:dyDescent="0.25">
      <c r="A385" s="940">
        <v>774</v>
      </c>
      <c r="B385" s="940">
        <v>307</v>
      </c>
      <c r="C385" t="s">
        <v>3335</v>
      </c>
      <c r="D385" s="940" t="s">
        <v>3336</v>
      </c>
      <c r="E385" t="s">
        <v>257</v>
      </c>
      <c r="F385">
        <v>1</v>
      </c>
      <c r="G385" s="135"/>
    </row>
    <row r="386" spans="1:7" x14ac:dyDescent="0.25">
      <c r="A386" s="940">
        <v>2187</v>
      </c>
      <c r="B386" s="940">
        <v>43</v>
      </c>
      <c r="C386" t="s">
        <v>3337</v>
      </c>
      <c r="D386" s="940" t="s">
        <v>2886</v>
      </c>
      <c r="E386" t="s">
        <v>105</v>
      </c>
      <c r="F386">
        <v>1</v>
      </c>
      <c r="G386" s="135"/>
    </row>
    <row r="387" spans="1:7" x14ac:dyDescent="0.25">
      <c r="A387" s="940">
        <v>383</v>
      </c>
      <c r="B387" s="940">
        <v>590</v>
      </c>
      <c r="C387" t="s">
        <v>3338</v>
      </c>
      <c r="D387" s="940" t="s">
        <v>3339</v>
      </c>
      <c r="E387" t="s">
        <v>3098</v>
      </c>
      <c r="F387">
        <v>1</v>
      </c>
      <c r="G387" s="135"/>
    </row>
    <row r="388" spans="1:7" x14ac:dyDescent="0.25">
      <c r="A388" s="940">
        <v>2743</v>
      </c>
      <c r="B388" s="940">
        <v>15</v>
      </c>
      <c r="C388" t="s">
        <v>3340</v>
      </c>
      <c r="D388" s="940" t="s">
        <v>3341</v>
      </c>
      <c r="E388" t="s">
        <v>1158</v>
      </c>
      <c r="F388">
        <v>1</v>
      </c>
      <c r="G388" s="135"/>
    </row>
    <row r="389" spans="1:7" x14ac:dyDescent="0.25">
      <c r="A389" s="940">
        <v>3327</v>
      </c>
      <c r="B389" s="940">
        <v>2</v>
      </c>
      <c r="C389" t="s">
        <v>3342</v>
      </c>
      <c r="D389" s="940" t="s">
        <v>3299</v>
      </c>
      <c r="E389" t="s">
        <v>1447</v>
      </c>
      <c r="F389">
        <v>1</v>
      </c>
      <c r="G389" s="135"/>
    </row>
    <row r="390" spans="1:7" x14ac:dyDescent="0.25">
      <c r="A390" s="940">
        <v>1262</v>
      </c>
      <c r="B390" s="940">
        <v>143</v>
      </c>
      <c r="C390" t="s">
        <v>3343</v>
      </c>
      <c r="D390" s="940" t="s">
        <v>3344</v>
      </c>
      <c r="E390" t="s">
        <v>128</v>
      </c>
      <c r="F390">
        <v>1</v>
      </c>
      <c r="G390" s="135"/>
    </row>
    <row r="391" spans="1:7" x14ac:dyDescent="0.25">
      <c r="A391" s="940">
        <v>2690</v>
      </c>
      <c r="B391" s="940">
        <v>17</v>
      </c>
      <c r="C391" t="s">
        <v>3345</v>
      </c>
      <c r="D391" s="940" t="s">
        <v>3346</v>
      </c>
      <c r="E391" t="s">
        <v>200</v>
      </c>
      <c r="F391">
        <v>1</v>
      </c>
      <c r="G391" s="135"/>
    </row>
    <row r="392" spans="1:7" x14ac:dyDescent="0.25">
      <c r="A392" s="940">
        <v>2499</v>
      </c>
      <c r="B392" s="940">
        <v>25</v>
      </c>
      <c r="C392" t="s">
        <v>3347</v>
      </c>
      <c r="D392" s="940" t="s">
        <v>3348</v>
      </c>
      <c r="E392" t="s">
        <v>1435</v>
      </c>
      <c r="F392">
        <v>1</v>
      </c>
      <c r="G392" s="135"/>
    </row>
    <row r="393" spans="1:7" x14ac:dyDescent="0.25">
      <c r="A393" s="940">
        <v>3395</v>
      </c>
      <c r="B393" s="940">
        <v>1</v>
      </c>
      <c r="C393" t="s">
        <v>3349</v>
      </c>
      <c r="D393" s="940" t="s">
        <v>3350</v>
      </c>
      <c r="E393" t="s">
        <v>109</v>
      </c>
      <c r="F393">
        <v>1</v>
      </c>
      <c r="G393" s="135"/>
    </row>
    <row r="394" spans="1:7" x14ac:dyDescent="0.25">
      <c r="A394" s="940">
        <v>3141</v>
      </c>
      <c r="B394" s="940">
        <v>5</v>
      </c>
      <c r="C394" t="s">
        <v>3351</v>
      </c>
      <c r="D394" s="940" t="s">
        <v>3352</v>
      </c>
      <c r="E394" t="s">
        <v>1844</v>
      </c>
      <c r="F394">
        <v>1</v>
      </c>
      <c r="G394" s="135"/>
    </row>
    <row r="395" spans="1:7" x14ac:dyDescent="0.25">
      <c r="A395" s="940">
        <v>3490</v>
      </c>
      <c r="B395" s="940">
        <v>0</v>
      </c>
      <c r="C395" t="s">
        <v>3353</v>
      </c>
      <c r="D395" s="940" t="s">
        <v>3354</v>
      </c>
      <c r="E395" t="s">
        <v>120</v>
      </c>
      <c r="F395">
        <v>1</v>
      </c>
      <c r="G395" s="135"/>
    </row>
    <row r="396" spans="1:7" x14ac:dyDescent="0.25">
      <c r="A396" s="940">
        <v>696</v>
      </c>
      <c r="B396" s="940">
        <v>349</v>
      </c>
      <c r="C396" t="s">
        <v>3355</v>
      </c>
      <c r="D396" s="940" t="s">
        <v>3356</v>
      </c>
      <c r="E396" t="s">
        <v>1311</v>
      </c>
      <c r="F396">
        <v>1</v>
      </c>
      <c r="G396" s="135"/>
    </row>
    <row r="397" spans="1:7" x14ac:dyDescent="0.25">
      <c r="A397" s="940">
        <v>2272</v>
      </c>
      <c r="B397" s="940">
        <v>38</v>
      </c>
      <c r="C397" t="s">
        <v>3357</v>
      </c>
      <c r="D397" s="940" t="s">
        <v>3358</v>
      </c>
      <c r="E397" t="s">
        <v>103</v>
      </c>
      <c r="F397">
        <v>1</v>
      </c>
      <c r="G397" s="135"/>
    </row>
    <row r="398" spans="1:7" x14ac:dyDescent="0.25">
      <c r="A398" s="940">
        <v>1346</v>
      </c>
      <c r="B398" s="940">
        <v>127</v>
      </c>
      <c r="C398" t="s">
        <v>3359</v>
      </c>
      <c r="D398" s="940" t="s">
        <v>3360</v>
      </c>
      <c r="E398" t="s">
        <v>1158</v>
      </c>
      <c r="F398">
        <v>1</v>
      </c>
      <c r="G398" s="135"/>
    </row>
    <row r="399" spans="1:7" x14ac:dyDescent="0.25">
      <c r="A399" s="940">
        <v>3490</v>
      </c>
      <c r="B399" s="940">
        <v>0</v>
      </c>
      <c r="C399" t="s">
        <v>3361</v>
      </c>
      <c r="D399" s="940" t="s">
        <v>3362</v>
      </c>
      <c r="E399" t="s">
        <v>120</v>
      </c>
      <c r="F399">
        <v>1</v>
      </c>
      <c r="G399" s="135"/>
    </row>
    <row r="400" spans="1:7" x14ac:dyDescent="0.25">
      <c r="A400" s="940">
        <v>421</v>
      </c>
      <c r="B400" s="940">
        <v>552</v>
      </c>
      <c r="C400" t="s">
        <v>1313</v>
      </c>
      <c r="D400" s="940" t="s">
        <v>3193</v>
      </c>
      <c r="E400" t="s">
        <v>105</v>
      </c>
      <c r="F400">
        <v>1</v>
      </c>
      <c r="G400" s="135"/>
    </row>
    <row r="401" spans="1:7" x14ac:dyDescent="0.25">
      <c r="A401" s="940">
        <v>2907</v>
      </c>
      <c r="B401" s="940">
        <v>10</v>
      </c>
      <c r="C401" t="s">
        <v>3363</v>
      </c>
      <c r="D401" s="940" t="s">
        <v>3364</v>
      </c>
      <c r="E401" t="s">
        <v>1243</v>
      </c>
      <c r="F401">
        <v>1</v>
      </c>
      <c r="G401" s="135"/>
    </row>
    <row r="402" spans="1:7" x14ac:dyDescent="0.25">
      <c r="A402" s="940">
        <v>2839</v>
      </c>
      <c r="B402" s="940">
        <v>12</v>
      </c>
      <c r="C402" t="s">
        <v>3365</v>
      </c>
      <c r="D402" s="940" t="s">
        <v>3366</v>
      </c>
      <c r="E402" t="s">
        <v>1363</v>
      </c>
      <c r="F402">
        <v>1</v>
      </c>
      <c r="G402" s="135"/>
    </row>
    <row r="403" spans="1:7" x14ac:dyDescent="0.25">
      <c r="A403" s="940">
        <v>2461</v>
      </c>
      <c r="B403" s="940">
        <v>27</v>
      </c>
      <c r="C403" t="s">
        <v>3367</v>
      </c>
      <c r="D403" s="940" t="s">
        <v>3368</v>
      </c>
      <c r="E403" t="s">
        <v>120</v>
      </c>
      <c r="F403">
        <v>1</v>
      </c>
      <c r="G403" s="135"/>
    </row>
    <row r="404" spans="1:7" x14ac:dyDescent="0.25">
      <c r="A404" s="940">
        <v>2381</v>
      </c>
      <c r="B404" s="940">
        <v>31</v>
      </c>
      <c r="C404" t="s">
        <v>3369</v>
      </c>
      <c r="D404" s="940" t="s">
        <v>3370</v>
      </c>
      <c r="E404" t="s">
        <v>3218</v>
      </c>
      <c r="F404">
        <v>1</v>
      </c>
      <c r="G404" s="135"/>
    </row>
    <row r="405" spans="1:7" x14ac:dyDescent="0.25">
      <c r="A405" s="940">
        <v>3490</v>
      </c>
      <c r="B405" s="940">
        <v>0</v>
      </c>
      <c r="C405" t="s">
        <v>3371</v>
      </c>
      <c r="D405" s="940" t="s">
        <v>3372</v>
      </c>
      <c r="E405" t="s">
        <v>1182</v>
      </c>
      <c r="F405">
        <v>1</v>
      </c>
      <c r="G405" s="135"/>
    </row>
    <row r="406" spans="1:7" x14ac:dyDescent="0.25">
      <c r="A406" s="940">
        <v>503</v>
      </c>
      <c r="B406" s="940">
        <v>466</v>
      </c>
      <c r="C406" t="s">
        <v>3373</v>
      </c>
      <c r="D406" s="940" t="s">
        <v>3374</v>
      </c>
      <c r="E406" t="s">
        <v>2880</v>
      </c>
      <c r="F406">
        <v>1</v>
      </c>
      <c r="G406" s="135"/>
    </row>
    <row r="407" spans="1:7" x14ac:dyDescent="0.25">
      <c r="A407" s="940">
        <v>3490</v>
      </c>
      <c r="B407" s="940">
        <v>0</v>
      </c>
      <c r="C407" t="s">
        <v>3375</v>
      </c>
      <c r="D407" s="940" t="s">
        <v>3376</v>
      </c>
      <c r="E407" t="s">
        <v>3377</v>
      </c>
      <c r="F407">
        <v>1</v>
      </c>
      <c r="G407" s="135"/>
    </row>
    <row r="408" spans="1:7" x14ac:dyDescent="0.25">
      <c r="A408" s="940">
        <v>1685</v>
      </c>
      <c r="B408" s="940">
        <v>85</v>
      </c>
      <c r="C408" t="s">
        <v>1318</v>
      </c>
      <c r="D408" s="940" t="s">
        <v>3378</v>
      </c>
      <c r="E408" t="s">
        <v>1182</v>
      </c>
      <c r="F408">
        <v>1</v>
      </c>
      <c r="G408" s="135"/>
    </row>
    <row r="409" spans="1:7" x14ac:dyDescent="0.25">
      <c r="A409" s="940">
        <v>2659</v>
      </c>
      <c r="B409" s="940">
        <v>18</v>
      </c>
      <c r="C409" t="s">
        <v>3379</v>
      </c>
      <c r="D409" s="940" t="s">
        <v>3380</v>
      </c>
      <c r="E409" t="s">
        <v>140</v>
      </c>
      <c r="F409">
        <v>1</v>
      </c>
      <c r="G409" s="135"/>
    </row>
    <row r="410" spans="1:7" x14ac:dyDescent="0.25">
      <c r="A410" s="940">
        <v>729</v>
      </c>
      <c r="B410" s="940">
        <v>331</v>
      </c>
      <c r="C410" t="s">
        <v>3381</v>
      </c>
      <c r="D410" s="940" t="s">
        <v>3382</v>
      </c>
      <c r="E410" t="s">
        <v>3383</v>
      </c>
      <c r="F410">
        <v>1</v>
      </c>
      <c r="G410" s="135"/>
    </row>
    <row r="411" spans="1:7" x14ac:dyDescent="0.25">
      <c r="A411" s="940">
        <v>1484</v>
      </c>
      <c r="B411" s="940">
        <v>108</v>
      </c>
      <c r="C411" t="s">
        <v>382</v>
      </c>
      <c r="D411" s="940" t="s">
        <v>3384</v>
      </c>
      <c r="E411" t="s">
        <v>1236</v>
      </c>
      <c r="F411">
        <v>1</v>
      </c>
      <c r="G411" s="135"/>
    </row>
    <row r="412" spans="1:7" x14ac:dyDescent="0.25">
      <c r="A412" s="940">
        <v>3490</v>
      </c>
      <c r="B412" s="940">
        <v>0</v>
      </c>
      <c r="C412" t="s">
        <v>3385</v>
      </c>
      <c r="D412" s="940" t="s">
        <v>3386</v>
      </c>
      <c r="E412" t="s">
        <v>1236</v>
      </c>
      <c r="F412">
        <v>1</v>
      </c>
      <c r="G412" s="135"/>
    </row>
    <row r="413" spans="1:7" x14ac:dyDescent="0.25">
      <c r="A413" s="940">
        <v>3490</v>
      </c>
      <c r="B413" s="940">
        <v>0</v>
      </c>
      <c r="C413" t="s">
        <v>3387</v>
      </c>
      <c r="D413" s="940" t="s">
        <v>3388</v>
      </c>
      <c r="E413" t="s">
        <v>1423</v>
      </c>
      <c r="F413">
        <v>1</v>
      </c>
      <c r="G413" s="135"/>
    </row>
    <row r="414" spans="1:7" x14ac:dyDescent="0.25">
      <c r="A414" s="940">
        <v>2461</v>
      </c>
      <c r="B414" s="940">
        <v>27</v>
      </c>
      <c r="C414" t="s">
        <v>3389</v>
      </c>
      <c r="D414" s="940" t="s">
        <v>2753</v>
      </c>
      <c r="E414" t="s">
        <v>2928</v>
      </c>
      <c r="F414">
        <v>1</v>
      </c>
      <c r="G414" s="135"/>
    </row>
    <row r="415" spans="1:7" x14ac:dyDescent="0.25">
      <c r="A415" s="940">
        <v>2609</v>
      </c>
      <c r="B415" s="940">
        <v>20</v>
      </c>
      <c r="C415" t="s">
        <v>3390</v>
      </c>
      <c r="D415" s="940" t="s">
        <v>3391</v>
      </c>
      <c r="E415" t="s">
        <v>120</v>
      </c>
      <c r="F415">
        <v>1</v>
      </c>
      <c r="G415" s="135"/>
    </row>
    <row r="416" spans="1:7" x14ac:dyDescent="0.25">
      <c r="A416" s="940">
        <v>1072</v>
      </c>
      <c r="B416" s="940">
        <v>193</v>
      </c>
      <c r="C416" t="s">
        <v>3392</v>
      </c>
      <c r="D416" s="940" t="s">
        <v>3393</v>
      </c>
      <c r="E416" t="s">
        <v>105</v>
      </c>
      <c r="F416">
        <v>1</v>
      </c>
      <c r="G416" s="135"/>
    </row>
    <row r="417" spans="1:7" x14ac:dyDescent="0.25">
      <c r="A417" s="940">
        <v>2743</v>
      </c>
      <c r="B417" s="940">
        <v>15</v>
      </c>
      <c r="C417" t="s">
        <v>3394</v>
      </c>
      <c r="D417" s="940" t="s">
        <v>3395</v>
      </c>
      <c r="E417" t="s">
        <v>3396</v>
      </c>
      <c r="F417">
        <v>1</v>
      </c>
      <c r="G417" s="135"/>
    </row>
    <row r="418" spans="1:7" x14ac:dyDescent="0.25">
      <c r="A418" s="940">
        <v>3089</v>
      </c>
      <c r="B418" s="940">
        <v>6</v>
      </c>
      <c r="C418" t="s">
        <v>3397</v>
      </c>
      <c r="D418" s="940" t="s">
        <v>3208</v>
      </c>
      <c r="E418" t="s">
        <v>3398</v>
      </c>
      <c r="F418">
        <v>1</v>
      </c>
      <c r="G418" s="135"/>
    </row>
    <row r="419" spans="1:7" x14ac:dyDescent="0.25">
      <c r="A419" s="940">
        <v>3490</v>
      </c>
      <c r="B419" s="940">
        <v>0</v>
      </c>
      <c r="C419" t="s">
        <v>3399</v>
      </c>
      <c r="D419" s="940" t="s">
        <v>2727</v>
      </c>
      <c r="E419" t="s">
        <v>2654</v>
      </c>
      <c r="F419">
        <v>1</v>
      </c>
      <c r="G419" s="135"/>
    </row>
    <row r="420" spans="1:7" x14ac:dyDescent="0.25">
      <c r="A420" s="940">
        <v>83</v>
      </c>
      <c r="B420" s="940">
        <v>1163</v>
      </c>
      <c r="C420" t="s">
        <v>3400</v>
      </c>
      <c r="D420" s="940" t="s">
        <v>3401</v>
      </c>
      <c r="E420" t="s">
        <v>1236</v>
      </c>
      <c r="F420">
        <v>1</v>
      </c>
      <c r="G420" s="135"/>
    </row>
    <row r="421" spans="1:7" x14ac:dyDescent="0.25">
      <c r="A421" s="940">
        <v>1827</v>
      </c>
      <c r="B421" s="940">
        <v>70</v>
      </c>
      <c r="C421" t="s">
        <v>3402</v>
      </c>
      <c r="D421" s="940" t="s">
        <v>3403</v>
      </c>
      <c r="E421" t="s">
        <v>118</v>
      </c>
      <c r="F421">
        <v>1</v>
      </c>
      <c r="G421" s="135"/>
    </row>
    <row r="422" spans="1:7" x14ac:dyDescent="0.25">
      <c r="A422" s="940">
        <v>1339</v>
      </c>
      <c r="B422" s="940">
        <v>128</v>
      </c>
      <c r="C422" t="s">
        <v>3404</v>
      </c>
      <c r="D422" s="940" t="s">
        <v>3405</v>
      </c>
      <c r="E422" t="s">
        <v>2880</v>
      </c>
      <c r="F422">
        <v>1</v>
      </c>
      <c r="G422" s="135"/>
    </row>
    <row r="423" spans="1:7" x14ac:dyDescent="0.25">
      <c r="A423" s="940">
        <v>336</v>
      </c>
      <c r="B423" s="940">
        <v>653</v>
      </c>
      <c r="C423" t="s">
        <v>3406</v>
      </c>
      <c r="D423" s="940" t="s">
        <v>3407</v>
      </c>
      <c r="E423" t="s">
        <v>120</v>
      </c>
      <c r="F423">
        <v>1</v>
      </c>
      <c r="G423" s="135"/>
    </row>
    <row r="424" spans="1:7" x14ac:dyDescent="0.25">
      <c r="A424" s="940">
        <v>447</v>
      </c>
      <c r="B424" s="940">
        <v>523</v>
      </c>
      <c r="C424" t="s">
        <v>3408</v>
      </c>
      <c r="D424" s="940" t="s">
        <v>3409</v>
      </c>
      <c r="E424" t="s">
        <v>2880</v>
      </c>
      <c r="F424">
        <v>1</v>
      </c>
      <c r="G424" s="135"/>
    </row>
    <row r="425" spans="1:7" x14ac:dyDescent="0.25">
      <c r="A425" s="940">
        <v>3490</v>
      </c>
      <c r="B425" s="940">
        <v>0</v>
      </c>
      <c r="C425" t="s">
        <v>3410</v>
      </c>
      <c r="D425" s="940" t="s">
        <v>3411</v>
      </c>
      <c r="E425" t="s">
        <v>130</v>
      </c>
      <c r="F425">
        <v>1</v>
      </c>
      <c r="G425" s="135"/>
    </row>
    <row r="426" spans="1:7" x14ac:dyDescent="0.25">
      <c r="A426" s="940">
        <v>1691</v>
      </c>
      <c r="B426" s="940">
        <v>84</v>
      </c>
      <c r="C426" t="s">
        <v>3412</v>
      </c>
      <c r="D426" s="940" t="s">
        <v>3241</v>
      </c>
      <c r="E426" t="s">
        <v>3058</v>
      </c>
      <c r="F426">
        <v>1</v>
      </c>
      <c r="G426" s="135"/>
    </row>
    <row r="427" spans="1:7" x14ac:dyDescent="0.25">
      <c r="A427" s="940">
        <v>2907</v>
      </c>
      <c r="B427" s="940">
        <v>10</v>
      </c>
      <c r="C427" t="s">
        <v>3413</v>
      </c>
      <c r="D427" s="940" t="s">
        <v>3414</v>
      </c>
      <c r="E427" t="s">
        <v>1741</v>
      </c>
      <c r="F427">
        <v>1</v>
      </c>
      <c r="G427" s="135"/>
    </row>
    <row r="428" spans="1:7" x14ac:dyDescent="0.25">
      <c r="A428" s="940">
        <v>265</v>
      </c>
      <c r="B428" s="940">
        <v>781</v>
      </c>
      <c r="C428" t="s">
        <v>3415</v>
      </c>
      <c r="D428" s="940" t="s">
        <v>3416</v>
      </c>
      <c r="E428" t="s">
        <v>1246</v>
      </c>
      <c r="F428">
        <v>1</v>
      </c>
      <c r="G428" s="135"/>
    </row>
    <row r="429" spans="1:7" x14ac:dyDescent="0.25">
      <c r="A429" s="940">
        <v>3490</v>
      </c>
      <c r="B429" s="940">
        <v>0</v>
      </c>
      <c r="C429" t="s">
        <v>3417</v>
      </c>
      <c r="D429" s="940" t="s">
        <v>3418</v>
      </c>
      <c r="E429" t="s">
        <v>120</v>
      </c>
      <c r="F429">
        <v>1</v>
      </c>
      <c r="G429" s="135"/>
    </row>
    <row r="430" spans="1:7" x14ac:dyDescent="0.25">
      <c r="A430" s="940">
        <v>3490</v>
      </c>
      <c r="B430" s="940">
        <v>0</v>
      </c>
      <c r="C430" t="s">
        <v>3419</v>
      </c>
      <c r="D430" s="940" t="s">
        <v>3420</v>
      </c>
      <c r="E430" t="s">
        <v>3421</v>
      </c>
      <c r="F430">
        <v>1</v>
      </c>
      <c r="G430" s="135"/>
    </row>
    <row r="431" spans="1:7" x14ac:dyDescent="0.25">
      <c r="A431" s="940">
        <v>1756</v>
      </c>
      <c r="B431" s="940">
        <v>78</v>
      </c>
      <c r="C431" t="s">
        <v>3422</v>
      </c>
      <c r="D431" s="940" t="s">
        <v>3423</v>
      </c>
      <c r="E431" t="s">
        <v>122</v>
      </c>
      <c r="F431">
        <v>1</v>
      </c>
      <c r="G431" s="135"/>
    </row>
    <row r="432" spans="1:7" x14ac:dyDescent="0.25">
      <c r="A432" s="940">
        <v>78</v>
      </c>
      <c r="B432" s="940">
        <v>1188</v>
      </c>
      <c r="C432" t="s">
        <v>3424</v>
      </c>
      <c r="D432" s="940" t="s">
        <v>3425</v>
      </c>
      <c r="E432" t="s">
        <v>110</v>
      </c>
      <c r="F432">
        <v>1</v>
      </c>
      <c r="G432" s="135"/>
    </row>
    <row r="433" spans="1:7" x14ac:dyDescent="0.25">
      <c r="A433" s="940">
        <v>222</v>
      </c>
      <c r="B433" s="940">
        <v>865</v>
      </c>
      <c r="C433" t="s">
        <v>3426</v>
      </c>
      <c r="D433" s="940" t="s">
        <v>3427</v>
      </c>
      <c r="E433" t="s">
        <v>132</v>
      </c>
      <c r="F433">
        <v>1</v>
      </c>
      <c r="G433" s="135"/>
    </row>
    <row r="434" spans="1:7" x14ac:dyDescent="0.25">
      <c r="A434" s="940">
        <v>3395</v>
      </c>
      <c r="B434" s="940">
        <v>1</v>
      </c>
      <c r="C434" t="s">
        <v>3428</v>
      </c>
      <c r="D434" s="940" t="s">
        <v>2945</v>
      </c>
      <c r="E434" t="s">
        <v>3429</v>
      </c>
      <c r="F434">
        <v>1</v>
      </c>
      <c r="G434" s="135"/>
    </row>
    <row r="435" spans="1:7" x14ac:dyDescent="0.25">
      <c r="A435" s="940">
        <v>3490</v>
      </c>
      <c r="B435" s="940">
        <v>0</v>
      </c>
      <c r="C435" t="s">
        <v>3430</v>
      </c>
      <c r="D435" s="940" t="s">
        <v>3431</v>
      </c>
      <c r="E435" t="s">
        <v>1214</v>
      </c>
      <c r="F435">
        <v>1</v>
      </c>
      <c r="G435" s="135"/>
    </row>
    <row r="436" spans="1:7" x14ac:dyDescent="0.25">
      <c r="A436" s="940">
        <v>3490</v>
      </c>
      <c r="B436" s="940">
        <v>0</v>
      </c>
      <c r="C436" t="s">
        <v>3432</v>
      </c>
      <c r="D436" s="940" t="s">
        <v>3433</v>
      </c>
      <c r="E436" t="s">
        <v>1236</v>
      </c>
      <c r="F436">
        <v>1</v>
      </c>
      <c r="G436" s="135"/>
    </row>
    <row r="437" spans="1:7" x14ac:dyDescent="0.25">
      <c r="A437" s="940">
        <v>35</v>
      </c>
      <c r="B437" s="940">
        <v>1388</v>
      </c>
      <c r="C437" t="s">
        <v>3434</v>
      </c>
      <c r="D437" s="940" t="s">
        <v>3435</v>
      </c>
      <c r="E437" t="s">
        <v>120</v>
      </c>
      <c r="F437">
        <v>1</v>
      </c>
      <c r="G437" s="135"/>
    </row>
    <row r="438" spans="1:7" x14ac:dyDescent="0.25">
      <c r="A438" s="940">
        <v>825</v>
      </c>
      <c r="B438" s="940">
        <v>288</v>
      </c>
      <c r="C438" t="s">
        <v>3436</v>
      </c>
      <c r="D438" s="940" t="s">
        <v>3437</v>
      </c>
      <c r="E438" t="s">
        <v>1330</v>
      </c>
      <c r="F438">
        <v>1</v>
      </c>
      <c r="G438" s="135"/>
    </row>
    <row r="439" spans="1:7" x14ac:dyDescent="0.25">
      <c r="A439" s="940">
        <v>459</v>
      </c>
      <c r="B439" s="940">
        <v>511</v>
      </c>
      <c r="C439" t="s">
        <v>803</v>
      </c>
      <c r="D439" s="940" t="s">
        <v>3438</v>
      </c>
      <c r="E439" t="s">
        <v>110</v>
      </c>
      <c r="F439">
        <v>1</v>
      </c>
      <c r="G439" s="135"/>
    </row>
    <row r="440" spans="1:7" x14ac:dyDescent="0.25">
      <c r="A440" s="940">
        <v>3490</v>
      </c>
      <c r="B440" s="940">
        <v>0</v>
      </c>
      <c r="C440" t="s">
        <v>3439</v>
      </c>
      <c r="D440" s="940" t="s">
        <v>3440</v>
      </c>
      <c r="E440" t="s">
        <v>128</v>
      </c>
      <c r="F440">
        <v>1</v>
      </c>
      <c r="G440" s="135"/>
    </row>
    <row r="441" spans="1:7" x14ac:dyDescent="0.25">
      <c r="A441" s="940">
        <v>517</v>
      </c>
      <c r="B441" s="940">
        <v>454</v>
      </c>
      <c r="C441" t="s">
        <v>3441</v>
      </c>
      <c r="D441" s="940" t="s">
        <v>3442</v>
      </c>
      <c r="E441" t="s">
        <v>122</v>
      </c>
      <c r="F441">
        <v>1</v>
      </c>
      <c r="G441" s="135"/>
    </row>
    <row r="442" spans="1:7" x14ac:dyDescent="0.25">
      <c r="A442" s="940">
        <v>106</v>
      </c>
      <c r="B442" s="940">
        <v>1096</v>
      </c>
      <c r="C442" t="s">
        <v>3443</v>
      </c>
      <c r="D442" s="940" t="s">
        <v>3444</v>
      </c>
      <c r="E442" t="s">
        <v>1968</v>
      </c>
      <c r="F442">
        <v>1</v>
      </c>
      <c r="G442" s="135"/>
    </row>
    <row r="443" spans="1:7" x14ac:dyDescent="0.25">
      <c r="A443" s="940">
        <v>3490</v>
      </c>
      <c r="B443" s="940">
        <v>0</v>
      </c>
      <c r="C443" t="s">
        <v>3445</v>
      </c>
      <c r="D443" s="940" t="s">
        <v>3446</v>
      </c>
      <c r="E443" t="s">
        <v>120</v>
      </c>
      <c r="F443">
        <v>1</v>
      </c>
      <c r="G443" s="135"/>
    </row>
    <row r="444" spans="1:7" x14ac:dyDescent="0.25">
      <c r="A444" s="940">
        <v>642</v>
      </c>
      <c r="B444" s="940">
        <v>380</v>
      </c>
      <c r="C444" t="s">
        <v>3447</v>
      </c>
      <c r="D444" s="940" t="s">
        <v>3448</v>
      </c>
      <c r="E444" t="s">
        <v>115</v>
      </c>
      <c r="F444">
        <v>1</v>
      </c>
      <c r="G444" s="135"/>
    </row>
    <row r="445" spans="1:7" x14ac:dyDescent="0.25">
      <c r="A445" s="940">
        <v>120</v>
      </c>
      <c r="B445" s="940">
        <v>1045</v>
      </c>
      <c r="C445" t="s">
        <v>3449</v>
      </c>
      <c r="D445" s="940" t="s">
        <v>3450</v>
      </c>
      <c r="E445" t="s">
        <v>120</v>
      </c>
      <c r="F445">
        <v>1</v>
      </c>
      <c r="G445" s="135"/>
    </row>
    <row r="446" spans="1:7" x14ac:dyDescent="0.25">
      <c r="A446" s="940">
        <v>3141</v>
      </c>
      <c r="B446" s="940">
        <v>5</v>
      </c>
      <c r="C446" t="s">
        <v>3451</v>
      </c>
      <c r="D446" s="940" t="s">
        <v>3452</v>
      </c>
      <c r="E446" t="s">
        <v>120</v>
      </c>
      <c r="F446">
        <v>1</v>
      </c>
      <c r="G446" s="135"/>
    </row>
    <row r="447" spans="1:7" x14ac:dyDescent="0.25">
      <c r="A447" s="940">
        <v>3490</v>
      </c>
      <c r="B447" s="940">
        <v>0</v>
      </c>
      <c r="C447" t="s">
        <v>3453</v>
      </c>
      <c r="D447" s="940" t="s">
        <v>3454</v>
      </c>
      <c r="E447" t="s">
        <v>1587</v>
      </c>
      <c r="F447">
        <v>1</v>
      </c>
      <c r="G447" s="135"/>
    </row>
    <row r="448" spans="1:7" x14ac:dyDescent="0.25">
      <c r="A448" s="940">
        <v>314</v>
      </c>
      <c r="B448" s="940">
        <v>690</v>
      </c>
      <c r="C448" t="s">
        <v>3455</v>
      </c>
      <c r="D448" s="940" t="s">
        <v>3456</v>
      </c>
      <c r="E448" t="s">
        <v>120</v>
      </c>
      <c r="F448">
        <v>1</v>
      </c>
      <c r="G448" s="135"/>
    </row>
    <row r="449" spans="1:7" x14ac:dyDescent="0.25">
      <c r="A449" s="940">
        <v>2626</v>
      </c>
      <c r="B449" s="940">
        <v>19</v>
      </c>
      <c r="C449" t="s">
        <v>3457</v>
      </c>
      <c r="D449" s="940" t="s">
        <v>3458</v>
      </c>
      <c r="E449" t="s">
        <v>109</v>
      </c>
      <c r="F449">
        <v>1</v>
      </c>
      <c r="G449" s="135"/>
    </row>
    <row r="450" spans="1:7" x14ac:dyDescent="0.25">
      <c r="A450" s="940">
        <v>2582</v>
      </c>
      <c r="B450" s="940">
        <v>21</v>
      </c>
      <c r="C450" t="s">
        <v>3459</v>
      </c>
      <c r="D450" s="940" t="s">
        <v>3460</v>
      </c>
      <c r="E450" t="s">
        <v>163</v>
      </c>
      <c r="F450">
        <v>1</v>
      </c>
      <c r="G450" s="135"/>
    </row>
    <row r="451" spans="1:7" x14ac:dyDescent="0.25">
      <c r="A451" s="940">
        <v>1188</v>
      </c>
      <c r="B451" s="940">
        <v>159</v>
      </c>
      <c r="C451" t="s">
        <v>3461</v>
      </c>
      <c r="D451" s="940" t="s">
        <v>3462</v>
      </c>
      <c r="E451" t="s">
        <v>186</v>
      </c>
      <c r="F451">
        <v>1</v>
      </c>
      <c r="G451" s="135"/>
    </row>
    <row r="452" spans="1:7" x14ac:dyDescent="0.25">
      <c r="A452" s="940">
        <v>1765</v>
      </c>
      <c r="B452" s="940">
        <v>77</v>
      </c>
      <c r="C452" t="s">
        <v>3463</v>
      </c>
      <c r="D452" s="940" t="s">
        <v>3464</v>
      </c>
      <c r="E452" t="s">
        <v>99</v>
      </c>
      <c r="F452">
        <v>1</v>
      </c>
      <c r="G452" s="135"/>
    </row>
    <row r="453" spans="1:7" x14ac:dyDescent="0.25">
      <c r="A453" s="940">
        <v>2291</v>
      </c>
      <c r="B453" s="940">
        <v>37</v>
      </c>
      <c r="C453" t="s">
        <v>3465</v>
      </c>
      <c r="D453" s="940" t="s">
        <v>3466</v>
      </c>
      <c r="E453" t="s">
        <v>72</v>
      </c>
      <c r="F453">
        <v>1</v>
      </c>
      <c r="G453" s="135"/>
    </row>
    <row r="454" spans="1:7" x14ac:dyDescent="0.25">
      <c r="A454" s="940">
        <v>3490</v>
      </c>
      <c r="B454" s="940">
        <v>0</v>
      </c>
      <c r="C454" t="s">
        <v>3467</v>
      </c>
      <c r="D454" s="940" t="s">
        <v>3468</v>
      </c>
      <c r="E454" t="s">
        <v>112</v>
      </c>
      <c r="F454">
        <v>1</v>
      </c>
      <c r="G454" s="135"/>
    </row>
    <row r="455" spans="1:7" x14ac:dyDescent="0.25">
      <c r="A455" s="940">
        <v>2441</v>
      </c>
      <c r="B455" s="940">
        <v>28</v>
      </c>
      <c r="C455" t="s">
        <v>3469</v>
      </c>
      <c r="D455" s="940" t="s">
        <v>3470</v>
      </c>
      <c r="E455" t="s">
        <v>2237</v>
      </c>
      <c r="F455">
        <v>1</v>
      </c>
      <c r="G455" s="135"/>
    </row>
    <row r="456" spans="1:7" x14ac:dyDescent="0.25">
      <c r="A456" s="940">
        <v>3490</v>
      </c>
      <c r="B456" s="940">
        <v>0</v>
      </c>
      <c r="C456" t="s">
        <v>3471</v>
      </c>
      <c r="D456" s="940" t="s">
        <v>3472</v>
      </c>
      <c r="E456" t="s">
        <v>1211</v>
      </c>
      <c r="F456">
        <v>1</v>
      </c>
      <c r="G456" s="135"/>
    </row>
    <row r="457" spans="1:7" x14ac:dyDescent="0.25">
      <c r="A457" s="940">
        <v>458</v>
      </c>
      <c r="B457" s="940">
        <v>512</v>
      </c>
      <c r="C457" t="s">
        <v>3473</v>
      </c>
      <c r="D457" s="940" t="s">
        <v>3474</v>
      </c>
      <c r="E457" t="s">
        <v>117</v>
      </c>
      <c r="F457">
        <v>1</v>
      </c>
      <c r="G457" s="135"/>
    </row>
    <row r="458" spans="1:7" x14ac:dyDescent="0.25">
      <c r="A458" s="940">
        <v>3490</v>
      </c>
      <c r="B458" s="940">
        <v>0</v>
      </c>
      <c r="C458" t="s">
        <v>3475</v>
      </c>
      <c r="D458" s="940" t="s">
        <v>3476</v>
      </c>
      <c r="E458" t="s">
        <v>3396</v>
      </c>
      <c r="F458">
        <v>1</v>
      </c>
      <c r="G458" s="135"/>
    </row>
    <row r="459" spans="1:7" x14ac:dyDescent="0.25">
      <c r="A459" s="940">
        <v>3490</v>
      </c>
      <c r="B459" s="940">
        <v>0</v>
      </c>
      <c r="C459" t="s">
        <v>3477</v>
      </c>
      <c r="D459" s="940" t="s">
        <v>3478</v>
      </c>
      <c r="E459" t="s">
        <v>1200</v>
      </c>
      <c r="F459">
        <v>1</v>
      </c>
      <c r="G459" s="135"/>
    </row>
    <row r="460" spans="1:7" x14ac:dyDescent="0.25">
      <c r="A460" s="940">
        <v>3490</v>
      </c>
      <c r="B460" s="940">
        <v>0</v>
      </c>
      <c r="C460" t="s">
        <v>3479</v>
      </c>
      <c r="D460" s="940" t="s">
        <v>3480</v>
      </c>
      <c r="E460" t="s">
        <v>105</v>
      </c>
      <c r="F460">
        <v>1</v>
      </c>
      <c r="G460" s="135"/>
    </row>
    <row r="461" spans="1:7" x14ac:dyDescent="0.25">
      <c r="A461" s="940">
        <v>58</v>
      </c>
      <c r="B461" s="940">
        <v>1260</v>
      </c>
      <c r="C461" t="s">
        <v>3481</v>
      </c>
      <c r="D461" s="940" t="s">
        <v>3482</v>
      </c>
      <c r="E461" t="s">
        <v>105</v>
      </c>
      <c r="F461">
        <v>1</v>
      </c>
      <c r="G461" s="135"/>
    </row>
    <row r="462" spans="1:7" x14ac:dyDescent="0.25">
      <c r="A462" s="940">
        <v>1284</v>
      </c>
      <c r="B462" s="940">
        <v>139</v>
      </c>
      <c r="C462" t="s">
        <v>3483</v>
      </c>
      <c r="D462" s="940" t="s">
        <v>3484</v>
      </c>
      <c r="E462" t="s">
        <v>130</v>
      </c>
      <c r="F462">
        <v>1</v>
      </c>
      <c r="G462" s="135"/>
    </row>
    <row r="463" spans="1:7" x14ac:dyDescent="0.25">
      <c r="A463" s="940">
        <v>2743</v>
      </c>
      <c r="B463" s="940">
        <v>15</v>
      </c>
      <c r="C463" t="s">
        <v>3485</v>
      </c>
      <c r="D463" s="940" t="s">
        <v>3486</v>
      </c>
      <c r="E463" t="s">
        <v>3487</v>
      </c>
      <c r="F463">
        <v>1</v>
      </c>
      <c r="G463" s="135"/>
    </row>
    <row r="464" spans="1:7" x14ac:dyDescent="0.25">
      <c r="A464" s="940">
        <v>1615</v>
      </c>
      <c r="B464" s="940">
        <v>93</v>
      </c>
      <c r="C464" t="s">
        <v>3488</v>
      </c>
      <c r="D464" s="940" t="s">
        <v>3489</v>
      </c>
      <c r="E464" t="s">
        <v>1236</v>
      </c>
      <c r="F464">
        <v>1</v>
      </c>
      <c r="G464" s="135"/>
    </row>
    <row r="465" spans="1:7" x14ac:dyDescent="0.25">
      <c r="A465" s="940">
        <v>616</v>
      </c>
      <c r="B465" s="940">
        <v>393</v>
      </c>
      <c r="C465" t="s">
        <v>3490</v>
      </c>
      <c r="D465" s="940" t="s">
        <v>3491</v>
      </c>
      <c r="E465" t="s">
        <v>251</v>
      </c>
      <c r="F465">
        <v>1</v>
      </c>
      <c r="G465" s="135"/>
    </row>
    <row r="466" spans="1:7" x14ac:dyDescent="0.25">
      <c r="A466" s="940">
        <v>1251</v>
      </c>
      <c r="B466" s="940">
        <v>145</v>
      </c>
      <c r="C466" t="s">
        <v>2519</v>
      </c>
      <c r="D466" s="940" t="s">
        <v>3492</v>
      </c>
      <c r="E466" t="s">
        <v>1493</v>
      </c>
      <c r="F466">
        <v>1</v>
      </c>
      <c r="G466" s="135"/>
    </row>
    <row r="467" spans="1:7" x14ac:dyDescent="0.25">
      <c r="A467" s="940">
        <v>2032</v>
      </c>
      <c r="B467" s="940">
        <v>53</v>
      </c>
      <c r="C467" t="s">
        <v>3493</v>
      </c>
      <c r="D467" s="940" t="s">
        <v>3494</v>
      </c>
      <c r="E467" t="s">
        <v>128</v>
      </c>
      <c r="F467">
        <v>1</v>
      </c>
      <c r="G467" s="135"/>
    </row>
    <row r="468" spans="1:7" x14ac:dyDescent="0.25">
      <c r="A468" s="940">
        <v>3490</v>
      </c>
      <c r="B468" s="940">
        <v>0</v>
      </c>
      <c r="C468" t="s">
        <v>3495</v>
      </c>
      <c r="D468" s="940" t="s">
        <v>3496</v>
      </c>
      <c r="E468" t="s">
        <v>213</v>
      </c>
      <c r="F468">
        <v>1</v>
      </c>
      <c r="G468" s="135"/>
    </row>
    <row r="469" spans="1:7" x14ac:dyDescent="0.25">
      <c r="A469" s="940">
        <v>3490</v>
      </c>
      <c r="B469" s="940">
        <v>0</v>
      </c>
      <c r="C469" t="s">
        <v>3497</v>
      </c>
      <c r="D469" s="940" t="s">
        <v>3498</v>
      </c>
      <c r="E469" t="s">
        <v>130</v>
      </c>
      <c r="F469">
        <v>1</v>
      </c>
      <c r="G469" s="135"/>
    </row>
    <row r="470" spans="1:7" x14ac:dyDescent="0.25">
      <c r="A470" s="940">
        <v>1627</v>
      </c>
      <c r="B470" s="940">
        <v>92</v>
      </c>
      <c r="C470" t="s">
        <v>1338</v>
      </c>
      <c r="D470" s="940" t="s">
        <v>3499</v>
      </c>
      <c r="E470" t="s">
        <v>208</v>
      </c>
      <c r="F470">
        <v>1</v>
      </c>
      <c r="G470" s="135"/>
    </row>
    <row r="471" spans="1:7" x14ac:dyDescent="0.25">
      <c r="A471" s="940">
        <v>3327</v>
      </c>
      <c r="B471" s="940">
        <v>2</v>
      </c>
      <c r="C471" t="s">
        <v>3500</v>
      </c>
      <c r="D471" s="940" t="s">
        <v>3501</v>
      </c>
      <c r="E471" t="s">
        <v>120</v>
      </c>
      <c r="F471">
        <v>1</v>
      </c>
      <c r="G471" s="135"/>
    </row>
    <row r="472" spans="1:7" x14ac:dyDescent="0.25">
      <c r="A472" s="940">
        <v>3490</v>
      </c>
      <c r="B472" s="940">
        <v>0</v>
      </c>
      <c r="C472" t="s">
        <v>3502</v>
      </c>
      <c r="D472" s="940" t="s">
        <v>3503</v>
      </c>
      <c r="E472" t="s">
        <v>1236</v>
      </c>
      <c r="F472">
        <v>1</v>
      </c>
      <c r="G472" s="135"/>
    </row>
    <row r="473" spans="1:7" x14ac:dyDescent="0.25">
      <c r="A473" s="940">
        <v>2129</v>
      </c>
      <c r="B473" s="940">
        <v>46</v>
      </c>
      <c r="C473" t="s">
        <v>3504</v>
      </c>
      <c r="D473" s="940" t="s">
        <v>3505</v>
      </c>
      <c r="E473" t="s">
        <v>105</v>
      </c>
      <c r="F473">
        <v>1</v>
      </c>
      <c r="G473" s="135"/>
    </row>
    <row r="474" spans="1:7" x14ac:dyDescent="0.25">
      <c r="A474" s="940">
        <v>682</v>
      </c>
      <c r="B474" s="940">
        <v>357</v>
      </c>
      <c r="C474" t="s">
        <v>383</v>
      </c>
      <c r="D474" s="940" t="s">
        <v>3506</v>
      </c>
      <c r="E474" t="s">
        <v>1340</v>
      </c>
      <c r="F474">
        <v>1</v>
      </c>
      <c r="G474" s="135"/>
    </row>
    <row r="475" spans="1:7" x14ac:dyDescent="0.25">
      <c r="A475" s="940">
        <v>76</v>
      </c>
      <c r="B475" s="940">
        <v>1196</v>
      </c>
      <c r="C475" t="s">
        <v>3507</v>
      </c>
      <c r="D475" s="940" t="s">
        <v>3508</v>
      </c>
      <c r="E475" t="s">
        <v>105</v>
      </c>
      <c r="F475">
        <v>1</v>
      </c>
      <c r="G475" s="135"/>
    </row>
    <row r="476" spans="1:7" x14ac:dyDescent="0.25">
      <c r="A476" s="940">
        <v>382</v>
      </c>
      <c r="B476" s="940">
        <v>592</v>
      </c>
      <c r="C476" t="s">
        <v>441</v>
      </c>
      <c r="D476" s="940" t="s">
        <v>3509</v>
      </c>
      <c r="E476" t="s">
        <v>1171</v>
      </c>
      <c r="F476">
        <v>1</v>
      </c>
      <c r="G476" s="135"/>
    </row>
    <row r="477" spans="1:7" x14ac:dyDescent="0.25">
      <c r="A477" s="940">
        <v>3395</v>
      </c>
      <c r="B477" s="940">
        <v>1</v>
      </c>
      <c r="C477" t="s">
        <v>3510</v>
      </c>
      <c r="D477" s="940" t="s">
        <v>3511</v>
      </c>
      <c r="E477" t="s">
        <v>111</v>
      </c>
      <c r="F477">
        <v>1</v>
      </c>
      <c r="G477" s="135"/>
    </row>
    <row r="478" spans="1:7" x14ac:dyDescent="0.25">
      <c r="A478" s="940">
        <v>3490</v>
      </c>
      <c r="B478" s="940">
        <v>0</v>
      </c>
      <c r="C478" t="s">
        <v>3512</v>
      </c>
      <c r="D478" s="940" t="s">
        <v>3513</v>
      </c>
      <c r="E478" t="s">
        <v>105</v>
      </c>
      <c r="F478">
        <v>1</v>
      </c>
      <c r="G478" s="135"/>
    </row>
    <row r="479" spans="1:7" x14ac:dyDescent="0.25">
      <c r="A479" s="940">
        <v>7</v>
      </c>
      <c r="B479" s="940">
        <v>1658</v>
      </c>
      <c r="C479" t="s">
        <v>3514</v>
      </c>
      <c r="D479" s="940" t="s">
        <v>3515</v>
      </c>
      <c r="E479" t="s">
        <v>120</v>
      </c>
      <c r="F479">
        <v>1</v>
      </c>
      <c r="G479" s="135"/>
    </row>
    <row r="480" spans="1:7" x14ac:dyDescent="0.25">
      <c r="A480" s="940">
        <v>183</v>
      </c>
      <c r="B480" s="940">
        <v>922</v>
      </c>
      <c r="C480" t="s">
        <v>3516</v>
      </c>
      <c r="D480" s="940" t="s">
        <v>3517</v>
      </c>
      <c r="E480" t="s">
        <v>3518</v>
      </c>
      <c r="F480">
        <v>1</v>
      </c>
      <c r="G480" s="135"/>
    </row>
    <row r="481" spans="1:7" x14ac:dyDescent="0.25">
      <c r="A481" s="940">
        <v>1942</v>
      </c>
      <c r="B481" s="940">
        <v>61</v>
      </c>
      <c r="C481" t="s">
        <v>3519</v>
      </c>
      <c r="D481" s="940" t="s">
        <v>3520</v>
      </c>
      <c r="E481" t="s">
        <v>1493</v>
      </c>
      <c r="F481">
        <v>1</v>
      </c>
      <c r="G481" s="135"/>
    </row>
    <row r="482" spans="1:7" x14ac:dyDescent="0.25">
      <c r="A482" s="940">
        <v>2347</v>
      </c>
      <c r="B482" s="940">
        <v>33</v>
      </c>
      <c r="C482" t="s">
        <v>3521</v>
      </c>
      <c r="D482" s="940" t="s">
        <v>3522</v>
      </c>
      <c r="E482" t="s">
        <v>2720</v>
      </c>
      <c r="F482">
        <v>1</v>
      </c>
      <c r="G482" s="135"/>
    </row>
    <row r="483" spans="1:7" x14ac:dyDescent="0.25">
      <c r="A483" s="940">
        <v>724</v>
      </c>
      <c r="B483" s="940">
        <v>335</v>
      </c>
      <c r="C483" t="s">
        <v>3523</v>
      </c>
      <c r="D483" s="940" t="s">
        <v>3524</v>
      </c>
      <c r="E483" t="s">
        <v>3525</v>
      </c>
      <c r="F483">
        <v>1</v>
      </c>
      <c r="G483" s="135"/>
    </row>
    <row r="484" spans="1:7" x14ac:dyDescent="0.25">
      <c r="A484" s="940">
        <v>583</v>
      </c>
      <c r="B484" s="940">
        <v>413</v>
      </c>
      <c r="C484" t="s">
        <v>3526</v>
      </c>
      <c r="D484" s="940" t="s">
        <v>3527</v>
      </c>
      <c r="E484" t="s">
        <v>2723</v>
      </c>
      <c r="F484">
        <v>1</v>
      </c>
      <c r="G484" s="135"/>
    </row>
    <row r="485" spans="1:7" x14ac:dyDescent="0.25">
      <c r="A485" s="940">
        <v>430</v>
      </c>
      <c r="B485" s="940">
        <v>542</v>
      </c>
      <c r="C485" t="s">
        <v>1346</v>
      </c>
      <c r="D485" s="940" t="s">
        <v>3528</v>
      </c>
      <c r="E485" t="s">
        <v>132</v>
      </c>
      <c r="F485">
        <v>1</v>
      </c>
      <c r="G485" s="135"/>
    </row>
    <row r="486" spans="1:7" x14ac:dyDescent="0.25">
      <c r="A486" s="940">
        <v>1021</v>
      </c>
      <c r="B486" s="940">
        <v>208</v>
      </c>
      <c r="C486" t="s">
        <v>3529</v>
      </c>
      <c r="D486" s="940" t="s">
        <v>3530</v>
      </c>
      <c r="E486" t="s">
        <v>103</v>
      </c>
      <c r="F486">
        <v>1</v>
      </c>
      <c r="G486" s="135"/>
    </row>
    <row r="487" spans="1:7" x14ac:dyDescent="0.25">
      <c r="A487" s="940">
        <v>3490</v>
      </c>
      <c r="B487" s="940">
        <v>0</v>
      </c>
      <c r="C487" t="s">
        <v>3531</v>
      </c>
      <c r="D487" s="940" t="s">
        <v>3532</v>
      </c>
      <c r="E487" t="s">
        <v>3533</v>
      </c>
      <c r="F487">
        <v>1</v>
      </c>
      <c r="G487" s="135"/>
    </row>
    <row r="488" spans="1:7" x14ac:dyDescent="0.25">
      <c r="A488" s="940">
        <v>276</v>
      </c>
      <c r="B488" s="940">
        <v>749</v>
      </c>
      <c r="C488" t="s">
        <v>3534</v>
      </c>
      <c r="D488" s="940" t="s">
        <v>3535</v>
      </c>
      <c r="E488" t="s">
        <v>1311</v>
      </c>
      <c r="F488">
        <v>1</v>
      </c>
      <c r="G488" s="135"/>
    </row>
    <row r="489" spans="1:7" x14ac:dyDescent="0.25">
      <c r="A489" s="940">
        <v>2461</v>
      </c>
      <c r="B489" s="940">
        <v>27</v>
      </c>
      <c r="C489" t="s">
        <v>3536</v>
      </c>
      <c r="D489" s="940" t="s">
        <v>3537</v>
      </c>
      <c r="E489" t="s">
        <v>1243</v>
      </c>
      <c r="F489">
        <v>1</v>
      </c>
      <c r="G489" s="135"/>
    </row>
    <row r="490" spans="1:7" x14ac:dyDescent="0.25">
      <c r="A490" s="940">
        <v>2609</v>
      </c>
      <c r="B490" s="940">
        <v>20</v>
      </c>
      <c r="C490" t="s">
        <v>3538</v>
      </c>
      <c r="D490" s="940" t="s">
        <v>3505</v>
      </c>
      <c r="E490" t="s">
        <v>165</v>
      </c>
      <c r="F490">
        <v>1</v>
      </c>
      <c r="G490" s="135"/>
    </row>
    <row r="491" spans="1:7" x14ac:dyDescent="0.25">
      <c r="A491" s="940">
        <v>3395</v>
      </c>
      <c r="B491" s="940">
        <v>1</v>
      </c>
      <c r="C491" t="s">
        <v>3539</v>
      </c>
      <c r="D491" s="940" t="s">
        <v>3540</v>
      </c>
      <c r="E491" t="s">
        <v>120</v>
      </c>
      <c r="F491">
        <v>1</v>
      </c>
      <c r="G491" s="135"/>
    </row>
    <row r="492" spans="1:7" x14ac:dyDescent="0.25">
      <c r="A492" s="940">
        <v>869</v>
      </c>
      <c r="B492" s="940">
        <v>264</v>
      </c>
      <c r="C492" t="s">
        <v>3541</v>
      </c>
      <c r="D492" s="940" t="s">
        <v>2680</v>
      </c>
      <c r="E492" t="s">
        <v>105</v>
      </c>
      <c r="F492">
        <v>1</v>
      </c>
      <c r="G492" s="135"/>
    </row>
    <row r="493" spans="1:7" x14ac:dyDescent="0.25">
      <c r="A493" s="940">
        <v>2959</v>
      </c>
      <c r="B493" s="940">
        <v>9</v>
      </c>
      <c r="C493" t="s">
        <v>3542</v>
      </c>
      <c r="D493" s="940" t="s">
        <v>3086</v>
      </c>
      <c r="E493" t="s">
        <v>1491</v>
      </c>
      <c r="F493">
        <v>1</v>
      </c>
      <c r="G493" s="135"/>
    </row>
    <row r="494" spans="1:7" x14ac:dyDescent="0.25">
      <c r="A494" s="940">
        <v>3490</v>
      </c>
      <c r="B494" s="940">
        <v>0</v>
      </c>
      <c r="C494" t="s">
        <v>3543</v>
      </c>
      <c r="D494" s="940" t="s">
        <v>3544</v>
      </c>
      <c r="E494" t="s">
        <v>120</v>
      </c>
      <c r="F494">
        <v>1</v>
      </c>
      <c r="G494" s="135"/>
    </row>
    <row r="495" spans="1:7" x14ac:dyDescent="0.25">
      <c r="A495" s="940">
        <v>3490</v>
      </c>
      <c r="B495" s="940">
        <v>0</v>
      </c>
      <c r="C495" t="s">
        <v>3545</v>
      </c>
      <c r="D495" s="940" t="s">
        <v>3546</v>
      </c>
      <c r="E495" t="s">
        <v>1214</v>
      </c>
      <c r="F495">
        <v>1</v>
      </c>
      <c r="G495" s="135"/>
    </row>
    <row r="496" spans="1:7" x14ac:dyDescent="0.25">
      <c r="A496" s="940">
        <v>1266</v>
      </c>
      <c r="B496" s="940">
        <v>142</v>
      </c>
      <c r="C496" t="s">
        <v>3547</v>
      </c>
      <c r="D496" s="940" t="s">
        <v>3548</v>
      </c>
      <c r="E496" t="s">
        <v>1214</v>
      </c>
      <c r="F496">
        <v>1</v>
      </c>
      <c r="G496" s="135"/>
    </row>
    <row r="497" spans="1:7" x14ac:dyDescent="0.25">
      <c r="A497" s="940">
        <v>3490</v>
      </c>
      <c r="B497" s="940">
        <v>0</v>
      </c>
      <c r="C497" t="s">
        <v>3549</v>
      </c>
      <c r="D497" s="940" t="s">
        <v>3550</v>
      </c>
      <c r="E497" t="s">
        <v>105</v>
      </c>
      <c r="F497">
        <v>1</v>
      </c>
      <c r="G497" s="135"/>
    </row>
    <row r="498" spans="1:7" x14ac:dyDescent="0.25">
      <c r="A498" s="940">
        <v>3196</v>
      </c>
      <c r="B498" s="940">
        <v>4</v>
      </c>
      <c r="C498" t="s">
        <v>3551</v>
      </c>
      <c r="D498" s="940" t="s">
        <v>3552</v>
      </c>
      <c r="E498" t="s">
        <v>1315</v>
      </c>
      <c r="F498">
        <v>1</v>
      </c>
      <c r="G498" s="135"/>
    </row>
    <row r="499" spans="1:7" x14ac:dyDescent="0.25">
      <c r="A499" s="940">
        <v>2347</v>
      </c>
      <c r="B499" s="940">
        <v>33</v>
      </c>
      <c r="C499" t="s">
        <v>3553</v>
      </c>
      <c r="D499" s="940" t="s">
        <v>3554</v>
      </c>
      <c r="E499" t="s">
        <v>1243</v>
      </c>
      <c r="F499">
        <v>1</v>
      </c>
      <c r="G499" s="135"/>
    </row>
    <row r="500" spans="1:7" x14ac:dyDescent="0.25">
      <c r="A500" s="940">
        <v>705</v>
      </c>
      <c r="B500" s="940">
        <v>346</v>
      </c>
      <c r="C500" t="s">
        <v>674</v>
      </c>
      <c r="D500" s="940" t="s">
        <v>3555</v>
      </c>
      <c r="E500" t="s">
        <v>99</v>
      </c>
      <c r="F500">
        <v>1</v>
      </c>
      <c r="G500" s="135"/>
    </row>
    <row r="501" spans="1:7" x14ac:dyDescent="0.25">
      <c r="A501" s="940">
        <v>1067</v>
      </c>
      <c r="B501" s="940">
        <v>194</v>
      </c>
      <c r="C501" t="s">
        <v>2538</v>
      </c>
      <c r="D501" s="940" t="s">
        <v>3556</v>
      </c>
      <c r="E501" t="s">
        <v>103</v>
      </c>
      <c r="F501">
        <v>1</v>
      </c>
      <c r="G501" s="135"/>
    </row>
    <row r="502" spans="1:7" x14ac:dyDescent="0.25">
      <c r="A502" s="940">
        <v>2291</v>
      </c>
      <c r="B502" s="940">
        <v>37</v>
      </c>
      <c r="C502" t="s">
        <v>3557</v>
      </c>
      <c r="D502" s="940" t="s">
        <v>3558</v>
      </c>
      <c r="E502" t="s">
        <v>2558</v>
      </c>
      <c r="F502">
        <v>1</v>
      </c>
      <c r="G502" s="135"/>
    </row>
    <row r="503" spans="1:7" x14ac:dyDescent="0.25">
      <c r="A503" s="940">
        <v>2499</v>
      </c>
      <c r="B503" s="940">
        <v>25</v>
      </c>
      <c r="C503" t="s">
        <v>3559</v>
      </c>
      <c r="D503" s="940" t="s">
        <v>3560</v>
      </c>
      <c r="E503" t="s">
        <v>208</v>
      </c>
      <c r="F503">
        <v>1</v>
      </c>
      <c r="G503" s="135"/>
    </row>
    <row r="504" spans="1:7" x14ac:dyDescent="0.25">
      <c r="A504" s="940">
        <v>3490</v>
      </c>
      <c r="B504" s="940">
        <v>0</v>
      </c>
      <c r="C504" t="s">
        <v>3561</v>
      </c>
      <c r="D504" s="940" t="s">
        <v>2811</v>
      </c>
      <c r="E504" t="s">
        <v>105</v>
      </c>
      <c r="F504">
        <v>1</v>
      </c>
      <c r="G504" s="135"/>
    </row>
    <row r="505" spans="1:7" x14ac:dyDescent="0.25">
      <c r="A505" s="940">
        <v>1986</v>
      </c>
      <c r="B505" s="940">
        <v>57</v>
      </c>
      <c r="C505" t="s">
        <v>3562</v>
      </c>
      <c r="D505" s="940" t="s">
        <v>3563</v>
      </c>
      <c r="E505" t="s">
        <v>1675</v>
      </c>
      <c r="F505">
        <v>1</v>
      </c>
      <c r="G505" s="135"/>
    </row>
    <row r="506" spans="1:7" x14ac:dyDescent="0.25">
      <c r="A506" s="940">
        <v>769</v>
      </c>
      <c r="B506" s="940">
        <v>308</v>
      </c>
      <c r="C506" t="s">
        <v>3564</v>
      </c>
      <c r="D506" s="940" t="s">
        <v>3565</v>
      </c>
      <c r="E506" t="s">
        <v>2928</v>
      </c>
      <c r="F506">
        <v>1</v>
      </c>
      <c r="G506" s="135"/>
    </row>
    <row r="507" spans="1:7" x14ac:dyDescent="0.25">
      <c r="A507" s="940">
        <v>1137</v>
      </c>
      <c r="B507" s="940">
        <v>171</v>
      </c>
      <c r="C507" t="s">
        <v>1355</v>
      </c>
      <c r="D507" s="940" t="s">
        <v>3566</v>
      </c>
      <c r="E507" t="s">
        <v>3487</v>
      </c>
      <c r="F507">
        <v>1</v>
      </c>
      <c r="G507" s="135"/>
    </row>
    <row r="508" spans="1:7" x14ac:dyDescent="0.25">
      <c r="A508" s="940">
        <v>240</v>
      </c>
      <c r="B508" s="940">
        <v>835</v>
      </c>
      <c r="C508" t="s">
        <v>3567</v>
      </c>
      <c r="D508" s="940" t="s">
        <v>3568</v>
      </c>
      <c r="E508" t="s">
        <v>1214</v>
      </c>
      <c r="F508">
        <v>1</v>
      </c>
      <c r="G508" s="135"/>
    </row>
    <row r="509" spans="1:7" x14ac:dyDescent="0.25">
      <c r="A509" s="940">
        <v>1468</v>
      </c>
      <c r="B509" s="940">
        <v>110</v>
      </c>
      <c r="C509" t="s">
        <v>3569</v>
      </c>
      <c r="D509" s="940" t="s">
        <v>3570</v>
      </c>
      <c r="E509" t="s">
        <v>1156</v>
      </c>
      <c r="F509">
        <v>1</v>
      </c>
      <c r="G509" s="135"/>
    </row>
    <row r="510" spans="1:7" x14ac:dyDescent="0.25">
      <c r="A510" s="940">
        <v>3490</v>
      </c>
      <c r="B510" s="940">
        <v>0</v>
      </c>
      <c r="C510" t="s">
        <v>3571</v>
      </c>
      <c r="D510" s="940" t="s">
        <v>3572</v>
      </c>
      <c r="E510" t="s">
        <v>661</v>
      </c>
      <c r="F510">
        <v>1</v>
      </c>
      <c r="G510" s="135"/>
    </row>
    <row r="511" spans="1:7" x14ac:dyDescent="0.25">
      <c r="A511" s="940">
        <v>1872</v>
      </c>
      <c r="B511" s="940">
        <v>66</v>
      </c>
      <c r="C511" t="s">
        <v>3573</v>
      </c>
      <c r="D511" s="940" t="s">
        <v>3574</v>
      </c>
      <c r="E511" t="s">
        <v>661</v>
      </c>
      <c r="F511">
        <v>1</v>
      </c>
      <c r="G511" s="135"/>
    </row>
    <row r="512" spans="1:7" x14ac:dyDescent="0.25">
      <c r="A512" s="940">
        <v>3490</v>
      </c>
      <c r="B512" s="940">
        <v>0</v>
      </c>
      <c r="C512" t="s">
        <v>3575</v>
      </c>
      <c r="D512" s="940" t="s">
        <v>3576</v>
      </c>
      <c r="E512" t="s">
        <v>74</v>
      </c>
      <c r="F512">
        <v>1</v>
      </c>
      <c r="G512" s="135"/>
    </row>
    <row r="513" spans="1:7" x14ac:dyDescent="0.25">
      <c r="A513" s="940">
        <v>2609</v>
      </c>
      <c r="B513" s="940">
        <v>20</v>
      </c>
      <c r="C513" t="s">
        <v>3577</v>
      </c>
      <c r="D513" s="940" t="s">
        <v>3578</v>
      </c>
      <c r="E513" t="s">
        <v>99</v>
      </c>
      <c r="F513">
        <v>1</v>
      </c>
      <c r="G513" s="135"/>
    </row>
    <row r="514" spans="1:7" x14ac:dyDescent="0.25">
      <c r="A514" s="940">
        <v>644</v>
      </c>
      <c r="B514" s="940">
        <v>379</v>
      </c>
      <c r="C514" t="s">
        <v>3579</v>
      </c>
      <c r="D514" s="940" t="s">
        <v>3580</v>
      </c>
      <c r="E514" t="s">
        <v>130</v>
      </c>
      <c r="F514">
        <v>1</v>
      </c>
      <c r="G514" s="135"/>
    </row>
    <row r="515" spans="1:7" x14ac:dyDescent="0.25">
      <c r="A515" s="940">
        <v>3045</v>
      </c>
      <c r="B515" s="940">
        <v>7</v>
      </c>
      <c r="C515" t="s">
        <v>3581</v>
      </c>
      <c r="D515" s="940" t="s">
        <v>3582</v>
      </c>
      <c r="E515" t="s">
        <v>139</v>
      </c>
      <c r="F515">
        <v>1</v>
      </c>
      <c r="G515" s="135"/>
    </row>
    <row r="516" spans="1:7" x14ac:dyDescent="0.25">
      <c r="A516" s="940">
        <v>1924</v>
      </c>
      <c r="B516" s="940">
        <v>62</v>
      </c>
      <c r="C516" t="s">
        <v>3583</v>
      </c>
      <c r="D516" s="940" t="s">
        <v>3584</v>
      </c>
      <c r="E516" t="s">
        <v>427</v>
      </c>
      <c r="F516">
        <v>1</v>
      </c>
      <c r="G516" s="135"/>
    </row>
    <row r="517" spans="1:7" x14ac:dyDescent="0.25">
      <c r="A517" s="940">
        <v>3196</v>
      </c>
      <c r="B517" s="940">
        <v>4</v>
      </c>
      <c r="C517" t="s">
        <v>3585</v>
      </c>
      <c r="D517" s="940" t="s">
        <v>3586</v>
      </c>
      <c r="E517" t="s">
        <v>99</v>
      </c>
      <c r="F517">
        <v>1</v>
      </c>
      <c r="G517" s="135"/>
    </row>
    <row r="518" spans="1:7" x14ac:dyDescent="0.25">
      <c r="A518" s="940">
        <v>3490</v>
      </c>
      <c r="B518" s="940">
        <v>0</v>
      </c>
      <c r="C518" t="s">
        <v>3587</v>
      </c>
      <c r="D518" s="940" t="s">
        <v>3588</v>
      </c>
      <c r="E518" t="s">
        <v>74</v>
      </c>
      <c r="F518">
        <v>1</v>
      </c>
      <c r="G518" s="135"/>
    </row>
    <row r="519" spans="1:7" x14ac:dyDescent="0.25">
      <c r="A519" s="940">
        <v>3490</v>
      </c>
      <c r="B519" s="940">
        <v>0</v>
      </c>
      <c r="C519" t="s">
        <v>3589</v>
      </c>
      <c r="D519" s="940" t="s">
        <v>3590</v>
      </c>
      <c r="E519" t="s">
        <v>1156</v>
      </c>
      <c r="F519">
        <v>1</v>
      </c>
      <c r="G519" s="135"/>
    </row>
    <row r="520" spans="1:7" x14ac:dyDescent="0.25">
      <c r="A520" s="940">
        <v>3395</v>
      </c>
      <c r="B520" s="940">
        <v>1</v>
      </c>
      <c r="C520" t="s">
        <v>3591</v>
      </c>
      <c r="D520" s="940" t="s">
        <v>3592</v>
      </c>
      <c r="E520" t="s">
        <v>120</v>
      </c>
      <c r="F520">
        <v>1</v>
      </c>
      <c r="G520" s="135"/>
    </row>
    <row r="521" spans="1:7" x14ac:dyDescent="0.25">
      <c r="A521" s="940">
        <v>2839</v>
      </c>
      <c r="B521" s="940">
        <v>12</v>
      </c>
      <c r="C521" t="s">
        <v>3593</v>
      </c>
      <c r="D521" s="940" t="s">
        <v>3594</v>
      </c>
      <c r="E521" t="s">
        <v>1221</v>
      </c>
      <c r="F521">
        <v>1</v>
      </c>
      <c r="G521" s="135"/>
    </row>
    <row r="522" spans="1:7" x14ac:dyDescent="0.25">
      <c r="A522" s="940">
        <v>337</v>
      </c>
      <c r="B522" s="940">
        <v>652</v>
      </c>
      <c r="C522" t="s">
        <v>3595</v>
      </c>
      <c r="D522" s="940" t="s">
        <v>3596</v>
      </c>
      <c r="E522" t="s">
        <v>3597</v>
      </c>
      <c r="F522">
        <v>1</v>
      </c>
      <c r="G522" s="135"/>
    </row>
    <row r="523" spans="1:7" x14ac:dyDescent="0.25">
      <c r="A523" s="940">
        <v>209</v>
      </c>
      <c r="B523" s="940">
        <v>882</v>
      </c>
      <c r="C523" t="s">
        <v>3598</v>
      </c>
      <c r="D523" s="940" t="s">
        <v>3599</v>
      </c>
      <c r="E523" t="s">
        <v>3597</v>
      </c>
      <c r="F523">
        <v>1</v>
      </c>
      <c r="G523" s="135"/>
    </row>
    <row r="524" spans="1:7" x14ac:dyDescent="0.25">
      <c r="A524" s="940">
        <v>2743</v>
      </c>
      <c r="B524" s="940">
        <v>15</v>
      </c>
      <c r="C524" t="s">
        <v>3600</v>
      </c>
      <c r="D524" s="940" t="s">
        <v>3601</v>
      </c>
      <c r="E524" t="s">
        <v>72</v>
      </c>
      <c r="F524">
        <v>1</v>
      </c>
      <c r="G524" s="135"/>
    </row>
    <row r="525" spans="1:7" x14ac:dyDescent="0.25">
      <c r="A525" s="940">
        <v>3490</v>
      </c>
      <c r="B525" s="940">
        <v>0</v>
      </c>
      <c r="C525" t="s">
        <v>3602</v>
      </c>
      <c r="D525" s="940" t="s">
        <v>3603</v>
      </c>
      <c r="E525" t="s">
        <v>130</v>
      </c>
      <c r="F525">
        <v>1</v>
      </c>
      <c r="G525" s="135"/>
    </row>
    <row r="526" spans="1:7" x14ac:dyDescent="0.25">
      <c r="A526" s="940">
        <v>982</v>
      </c>
      <c r="B526" s="940">
        <v>225</v>
      </c>
      <c r="C526" t="s">
        <v>3604</v>
      </c>
      <c r="D526" s="940" t="s">
        <v>3605</v>
      </c>
      <c r="E526" t="s">
        <v>130</v>
      </c>
      <c r="F526">
        <v>1</v>
      </c>
      <c r="G526" s="135"/>
    </row>
    <row r="527" spans="1:7" x14ac:dyDescent="0.25">
      <c r="A527" s="940">
        <v>670</v>
      </c>
      <c r="B527" s="940">
        <v>365</v>
      </c>
      <c r="C527" t="s">
        <v>3606</v>
      </c>
      <c r="D527" s="940" t="s">
        <v>3607</v>
      </c>
      <c r="E527" t="s">
        <v>1493</v>
      </c>
      <c r="F527">
        <v>1</v>
      </c>
      <c r="G527" s="135"/>
    </row>
    <row r="528" spans="1:7" x14ac:dyDescent="0.25">
      <c r="A528" s="940">
        <v>3265</v>
      </c>
      <c r="B528" s="940">
        <v>3</v>
      </c>
      <c r="C528" t="s">
        <v>3608</v>
      </c>
      <c r="D528" s="940" t="s">
        <v>3609</v>
      </c>
      <c r="E528" t="s">
        <v>3610</v>
      </c>
      <c r="F528">
        <v>1</v>
      </c>
      <c r="G528" s="135"/>
    </row>
    <row r="529" spans="1:7" x14ac:dyDescent="0.25">
      <c r="A529" s="940">
        <v>2996</v>
      </c>
      <c r="B529" s="940">
        <v>8</v>
      </c>
      <c r="C529" t="s">
        <v>3611</v>
      </c>
      <c r="D529" s="940" t="s">
        <v>3612</v>
      </c>
      <c r="E529" t="s">
        <v>2654</v>
      </c>
      <c r="F529">
        <v>1</v>
      </c>
      <c r="G529" s="135"/>
    </row>
    <row r="530" spans="1:7" x14ac:dyDescent="0.25">
      <c r="A530" s="940">
        <v>3395</v>
      </c>
      <c r="B530" s="940">
        <v>1</v>
      </c>
      <c r="C530" t="s">
        <v>3613</v>
      </c>
      <c r="D530" s="940" t="s">
        <v>3614</v>
      </c>
      <c r="E530" t="s">
        <v>2464</v>
      </c>
      <c r="F530">
        <v>1</v>
      </c>
      <c r="G530" s="135"/>
    </row>
    <row r="531" spans="1:7" x14ac:dyDescent="0.25">
      <c r="A531" s="940">
        <v>2370</v>
      </c>
      <c r="B531" s="940">
        <v>32</v>
      </c>
      <c r="C531" t="s">
        <v>1360</v>
      </c>
      <c r="D531" s="940" t="s">
        <v>3615</v>
      </c>
      <c r="E531" t="s">
        <v>2723</v>
      </c>
      <c r="F531">
        <v>1</v>
      </c>
      <c r="G531" s="135"/>
    </row>
    <row r="532" spans="1:7" x14ac:dyDescent="0.25">
      <c r="A532" s="940">
        <v>2714</v>
      </c>
      <c r="B532" s="940">
        <v>16</v>
      </c>
      <c r="C532" t="s">
        <v>1360</v>
      </c>
      <c r="D532" s="940" t="s">
        <v>3616</v>
      </c>
      <c r="E532" t="s">
        <v>72</v>
      </c>
      <c r="F532">
        <v>1</v>
      </c>
      <c r="G532" s="135"/>
    </row>
    <row r="533" spans="1:7" x14ac:dyDescent="0.25">
      <c r="A533" s="940">
        <v>1114</v>
      </c>
      <c r="B533" s="940">
        <v>176</v>
      </c>
      <c r="C533" t="s">
        <v>2539</v>
      </c>
      <c r="D533" s="940" t="s">
        <v>3617</v>
      </c>
      <c r="E533" t="s">
        <v>120</v>
      </c>
      <c r="F533">
        <v>1</v>
      </c>
      <c r="G533" s="135"/>
    </row>
    <row r="534" spans="1:7" x14ac:dyDescent="0.25">
      <c r="A534" s="940">
        <v>1379</v>
      </c>
      <c r="B534" s="940">
        <v>123</v>
      </c>
      <c r="C534" t="s">
        <v>2539</v>
      </c>
      <c r="D534" s="940" t="s">
        <v>3618</v>
      </c>
      <c r="E534" t="s">
        <v>2735</v>
      </c>
      <c r="F534">
        <v>1</v>
      </c>
      <c r="G534" s="135"/>
    </row>
    <row r="535" spans="1:7" x14ac:dyDescent="0.25">
      <c r="A535" s="940">
        <v>444</v>
      </c>
      <c r="B535" s="940">
        <v>528</v>
      </c>
      <c r="C535" t="s">
        <v>1361</v>
      </c>
      <c r="D535" s="940" t="s">
        <v>3619</v>
      </c>
      <c r="E535" t="s">
        <v>1343</v>
      </c>
      <c r="F535">
        <v>1</v>
      </c>
      <c r="G535" s="135"/>
    </row>
    <row r="536" spans="1:7" x14ac:dyDescent="0.25">
      <c r="A536" s="940">
        <v>3089</v>
      </c>
      <c r="B536" s="940">
        <v>6</v>
      </c>
      <c r="C536" t="s">
        <v>3620</v>
      </c>
      <c r="D536" s="940" t="s">
        <v>3621</v>
      </c>
      <c r="E536" t="s">
        <v>122</v>
      </c>
      <c r="F536">
        <v>1</v>
      </c>
      <c r="G536" s="135"/>
    </row>
    <row r="537" spans="1:7" x14ac:dyDescent="0.25">
      <c r="A537" s="940">
        <v>1942</v>
      </c>
      <c r="B537" s="940">
        <v>61</v>
      </c>
      <c r="C537" t="s">
        <v>3622</v>
      </c>
      <c r="D537" s="940" t="s">
        <v>3623</v>
      </c>
      <c r="E537" t="s">
        <v>170</v>
      </c>
      <c r="F537">
        <v>1</v>
      </c>
      <c r="G537" s="135"/>
    </row>
    <row r="538" spans="1:7" x14ac:dyDescent="0.25">
      <c r="A538" s="940">
        <v>3395</v>
      </c>
      <c r="B538" s="940">
        <v>1</v>
      </c>
      <c r="C538" t="s">
        <v>3624</v>
      </c>
      <c r="D538" s="940" t="s">
        <v>2856</v>
      </c>
      <c r="E538" t="s">
        <v>120</v>
      </c>
      <c r="F538">
        <v>1</v>
      </c>
      <c r="G538" s="135"/>
    </row>
    <row r="539" spans="1:7" x14ac:dyDescent="0.25">
      <c r="A539" s="940">
        <v>3196</v>
      </c>
      <c r="B539" s="940">
        <v>4</v>
      </c>
      <c r="C539" t="s">
        <v>3625</v>
      </c>
      <c r="D539" s="940" t="s">
        <v>3626</v>
      </c>
      <c r="E539" t="s">
        <v>1700</v>
      </c>
      <c r="F539">
        <v>1</v>
      </c>
      <c r="G539" s="135"/>
    </row>
    <row r="540" spans="1:7" x14ac:dyDescent="0.25">
      <c r="A540" s="940">
        <v>3327</v>
      </c>
      <c r="B540" s="940">
        <v>2</v>
      </c>
      <c r="C540" t="s">
        <v>3627</v>
      </c>
      <c r="D540" s="940" t="s">
        <v>3628</v>
      </c>
      <c r="E540" t="s">
        <v>171</v>
      </c>
      <c r="F540">
        <v>1</v>
      </c>
      <c r="G540" s="135"/>
    </row>
    <row r="541" spans="1:7" x14ac:dyDescent="0.25">
      <c r="A541" s="940">
        <v>769</v>
      </c>
      <c r="B541" s="940">
        <v>308</v>
      </c>
      <c r="C541" t="s">
        <v>3629</v>
      </c>
      <c r="D541" s="940" t="s">
        <v>3540</v>
      </c>
      <c r="E541" t="s">
        <v>113</v>
      </c>
      <c r="F541">
        <v>1</v>
      </c>
      <c r="G541" s="135"/>
    </row>
    <row r="542" spans="1:7" x14ac:dyDescent="0.25">
      <c r="A542" s="940">
        <v>1217</v>
      </c>
      <c r="B542" s="940">
        <v>152</v>
      </c>
      <c r="C542" t="s">
        <v>675</v>
      </c>
      <c r="D542" s="940" t="s">
        <v>3630</v>
      </c>
      <c r="E542" t="s">
        <v>170</v>
      </c>
      <c r="F542">
        <v>1</v>
      </c>
      <c r="G542" s="135"/>
    </row>
    <row r="543" spans="1:7" x14ac:dyDescent="0.25">
      <c r="A543" s="940">
        <v>2106</v>
      </c>
      <c r="B543" s="940">
        <v>48</v>
      </c>
      <c r="C543" t="s">
        <v>3631</v>
      </c>
      <c r="D543" s="940" t="s">
        <v>3054</v>
      </c>
      <c r="E543" t="s">
        <v>251</v>
      </c>
      <c r="F543">
        <v>1</v>
      </c>
      <c r="G543" s="135"/>
    </row>
    <row r="544" spans="1:7" x14ac:dyDescent="0.25">
      <c r="A544" s="940">
        <v>615</v>
      </c>
      <c r="B544" s="940">
        <v>394</v>
      </c>
      <c r="C544" t="s">
        <v>3632</v>
      </c>
      <c r="D544" s="940" t="s">
        <v>3633</v>
      </c>
      <c r="E544" t="s">
        <v>2732</v>
      </c>
      <c r="F544">
        <v>1</v>
      </c>
      <c r="G544" s="135"/>
    </row>
    <row r="545" spans="1:7" x14ac:dyDescent="0.25">
      <c r="A545" s="940">
        <v>2032</v>
      </c>
      <c r="B545" s="940">
        <v>53</v>
      </c>
      <c r="C545" t="s">
        <v>3634</v>
      </c>
      <c r="D545" s="940" t="s">
        <v>2731</v>
      </c>
      <c r="E545" t="s">
        <v>3635</v>
      </c>
      <c r="F545">
        <v>1</v>
      </c>
      <c r="G545" s="135"/>
    </row>
    <row r="546" spans="1:7" x14ac:dyDescent="0.25">
      <c r="A546" s="940">
        <v>2241</v>
      </c>
      <c r="B546" s="940">
        <v>40</v>
      </c>
      <c r="C546" t="s">
        <v>3636</v>
      </c>
      <c r="D546" s="940" t="s">
        <v>3637</v>
      </c>
      <c r="E546" t="s">
        <v>105</v>
      </c>
      <c r="F546">
        <v>1</v>
      </c>
      <c r="G546" s="135"/>
    </row>
    <row r="547" spans="1:7" x14ac:dyDescent="0.25">
      <c r="A547" s="940">
        <v>1811</v>
      </c>
      <c r="B547" s="940">
        <v>72</v>
      </c>
      <c r="C547" t="s">
        <v>3638</v>
      </c>
      <c r="D547" s="940" t="s">
        <v>3639</v>
      </c>
      <c r="E547" t="s">
        <v>120</v>
      </c>
      <c r="F547">
        <v>1</v>
      </c>
      <c r="G547" s="135"/>
    </row>
    <row r="548" spans="1:7" x14ac:dyDescent="0.25">
      <c r="A548" s="940">
        <v>1104</v>
      </c>
      <c r="B548" s="940">
        <v>181</v>
      </c>
      <c r="C548" t="s">
        <v>1367</v>
      </c>
      <c r="D548" s="940" t="s">
        <v>3640</v>
      </c>
      <c r="E548" t="s">
        <v>113</v>
      </c>
      <c r="F548">
        <v>1</v>
      </c>
      <c r="G548" s="135"/>
    </row>
    <row r="549" spans="1:7" x14ac:dyDescent="0.25">
      <c r="A549" s="940">
        <v>3196</v>
      </c>
      <c r="B549" s="940">
        <v>4</v>
      </c>
      <c r="C549" t="s">
        <v>3641</v>
      </c>
      <c r="D549" s="940" t="s">
        <v>3642</v>
      </c>
      <c r="E549" t="s">
        <v>74</v>
      </c>
      <c r="F549">
        <v>1</v>
      </c>
      <c r="G549" s="135"/>
    </row>
    <row r="550" spans="1:7" x14ac:dyDescent="0.25">
      <c r="A550" s="940">
        <v>3265</v>
      </c>
      <c r="B550" s="940">
        <v>3</v>
      </c>
      <c r="C550" t="s">
        <v>3643</v>
      </c>
      <c r="D550" s="940" t="s">
        <v>2827</v>
      </c>
      <c r="E550" t="s">
        <v>72</v>
      </c>
      <c r="F550">
        <v>1</v>
      </c>
      <c r="G550" s="135"/>
    </row>
    <row r="551" spans="1:7" x14ac:dyDescent="0.25">
      <c r="A551" s="940">
        <v>3265</v>
      </c>
      <c r="B551" s="940">
        <v>3</v>
      </c>
      <c r="C551" t="s">
        <v>3644</v>
      </c>
      <c r="D551" s="940" t="s">
        <v>3645</v>
      </c>
      <c r="E551" t="s">
        <v>120</v>
      </c>
      <c r="F551">
        <v>1</v>
      </c>
      <c r="G551" s="135"/>
    </row>
    <row r="552" spans="1:7" x14ac:dyDescent="0.25">
      <c r="A552" s="940">
        <v>1836</v>
      </c>
      <c r="B552" s="940">
        <v>69</v>
      </c>
      <c r="C552" t="s">
        <v>3646</v>
      </c>
      <c r="D552" s="940" t="s">
        <v>3647</v>
      </c>
      <c r="E552" t="s">
        <v>3648</v>
      </c>
      <c r="F552">
        <v>1</v>
      </c>
      <c r="G552" s="135"/>
    </row>
    <row r="553" spans="1:7" x14ac:dyDescent="0.25">
      <c r="A553" s="940">
        <v>3490</v>
      </c>
      <c r="B553" s="940">
        <v>0</v>
      </c>
      <c r="C553" t="s">
        <v>3649</v>
      </c>
      <c r="D553" s="940" t="s">
        <v>3650</v>
      </c>
      <c r="E553" t="s">
        <v>1436</v>
      </c>
      <c r="F553">
        <v>1</v>
      </c>
      <c r="G553" s="135"/>
    </row>
    <row r="554" spans="1:7" x14ac:dyDescent="0.25">
      <c r="A554" s="940">
        <v>1555</v>
      </c>
      <c r="B554" s="940">
        <v>100</v>
      </c>
      <c r="C554" t="s">
        <v>3651</v>
      </c>
      <c r="D554" s="940" t="s">
        <v>3652</v>
      </c>
      <c r="E554" t="s">
        <v>1332</v>
      </c>
      <c r="F554">
        <v>1</v>
      </c>
      <c r="G554" s="135"/>
    </row>
    <row r="555" spans="1:7" x14ac:dyDescent="0.25">
      <c r="A555" s="940">
        <v>2959</v>
      </c>
      <c r="B555" s="940">
        <v>9</v>
      </c>
      <c r="C555" t="s">
        <v>3653</v>
      </c>
      <c r="D555" s="940" t="s">
        <v>3654</v>
      </c>
      <c r="E555" t="s">
        <v>105</v>
      </c>
      <c r="F555">
        <v>1</v>
      </c>
      <c r="G555" s="135"/>
    </row>
    <row r="556" spans="1:7" x14ac:dyDescent="0.25">
      <c r="A556" s="940">
        <v>3490</v>
      </c>
      <c r="B556" s="940">
        <v>0</v>
      </c>
      <c r="C556" t="s">
        <v>3655</v>
      </c>
      <c r="D556" s="940" t="s">
        <v>3656</v>
      </c>
      <c r="E556" t="s">
        <v>99</v>
      </c>
      <c r="F556">
        <v>1</v>
      </c>
      <c r="G556" s="135"/>
    </row>
    <row r="557" spans="1:7" x14ac:dyDescent="0.25">
      <c r="A557" s="940">
        <v>1968</v>
      </c>
      <c r="B557" s="940">
        <v>59</v>
      </c>
      <c r="C557" t="s">
        <v>1368</v>
      </c>
      <c r="D557" s="940" t="s">
        <v>3657</v>
      </c>
      <c r="E557" t="s">
        <v>119</v>
      </c>
      <c r="F557">
        <v>1</v>
      </c>
      <c r="G557" s="135"/>
    </row>
    <row r="558" spans="1:7" x14ac:dyDescent="0.25">
      <c r="A558" s="940">
        <v>3490</v>
      </c>
      <c r="B558" s="940">
        <v>0</v>
      </c>
      <c r="C558" t="s">
        <v>3658</v>
      </c>
      <c r="D558" s="940" t="s">
        <v>3659</v>
      </c>
      <c r="E558" t="s">
        <v>73</v>
      </c>
      <c r="F558">
        <v>1</v>
      </c>
      <c r="G558" s="135"/>
    </row>
    <row r="559" spans="1:7" x14ac:dyDescent="0.25">
      <c r="A559" s="940">
        <v>3490</v>
      </c>
      <c r="B559" s="940">
        <v>0</v>
      </c>
      <c r="C559" t="s">
        <v>3660</v>
      </c>
      <c r="D559" s="940" t="s">
        <v>3661</v>
      </c>
      <c r="E559" t="s">
        <v>614</v>
      </c>
      <c r="F559">
        <v>1</v>
      </c>
      <c r="G559" s="135"/>
    </row>
    <row r="560" spans="1:7" x14ac:dyDescent="0.25">
      <c r="A560" s="940">
        <v>3196</v>
      </c>
      <c r="B560" s="940">
        <v>4</v>
      </c>
      <c r="C560" t="s">
        <v>3662</v>
      </c>
      <c r="D560" s="940" t="s">
        <v>3663</v>
      </c>
      <c r="E560" t="s">
        <v>120</v>
      </c>
      <c r="F560">
        <v>1</v>
      </c>
      <c r="G560" s="135"/>
    </row>
    <row r="561" spans="1:7" x14ac:dyDescent="0.25">
      <c r="A561" s="940">
        <v>1525</v>
      </c>
      <c r="B561" s="940">
        <v>103</v>
      </c>
      <c r="C561" t="s">
        <v>3664</v>
      </c>
      <c r="D561" s="940" t="s">
        <v>3665</v>
      </c>
      <c r="E561" t="s">
        <v>170</v>
      </c>
      <c r="F561">
        <v>1</v>
      </c>
      <c r="G561" s="135"/>
    </row>
    <row r="562" spans="1:7" x14ac:dyDescent="0.25">
      <c r="A562" s="940">
        <v>2743</v>
      </c>
      <c r="B562" s="940">
        <v>15</v>
      </c>
      <c r="C562" t="s">
        <v>3666</v>
      </c>
      <c r="D562" s="940" t="s">
        <v>3667</v>
      </c>
      <c r="E562" t="s">
        <v>1362</v>
      </c>
      <c r="F562">
        <v>1</v>
      </c>
      <c r="G562" s="135"/>
    </row>
    <row r="563" spans="1:7" x14ac:dyDescent="0.25">
      <c r="A563" s="940">
        <v>3490</v>
      </c>
      <c r="B563" s="940">
        <v>0</v>
      </c>
      <c r="C563" t="s">
        <v>3668</v>
      </c>
      <c r="D563" s="940" t="s">
        <v>3202</v>
      </c>
      <c r="E563" t="s">
        <v>1182</v>
      </c>
      <c r="F563">
        <v>1</v>
      </c>
      <c r="G563" s="135"/>
    </row>
    <row r="564" spans="1:7" x14ac:dyDescent="0.25">
      <c r="A564" s="940">
        <v>2690</v>
      </c>
      <c r="B564" s="940">
        <v>17</v>
      </c>
      <c r="C564" t="s">
        <v>3669</v>
      </c>
      <c r="D564" s="940" t="s">
        <v>3670</v>
      </c>
      <c r="E564" t="s">
        <v>120</v>
      </c>
      <c r="F564">
        <v>1</v>
      </c>
      <c r="G564" s="135"/>
    </row>
    <row r="565" spans="1:7" x14ac:dyDescent="0.25">
      <c r="A565" s="940">
        <v>3490</v>
      </c>
      <c r="B565" s="940">
        <v>0</v>
      </c>
      <c r="C565" t="s">
        <v>3671</v>
      </c>
      <c r="D565" s="940" t="s">
        <v>3672</v>
      </c>
      <c r="E565" t="s">
        <v>3673</v>
      </c>
      <c r="F565">
        <v>1</v>
      </c>
      <c r="G565" s="135"/>
    </row>
    <row r="566" spans="1:7" x14ac:dyDescent="0.25">
      <c r="A566" s="940">
        <v>1444</v>
      </c>
      <c r="B566" s="940">
        <v>114</v>
      </c>
      <c r="C566" t="s">
        <v>3674</v>
      </c>
      <c r="D566" s="940" t="s">
        <v>3675</v>
      </c>
      <c r="E566" t="s">
        <v>1170</v>
      </c>
      <c r="F566">
        <v>1</v>
      </c>
      <c r="G566" s="135"/>
    </row>
    <row r="567" spans="1:7" x14ac:dyDescent="0.25">
      <c r="A567" s="940">
        <v>1137</v>
      </c>
      <c r="B567" s="940">
        <v>171</v>
      </c>
      <c r="C567" t="s">
        <v>1369</v>
      </c>
      <c r="D567" s="940" t="s">
        <v>3676</v>
      </c>
      <c r="E567" t="s">
        <v>1162</v>
      </c>
      <c r="F567">
        <v>1</v>
      </c>
      <c r="G567" s="135"/>
    </row>
    <row r="568" spans="1:7" x14ac:dyDescent="0.25">
      <c r="A568" s="940">
        <v>3395</v>
      </c>
      <c r="B568" s="940">
        <v>1</v>
      </c>
      <c r="C568" t="s">
        <v>3677</v>
      </c>
      <c r="D568" s="940" t="s">
        <v>3678</v>
      </c>
      <c r="E568" t="s">
        <v>120</v>
      </c>
      <c r="F568">
        <v>1</v>
      </c>
      <c r="G568" s="135"/>
    </row>
    <row r="569" spans="1:7" x14ac:dyDescent="0.25">
      <c r="A569" s="940">
        <v>1085</v>
      </c>
      <c r="B569" s="940">
        <v>186</v>
      </c>
      <c r="C569" t="s">
        <v>1370</v>
      </c>
      <c r="D569" s="940" t="s">
        <v>3679</v>
      </c>
      <c r="E569" t="s">
        <v>120</v>
      </c>
      <c r="F569">
        <v>1</v>
      </c>
      <c r="G569" s="135"/>
    </row>
    <row r="570" spans="1:7" x14ac:dyDescent="0.25">
      <c r="A570" s="940">
        <v>3490</v>
      </c>
      <c r="B570" s="940">
        <v>0</v>
      </c>
      <c r="C570" t="s">
        <v>3680</v>
      </c>
      <c r="D570" s="940" t="s">
        <v>3681</v>
      </c>
      <c r="E570" t="s">
        <v>1222</v>
      </c>
      <c r="F570">
        <v>1</v>
      </c>
      <c r="G570" s="135"/>
    </row>
    <row r="571" spans="1:7" x14ac:dyDescent="0.25">
      <c r="A571" s="940">
        <v>603</v>
      </c>
      <c r="B571" s="940">
        <v>403</v>
      </c>
      <c r="C571" t="s">
        <v>1371</v>
      </c>
      <c r="D571" s="940" t="s">
        <v>3682</v>
      </c>
      <c r="E571" t="s">
        <v>1200</v>
      </c>
      <c r="F571">
        <v>1</v>
      </c>
      <c r="G571" s="135"/>
    </row>
    <row r="572" spans="1:7" x14ac:dyDescent="0.25">
      <c r="A572" s="940">
        <v>2174</v>
      </c>
      <c r="B572" s="940">
        <v>44</v>
      </c>
      <c r="C572" t="s">
        <v>3683</v>
      </c>
      <c r="D572" s="940" t="s">
        <v>3684</v>
      </c>
      <c r="E572" t="s">
        <v>179</v>
      </c>
      <c r="F572">
        <v>1</v>
      </c>
      <c r="G572" s="135"/>
    </row>
    <row r="573" spans="1:7" x14ac:dyDescent="0.25">
      <c r="A573" s="940">
        <v>1615</v>
      </c>
      <c r="B573" s="940">
        <v>93</v>
      </c>
      <c r="C573" t="s">
        <v>3685</v>
      </c>
      <c r="D573" s="940" t="s">
        <v>3686</v>
      </c>
      <c r="E573" t="s">
        <v>3687</v>
      </c>
      <c r="F573">
        <v>1</v>
      </c>
      <c r="G573" s="135"/>
    </row>
    <row r="574" spans="1:7" x14ac:dyDescent="0.25">
      <c r="A574" s="940">
        <v>2291</v>
      </c>
      <c r="B574" s="940">
        <v>37</v>
      </c>
      <c r="C574" t="s">
        <v>3688</v>
      </c>
      <c r="D574" s="940" t="s">
        <v>3689</v>
      </c>
      <c r="E574" t="s">
        <v>99</v>
      </c>
      <c r="F574">
        <v>1</v>
      </c>
      <c r="G574" s="135"/>
    </row>
    <row r="575" spans="1:7" x14ac:dyDescent="0.25">
      <c r="A575" s="940">
        <v>3490</v>
      </c>
      <c r="B575" s="940">
        <v>0</v>
      </c>
      <c r="C575" t="s">
        <v>3690</v>
      </c>
      <c r="D575" s="940" t="s">
        <v>3691</v>
      </c>
      <c r="E575" t="s">
        <v>105</v>
      </c>
      <c r="F575">
        <v>1</v>
      </c>
      <c r="G575" s="135"/>
    </row>
    <row r="576" spans="1:7" x14ac:dyDescent="0.25">
      <c r="A576" s="940">
        <v>67</v>
      </c>
      <c r="B576" s="940">
        <v>1226</v>
      </c>
      <c r="C576" t="s">
        <v>3692</v>
      </c>
      <c r="D576" s="940" t="s">
        <v>3693</v>
      </c>
      <c r="E576" t="s">
        <v>105</v>
      </c>
      <c r="F576">
        <v>1</v>
      </c>
      <c r="G576" s="135"/>
    </row>
    <row r="577" spans="1:7" x14ac:dyDescent="0.25">
      <c r="A577" s="940">
        <v>1602</v>
      </c>
      <c r="B577" s="940">
        <v>94</v>
      </c>
      <c r="C577" t="s">
        <v>3694</v>
      </c>
      <c r="D577" s="940" t="s">
        <v>3695</v>
      </c>
      <c r="E577" t="s">
        <v>105</v>
      </c>
      <c r="F577">
        <v>1</v>
      </c>
      <c r="G577" s="135"/>
    </row>
    <row r="578" spans="1:7" x14ac:dyDescent="0.25">
      <c r="A578" s="940">
        <v>3265</v>
      </c>
      <c r="B578" s="940">
        <v>3</v>
      </c>
      <c r="C578" t="s">
        <v>3694</v>
      </c>
      <c r="D578" s="940" t="s">
        <v>3696</v>
      </c>
      <c r="E578" t="s">
        <v>126</v>
      </c>
      <c r="F578">
        <v>1</v>
      </c>
      <c r="G578" s="135"/>
    </row>
    <row r="579" spans="1:7" x14ac:dyDescent="0.25">
      <c r="A579" s="940">
        <v>1367</v>
      </c>
      <c r="B579" s="940">
        <v>124</v>
      </c>
      <c r="C579" t="s">
        <v>181</v>
      </c>
      <c r="D579" s="940" t="s">
        <v>3697</v>
      </c>
      <c r="E579" t="s">
        <v>1214</v>
      </c>
      <c r="F579">
        <v>1</v>
      </c>
      <c r="G579" s="135"/>
    </row>
    <row r="580" spans="1:7" x14ac:dyDescent="0.25">
      <c r="A580" s="940">
        <v>928</v>
      </c>
      <c r="B580" s="940">
        <v>246</v>
      </c>
      <c r="C580" t="s">
        <v>3698</v>
      </c>
      <c r="D580" s="940" t="s">
        <v>3699</v>
      </c>
      <c r="E580" t="s">
        <v>99</v>
      </c>
      <c r="F580">
        <v>1</v>
      </c>
      <c r="G580" s="135"/>
    </row>
    <row r="581" spans="1:7" x14ac:dyDescent="0.25">
      <c r="A581" s="940">
        <v>79</v>
      </c>
      <c r="B581" s="940">
        <v>1182</v>
      </c>
      <c r="C581" t="s">
        <v>3700</v>
      </c>
      <c r="D581" s="940" t="s">
        <v>3701</v>
      </c>
      <c r="E581" t="s">
        <v>74</v>
      </c>
      <c r="F581">
        <v>1</v>
      </c>
      <c r="G581" s="135"/>
    </row>
    <row r="582" spans="1:7" x14ac:dyDescent="0.25">
      <c r="A582" s="940">
        <v>2098</v>
      </c>
      <c r="B582" s="940">
        <v>49</v>
      </c>
      <c r="C582" t="s">
        <v>3702</v>
      </c>
      <c r="D582" s="940" t="s">
        <v>3703</v>
      </c>
      <c r="E582" t="s">
        <v>3704</v>
      </c>
      <c r="F582">
        <v>1</v>
      </c>
      <c r="G582" s="135"/>
    </row>
    <row r="583" spans="1:7" x14ac:dyDescent="0.25">
      <c r="A583" s="940">
        <v>890</v>
      </c>
      <c r="B583" s="940">
        <v>258</v>
      </c>
      <c r="C583" t="s">
        <v>3705</v>
      </c>
      <c r="D583" s="940" t="s">
        <v>3706</v>
      </c>
      <c r="E583" t="s">
        <v>2880</v>
      </c>
      <c r="F583">
        <v>1</v>
      </c>
      <c r="G583" s="135"/>
    </row>
    <row r="584" spans="1:7" x14ac:dyDescent="0.25">
      <c r="A584" s="940">
        <v>469</v>
      </c>
      <c r="B584" s="940">
        <v>505</v>
      </c>
      <c r="C584" t="s">
        <v>3707</v>
      </c>
      <c r="D584" s="940" t="s">
        <v>3708</v>
      </c>
      <c r="E584" t="s">
        <v>3709</v>
      </c>
      <c r="F584">
        <v>1</v>
      </c>
      <c r="G584" s="135"/>
    </row>
    <row r="585" spans="1:7" x14ac:dyDescent="0.25">
      <c r="A585" s="940">
        <v>1977</v>
      </c>
      <c r="B585" s="940">
        <v>58</v>
      </c>
      <c r="C585" t="s">
        <v>3710</v>
      </c>
      <c r="D585" s="940" t="s">
        <v>3358</v>
      </c>
      <c r="E585" t="s">
        <v>863</v>
      </c>
      <c r="F585">
        <v>1</v>
      </c>
      <c r="G585" s="135"/>
    </row>
    <row r="586" spans="1:7" x14ac:dyDescent="0.25">
      <c r="A586" s="940">
        <v>2743</v>
      </c>
      <c r="B586" s="940">
        <v>15</v>
      </c>
      <c r="C586" t="s">
        <v>3711</v>
      </c>
      <c r="D586" s="940" t="s">
        <v>3712</v>
      </c>
      <c r="E586" t="s">
        <v>105</v>
      </c>
      <c r="F586">
        <v>1</v>
      </c>
      <c r="G586" s="135"/>
    </row>
    <row r="587" spans="1:7" x14ac:dyDescent="0.25">
      <c r="A587" s="940">
        <v>1444</v>
      </c>
      <c r="B587" s="940">
        <v>114</v>
      </c>
      <c r="C587" t="s">
        <v>3713</v>
      </c>
      <c r="D587" s="940" t="s">
        <v>3714</v>
      </c>
      <c r="E587" t="s">
        <v>3715</v>
      </c>
      <c r="F587">
        <v>1</v>
      </c>
      <c r="G587" s="135"/>
    </row>
    <row r="588" spans="1:7" x14ac:dyDescent="0.25">
      <c r="A588" s="940">
        <v>289</v>
      </c>
      <c r="B588" s="940">
        <v>731</v>
      </c>
      <c r="C588" t="s">
        <v>3716</v>
      </c>
      <c r="D588" s="940" t="s">
        <v>3717</v>
      </c>
      <c r="E588" t="s">
        <v>130</v>
      </c>
      <c r="F588">
        <v>1</v>
      </c>
      <c r="G588" s="135"/>
    </row>
    <row r="589" spans="1:7" x14ac:dyDescent="0.25">
      <c r="A589" s="940">
        <v>351</v>
      </c>
      <c r="B589" s="940">
        <v>630</v>
      </c>
      <c r="C589" t="s">
        <v>3718</v>
      </c>
      <c r="D589" s="940" t="s">
        <v>3719</v>
      </c>
      <c r="E589" t="s">
        <v>2542</v>
      </c>
      <c r="F589">
        <v>1</v>
      </c>
      <c r="G589" s="135"/>
    </row>
    <row r="590" spans="1:7" x14ac:dyDescent="0.25">
      <c r="A590" s="940">
        <v>3490</v>
      </c>
      <c r="B590" s="940">
        <v>0</v>
      </c>
      <c r="C590" t="s">
        <v>3720</v>
      </c>
      <c r="D590" s="940" t="s">
        <v>3047</v>
      </c>
      <c r="E590" t="s">
        <v>1182</v>
      </c>
      <c r="F590">
        <v>1</v>
      </c>
      <c r="G590" s="135"/>
    </row>
    <row r="591" spans="1:7" x14ac:dyDescent="0.25">
      <c r="A591" s="940">
        <v>1233</v>
      </c>
      <c r="B591" s="940">
        <v>149</v>
      </c>
      <c r="C591" t="s">
        <v>1375</v>
      </c>
      <c r="D591" s="940" t="s">
        <v>3721</v>
      </c>
      <c r="E591" t="s">
        <v>138</v>
      </c>
      <c r="F591">
        <v>1</v>
      </c>
      <c r="G591" s="135"/>
    </row>
    <row r="592" spans="1:7" x14ac:dyDescent="0.25">
      <c r="A592" s="940">
        <v>2079</v>
      </c>
      <c r="B592" s="940">
        <v>50</v>
      </c>
      <c r="C592" t="s">
        <v>3722</v>
      </c>
      <c r="D592" s="940" t="s">
        <v>3723</v>
      </c>
      <c r="E592" t="s">
        <v>179</v>
      </c>
      <c r="F592">
        <v>1</v>
      </c>
      <c r="G592" s="135"/>
    </row>
    <row r="593" spans="1:7" x14ac:dyDescent="0.25">
      <c r="A593" s="940">
        <v>2814</v>
      </c>
      <c r="B593" s="940">
        <v>13</v>
      </c>
      <c r="C593" t="s">
        <v>3722</v>
      </c>
      <c r="D593" s="940" t="s">
        <v>3724</v>
      </c>
      <c r="E593" t="s">
        <v>3055</v>
      </c>
      <c r="F593">
        <v>1</v>
      </c>
      <c r="G593" s="135"/>
    </row>
    <row r="594" spans="1:7" x14ac:dyDescent="0.25">
      <c r="A594" s="940">
        <v>3490</v>
      </c>
      <c r="B594" s="940">
        <v>0</v>
      </c>
      <c r="C594" t="s">
        <v>3725</v>
      </c>
      <c r="D594" s="940" t="s">
        <v>3726</v>
      </c>
      <c r="E594" t="s">
        <v>3727</v>
      </c>
      <c r="F594">
        <v>1</v>
      </c>
      <c r="G594" s="135"/>
    </row>
    <row r="595" spans="1:7" x14ac:dyDescent="0.25">
      <c r="A595" s="940">
        <v>3490</v>
      </c>
      <c r="B595" s="940">
        <v>0</v>
      </c>
      <c r="C595" t="s">
        <v>3728</v>
      </c>
      <c r="D595" s="940" t="s">
        <v>3729</v>
      </c>
      <c r="E595" t="s">
        <v>120</v>
      </c>
      <c r="F595">
        <v>1</v>
      </c>
      <c r="G595" s="135"/>
    </row>
    <row r="596" spans="1:7" x14ac:dyDescent="0.25">
      <c r="A596" s="940">
        <v>2558</v>
      </c>
      <c r="B596" s="940">
        <v>22</v>
      </c>
      <c r="C596" t="s">
        <v>3730</v>
      </c>
      <c r="D596" s="940" t="s">
        <v>3731</v>
      </c>
      <c r="E596" t="s">
        <v>1584</v>
      </c>
      <c r="F596">
        <v>1</v>
      </c>
      <c r="G596" s="135"/>
    </row>
    <row r="597" spans="1:7" x14ac:dyDescent="0.25">
      <c r="A597" s="940">
        <v>2416</v>
      </c>
      <c r="B597" s="940">
        <v>29</v>
      </c>
      <c r="C597" t="s">
        <v>3732</v>
      </c>
      <c r="D597" s="940" t="s">
        <v>3733</v>
      </c>
      <c r="E597" t="s">
        <v>83</v>
      </c>
      <c r="F597">
        <v>1</v>
      </c>
      <c r="G597" s="135"/>
    </row>
    <row r="598" spans="1:7" x14ac:dyDescent="0.25">
      <c r="A598" s="940">
        <v>1</v>
      </c>
      <c r="B598" s="940">
        <v>1718</v>
      </c>
      <c r="C598" t="s">
        <v>3734</v>
      </c>
      <c r="D598" s="940" t="s">
        <v>3735</v>
      </c>
      <c r="E598" t="s">
        <v>113</v>
      </c>
      <c r="F598">
        <v>1</v>
      </c>
      <c r="G598" s="135"/>
    </row>
    <row r="599" spans="1:7" x14ac:dyDescent="0.25">
      <c r="A599" s="940">
        <v>3490</v>
      </c>
      <c r="B599" s="940">
        <v>0</v>
      </c>
      <c r="C599" t="s">
        <v>3736</v>
      </c>
      <c r="D599" s="940" t="s">
        <v>3737</v>
      </c>
      <c r="E599" t="s">
        <v>1939</v>
      </c>
      <c r="F599">
        <v>1</v>
      </c>
      <c r="G599" s="135"/>
    </row>
    <row r="600" spans="1:7" x14ac:dyDescent="0.25">
      <c r="A600" s="940">
        <v>3490</v>
      </c>
      <c r="B600" s="940">
        <v>0</v>
      </c>
      <c r="C600" t="s">
        <v>3738</v>
      </c>
      <c r="D600" s="940" t="s">
        <v>3739</v>
      </c>
      <c r="E600" t="s">
        <v>1236</v>
      </c>
      <c r="F600">
        <v>1</v>
      </c>
      <c r="G600" s="135"/>
    </row>
    <row r="601" spans="1:7" x14ac:dyDescent="0.25">
      <c r="A601" s="940">
        <v>986</v>
      </c>
      <c r="B601" s="940">
        <v>222</v>
      </c>
      <c r="C601" t="s">
        <v>3740</v>
      </c>
      <c r="D601" s="940" t="s">
        <v>3741</v>
      </c>
      <c r="E601" t="s">
        <v>2880</v>
      </c>
      <c r="F601">
        <v>1</v>
      </c>
      <c r="G601" s="135"/>
    </row>
    <row r="602" spans="1:7" x14ac:dyDescent="0.25">
      <c r="A602" s="940">
        <v>1300</v>
      </c>
      <c r="B602" s="940">
        <v>136</v>
      </c>
      <c r="C602" t="s">
        <v>3742</v>
      </c>
      <c r="D602" s="940" t="s">
        <v>3743</v>
      </c>
      <c r="E602" t="s">
        <v>140</v>
      </c>
      <c r="F602">
        <v>1</v>
      </c>
      <c r="G602" s="135"/>
    </row>
    <row r="603" spans="1:7" x14ac:dyDescent="0.25">
      <c r="A603" s="940">
        <v>2996</v>
      </c>
      <c r="B603" s="940">
        <v>8</v>
      </c>
      <c r="C603" t="s">
        <v>3744</v>
      </c>
      <c r="D603" s="940" t="s">
        <v>3745</v>
      </c>
      <c r="E603" t="s">
        <v>1436</v>
      </c>
      <c r="F603">
        <v>1</v>
      </c>
      <c r="G603" s="135"/>
    </row>
    <row r="604" spans="1:7" x14ac:dyDescent="0.25">
      <c r="A604" s="940">
        <v>3490</v>
      </c>
      <c r="B604" s="940">
        <v>0</v>
      </c>
      <c r="C604" t="s">
        <v>3746</v>
      </c>
      <c r="D604" s="940" t="s">
        <v>3747</v>
      </c>
      <c r="E604" t="s">
        <v>111</v>
      </c>
      <c r="F604">
        <v>1</v>
      </c>
      <c r="G604" s="135"/>
    </row>
    <row r="605" spans="1:7" x14ac:dyDescent="0.25">
      <c r="A605" s="940">
        <v>2484</v>
      </c>
      <c r="B605" s="940">
        <v>26</v>
      </c>
      <c r="C605" t="s">
        <v>3748</v>
      </c>
      <c r="D605" s="940" t="s">
        <v>3749</v>
      </c>
      <c r="E605" t="s">
        <v>179</v>
      </c>
      <c r="F605">
        <v>1</v>
      </c>
      <c r="G605" s="135"/>
    </row>
    <row r="606" spans="1:7" x14ac:dyDescent="0.25">
      <c r="A606" s="940">
        <v>104</v>
      </c>
      <c r="B606" s="940">
        <v>1102</v>
      </c>
      <c r="C606" t="s">
        <v>1382</v>
      </c>
      <c r="D606" s="940" t="s">
        <v>3750</v>
      </c>
      <c r="E606" t="s">
        <v>83</v>
      </c>
      <c r="F606">
        <v>1</v>
      </c>
      <c r="G606" s="135"/>
    </row>
    <row r="607" spans="1:7" x14ac:dyDescent="0.25">
      <c r="A607" s="940">
        <v>1765</v>
      </c>
      <c r="B607" s="940">
        <v>77</v>
      </c>
      <c r="C607" t="s">
        <v>807</v>
      </c>
      <c r="D607" s="940" t="s">
        <v>3751</v>
      </c>
      <c r="E607" t="s">
        <v>163</v>
      </c>
      <c r="F607">
        <v>1</v>
      </c>
      <c r="G607" s="135"/>
    </row>
    <row r="608" spans="1:7" x14ac:dyDescent="0.25">
      <c r="A608" s="940">
        <v>1210</v>
      </c>
      <c r="B608" s="940">
        <v>154</v>
      </c>
      <c r="C608" t="s">
        <v>1383</v>
      </c>
      <c r="D608" s="940" t="s">
        <v>3752</v>
      </c>
      <c r="E608" t="s">
        <v>120</v>
      </c>
      <c r="F608">
        <v>1</v>
      </c>
      <c r="G608" s="135"/>
    </row>
    <row r="609" spans="1:7" x14ac:dyDescent="0.25">
      <c r="A609" s="940">
        <v>1080</v>
      </c>
      <c r="B609" s="940">
        <v>188</v>
      </c>
      <c r="C609" t="s">
        <v>808</v>
      </c>
      <c r="D609" s="940" t="s">
        <v>3753</v>
      </c>
      <c r="E609" t="s">
        <v>110</v>
      </c>
      <c r="F609">
        <v>1</v>
      </c>
      <c r="G609" s="135"/>
    </row>
    <row r="610" spans="1:7" x14ac:dyDescent="0.25">
      <c r="A610" s="940">
        <v>1533</v>
      </c>
      <c r="B610" s="940">
        <v>102</v>
      </c>
      <c r="C610" t="s">
        <v>3754</v>
      </c>
      <c r="D610" s="940" t="s">
        <v>3755</v>
      </c>
      <c r="E610" t="s">
        <v>111</v>
      </c>
      <c r="F610">
        <v>1</v>
      </c>
      <c r="G610" s="135"/>
    </row>
    <row r="611" spans="1:7" x14ac:dyDescent="0.25">
      <c r="A611" s="940">
        <v>2347</v>
      </c>
      <c r="B611" s="940">
        <v>33</v>
      </c>
      <c r="C611" t="s">
        <v>3756</v>
      </c>
      <c r="D611" s="940" t="s">
        <v>3757</v>
      </c>
      <c r="E611" t="s">
        <v>246</v>
      </c>
      <c r="F611">
        <v>1</v>
      </c>
      <c r="G611" s="135"/>
    </row>
    <row r="612" spans="1:7" x14ac:dyDescent="0.25">
      <c r="A612" s="940">
        <v>1233</v>
      </c>
      <c r="B612" s="940">
        <v>149</v>
      </c>
      <c r="C612" t="s">
        <v>3758</v>
      </c>
      <c r="D612" s="940" t="s">
        <v>3759</v>
      </c>
      <c r="E612" t="s">
        <v>2880</v>
      </c>
      <c r="F612">
        <v>1</v>
      </c>
      <c r="G612" s="135"/>
    </row>
    <row r="613" spans="1:7" x14ac:dyDescent="0.25">
      <c r="A613" s="940">
        <v>1007</v>
      </c>
      <c r="B613" s="940">
        <v>213</v>
      </c>
      <c r="C613" t="s">
        <v>3760</v>
      </c>
      <c r="D613" s="940" t="s">
        <v>3761</v>
      </c>
      <c r="E613" t="s">
        <v>120</v>
      </c>
      <c r="F613">
        <v>1</v>
      </c>
      <c r="G613" s="135"/>
    </row>
    <row r="614" spans="1:7" x14ac:dyDescent="0.25">
      <c r="A614" s="940">
        <v>2016</v>
      </c>
      <c r="B614" s="940">
        <v>54</v>
      </c>
      <c r="C614" t="s">
        <v>1388</v>
      </c>
      <c r="D614" s="940" t="s">
        <v>3762</v>
      </c>
      <c r="E614" t="s">
        <v>1200</v>
      </c>
      <c r="F614">
        <v>1</v>
      </c>
      <c r="G614" s="135"/>
    </row>
    <row r="615" spans="1:7" x14ac:dyDescent="0.25">
      <c r="A615" s="940">
        <v>1701</v>
      </c>
      <c r="B615" s="940">
        <v>83</v>
      </c>
      <c r="C615" t="s">
        <v>3763</v>
      </c>
      <c r="D615" s="940" t="s">
        <v>3764</v>
      </c>
      <c r="E615" t="s">
        <v>1158</v>
      </c>
      <c r="F615">
        <v>1</v>
      </c>
      <c r="G615" s="135"/>
    </row>
    <row r="616" spans="1:7" x14ac:dyDescent="0.25">
      <c r="A616" s="940">
        <v>3490</v>
      </c>
      <c r="B616" s="940">
        <v>0</v>
      </c>
      <c r="C616" t="s">
        <v>3765</v>
      </c>
      <c r="D616" s="940" t="s">
        <v>3766</v>
      </c>
      <c r="E616" t="s">
        <v>127</v>
      </c>
      <c r="F616">
        <v>1</v>
      </c>
      <c r="G616" s="135"/>
    </row>
    <row r="617" spans="1:7" x14ac:dyDescent="0.25">
      <c r="A617" s="940">
        <v>3490</v>
      </c>
      <c r="B617" s="940">
        <v>0</v>
      </c>
      <c r="C617" t="s">
        <v>3767</v>
      </c>
      <c r="D617" s="940" t="s">
        <v>2854</v>
      </c>
      <c r="E617" t="s">
        <v>117</v>
      </c>
      <c r="F617">
        <v>1</v>
      </c>
      <c r="G617" s="135"/>
    </row>
    <row r="618" spans="1:7" x14ac:dyDescent="0.25">
      <c r="A618" s="940">
        <v>974</v>
      </c>
      <c r="B618" s="940">
        <v>226</v>
      </c>
      <c r="C618" t="s">
        <v>3768</v>
      </c>
      <c r="D618" s="940" t="s">
        <v>3769</v>
      </c>
      <c r="E618" t="s">
        <v>113</v>
      </c>
      <c r="F618">
        <v>1</v>
      </c>
      <c r="G618" s="135"/>
    </row>
    <row r="619" spans="1:7" x14ac:dyDescent="0.25">
      <c r="A619" s="940">
        <v>43</v>
      </c>
      <c r="B619" s="940">
        <v>1341</v>
      </c>
      <c r="C619" t="s">
        <v>3770</v>
      </c>
      <c r="D619" s="940" t="s">
        <v>3771</v>
      </c>
      <c r="E619" t="s">
        <v>166</v>
      </c>
      <c r="F619">
        <v>1</v>
      </c>
      <c r="G619" s="135"/>
    </row>
    <row r="620" spans="1:7" x14ac:dyDescent="0.25">
      <c r="A620" s="940">
        <v>2272</v>
      </c>
      <c r="B620" s="940">
        <v>38</v>
      </c>
      <c r="C620" t="s">
        <v>3772</v>
      </c>
      <c r="D620" s="940" t="s">
        <v>3773</v>
      </c>
      <c r="E620" t="s">
        <v>165</v>
      </c>
      <c r="F620">
        <v>1</v>
      </c>
      <c r="G620" s="135"/>
    </row>
    <row r="621" spans="1:7" x14ac:dyDescent="0.25">
      <c r="A621" s="940">
        <v>2996</v>
      </c>
      <c r="B621" s="940">
        <v>8</v>
      </c>
      <c r="C621" t="s">
        <v>3774</v>
      </c>
      <c r="D621" s="940" t="s">
        <v>3775</v>
      </c>
      <c r="E621" t="s">
        <v>165</v>
      </c>
      <c r="F621">
        <v>1</v>
      </c>
      <c r="G621" s="135"/>
    </row>
    <row r="622" spans="1:7" x14ac:dyDescent="0.25">
      <c r="A622" s="940">
        <v>3490</v>
      </c>
      <c r="B622" s="940">
        <v>0</v>
      </c>
      <c r="C622" t="s">
        <v>3776</v>
      </c>
      <c r="D622" s="940" t="s">
        <v>3777</v>
      </c>
      <c r="E622" t="s">
        <v>1372</v>
      </c>
      <c r="F622">
        <v>1</v>
      </c>
      <c r="G622" s="135"/>
    </row>
    <row r="623" spans="1:7" x14ac:dyDescent="0.25">
      <c r="A623" s="940">
        <v>3490</v>
      </c>
      <c r="B623" s="940">
        <v>0</v>
      </c>
      <c r="C623" t="s">
        <v>3778</v>
      </c>
      <c r="D623" s="940" t="s">
        <v>3779</v>
      </c>
      <c r="E623" t="s">
        <v>118</v>
      </c>
      <c r="F623">
        <v>1</v>
      </c>
      <c r="G623" s="135"/>
    </row>
    <row r="624" spans="1:7" x14ac:dyDescent="0.25">
      <c r="A624" s="940">
        <v>172</v>
      </c>
      <c r="B624" s="940">
        <v>942</v>
      </c>
      <c r="C624" t="s">
        <v>3780</v>
      </c>
      <c r="D624" s="940" t="s">
        <v>3781</v>
      </c>
      <c r="E624" t="s">
        <v>72</v>
      </c>
      <c r="F624">
        <v>1</v>
      </c>
      <c r="G624" s="135"/>
    </row>
    <row r="625" spans="1:7" x14ac:dyDescent="0.25">
      <c r="A625" s="940">
        <v>225</v>
      </c>
      <c r="B625" s="940">
        <v>862</v>
      </c>
      <c r="C625" t="s">
        <v>3782</v>
      </c>
      <c r="D625" s="940" t="s">
        <v>3783</v>
      </c>
      <c r="E625" t="s">
        <v>120</v>
      </c>
      <c r="F625">
        <v>1</v>
      </c>
      <c r="G625" s="135"/>
    </row>
    <row r="626" spans="1:7" x14ac:dyDescent="0.25">
      <c r="A626" s="940">
        <v>1602</v>
      </c>
      <c r="B626" s="940">
        <v>94</v>
      </c>
      <c r="C626" t="s">
        <v>681</v>
      </c>
      <c r="D626" s="940" t="s">
        <v>3784</v>
      </c>
      <c r="E626" t="s">
        <v>139</v>
      </c>
      <c r="F626">
        <v>1</v>
      </c>
      <c r="G626" s="135"/>
    </row>
    <row r="627" spans="1:7" x14ac:dyDescent="0.25">
      <c r="A627" s="940">
        <v>2152</v>
      </c>
      <c r="B627" s="940">
        <v>45</v>
      </c>
      <c r="C627" t="s">
        <v>3785</v>
      </c>
      <c r="D627" s="940" t="s">
        <v>3639</v>
      </c>
      <c r="E627" t="s">
        <v>105</v>
      </c>
      <c r="F627">
        <v>1</v>
      </c>
      <c r="G627" s="135"/>
    </row>
    <row r="628" spans="1:7" x14ac:dyDescent="0.25">
      <c r="A628" s="940">
        <v>623</v>
      </c>
      <c r="B628" s="940">
        <v>388</v>
      </c>
      <c r="C628" t="s">
        <v>3786</v>
      </c>
      <c r="D628" s="940" t="s">
        <v>3787</v>
      </c>
      <c r="E628" t="s">
        <v>3140</v>
      </c>
      <c r="F628">
        <v>1</v>
      </c>
      <c r="G628" s="135"/>
    </row>
    <row r="629" spans="1:7" x14ac:dyDescent="0.25">
      <c r="A629" s="940">
        <v>2659</v>
      </c>
      <c r="B629" s="940">
        <v>18</v>
      </c>
      <c r="C629" t="s">
        <v>3788</v>
      </c>
      <c r="D629" s="940" t="s">
        <v>3789</v>
      </c>
      <c r="E629" t="s">
        <v>1436</v>
      </c>
      <c r="F629">
        <v>1</v>
      </c>
      <c r="G629" s="135"/>
    </row>
    <row r="630" spans="1:7" x14ac:dyDescent="0.25">
      <c r="A630" s="940">
        <v>1292</v>
      </c>
      <c r="B630" s="940">
        <v>137</v>
      </c>
      <c r="C630" t="s">
        <v>1393</v>
      </c>
      <c r="D630" s="940" t="s">
        <v>3790</v>
      </c>
      <c r="E630" t="s">
        <v>120</v>
      </c>
      <c r="F630">
        <v>1</v>
      </c>
      <c r="G630" s="135"/>
    </row>
    <row r="631" spans="1:7" x14ac:dyDescent="0.25">
      <c r="A631" s="940">
        <v>1848</v>
      </c>
      <c r="B631" s="940">
        <v>68</v>
      </c>
      <c r="C631" t="s">
        <v>3791</v>
      </c>
      <c r="D631" s="940" t="s">
        <v>3792</v>
      </c>
      <c r="E631" t="s">
        <v>3793</v>
      </c>
      <c r="F631">
        <v>1</v>
      </c>
      <c r="G631" s="135"/>
    </row>
    <row r="632" spans="1:7" x14ac:dyDescent="0.25">
      <c r="A632" s="940">
        <v>1942</v>
      </c>
      <c r="B632" s="940">
        <v>61</v>
      </c>
      <c r="C632" t="s">
        <v>3794</v>
      </c>
      <c r="D632" s="940" t="s">
        <v>2731</v>
      </c>
      <c r="E632" t="s">
        <v>3635</v>
      </c>
      <c r="F632">
        <v>1</v>
      </c>
      <c r="G632" s="135"/>
    </row>
    <row r="633" spans="1:7" x14ac:dyDescent="0.25">
      <c r="A633" s="940">
        <v>3490</v>
      </c>
      <c r="B633" s="940">
        <v>0</v>
      </c>
      <c r="C633" t="s">
        <v>3795</v>
      </c>
      <c r="D633" s="940" t="s">
        <v>3350</v>
      </c>
      <c r="E633" t="s">
        <v>73</v>
      </c>
      <c r="F633">
        <v>1</v>
      </c>
      <c r="G633" s="135"/>
    </row>
    <row r="634" spans="1:7" x14ac:dyDescent="0.25">
      <c r="A634" s="940">
        <v>760</v>
      </c>
      <c r="B634" s="940">
        <v>313</v>
      </c>
      <c r="C634" t="s">
        <v>1394</v>
      </c>
      <c r="D634" s="940" t="s">
        <v>3796</v>
      </c>
      <c r="E634" t="s">
        <v>3200</v>
      </c>
      <c r="F634">
        <v>1</v>
      </c>
      <c r="G634" s="135"/>
    </row>
    <row r="635" spans="1:7" x14ac:dyDescent="0.25">
      <c r="A635" s="940">
        <v>3196</v>
      </c>
      <c r="B635" s="940">
        <v>4</v>
      </c>
      <c r="C635" t="s">
        <v>3797</v>
      </c>
      <c r="D635" s="940" t="s">
        <v>2722</v>
      </c>
      <c r="E635" t="s">
        <v>1460</v>
      </c>
      <c r="F635">
        <v>1</v>
      </c>
      <c r="G635" s="135"/>
    </row>
    <row r="636" spans="1:7" x14ac:dyDescent="0.25">
      <c r="A636" s="940">
        <v>3490</v>
      </c>
      <c r="B636" s="940">
        <v>0</v>
      </c>
      <c r="C636" t="s">
        <v>3798</v>
      </c>
      <c r="D636" s="940" t="s">
        <v>3799</v>
      </c>
      <c r="E636" t="s">
        <v>160</v>
      </c>
      <c r="F636">
        <v>1</v>
      </c>
      <c r="G636" s="135"/>
    </row>
    <row r="637" spans="1:7" x14ac:dyDescent="0.25">
      <c r="A637" s="940">
        <v>165</v>
      </c>
      <c r="B637" s="940">
        <v>944</v>
      </c>
      <c r="C637" t="s">
        <v>3800</v>
      </c>
      <c r="D637" s="940" t="s">
        <v>3801</v>
      </c>
      <c r="E637" t="s">
        <v>120</v>
      </c>
      <c r="F637">
        <v>1</v>
      </c>
      <c r="G637" s="135"/>
    </row>
    <row r="638" spans="1:7" x14ac:dyDescent="0.25">
      <c r="A638" s="940">
        <v>735</v>
      </c>
      <c r="B638" s="940">
        <v>327</v>
      </c>
      <c r="C638" t="s">
        <v>3802</v>
      </c>
      <c r="D638" s="940" t="s">
        <v>3803</v>
      </c>
      <c r="E638" t="s">
        <v>105</v>
      </c>
      <c r="F638">
        <v>1</v>
      </c>
      <c r="G638" s="135"/>
    </row>
    <row r="639" spans="1:7" x14ac:dyDescent="0.25">
      <c r="A639" s="940">
        <v>685</v>
      </c>
      <c r="B639" s="940">
        <v>355</v>
      </c>
      <c r="C639" t="s">
        <v>1397</v>
      </c>
      <c r="D639" s="940" t="s">
        <v>3804</v>
      </c>
      <c r="E639" t="s">
        <v>72</v>
      </c>
      <c r="F639">
        <v>1</v>
      </c>
      <c r="G639" s="135"/>
    </row>
    <row r="640" spans="1:7" x14ac:dyDescent="0.25">
      <c r="A640" s="940">
        <v>1885</v>
      </c>
      <c r="B640" s="940">
        <v>65</v>
      </c>
      <c r="C640" t="s">
        <v>3805</v>
      </c>
      <c r="D640" s="940" t="s">
        <v>3806</v>
      </c>
      <c r="E640" t="s">
        <v>112</v>
      </c>
      <c r="F640">
        <v>1</v>
      </c>
      <c r="G640" s="135"/>
    </row>
    <row r="641" spans="1:7" x14ac:dyDescent="0.25">
      <c r="A641" s="940">
        <v>3490</v>
      </c>
      <c r="B641" s="940">
        <v>0</v>
      </c>
      <c r="C641" t="s">
        <v>3807</v>
      </c>
      <c r="D641" s="940" t="s">
        <v>3808</v>
      </c>
      <c r="E641" t="s">
        <v>1248</v>
      </c>
      <c r="F641">
        <v>1</v>
      </c>
      <c r="G641" s="135"/>
    </row>
    <row r="642" spans="1:7" x14ac:dyDescent="0.25">
      <c r="A642" s="940">
        <v>2129</v>
      </c>
      <c r="B642" s="940">
        <v>46</v>
      </c>
      <c r="C642" t="s">
        <v>3809</v>
      </c>
      <c r="D642" s="940" t="s">
        <v>3810</v>
      </c>
      <c r="E642" t="s">
        <v>175</v>
      </c>
      <c r="F642">
        <v>1</v>
      </c>
      <c r="G642" s="135"/>
    </row>
    <row r="643" spans="1:7" x14ac:dyDescent="0.25">
      <c r="A643" s="940">
        <v>1653</v>
      </c>
      <c r="B643" s="940">
        <v>89</v>
      </c>
      <c r="C643" t="s">
        <v>3811</v>
      </c>
      <c r="D643" s="940" t="s">
        <v>3812</v>
      </c>
      <c r="E643" t="s">
        <v>1198</v>
      </c>
      <c r="F643">
        <v>1</v>
      </c>
      <c r="G643" s="135"/>
    </row>
    <row r="644" spans="1:7" x14ac:dyDescent="0.25">
      <c r="A644" s="940">
        <v>2814</v>
      </c>
      <c r="B644" s="940">
        <v>13</v>
      </c>
      <c r="C644" t="s">
        <v>3813</v>
      </c>
      <c r="D644" s="940" t="s">
        <v>3747</v>
      </c>
      <c r="E644" t="s">
        <v>3814</v>
      </c>
      <c r="F644">
        <v>1</v>
      </c>
      <c r="G644" s="135"/>
    </row>
    <row r="645" spans="1:7" x14ac:dyDescent="0.25">
      <c r="A645" s="940">
        <v>3490</v>
      </c>
      <c r="B645" s="940">
        <v>0</v>
      </c>
      <c r="C645" t="s">
        <v>3815</v>
      </c>
      <c r="D645" s="940" t="s">
        <v>3816</v>
      </c>
      <c r="E645" t="s">
        <v>661</v>
      </c>
      <c r="F645">
        <v>1</v>
      </c>
      <c r="G645" s="135"/>
    </row>
    <row r="646" spans="1:7" x14ac:dyDescent="0.25">
      <c r="A646" s="940">
        <v>3395</v>
      </c>
      <c r="B646" s="940">
        <v>1</v>
      </c>
      <c r="C646" t="s">
        <v>3817</v>
      </c>
      <c r="D646" s="940" t="s">
        <v>3818</v>
      </c>
      <c r="E646" t="s">
        <v>74</v>
      </c>
      <c r="F646">
        <v>1</v>
      </c>
      <c r="G646" s="135"/>
    </row>
    <row r="647" spans="1:7" x14ac:dyDescent="0.25">
      <c r="A647" s="940">
        <v>1313</v>
      </c>
      <c r="B647" s="940">
        <v>133</v>
      </c>
      <c r="C647" t="s">
        <v>3819</v>
      </c>
      <c r="D647" s="940" t="s">
        <v>3820</v>
      </c>
      <c r="E647" t="s">
        <v>76</v>
      </c>
      <c r="F647">
        <v>1</v>
      </c>
      <c r="G647" s="135"/>
    </row>
    <row r="648" spans="1:7" x14ac:dyDescent="0.25">
      <c r="A648" s="940">
        <v>2256</v>
      </c>
      <c r="B648" s="940">
        <v>39</v>
      </c>
      <c r="C648" t="s">
        <v>3821</v>
      </c>
      <c r="D648" s="940" t="s">
        <v>3822</v>
      </c>
      <c r="E648" t="s">
        <v>72</v>
      </c>
      <c r="F648">
        <v>1</v>
      </c>
      <c r="G648" s="135"/>
    </row>
    <row r="649" spans="1:7" x14ac:dyDescent="0.25">
      <c r="A649" s="940">
        <v>609</v>
      </c>
      <c r="B649" s="940">
        <v>397</v>
      </c>
      <c r="C649" t="s">
        <v>3823</v>
      </c>
      <c r="D649" s="940" t="s">
        <v>3824</v>
      </c>
      <c r="E649" t="s">
        <v>83</v>
      </c>
      <c r="F649">
        <v>1</v>
      </c>
      <c r="G649" s="135"/>
    </row>
    <row r="650" spans="1:7" x14ac:dyDescent="0.25">
      <c r="A650" s="940">
        <v>2206</v>
      </c>
      <c r="B650" s="940">
        <v>42</v>
      </c>
      <c r="C650" t="s">
        <v>3825</v>
      </c>
      <c r="D650" s="940" t="s">
        <v>2619</v>
      </c>
      <c r="E650" t="s">
        <v>1171</v>
      </c>
      <c r="F650">
        <v>1</v>
      </c>
      <c r="G650" s="135"/>
    </row>
    <row r="651" spans="1:7" x14ac:dyDescent="0.25">
      <c r="A651" s="940">
        <v>3490</v>
      </c>
      <c r="B651" s="940">
        <v>0</v>
      </c>
      <c r="C651" t="s">
        <v>3826</v>
      </c>
      <c r="D651" s="940" t="s">
        <v>2824</v>
      </c>
      <c r="E651" t="s">
        <v>1200</v>
      </c>
      <c r="F651">
        <v>1</v>
      </c>
      <c r="G651" s="135"/>
    </row>
    <row r="652" spans="1:7" x14ac:dyDescent="0.25">
      <c r="A652" s="940">
        <v>21</v>
      </c>
      <c r="B652" s="940">
        <v>1445</v>
      </c>
      <c r="C652" t="s">
        <v>3827</v>
      </c>
      <c r="D652" s="940" t="s">
        <v>3828</v>
      </c>
      <c r="E652" t="s">
        <v>130</v>
      </c>
      <c r="F652">
        <v>1</v>
      </c>
      <c r="G652" s="135"/>
    </row>
    <row r="653" spans="1:7" x14ac:dyDescent="0.25">
      <c r="A653" s="940">
        <v>515</v>
      </c>
      <c r="B653" s="940">
        <v>455</v>
      </c>
      <c r="C653" t="s">
        <v>3829</v>
      </c>
      <c r="D653" s="940" t="s">
        <v>3830</v>
      </c>
      <c r="E653" t="s">
        <v>165</v>
      </c>
      <c r="F653">
        <v>1</v>
      </c>
      <c r="G653" s="135"/>
    </row>
    <row r="654" spans="1:7" x14ac:dyDescent="0.25">
      <c r="A654" s="940">
        <v>3327</v>
      </c>
      <c r="B654" s="940">
        <v>2</v>
      </c>
      <c r="C654" t="s">
        <v>3831</v>
      </c>
      <c r="D654" s="940" t="s">
        <v>3341</v>
      </c>
      <c r="E654" t="s">
        <v>2624</v>
      </c>
      <c r="F654">
        <v>1</v>
      </c>
      <c r="G654" s="135"/>
    </row>
    <row r="655" spans="1:7" x14ac:dyDescent="0.25">
      <c r="A655" s="940">
        <v>551</v>
      </c>
      <c r="B655" s="940">
        <v>436</v>
      </c>
      <c r="C655" t="s">
        <v>1401</v>
      </c>
      <c r="D655" s="940" t="s">
        <v>3832</v>
      </c>
      <c r="E655" t="s">
        <v>1214</v>
      </c>
      <c r="F655">
        <v>1</v>
      </c>
      <c r="G655" s="135"/>
    </row>
    <row r="656" spans="1:7" x14ac:dyDescent="0.25">
      <c r="A656" s="940">
        <v>2106</v>
      </c>
      <c r="B656" s="940">
        <v>48</v>
      </c>
      <c r="C656" t="s">
        <v>3833</v>
      </c>
      <c r="D656" s="940" t="s">
        <v>3834</v>
      </c>
      <c r="E656" t="s">
        <v>99</v>
      </c>
      <c r="F656">
        <v>1</v>
      </c>
      <c r="G656" s="135"/>
    </row>
    <row r="657" spans="1:7" x14ac:dyDescent="0.25">
      <c r="A657" s="940">
        <v>949</v>
      </c>
      <c r="B657" s="940">
        <v>236</v>
      </c>
      <c r="C657" t="s">
        <v>3835</v>
      </c>
      <c r="D657" s="940" t="s">
        <v>3836</v>
      </c>
      <c r="E657" t="s">
        <v>2880</v>
      </c>
      <c r="F657">
        <v>1</v>
      </c>
      <c r="G657" s="135"/>
    </row>
    <row r="658" spans="1:7" x14ac:dyDescent="0.25">
      <c r="A658" s="940">
        <v>2743</v>
      </c>
      <c r="B658" s="940">
        <v>15</v>
      </c>
      <c r="C658" t="s">
        <v>3837</v>
      </c>
      <c r="D658" s="940" t="s">
        <v>3838</v>
      </c>
      <c r="E658" t="s">
        <v>3137</v>
      </c>
      <c r="F658">
        <v>1</v>
      </c>
      <c r="G658" s="135"/>
    </row>
    <row r="659" spans="1:7" x14ac:dyDescent="0.25">
      <c r="A659" s="940">
        <v>2839</v>
      </c>
      <c r="B659" s="940">
        <v>12</v>
      </c>
      <c r="C659" t="s">
        <v>3839</v>
      </c>
      <c r="D659" s="940" t="s">
        <v>3840</v>
      </c>
      <c r="E659" t="s">
        <v>133</v>
      </c>
      <c r="F659">
        <v>1</v>
      </c>
      <c r="G659" s="135"/>
    </row>
    <row r="660" spans="1:7" x14ac:dyDescent="0.25">
      <c r="A660" s="940">
        <v>1730</v>
      </c>
      <c r="B660" s="940">
        <v>80</v>
      </c>
      <c r="C660" t="s">
        <v>3841</v>
      </c>
      <c r="D660" s="940" t="s">
        <v>2785</v>
      </c>
      <c r="E660" t="s">
        <v>1702</v>
      </c>
      <c r="F660">
        <v>1</v>
      </c>
      <c r="G660" s="135"/>
    </row>
    <row r="661" spans="1:7" x14ac:dyDescent="0.25">
      <c r="A661" s="940">
        <v>21</v>
      </c>
      <c r="B661" s="940">
        <v>1445</v>
      </c>
      <c r="C661" t="s">
        <v>3842</v>
      </c>
      <c r="D661" s="940" t="s">
        <v>3843</v>
      </c>
      <c r="E661" t="s">
        <v>1171</v>
      </c>
      <c r="F661">
        <v>1</v>
      </c>
      <c r="G661" s="135"/>
    </row>
    <row r="662" spans="1:7" x14ac:dyDescent="0.25">
      <c r="A662" s="940">
        <v>1114</v>
      </c>
      <c r="B662" s="940">
        <v>176</v>
      </c>
      <c r="C662" t="s">
        <v>3844</v>
      </c>
      <c r="D662" s="940" t="s">
        <v>3845</v>
      </c>
      <c r="E662" t="s">
        <v>166</v>
      </c>
      <c r="F662">
        <v>1</v>
      </c>
      <c r="G662" s="135"/>
    </row>
    <row r="663" spans="1:7" x14ac:dyDescent="0.25">
      <c r="A663" s="940">
        <v>1011</v>
      </c>
      <c r="B663" s="940">
        <v>212</v>
      </c>
      <c r="C663" t="s">
        <v>3846</v>
      </c>
      <c r="D663" s="940" t="s">
        <v>3847</v>
      </c>
      <c r="E663" t="s">
        <v>105</v>
      </c>
      <c r="F663">
        <v>1</v>
      </c>
      <c r="G663" s="135"/>
    </row>
    <row r="664" spans="1:7" x14ac:dyDescent="0.25">
      <c r="A664" s="940">
        <v>3490</v>
      </c>
      <c r="B664" s="940">
        <v>0</v>
      </c>
      <c r="C664" t="s">
        <v>3848</v>
      </c>
      <c r="D664" s="940" t="s">
        <v>3849</v>
      </c>
      <c r="E664" t="s">
        <v>1447</v>
      </c>
      <c r="F664">
        <v>1</v>
      </c>
      <c r="G664" s="135"/>
    </row>
    <row r="665" spans="1:7" x14ac:dyDescent="0.25">
      <c r="A665" s="940">
        <v>3395</v>
      </c>
      <c r="B665" s="940">
        <v>1</v>
      </c>
      <c r="C665" t="s">
        <v>3850</v>
      </c>
      <c r="D665" s="940" t="s">
        <v>2908</v>
      </c>
      <c r="E665" t="s">
        <v>74</v>
      </c>
      <c r="F665">
        <v>1</v>
      </c>
      <c r="G665" s="135"/>
    </row>
    <row r="666" spans="1:7" x14ac:dyDescent="0.25">
      <c r="A666" s="940">
        <v>2743</v>
      </c>
      <c r="B666" s="940">
        <v>15</v>
      </c>
      <c r="C666" t="s">
        <v>3851</v>
      </c>
      <c r="D666" s="940" t="s">
        <v>2927</v>
      </c>
      <c r="E666" t="s">
        <v>3098</v>
      </c>
      <c r="F666">
        <v>1</v>
      </c>
      <c r="G666" s="135"/>
    </row>
    <row r="667" spans="1:7" x14ac:dyDescent="0.25">
      <c r="A667" s="940">
        <v>3490</v>
      </c>
      <c r="B667" s="940">
        <v>0</v>
      </c>
      <c r="C667" t="s">
        <v>3852</v>
      </c>
      <c r="D667" s="940" t="s">
        <v>3853</v>
      </c>
      <c r="E667" t="s">
        <v>114</v>
      </c>
      <c r="F667">
        <v>1</v>
      </c>
      <c r="G667" s="135"/>
    </row>
    <row r="668" spans="1:7" x14ac:dyDescent="0.25">
      <c r="A668" s="940">
        <v>1444</v>
      </c>
      <c r="B668" s="940">
        <v>114</v>
      </c>
      <c r="C668" t="s">
        <v>3854</v>
      </c>
      <c r="D668" s="940" t="s">
        <v>3855</v>
      </c>
      <c r="E668" t="s">
        <v>170</v>
      </c>
      <c r="F668">
        <v>1</v>
      </c>
      <c r="G668" s="135"/>
    </row>
    <row r="669" spans="1:7" x14ac:dyDescent="0.25">
      <c r="A669" s="940">
        <v>3395</v>
      </c>
      <c r="B669" s="940">
        <v>1</v>
      </c>
      <c r="C669" t="s">
        <v>3856</v>
      </c>
      <c r="D669" s="940" t="s">
        <v>3857</v>
      </c>
      <c r="E669" t="s">
        <v>74</v>
      </c>
      <c r="F669">
        <v>1</v>
      </c>
      <c r="G669" s="135"/>
    </row>
    <row r="670" spans="1:7" x14ac:dyDescent="0.25">
      <c r="A670" s="940">
        <v>3196</v>
      </c>
      <c r="B670" s="940">
        <v>4</v>
      </c>
      <c r="C670" t="s">
        <v>3858</v>
      </c>
      <c r="D670" s="940" t="s">
        <v>3859</v>
      </c>
      <c r="E670" t="s">
        <v>2624</v>
      </c>
      <c r="F670">
        <v>1</v>
      </c>
      <c r="G670" s="135"/>
    </row>
    <row r="671" spans="1:7" x14ac:dyDescent="0.25">
      <c r="A671" s="940">
        <v>787</v>
      </c>
      <c r="B671" s="940">
        <v>302</v>
      </c>
      <c r="C671" t="s">
        <v>1404</v>
      </c>
      <c r="D671" s="940" t="s">
        <v>3860</v>
      </c>
      <c r="E671" t="s">
        <v>164</v>
      </c>
      <c r="F671">
        <v>1</v>
      </c>
      <c r="G671" s="135"/>
    </row>
    <row r="672" spans="1:7" x14ac:dyDescent="0.25">
      <c r="A672" s="940">
        <v>741</v>
      </c>
      <c r="B672" s="940">
        <v>325</v>
      </c>
      <c r="C672" t="s">
        <v>3861</v>
      </c>
      <c r="D672" s="940" t="s">
        <v>3862</v>
      </c>
      <c r="E672" t="s">
        <v>3863</v>
      </c>
      <c r="F672">
        <v>1</v>
      </c>
      <c r="G672" s="135"/>
    </row>
    <row r="673" spans="1:7" x14ac:dyDescent="0.25">
      <c r="A673" s="940">
        <v>262</v>
      </c>
      <c r="B673" s="940">
        <v>787</v>
      </c>
      <c r="C673" t="s">
        <v>3864</v>
      </c>
      <c r="D673" s="940" t="s">
        <v>3865</v>
      </c>
      <c r="E673" t="s">
        <v>74</v>
      </c>
      <c r="F673">
        <v>1</v>
      </c>
      <c r="G673" s="135"/>
    </row>
    <row r="674" spans="1:7" x14ac:dyDescent="0.25">
      <c r="A674" s="940">
        <v>3490</v>
      </c>
      <c r="B674" s="940">
        <v>0</v>
      </c>
      <c r="C674" t="s">
        <v>3866</v>
      </c>
      <c r="D674" s="940" t="s">
        <v>3867</v>
      </c>
      <c r="E674" t="s">
        <v>74</v>
      </c>
      <c r="F674">
        <v>1</v>
      </c>
      <c r="G674" s="135"/>
    </row>
    <row r="675" spans="1:7" x14ac:dyDescent="0.25">
      <c r="A675" s="940">
        <v>2484</v>
      </c>
      <c r="B675" s="940">
        <v>26</v>
      </c>
      <c r="C675" t="s">
        <v>3868</v>
      </c>
      <c r="D675" s="940" t="s">
        <v>3869</v>
      </c>
      <c r="E675" t="s">
        <v>1211</v>
      </c>
      <c r="F675">
        <v>1</v>
      </c>
      <c r="G675" s="135"/>
    </row>
    <row r="676" spans="1:7" x14ac:dyDescent="0.25">
      <c r="A676" s="940">
        <v>3490</v>
      </c>
      <c r="B676" s="940">
        <v>0</v>
      </c>
      <c r="C676" t="s">
        <v>3870</v>
      </c>
      <c r="D676" s="940" t="s">
        <v>3871</v>
      </c>
      <c r="E676" t="s">
        <v>661</v>
      </c>
      <c r="F676">
        <v>1</v>
      </c>
      <c r="G676" s="135"/>
    </row>
    <row r="677" spans="1:7" x14ac:dyDescent="0.25">
      <c r="A677" s="940">
        <v>3490</v>
      </c>
      <c r="B677" s="940">
        <v>0</v>
      </c>
      <c r="C677" t="s">
        <v>3872</v>
      </c>
      <c r="D677" s="940" t="s">
        <v>3873</v>
      </c>
      <c r="E677" t="s">
        <v>74</v>
      </c>
      <c r="F677">
        <v>1</v>
      </c>
      <c r="G677" s="135"/>
    </row>
    <row r="678" spans="1:7" x14ac:dyDescent="0.25">
      <c r="A678" s="940">
        <v>3490</v>
      </c>
      <c r="B678" s="940">
        <v>0</v>
      </c>
      <c r="C678" t="s">
        <v>3874</v>
      </c>
      <c r="D678" s="940" t="s">
        <v>3875</v>
      </c>
      <c r="E678" t="s">
        <v>74</v>
      </c>
      <c r="F678">
        <v>1</v>
      </c>
      <c r="G678" s="135"/>
    </row>
    <row r="679" spans="1:7" x14ac:dyDescent="0.25">
      <c r="A679" s="940">
        <v>3490</v>
      </c>
      <c r="B679" s="940">
        <v>0</v>
      </c>
      <c r="C679" t="s">
        <v>3876</v>
      </c>
      <c r="D679" s="940" t="s">
        <v>3818</v>
      </c>
      <c r="E679" t="s">
        <v>74</v>
      </c>
      <c r="F679">
        <v>1</v>
      </c>
      <c r="G679" s="135"/>
    </row>
    <row r="680" spans="1:7" x14ac:dyDescent="0.25">
      <c r="A680" s="940">
        <v>3089</v>
      </c>
      <c r="B680" s="940">
        <v>6</v>
      </c>
      <c r="C680" t="s">
        <v>3877</v>
      </c>
      <c r="D680" s="940" t="s">
        <v>3878</v>
      </c>
      <c r="E680" t="s">
        <v>122</v>
      </c>
      <c r="F680">
        <v>1</v>
      </c>
      <c r="G680" s="135"/>
    </row>
    <row r="681" spans="1:7" x14ac:dyDescent="0.25">
      <c r="A681" s="940">
        <v>1121</v>
      </c>
      <c r="B681" s="940">
        <v>175</v>
      </c>
      <c r="C681" t="s">
        <v>3879</v>
      </c>
      <c r="D681" s="940" t="s">
        <v>3880</v>
      </c>
      <c r="E681" t="s">
        <v>1584</v>
      </c>
      <c r="F681">
        <v>1</v>
      </c>
      <c r="G681" s="135"/>
    </row>
    <row r="682" spans="1:7" x14ac:dyDescent="0.25">
      <c r="A682" s="940">
        <v>1594</v>
      </c>
      <c r="B682" s="940">
        <v>96</v>
      </c>
      <c r="C682" t="s">
        <v>3881</v>
      </c>
      <c r="D682" s="940" t="s">
        <v>3882</v>
      </c>
      <c r="E682" t="s">
        <v>74</v>
      </c>
      <c r="F682">
        <v>1</v>
      </c>
      <c r="G682" s="135"/>
    </row>
    <row r="683" spans="1:7" x14ac:dyDescent="0.25">
      <c r="A683" s="940">
        <v>3490</v>
      </c>
      <c r="B683" s="940">
        <v>0</v>
      </c>
      <c r="C683" t="s">
        <v>3883</v>
      </c>
      <c r="D683" s="940" t="s">
        <v>3884</v>
      </c>
      <c r="E683" t="s">
        <v>231</v>
      </c>
      <c r="F683">
        <v>1</v>
      </c>
      <c r="G683" s="135"/>
    </row>
    <row r="684" spans="1:7" x14ac:dyDescent="0.25">
      <c r="A684" s="940">
        <v>3490</v>
      </c>
      <c r="B684" s="940">
        <v>0</v>
      </c>
      <c r="C684" t="s">
        <v>3885</v>
      </c>
      <c r="D684" s="940" t="s">
        <v>3886</v>
      </c>
      <c r="E684" t="s">
        <v>1702</v>
      </c>
      <c r="F684">
        <v>1</v>
      </c>
      <c r="G684" s="135"/>
    </row>
    <row r="685" spans="1:7" x14ac:dyDescent="0.25">
      <c r="A685" s="940">
        <v>3141</v>
      </c>
      <c r="B685" s="940">
        <v>5</v>
      </c>
      <c r="C685" t="s">
        <v>3887</v>
      </c>
      <c r="D685" s="940" t="s">
        <v>3888</v>
      </c>
      <c r="E685" t="s">
        <v>112</v>
      </c>
      <c r="F685">
        <v>1</v>
      </c>
      <c r="G685" s="135"/>
    </row>
    <row r="686" spans="1:7" x14ac:dyDescent="0.25">
      <c r="A686" s="940">
        <v>2256</v>
      </c>
      <c r="B686" s="940">
        <v>39</v>
      </c>
      <c r="C686" t="s">
        <v>3889</v>
      </c>
      <c r="D686" s="940" t="s">
        <v>3890</v>
      </c>
      <c r="E686" t="s">
        <v>72</v>
      </c>
      <c r="F686">
        <v>1</v>
      </c>
      <c r="G686" s="135"/>
    </row>
    <row r="687" spans="1:7" x14ac:dyDescent="0.25">
      <c r="A687" s="940">
        <v>2060</v>
      </c>
      <c r="B687" s="940">
        <v>51</v>
      </c>
      <c r="C687" t="s">
        <v>1418</v>
      </c>
      <c r="D687" s="940" t="s">
        <v>3875</v>
      </c>
      <c r="E687" t="s">
        <v>179</v>
      </c>
      <c r="F687">
        <v>1</v>
      </c>
      <c r="G687" s="135"/>
    </row>
    <row r="688" spans="1:7" x14ac:dyDescent="0.25">
      <c r="A688" s="940">
        <v>1640</v>
      </c>
      <c r="B688" s="940">
        <v>91</v>
      </c>
      <c r="C688" t="s">
        <v>3891</v>
      </c>
      <c r="D688" s="940" t="s">
        <v>3892</v>
      </c>
      <c r="E688" t="s">
        <v>109</v>
      </c>
      <c r="F688">
        <v>1</v>
      </c>
      <c r="G688" s="135"/>
    </row>
    <row r="689" spans="1:7" x14ac:dyDescent="0.25">
      <c r="A689" s="940">
        <v>2129</v>
      </c>
      <c r="B689" s="940">
        <v>46</v>
      </c>
      <c r="C689" t="s">
        <v>3893</v>
      </c>
      <c r="D689" s="940" t="s">
        <v>2680</v>
      </c>
      <c r="E689" t="s">
        <v>3098</v>
      </c>
      <c r="F689">
        <v>1</v>
      </c>
      <c r="G689" s="135"/>
    </row>
    <row r="690" spans="1:7" x14ac:dyDescent="0.25">
      <c r="A690" s="940">
        <v>3490</v>
      </c>
      <c r="B690" s="940">
        <v>0</v>
      </c>
      <c r="C690" t="s">
        <v>3894</v>
      </c>
      <c r="D690" s="940" t="s">
        <v>3895</v>
      </c>
      <c r="E690" t="s">
        <v>74</v>
      </c>
      <c r="F690">
        <v>1</v>
      </c>
      <c r="G690" s="135"/>
    </row>
    <row r="691" spans="1:7" x14ac:dyDescent="0.25">
      <c r="A691" s="940">
        <v>2883</v>
      </c>
      <c r="B691" s="940">
        <v>11</v>
      </c>
      <c r="C691" t="s">
        <v>3896</v>
      </c>
      <c r="D691" s="940" t="s">
        <v>3897</v>
      </c>
      <c r="E691" t="s">
        <v>140</v>
      </c>
      <c r="F691">
        <v>1</v>
      </c>
      <c r="G691" s="135"/>
    </row>
    <row r="692" spans="1:7" x14ac:dyDescent="0.25">
      <c r="A692" s="940">
        <v>3490</v>
      </c>
      <c r="B692" s="940">
        <v>0</v>
      </c>
      <c r="C692" t="s">
        <v>3898</v>
      </c>
      <c r="D692" s="940" t="s">
        <v>3899</v>
      </c>
      <c r="E692" t="s">
        <v>114</v>
      </c>
      <c r="F692">
        <v>1</v>
      </c>
      <c r="G692" s="135"/>
    </row>
    <row r="693" spans="1:7" x14ac:dyDescent="0.25">
      <c r="A693" s="940">
        <v>1574</v>
      </c>
      <c r="B693" s="940">
        <v>98</v>
      </c>
      <c r="C693" t="s">
        <v>3900</v>
      </c>
      <c r="D693" s="940" t="s">
        <v>3901</v>
      </c>
      <c r="E693" t="s">
        <v>3902</v>
      </c>
      <c r="F693">
        <v>1</v>
      </c>
      <c r="G693" s="135"/>
    </row>
    <row r="694" spans="1:7" x14ac:dyDescent="0.25">
      <c r="A694" s="940">
        <v>3490</v>
      </c>
      <c r="B694" s="940">
        <v>0</v>
      </c>
      <c r="C694" t="s">
        <v>3903</v>
      </c>
      <c r="D694" s="940" t="s">
        <v>2726</v>
      </c>
      <c r="E694" t="s">
        <v>76</v>
      </c>
      <c r="F694">
        <v>1</v>
      </c>
      <c r="G694" s="135"/>
    </row>
    <row r="695" spans="1:7" x14ac:dyDescent="0.25">
      <c r="A695" s="940">
        <v>1227</v>
      </c>
      <c r="B695" s="940">
        <v>150</v>
      </c>
      <c r="C695" t="s">
        <v>3904</v>
      </c>
      <c r="D695" s="940" t="s">
        <v>3905</v>
      </c>
      <c r="E695" t="s">
        <v>1169</v>
      </c>
      <c r="F695">
        <v>1</v>
      </c>
      <c r="G695" s="135"/>
    </row>
    <row r="696" spans="1:7" x14ac:dyDescent="0.25">
      <c r="A696" s="940">
        <v>3490</v>
      </c>
      <c r="B696" s="940">
        <v>0</v>
      </c>
      <c r="C696" t="s">
        <v>3906</v>
      </c>
      <c r="D696" s="940" t="s">
        <v>3907</v>
      </c>
      <c r="E696" t="s">
        <v>3908</v>
      </c>
      <c r="F696">
        <v>1</v>
      </c>
      <c r="G696" s="135"/>
    </row>
    <row r="697" spans="1:7" x14ac:dyDescent="0.25">
      <c r="A697" s="940">
        <v>3196</v>
      </c>
      <c r="B697" s="940">
        <v>4</v>
      </c>
      <c r="C697" t="s">
        <v>3909</v>
      </c>
      <c r="D697" s="940" t="s">
        <v>3910</v>
      </c>
      <c r="E697" t="s">
        <v>3908</v>
      </c>
      <c r="F697">
        <v>1</v>
      </c>
      <c r="G697" s="135"/>
    </row>
    <row r="698" spans="1:7" x14ac:dyDescent="0.25">
      <c r="A698" s="940">
        <v>3490</v>
      </c>
      <c r="B698" s="940">
        <v>0</v>
      </c>
      <c r="C698" t="s">
        <v>3911</v>
      </c>
      <c r="D698" s="940" t="s">
        <v>3912</v>
      </c>
      <c r="E698" t="s">
        <v>3913</v>
      </c>
      <c r="F698">
        <v>1</v>
      </c>
      <c r="G698" s="135"/>
    </row>
    <row r="699" spans="1:7" x14ac:dyDescent="0.25">
      <c r="A699" s="940">
        <v>3490</v>
      </c>
      <c r="B699" s="940">
        <v>0</v>
      </c>
      <c r="C699" t="s">
        <v>3914</v>
      </c>
      <c r="D699" s="940" t="s">
        <v>3915</v>
      </c>
      <c r="E699" t="s">
        <v>74</v>
      </c>
      <c r="F699">
        <v>1</v>
      </c>
      <c r="G699" s="135"/>
    </row>
    <row r="700" spans="1:7" x14ac:dyDescent="0.25">
      <c r="A700" s="940">
        <v>1774</v>
      </c>
      <c r="B700" s="940">
        <v>76</v>
      </c>
      <c r="C700" t="s">
        <v>3916</v>
      </c>
      <c r="D700" s="940" t="s">
        <v>3917</v>
      </c>
      <c r="E700" t="s">
        <v>137</v>
      </c>
      <c r="F700">
        <v>1</v>
      </c>
      <c r="G700" s="135"/>
    </row>
    <row r="701" spans="1:7" x14ac:dyDescent="0.25">
      <c r="A701" s="940">
        <v>3490</v>
      </c>
      <c r="B701" s="940">
        <v>0</v>
      </c>
      <c r="C701" t="s">
        <v>3918</v>
      </c>
      <c r="D701" s="940" t="s">
        <v>3919</v>
      </c>
      <c r="E701" t="s">
        <v>1507</v>
      </c>
      <c r="F701">
        <v>1</v>
      </c>
      <c r="G701" s="135"/>
    </row>
    <row r="702" spans="1:7" x14ac:dyDescent="0.25">
      <c r="A702" s="940">
        <v>2381</v>
      </c>
      <c r="B702" s="940">
        <v>31</v>
      </c>
      <c r="C702" t="s">
        <v>3920</v>
      </c>
      <c r="D702" s="940" t="s">
        <v>3921</v>
      </c>
      <c r="E702" t="s">
        <v>128</v>
      </c>
      <c r="F702">
        <v>1</v>
      </c>
      <c r="G702" s="135"/>
    </row>
    <row r="703" spans="1:7" x14ac:dyDescent="0.25">
      <c r="A703" s="940">
        <v>1756</v>
      </c>
      <c r="B703" s="940">
        <v>78</v>
      </c>
      <c r="C703" t="s">
        <v>3922</v>
      </c>
      <c r="D703" s="940" t="s">
        <v>3923</v>
      </c>
      <c r="E703" t="s">
        <v>114</v>
      </c>
      <c r="F703">
        <v>1</v>
      </c>
      <c r="G703" s="135"/>
    </row>
    <row r="704" spans="1:7" x14ac:dyDescent="0.25">
      <c r="A704" s="940">
        <v>3490</v>
      </c>
      <c r="B704" s="940">
        <v>0</v>
      </c>
      <c r="C704" t="s">
        <v>3924</v>
      </c>
      <c r="D704" s="940" t="s">
        <v>2674</v>
      </c>
      <c r="E704" t="s">
        <v>105</v>
      </c>
      <c r="F704">
        <v>1</v>
      </c>
      <c r="G704" s="135"/>
    </row>
    <row r="705" spans="1:7" x14ac:dyDescent="0.25">
      <c r="A705" s="940">
        <v>957</v>
      </c>
      <c r="B705" s="940">
        <v>232</v>
      </c>
      <c r="C705" t="s">
        <v>3925</v>
      </c>
      <c r="D705" s="940" t="s">
        <v>3926</v>
      </c>
      <c r="E705" t="s">
        <v>120</v>
      </c>
      <c r="F705">
        <v>1</v>
      </c>
      <c r="G705" s="135"/>
    </row>
    <row r="706" spans="1:7" x14ac:dyDescent="0.25">
      <c r="A706" s="940">
        <v>735</v>
      </c>
      <c r="B706" s="940">
        <v>327</v>
      </c>
      <c r="C706" t="s">
        <v>3927</v>
      </c>
      <c r="D706" s="940" t="s">
        <v>3928</v>
      </c>
      <c r="E706" t="s">
        <v>120</v>
      </c>
      <c r="F706">
        <v>1</v>
      </c>
      <c r="G706" s="135"/>
    </row>
    <row r="707" spans="1:7" x14ac:dyDescent="0.25">
      <c r="A707" s="940">
        <v>991</v>
      </c>
      <c r="B707" s="940">
        <v>220</v>
      </c>
      <c r="C707" t="s">
        <v>1424</v>
      </c>
      <c r="D707" s="940" t="s">
        <v>3929</v>
      </c>
      <c r="E707" t="s">
        <v>120</v>
      </c>
      <c r="F707">
        <v>1</v>
      </c>
      <c r="G707" s="135"/>
    </row>
    <row r="708" spans="1:7" x14ac:dyDescent="0.25">
      <c r="A708" s="940">
        <v>2241</v>
      </c>
      <c r="B708" s="940">
        <v>40</v>
      </c>
      <c r="C708" t="s">
        <v>3930</v>
      </c>
      <c r="D708" s="940" t="s">
        <v>3931</v>
      </c>
      <c r="E708" t="s">
        <v>3114</v>
      </c>
      <c r="F708">
        <v>1</v>
      </c>
      <c r="G708" s="135"/>
    </row>
    <row r="709" spans="1:7" x14ac:dyDescent="0.25">
      <c r="A709" s="940">
        <v>3395</v>
      </c>
      <c r="B709" s="940">
        <v>1</v>
      </c>
      <c r="C709" t="s">
        <v>3932</v>
      </c>
      <c r="D709" s="940" t="s">
        <v>3933</v>
      </c>
      <c r="E709" t="s">
        <v>111</v>
      </c>
      <c r="F709">
        <v>1</v>
      </c>
      <c r="G709" s="135"/>
    </row>
    <row r="710" spans="1:7" x14ac:dyDescent="0.25">
      <c r="A710" s="940">
        <v>2883</v>
      </c>
      <c r="B710" s="940">
        <v>11</v>
      </c>
      <c r="C710" t="s">
        <v>3934</v>
      </c>
      <c r="D710" s="940" t="s">
        <v>3935</v>
      </c>
      <c r="E710" t="s">
        <v>3936</v>
      </c>
      <c r="F710">
        <v>1</v>
      </c>
      <c r="G710" s="135"/>
    </row>
    <row r="711" spans="1:7" x14ac:dyDescent="0.25">
      <c r="A711" s="940">
        <v>2907</v>
      </c>
      <c r="B711" s="940">
        <v>10</v>
      </c>
      <c r="C711" t="s">
        <v>3937</v>
      </c>
      <c r="D711" s="940" t="s">
        <v>3938</v>
      </c>
      <c r="E711" t="s">
        <v>122</v>
      </c>
      <c r="F711">
        <v>1</v>
      </c>
      <c r="G711" s="135"/>
    </row>
    <row r="712" spans="1:7" x14ac:dyDescent="0.25">
      <c r="A712" s="940">
        <v>3089</v>
      </c>
      <c r="B712" s="940">
        <v>6</v>
      </c>
      <c r="C712" t="s">
        <v>3939</v>
      </c>
      <c r="D712" s="940" t="s">
        <v>3940</v>
      </c>
      <c r="E712" t="s">
        <v>183</v>
      </c>
      <c r="F712">
        <v>1</v>
      </c>
      <c r="G712" s="135"/>
    </row>
    <row r="713" spans="1:7" x14ac:dyDescent="0.25">
      <c r="A713" s="940">
        <v>3327</v>
      </c>
      <c r="B713" s="940">
        <v>2</v>
      </c>
      <c r="C713" t="s">
        <v>3941</v>
      </c>
      <c r="D713" s="940" t="s">
        <v>3942</v>
      </c>
      <c r="E713" t="s">
        <v>1156</v>
      </c>
      <c r="F713">
        <v>1</v>
      </c>
      <c r="G713" s="135"/>
    </row>
    <row r="714" spans="1:7" x14ac:dyDescent="0.25">
      <c r="A714" s="940">
        <v>1685</v>
      </c>
      <c r="B714" s="940">
        <v>85</v>
      </c>
      <c r="C714" t="s">
        <v>3943</v>
      </c>
      <c r="D714" s="940" t="s">
        <v>3944</v>
      </c>
      <c r="E714" t="s">
        <v>3098</v>
      </c>
      <c r="F714">
        <v>1</v>
      </c>
      <c r="G714" s="135"/>
    </row>
    <row r="715" spans="1:7" x14ac:dyDescent="0.25">
      <c r="A715" s="940">
        <v>163</v>
      </c>
      <c r="B715" s="940">
        <v>949</v>
      </c>
      <c r="C715" t="s">
        <v>3945</v>
      </c>
      <c r="D715" s="940" t="s">
        <v>3946</v>
      </c>
      <c r="E715" t="s">
        <v>1156</v>
      </c>
      <c r="F715">
        <v>1</v>
      </c>
      <c r="G715" s="135"/>
    </row>
    <row r="716" spans="1:7" x14ac:dyDescent="0.25">
      <c r="A716" s="940">
        <v>1756</v>
      </c>
      <c r="B716" s="940">
        <v>78</v>
      </c>
      <c r="C716" t="s">
        <v>2540</v>
      </c>
      <c r="D716" s="940" t="s">
        <v>3947</v>
      </c>
      <c r="E716" t="s">
        <v>1198</v>
      </c>
      <c r="F716">
        <v>1</v>
      </c>
      <c r="G716" s="135"/>
    </row>
    <row r="717" spans="1:7" x14ac:dyDescent="0.25">
      <c r="A717" s="940">
        <v>2312</v>
      </c>
      <c r="B717" s="940">
        <v>36</v>
      </c>
      <c r="C717" t="s">
        <v>3948</v>
      </c>
      <c r="D717" s="940" t="s">
        <v>3949</v>
      </c>
      <c r="E717" t="s">
        <v>1156</v>
      </c>
      <c r="F717">
        <v>1</v>
      </c>
      <c r="G717" s="135"/>
    </row>
    <row r="718" spans="1:7" x14ac:dyDescent="0.25">
      <c r="A718" s="940">
        <v>3490</v>
      </c>
      <c r="B718" s="940">
        <v>0</v>
      </c>
      <c r="C718" t="s">
        <v>3950</v>
      </c>
      <c r="D718" s="940" t="s">
        <v>3779</v>
      </c>
      <c r="E718" t="s">
        <v>3951</v>
      </c>
      <c r="F718">
        <v>1</v>
      </c>
      <c r="G718" s="135"/>
    </row>
    <row r="719" spans="1:7" x14ac:dyDescent="0.25">
      <c r="A719" s="940">
        <v>1627</v>
      </c>
      <c r="B719" s="940">
        <v>92</v>
      </c>
      <c r="C719" t="s">
        <v>3952</v>
      </c>
      <c r="D719" s="940" t="s">
        <v>3953</v>
      </c>
      <c r="E719" t="s">
        <v>3954</v>
      </c>
      <c r="F719">
        <v>1</v>
      </c>
      <c r="G719" s="135"/>
    </row>
    <row r="720" spans="1:7" x14ac:dyDescent="0.25">
      <c r="A720" s="940">
        <v>2714</v>
      </c>
      <c r="B720" s="940">
        <v>16</v>
      </c>
      <c r="C720" t="s">
        <v>3952</v>
      </c>
      <c r="D720" s="940" t="s">
        <v>3955</v>
      </c>
      <c r="E720" t="s">
        <v>128</v>
      </c>
      <c r="F720">
        <v>1</v>
      </c>
      <c r="G720" s="135"/>
    </row>
    <row r="721" spans="1:7" x14ac:dyDescent="0.25">
      <c r="A721" s="940">
        <v>2907</v>
      </c>
      <c r="B721" s="940">
        <v>10</v>
      </c>
      <c r="C721" t="s">
        <v>3956</v>
      </c>
      <c r="D721" s="940" t="s">
        <v>3957</v>
      </c>
      <c r="E721" t="s">
        <v>105</v>
      </c>
      <c r="F721">
        <v>1</v>
      </c>
      <c r="G721" s="135"/>
    </row>
    <row r="722" spans="1:7" x14ac:dyDescent="0.25">
      <c r="A722" s="940">
        <v>1097</v>
      </c>
      <c r="B722" s="940">
        <v>183</v>
      </c>
      <c r="C722" t="s">
        <v>3958</v>
      </c>
      <c r="D722" s="940" t="s">
        <v>3959</v>
      </c>
      <c r="E722" t="s">
        <v>2880</v>
      </c>
      <c r="F722">
        <v>1</v>
      </c>
      <c r="G722" s="135"/>
    </row>
    <row r="723" spans="1:7" x14ac:dyDescent="0.25">
      <c r="A723" s="940">
        <v>486</v>
      </c>
      <c r="B723" s="940">
        <v>483</v>
      </c>
      <c r="C723" t="s">
        <v>3960</v>
      </c>
      <c r="D723" s="940" t="s">
        <v>3961</v>
      </c>
      <c r="E723" t="s">
        <v>257</v>
      </c>
      <c r="F723">
        <v>1</v>
      </c>
      <c r="G723" s="135"/>
    </row>
    <row r="724" spans="1:7" x14ac:dyDescent="0.25">
      <c r="A724" s="940">
        <v>3196</v>
      </c>
      <c r="B724" s="940">
        <v>4</v>
      </c>
      <c r="C724" t="s">
        <v>3962</v>
      </c>
      <c r="D724" s="940" t="s">
        <v>3963</v>
      </c>
      <c r="E724" t="s">
        <v>1460</v>
      </c>
      <c r="F724">
        <v>1</v>
      </c>
      <c r="G724" s="135"/>
    </row>
    <row r="725" spans="1:7" x14ac:dyDescent="0.25">
      <c r="A725" s="940">
        <v>2484</v>
      </c>
      <c r="B725" s="940">
        <v>26</v>
      </c>
      <c r="C725" t="s">
        <v>3964</v>
      </c>
      <c r="D725" s="940" t="s">
        <v>3965</v>
      </c>
      <c r="E725" t="s">
        <v>241</v>
      </c>
      <c r="F725">
        <v>1</v>
      </c>
      <c r="G725" s="135"/>
    </row>
    <row r="726" spans="1:7" x14ac:dyDescent="0.25">
      <c r="A726" s="940">
        <v>3490</v>
      </c>
      <c r="B726" s="940">
        <v>0</v>
      </c>
      <c r="C726" t="s">
        <v>3966</v>
      </c>
      <c r="D726" s="940" t="s">
        <v>3967</v>
      </c>
      <c r="E726" t="s">
        <v>109</v>
      </c>
      <c r="F726">
        <v>1</v>
      </c>
      <c r="G726" s="135"/>
    </row>
    <row r="727" spans="1:7" x14ac:dyDescent="0.25">
      <c r="A727" s="940">
        <v>801</v>
      </c>
      <c r="B727" s="940">
        <v>297</v>
      </c>
      <c r="C727" t="s">
        <v>1434</v>
      </c>
      <c r="D727" s="940" t="s">
        <v>3931</v>
      </c>
      <c r="E727" t="s">
        <v>1236</v>
      </c>
      <c r="F727">
        <v>1</v>
      </c>
      <c r="G727" s="135"/>
    </row>
    <row r="728" spans="1:7" x14ac:dyDescent="0.25">
      <c r="A728" s="940">
        <v>2690</v>
      </c>
      <c r="B728" s="940">
        <v>17</v>
      </c>
      <c r="C728" t="s">
        <v>3968</v>
      </c>
      <c r="D728" s="940" t="s">
        <v>3822</v>
      </c>
      <c r="E728" t="s">
        <v>72</v>
      </c>
      <c r="F728">
        <v>1</v>
      </c>
      <c r="G728" s="135"/>
    </row>
    <row r="729" spans="1:7" x14ac:dyDescent="0.25">
      <c r="A729" s="940">
        <v>1121</v>
      </c>
      <c r="B729" s="940">
        <v>175</v>
      </c>
      <c r="C729" t="s">
        <v>2541</v>
      </c>
      <c r="D729" s="940" t="s">
        <v>3969</v>
      </c>
      <c r="E729" t="s">
        <v>74</v>
      </c>
      <c r="F729">
        <v>1</v>
      </c>
      <c r="G729" s="135"/>
    </row>
    <row r="730" spans="1:7" x14ac:dyDescent="0.25">
      <c r="A730" s="940">
        <v>1043</v>
      </c>
      <c r="B730" s="940">
        <v>202</v>
      </c>
      <c r="C730" t="s">
        <v>1438</v>
      </c>
      <c r="D730" s="940" t="s">
        <v>3970</v>
      </c>
      <c r="E730" t="s">
        <v>74</v>
      </c>
      <c r="F730">
        <v>1</v>
      </c>
      <c r="G730" s="135"/>
    </row>
    <row r="731" spans="1:7" x14ac:dyDescent="0.25">
      <c r="A731" s="940">
        <v>417</v>
      </c>
      <c r="B731" s="940">
        <v>554</v>
      </c>
      <c r="C731" t="s">
        <v>3971</v>
      </c>
      <c r="D731" s="940" t="s">
        <v>3972</v>
      </c>
      <c r="E731" t="s">
        <v>231</v>
      </c>
      <c r="F731">
        <v>1</v>
      </c>
      <c r="G731" s="135"/>
    </row>
    <row r="732" spans="1:7" x14ac:dyDescent="0.25">
      <c r="A732" s="940">
        <v>1994</v>
      </c>
      <c r="B732" s="940">
        <v>56</v>
      </c>
      <c r="C732" t="s">
        <v>3973</v>
      </c>
      <c r="D732" s="940" t="s">
        <v>3974</v>
      </c>
      <c r="E732" t="s">
        <v>133</v>
      </c>
      <c r="F732">
        <v>1</v>
      </c>
      <c r="G732" s="135"/>
    </row>
    <row r="733" spans="1:7" x14ac:dyDescent="0.25">
      <c r="A733" s="940">
        <v>2032</v>
      </c>
      <c r="B733" s="940">
        <v>53</v>
      </c>
      <c r="C733" t="s">
        <v>3975</v>
      </c>
      <c r="D733" s="940" t="s">
        <v>3976</v>
      </c>
      <c r="E733" t="s">
        <v>99</v>
      </c>
      <c r="F733">
        <v>1</v>
      </c>
      <c r="G733" s="135"/>
    </row>
    <row r="734" spans="1:7" x14ac:dyDescent="0.25">
      <c r="A734" s="940">
        <v>1105</v>
      </c>
      <c r="B734" s="940">
        <v>179</v>
      </c>
      <c r="C734" t="s">
        <v>1440</v>
      </c>
      <c r="D734" s="940" t="s">
        <v>3977</v>
      </c>
      <c r="E734" t="s">
        <v>120</v>
      </c>
      <c r="F734">
        <v>1</v>
      </c>
      <c r="G734" s="135"/>
    </row>
    <row r="735" spans="1:7" x14ac:dyDescent="0.25">
      <c r="A735" s="940">
        <v>2883</v>
      </c>
      <c r="B735" s="940">
        <v>11</v>
      </c>
      <c r="C735" t="s">
        <v>3978</v>
      </c>
      <c r="D735" s="940" t="s">
        <v>3979</v>
      </c>
      <c r="E735" t="s">
        <v>138</v>
      </c>
      <c r="F735">
        <v>1</v>
      </c>
      <c r="G735" s="135"/>
    </row>
    <row r="736" spans="1:7" x14ac:dyDescent="0.25">
      <c r="A736" s="940">
        <v>2907</v>
      </c>
      <c r="B736" s="940">
        <v>10</v>
      </c>
      <c r="C736" t="s">
        <v>3980</v>
      </c>
      <c r="D736" s="940" t="s">
        <v>3981</v>
      </c>
      <c r="E736" t="s">
        <v>129</v>
      </c>
      <c r="F736">
        <v>1</v>
      </c>
      <c r="G736" s="135"/>
    </row>
    <row r="737" spans="1:7" x14ac:dyDescent="0.25">
      <c r="A737" s="940">
        <v>10</v>
      </c>
      <c r="B737" s="940">
        <v>1593</v>
      </c>
      <c r="C737" t="s">
        <v>3982</v>
      </c>
      <c r="D737" s="940" t="s">
        <v>3983</v>
      </c>
      <c r="E737" t="s">
        <v>99</v>
      </c>
      <c r="F737">
        <v>1</v>
      </c>
      <c r="G737" s="135"/>
    </row>
    <row r="738" spans="1:7" x14ac:dyDescent="0.25">
      <c r="A738" s="940">
        <v>2814</v>
      </c>
      <c r="B738" s="940">
        <v>13</v>
      </c>
      <c r="C738" t="s">
        <v>3984</v>
      </c>
      <c r="D738" s="940" t="s">
        <v>3985</v>
      </c>
      <c r="E738" t="s">
        <v>3986</v>
      </c>
      <c r="F738">
        <v>1</v>
      </c>
      <c r="G738" s="135"/>
    </row>
    <row r="739" spans="1:7" x14ac:dyDescent="0.25">
      <c r="A739" s="940">
        <v>3490</v>
      </c>
      <c r="B739" s="940">
        <v>0</v>
      </c>
      <c r="C739" t="s">
        <v>3987</v>
      </c>
      <c r="D739" s="940" t="s">
        <v>3988</v>
      </c>
      <c r="E739" t="s">
        <v>2979</v>
      </c>
      <c r="F739">
        <v>1</v>
      </c>
      <c r="G739" s="135"/>
    </row>
    <row r="740" spans="1:7" x14ac:dyDescent="0.25">
      <c r="A740" s="940">
        <v>1787</v>
      </c>
      <c r="B740" s="940">
        <v>74</v>
      </c>
      <c r="C740" t="s">
        <v>3989</v>
      </c>
      <c r="D740" s="940" t="s">
        <v>3990</v>
      </c>
      <c r="E740" t="s">
        <v>3597</v>
      </c>
      <c r="F740">
        <v>1</v>
      </c>
      <c r="G740" s="135"/>
    </row>
    <row r="741" spans="1:7" x14ac:dyDescent="0.25">
      <c r="A741" s="940">
        <v>1304</v>
      </c>
      <c r="B741" s="940">
        <v>135</v>
      </c>
      <c r="C741" t="s">
        <v>3991</v>
      </c>
      <c r="D741" s="940" t="s">
        <v>3154</v>
      </c>
      <c r="E741" t="s">
        <v>1584</v>
      </c>
      <c r="F741">
        <v>1</v>
      </c>
      <c r="G741" s="135"/>
    </row>
    <row r="742" spans="1:7" x14ac:dyDescent="0.25">
      <c r="A742" s="940">
        <v>3490</v>
      </c>
      <c r="B742" s="940">
        <v>0</v>
      </c>
      <c r="C742" t="s">
        <v>3992</v>
      </c>
      <c r="D742" s="940" t="s">
        <v>3993</v>
      </c>
      <c r="E742" t="s">
        <v>120</v>
      </c>
      <c r="F742">
        <v>1</v>
      </c>
      <c r="G742" s="135"/>
    </row>
    <row r="743" spans="1:7" x14ac:dyDescent="0.25">
      <c r="A743" s="940">
        <v>1339</v>
      </c>
      <c r="B743" s="940">
        <v>128</v>
      </c>
      <c r="C743" t="s">
        <v>3994</v>
      </c>
      <c r="D743" s="940" t="s">
        <v>3995</v>
      </c>
      <c r="E743" t="s">
        <v>164</v>
      </c>
      <c r="F743">
        <v>1</v>
      </c>
      <c r="G743" s="135"/>
    </row>
    <row r="744" spans="1:7" x14ac:dyDescent="0.25">
      <c r="A744" s="940">
        <v>1233</v>
      </c>
      <c r="B744" s="940">
        <v>149</v>
      </c>
      <c r="C744" t="s">
        <v>3996</v>
      </c>
      <c r="D744" s="940" t="s">
        <v>3997</v>
      </c>
      <c r="E744" t="s">
        <v>3998</v>
      </c>
      <c r="F744">
        <v>1</v>
      </c>
      <c r="G744" s="135"/>
    </row>
    <row r="745" spans="1:7" x14ac:dyDescent="0.25">
      <c r="A745" s="940">
        <v>1756</v>
      </c>
      <c r="B745" s="940">
        <v>78</v>
      </c>
      <c r="C745" t="s">
        <v>3999</v>
      </c>
      <c r="D745" s="940" t="s">
        <v>3431</v>
      </c>
      <c r="E745" t="s">
        <v>145</v>
      </c>
      <c r="F745">
        <v>1</v>
      </c>
      <c r="G745" s="135"/>
    </row>
    <row r="746" spans="1:7" x14ac:dyDescent="0.25">
      <c r="A746" s="940">
        <v>709</v>
      </c>
      <c r="B746" s="940">
        <v>344</v>
      </c>
      <c r="C746" t="s">
        <v>1444</v>
      </c>
      <c r="D746" s="940" t="s">
        <v>4000</v>
      </c>
      <c r="E746" t="s">
        <v>4001</v>
      </c>
      <c r="F746">
        <v>1</v>
      </c>
      <c r="G746" s="135"/>
    </row>
    <row r="747" spans="1:7" x14ac:dyDescent="0.25">
      <c r="A747" s="940">
        <v>485</v>
      </c>
      <c r="B747" s="940">
        <v>486</v>
      </c>
      <c r="C747" t="s">
        <v>4002</v>
      </c>
      <c r="D747" s="940" t="s">
        <v>4003</v>
      </c>
      <c r="E747" t="s">
        <v>1285</v>
      </c>
      <c r="F747">
        <v>1</v>
      </c>
      <c r="G747" s="135"/>
    </row>
    <row r="748" spans="1:7" x14ac:dyDescent="0.25">
      <c r="A748" s="940">
        <v>1500</v>
      </c>
      <c r="B748" s="940">
        <v>106</v>
      </c>
      <c r="C748" t="s">
        <v>4004</v>
      </c>
      <c r="D748" s="940" t="s">
        <v>3508</v>
      </c>
      <c r="E748" t="s">
        <v>4005</v>
      </c>
      <c r="F748">
        <v>1</v>
      </c>
      <c r="G748" s="135"/>
    </row>
    <row r="749" spans="1:7" x14ac:dyDescent="0.25">
      <c r="A749" s="940">
        <v>1280</v>
      </c>
      <c r="B749" s="940">
        <v>140</v>
      </c>
      <c r="C749" t="s">
        <v>4006</v>
      </c>
      <c r="D749" s="940" t="s">
        <v>4007</v>
      </c>
      <c r="E749" t="s">
        <v>1332</v>
      </c>
      <c r="F749">
        <v>1</v>
      </c>
      <c r="G749" s="135"/>
    </row>
    <row r="750" spans="1:7" x14ac:dyDescent="0.25">
      <c r="A750" s="940">
        <v>466</v>
      </c>
      <c r="B750" s="940">
        <v>507</v>
      </c>
      <c r="C750" t="s">
        <v>4008</v>
      </c>
      <c r="D750" s="940" t="s">
        <v>3693</v>
      </c>
      <c r="E750" t="s">
        <v>140</v>
      </c>
      <c r="F750">
        <v>1</v>
      </c>
      <c r="G750" s="135"/>
    </row>
    <row r="751" spans="1:7" x14ac:dyDescent="0.25">
      <c r="A751" s="940">
        <v>2839</v>
      </c>
      <c r="B751" s="940">
        <v>12</v>
      </c>
      <c r="C751" t="s">
        <v>4009</v>
      </c>
      <c r="D751" s="940" t="s">
        <v>4010</v>
      </c>
      <c r="E751" t="s">
        <v>140</v>
      </c>
      <c r="F751">
        <v>1</v>
      </c>
      <c r="G751" s="135"/>
    </row>
    <row r="752" spans="1:7" x14ac:dyDescent="0.25">
      <c r="A752" s="940">
        <v>719</v>
      </c>
      <c r="B752" s="940">
        <v>337</v>
      </c>
      <c r="C752" t="s">
        <v>4011</v>
      </c>
      <c r="D752" s="940" t="s">
        <v>4012</v>
      </c>
      <c r="E752" t="s">
        <v>130</v>
      </c>
      <c r="F752">
        <v>1</v>
      </c>
      <c r="G752" s="135"/>
    </row>
    <row r="753" spans="1:7" x14ac:dyDescent="0.25">
      <c r="A753" s="940">
        <v>2582</v>
      </c>
      <c r="B753" s="940">
        <v>21</v>
      </c>
      <c r="C753" t="s">
        <v>4011</v>
      </c>
      <c r="D753" s="940" t="s">
        <v>4013</v>
      </c>
      <c r="E753" t="s">
        <v>4014</v>
      </c>
      <c r="F753">
        <v>1</v>
      </c>
      <c r="G753" s="135"/>
    </row>
    <row r="754" spans="1:7" x14ac:dyDescent="0.25">
      <c r="A754" s="940">
        <v>1489</v>
      </c>
      <c r="B754" s="940">
        <v>107</v>
      </c>
      <c r="C754" t="s">
        <v>4015</v>
      </c>
      <c r="D754" s="940" t="s">
        <v>4016</v>
      </c>
      <c r="E754" t="s">
        <v>99</v>
      </c>
      <c r="F754">
        <v>1</v>
      </c>
      <c r="G754" s="135"/>
    </row>
    <row r="755" spans="1:7" x14ac:dyDescent="0.25">
      <c r="A755" s="940">
        <v>1600</v>
      </c>
      <c r="B755" s="940">
        <v>95</v>
      </c>
      <c r="C755" t="s">
        <v>4015</v>
      </c>
      <c r="D755" s="940" t="s">
        <v>4017</v>
      </c>
      <c r="E755" t="s">
        <v>3648</v>
      </c>
      <c r="F755">
        <v>1</v>
      </c>
      <c r="G755" s="135"/>
    </row>
    <row r="756" spans="1:7" x14ac:dyDescent="0.25">
      <c r="A756" s="940">
        <v>192</v>
      </c>
      <c r="B756" s="940">
        <v>909</v>
      </c>
      <c r="C756" t="s">
        <v>4018</v>
      </c>
      <c r="D756" s="940" t="s">
        <v>4019</v>
      </c>
      <c r="E756" t="s">
        <v>171</v>
      </c>
      <c r="F756">
        <v>1</v>
      </c>
      <c r="G756" s="135"/>
    </row>
    <row r="757" spans="1:7" x14ac:dyDescent="0.25">
      <c r="A757" s="940">
        <v>2484</v>
      </c>
      <c r="B757" s="940">
        <v>26</v>
      </c>
      <c r="C757" t="s">
        <v>4020</v>
      </c>
      <c r="D757" s="940" t="s">
        <v>4021</v>
      </c>
      <c r="E757" t="s">
        <v>1491</v>
      </c>
      <c r="F757">
        <v>1</v>
      </c>
      <c r="G757" s="135"/>
    </row>
    <row r="758" spans="1:7" x14ac:dyDescent="0.25">
      <c r="A758" s="940">
        <v>1322</v>
      </c>
      <c r="B758" s="940">
        <v>131</v>
      </c>
      <c r="C758" t="s">
        <v>4022</v>
      </c>
      <c r="D758" s="940" t="s">
        <v>4023</v>
      </c>
      <c r="E758" t="s">
        <v>1358</v>
      </c>
      <c r="F758">
        <v>1</v>
      </c>
      <c r="G758" s="135"/>
    </row>
    <row r="759" spans="1:7" x14ac:dyDescent="0.25">
      <c r="A759" s="940">
        <v>2782</v>
      </c>
      <c r="B759" s="940">
        <v>14</v>
      </c>
      <c r="C759" t="s">
        <v>4024</v>
      </c>
      <c r="D759" s="940" t="s">
        <v>4025</v>
      </c>
      <c r="E759" t="s">
        <v>3986</v>
      </c>
      <c r="F759">
        <v>1</v>
      </c>
      <c r="G759" s="135"/>
    </row>
    <row r="760" spans="1:7" x14ac:dyDescent="0.25">
      <c r="A760" s="940">
        <v>3490</v>
      </c>
      <c r="B760" s="940">
        <v>0</v>
      </c>
      <c r="C760" t="s">
        <v>4026</v>
      </c>
      <c r="D760" s="940" t="s">
        <v>4027</v>
      </c>
      <c r="E760" t="s">
        <v>113</v>
      </c>
      <c r="F760">
        <v>1</v>
      </c>
      <c r="G760" s="135"/>
    </row>
    <row r="761" spans="1:7" x14ac:dyDescent="0.25">
      <c r="A761" s="940">
        <v>1913</v>
      </c>
      <c r="B761" s="940">
        <v>63</v>
      </c>
      <c r="C761" t="s">
        <v>4028</v>
      </c>
      <c r="D761" s="940" t="s">
        <v>3654</v>
      </c>
      <c r="E761" t="s">
        <v>110</v>
      </c>
      <c r="F761">
        <v>1</v>
      </c>
      <c r="G761" s="135"/>
    </row>
    <row r="762" spans="1:7" x14ac:dyDescent="0.25">
      <c r="A762" s="940">
        <v>1145</v>
      </c>
      <c r="B762" s="940">
        <v>169</v>
      </c>
      <c r="C762" t="s">
        <v>4029</v>
      </c>
      <c r="D762" s="940" t="s">
        <v>4030</v>
      </c>
      <c r="E762" t="s">
        <v>120</v>
      </c>
      <c r="F762">
        <v>1</v>
      </c>
      <c r="G762" s="135"/>
    </row>
    <row r="763" spans="1:7" x14ac:dyDescent="0.25">
      <c r="A763" s="940">
        <v>974</v>
      </c>
      <c r="B763" s="940">
        <v>226</v>
      </c>
      <c r="C763" t="s">
        <v>4031</v>
      </c>
      <c r="D763" s="940" t="s">
        <v>4032</v>
      </c>
      <c r="E763" t="s">
        <v>3200</v>
      </c>
      <c r="F763">
        <v>1</v>
      </c>
      <c r="G763" s="135"/>
    </row>
    <row r="764" spans="1:7" x14ac:dyDescent="0.25">
      <c r="A764" s="940">
        <v>3490</v>
      </c>
      <c r="B764" s="940">
        <v>0</v>
      </c>
      <c r="C764" t="s">
        <v>4033</v>
      </c>
      <c r="D764" s="940" t="s">
        <v>3789</v>
      </c>
      <c r="E764" t="s">
        <v>1460</v>
      </c>
      <c r="F764">
        <v>1</v>
      </c>
      <c r="G764" s="135"/>
    </row>
    <row r="765" spans="1:7" x14ac:dyDescent="0.25">
      <c r="A765" s="940">
        <v>3327</v>
      </c>
      <c r="B765" s="940">
        <v>2</v>
      </c>
      <c r="C765" t="s">
        <v>4034</v>
      </c>
      <c r="D765" s="940" t="s">
        <v>4035</v>
      </c>
      <c r="E765" t="s">
        <v>1200</v>
      </c>
      <c r="F765">
        <v>1</v>
      </c>
      <c r="G765" s="135"/>
    </row>
    <row r="766" spans="1:7" x14ac:dyDescent="0.25">
      <c r="A766" s="940">
        <v>1994</v>
      </c>
      <c r="B766" s="940">
        <v>56</v>
      </c>
      <c r="C766" t="s">
        <v>4036</v>
      </c>
      <c r="D766" s="940" t="s">
        <v>4037</v>
      </c>
      <c r="E766" t="s">
        <v>1214</v>
      </c>
      <c r="F766">
        <v>1</v>
      </c>
      <c r="G766" s="135"/>
    </row>
    <row r="767" spans="1:7" x14ac:dyDescent="0.25">
      <c r="A767" s="940">
        <v>3196</v>
      </c>
      <c r="B767" s="940">
        <v>4</v>
      </c>
      <c r="C767" t="s">
        <v>4038</v>
      </c>
      <c r="D767" s="940" t="s">
        <v>4039</v>
      </c>
      <c r="E767" t="s">
        <v>105</v>
      </c>
      <c r="F767">
        <v>1</v>
      </c>
      <c r="G767" s="135"/>
    </row>
    <row r="768" spans="1:7" x14ac:dyDescent="0.25">
      <c r="A768" s="940">
        <v>1774</v>
      </c>
      <c r="B768" s="940">
        <v>76</v>
      </c>
      <c r="C768" t="s">
        <v>4040</v>
      </c>
      <c r="D768" s="940" t="s">
        <v>4041</v>
      </c>
      <c r="E768" t="s">
        <v>2793</v>
      </c>
      <c r="F768">
        <v>1</v>
      </c>
      <c r="G768" s="135"/>
    </row>
    <row r="769" spans="1:7" x14ac:dyDescent="0.25">
      <c r="A769" s="940">
        <v>2996</v>
      </c>
      <c r="B769" s="940">
        <v>8</v>
      </c>
      <c r="C769" t="s">
        <v>4042</v>
      </c>
      <c r="D769" s="940" t="s">
        <v>4043</v>
      </c>
      <c r="E769" t="s">
        <v>140</v>
      </c>
      <c r="F769">
        <v>1</v>
      </c>
      <c r="G769" s="135"/>
    </row>
    <row r="770" spans="1:7" x14ac:dyDescent="0.25">
      <c r="A770" s="940">
        <v>2048</v>
      </c>
      <c r="B770" s="940">
        <v>52</v>
      </c>
      <c r="C770" t="s">
        <v>4044</v>
      </c>
      <c r="D770" s="940" t="s">
        <v>3267</v>
      </c>
      <c r="E770" t="s">
        <v>130</v>
      </c>
      <c r="F770">
        <v>1</v>
      </c>
      <c r="G770" s="135"/>
    </row>
    <row r="771" spans="1:7" x14ac:dyDescent="0.25">
      <c r="A771" s="940">
        <v>2174</v>
      </c>
      <c r="B771" s="940">
        <v>44</v>
      </c>
      <c r="C771" t="s">
        <v>4045</v>
      </c>
      <c r="D771" s="940" t="s">
        <v>4046</v>
      </c>
      <c r="E771" t="s">
        <v>165</v>
      </c>
      <c r="F771">
        <v>1</v>
      </c>
      <c r="G771" s="135"/>
    </row>
    <row r="772" spans="1:7" x14ac:dyDescent="0.25">
      <c r="A772" s="940">
        <v>2405</v>
      </c>
      <c r="B772" s="940">
        <v>30</v>
      </c>
      <c r="C772" t="s">
        <v>4047</v>
      </c>
      <c r="D772" s="940" t="s">
        <v>4048</v>
      </c>
      <c r="E772" t="s">
        <v>105</v>
      </c>
      <c r="F772">
        <v>1</v>
      </c>
      <c r="G772" s="135"/>
    </row>
    <row r="773" spans="1:7" x14ac:dyDescent="0.25">
      <c r="A773" s="940">
        <v>857</v>
      </c>
      <c r="B773" s="940">
        <v>270</v>
      </c>
      <c r="C773" t="s">
        <v>4049</v>
      </c>
      <c r="D773" s="940" t="s">
        <v>4050</v>
      </c>
      <c r="E773" t="s">
        <v>3140</v>
      </c>
      <c r="F773">
        <v>1</v>
      </c>
      <c r="G773" s="135"/>
    </row>
    <row r="774" spans="1:7" x14ac:dyDescent="0.25">
      <c r="A774" s="940">
        <v>3490</v>
      </c>
      <c r="B774" s="940">
        <v>0</v>
      </c>
      <c r="C774" t="s">
        <v>4051</v>
      </c>
      <c r="D774" s="940" t="s">
        <v>4052</v>
      </c>
      <c r="E774" t="s">
        <v>171</v>
      </c>
      <c r="F774">
        <v>1</v>
      </c>
      <c r="G774" s="135"/>
    </row>
    <row r="775" spans="1:7" x14ac:dyDescent="0.25">
      <c r="A775" s="940">
        <v>2499</v>
      </c>
      <c r="B775" s="940">
        <v>25</v>
      </c>
      <c r="C775" t="s">
        <v>4053</v>
      </c>
      <c r="D775" s="940" t="s">
        <v>4054</v>
      </c>
      <c r="E775" t="s">
        <v>1214</v>
      </c>
      <c r="F775">
        <v>1</v>
      </c>
      <c r="G775" s="135"/>
    </row>
    <row r="776" spans="1:7" x14ac:dyDescent="0.25">
      <c r="A776" s="940">
        <v>3089</v>
      </c>
      <c r="B776" s="940">
        <v>6</v>
      </c>
      <c r="C776" t="s">
        <v>4055</v>
      </c>
      <c r="D776" s="940" t="s">
        <v>4056</v>
      </c>
      <c r="E776" t="s">
        <v>1587</v>
      </c>
      <c r="F776">
        <v>1</v>
      </c>
      <c r="G776" s="135"/>
    </row>
    <row r="777" spans="1:7" x14ac:dyDescent="0.25">
      <c r="A777" s="940">
        <v>2539</v>
      </c>
      <c r="B777" s="940">
        <v>23</v>
      </c>
      <c r="C777" t="s">
        <v>4057</v>
      </c>
      <c r="D777" s="940" t="s">
        <v>4058</v>
      </c>
      <c r="E777" t="s">
        <v>1587</v>
      </c>
      <c r="F777">
        <v>1</v>
      </c>
      <c r="G777" s="135"/>
    </row>
    <row r="778" spans="1:7" x14ac:dyDescent="0.25">
      <c r="A778" s="940">
        <v>815</v>
      </c>
      <c r="B778" s="940">
        <v>292</v>
      </c>
      <c r="C778" t="s">
        <v>4059</v>
      </c>
      <c r="D778" s="940" t="s">
        <v>4060</v>
      </c>
      <c r="E778" t="s">
        <v>1236</v>
      </c>
      <c r="F778">
        <v>1</v>
      </c>
      <c r="G778" s="135"/>
    </row>
    <row r="779" spans="1:7" x14ac:dyDescent="0.25">
      <c r="A779" s="940">
        <v>3490</v>
      </c>
      <c r="B779" s="940">
        <v>0</v>
      </c>
      <c r="C779" t="s">
        <v>4061</v>
      </c>
      <c r="D779" s="940" t="s">
        <v>4062</v>
      </c>
      <c r="E779" t="s">
        <v>128</v>
      </c>
      <c r="F779">
        <v>1</v>
      </c>
      <c r="G779" s="135"/>
    </row>
    <row r="780" spans="1:7" x14ac:dyDescent="0.25">
      <c r="A780" s="940">
        <v>2416</v>
      </c>
      <c r="B780" s="940">
        <v>29</v>
      </c>
      <c r="C780" t="s">
        <v>4063</v>
      </c>
      <c r="D780" s="940" t="s">
        <v>4064</v>
      </c>
      <c r="E780" t="s">
        <v>1408</v>
      </c>
      <c r="F780">
        <v>1</v>
      </c>
      <c r="G780" s="135"/>
    </row>
    <row r="781" spans="1:7" x14ac:dyDescent="0.25">
      <c r="A781" s="940">
        <v>974</v>
      </c>
      <c r="B781" s="940">
        <v>226</v>
      </c>
      <c r="C781" t="s">
        <v>4065</v>
      </c>
      <c r="D781" s="940" t="s">
        <v>4066</v>
      </c>
      <c r="E781" t="s">
        <v>200</v>
      </c>
      <c r="F781">
        <v>1</v>
      </c>
      <c r="G781" s="135"/>
    </row>
    <row r="782" spans="1:7" x14ac:dyDescent="0.25">
      <c r="A782" s="940">
        <v>1724</v>
      </c>
      <c r="B782" s="940">
        <v>81</v>
      </c>
      <c r="C782" t="s">
        <v>4067</v>
      </c>
      <c r="D782" s="940" t="s">
        <v>4068</v>
      </c>
      <c r="E782" t="s">
        <v>127</v>
      </c>
      <c r="F782">
        <v>1</v>
      </c>
      <c r="G782" s="135"/>
    </row>
    <row r="783" spans="1:7" x14ac:dyDescent="0.25">
      <c r="A783" s="940">
        <v>625</v>
      </c>
      <c r="B783" s="940">
        <v>385</v>
      </c>
      <c r="C783" t="s">
        <v>4069</v>
      </c>
      <c r="D783" s="940" t="s">
        <v>4070</v>
      </c>
      <c r="E783" t="s">
        <v>84</v>
      </c>
      <c r="F783">
        <v>1</v>
      </c>
      <c r="G783" s="135"/>
    </row>
    <row r="784" spans="1:7" x14ac:dyDescent="0.25">
      <c r="A784" s="940">
        <v>2221</v>
      </c>
      <c r="B784" s="940">
        <v>41</v>
      </c>
      <c r="C784" t="s">
        <v>4071</v>
      </c>
      <c r="D784" s="940" t="s">
        <v>4072</v>
      </c>
      <c r="E784" t="s">
        <v>282</v>
      </c>
      <c r="F784">
        <v>1</v>
      </c>
      <c r="G784" s="135"/>
    </row>
    <row r="785" spans="1:7" x14ac:dyDescent="0.25">
      <c r="A785" s="940">
        <v>2381</v>
      </c>
      <c r="B785" s="940">
        <v>31</v>
      </c>
      <c r="C785" t="s">
        <v>4073</v>
      </c>
      <c r="D785" s="940" t="s">
        <v>4074</v>
      </c>
      <c r="E785" t="s">
        <v>130</v>
      </c>
      <c r="F785">
        <v>1</v>
      </c>
      <c r="G785" s="135"/>
    </row>
    <row r="786" spans="1:7" x14ac:dyDescent="0.25">
      <c r="A786" s="940">
        <v>3490</v>
      </c>
      <c r="B786" s="940">
        <v>0</v>
      </c>
      <c r="C786" t="s">
        <v>4075</v>
      </c>
      <c r="D786" s="940" t="s">
        <v>4076</v>
      </c>
      <c r="E786" t="s">
        <v>105</v>
      </c>
      <c r="F786">
        <v>1</v>
      </c>
      <c r="G786" s="135"/>
    </row>
    <row r="787" spans="1:7" x14ac:dyDescent="0.25">
      <c r="A787" s="940">
        <v>2129</v>
      </c>
      <c r="B787" s="940">
        <v>46</v>
      </c>
      <c r="C787" t="s">
        <v>4077</v>
      </c>
      <c r="D787" s="940" t="s">
        <v>3882</v>
      </c>
      <c r="E787" t="s">
        <v>138</v>
      </c>
      <c r="F787">
        <v>1</v>
      </c>
      <c r="G787" s="135"/>
    </row>
    <row r="788" spans="1:7" x14ac:dyDescent="0.25">
      <c r="A788" s="940">
        <v>3490</v>
      </c>
      <c r="B788" s="940">
        <v>0</v>
      </c>
      <c r="C788" t="s">
        <v>4078</v>
      </c>
      <c r="D788" s="940" t="s">
        <v>4079</v>
      </c>
      <c r="E788" t="s">
        <v>74</v>
      </c>
      <c r="F788">
        <v>1</v>
      </c>
      <c r="G788" s="135"/>
    </row>
    <row r="789" spans="1:7" x14ac:dyDescent="0.25">
      <c r="A789" s="940">
        <v>1548</v>
      </c>
      <c r="B789" s="940">
        <v>101</v>
      </c>
      <c r="C789" t="s">
        <v>4080</v>
      </c>
      <c r="D789" s="940" t="s">
        <v>4081</v>
      </c>
      <c r="E789" t="s">
        <v>4082</v>
      </c>
      <c r="F789">
        <v>1</v>
      </c>
      <c r="G789" s="135"/>
    </row>
    <row r="790" spans="1:7" x14ac:dyDescent="0.25">
      <c r="A790" s="940">
        <v>2221</v>
      </c>
      <c r="B790" s="940">
        <v>41</v>
      </c>
      <c r="C790" t="s">
        <v>4083</v>
      </c>
      <c r="D790" s="940" t="s">
        <v>4084</v>
      </c>
      <c r="E790" t="s">
        <v>113</v>
      </c>
      <c r="F790">
        <v>1</v>
      </c>
      <c r="G790" s="135"/>
    </row>
    <row r="791" spans="1:7" x14ac:dyDescent="0.25">
      <c r="A791" s="940">
        <v>1756</v>
      </c>
      <c r="B791" s="940">
        <v>78</v>
      </c>
      <c r="C791" t="s">
        <v>4085</v>
      </c>
      <c r="D791" s="940" t="s">
        <v>4086</v>
      </c>
      <c r="E791" t="s">
        <v>99</v>
      </c>
      <c r="F791">
        <v>1</v>
      </c>
      <c r="G791" s="135"/>
    </row>
    <row r="792" spans="1:7" x14ac:dyDescent="0.25">
      <c r="A792" s="940">
        <v>571</v>
      </c>
      <c r="B792" s="940">
        <v>421</v>
      </c>
      <c r="C792" t="s">
        <v>1462</v>
      </c>
      <c r="D792" s="940" t="s">
        <v>4087</v>
      </c>
      <c r="E792" t="s">
        <v>99</v>
      </c>
      <c r="F792">
        <v>1</v>
      </c>
      <c r="G792" s="135"/>
    </row>
    <row r="793" spans="1:7" x14ac:dyDescent="0.25">
      <c r="A793" s="940">
        <v>442</v>
      </c>
      <c r="B793" s="940">
        <v>530</v>
      </c>
      <c r="C793" t="s">
        <v>4088</v>
      </c>
      <c r="D793" s="940" t="s">
        <v>4089</v>
      </c>
      <c r="E793" t="s">
        <v>3098</v>
      </c>
      <c r="F793">
        <v>1</v>
      </c>
      <c r="G793" s="135"/>
    </row>
    <row r="794" spans="1:7" x14ac:dyDescent="0.25">
      <c r="A794" s="940">
        <v>878</v>
      </c>
      <c r="B794" s="940">
        <v>261</v>
      </c>
      <c r="C794" t="s">
        <v>4090</v>
      </c>
      <c r="D794" s="940" t="s">
        <v>4091</v>
      </c>
      <c r="E794" t="s">
        <v>105</v>
      </c>
      <c r="F794">
        <v>1</v>
      </c>
      <c r="G794" s="135"/>
    </row>
    <row r="795" spans="1:7" x14ac:dyDescent="0.25">
      <c r="A795" s="940">
        <v>2129</v>
      </c>
      <c r="B795" s="940">
        <v>46</v>
      </c>
      <c r="C795" t="s">
        <v>4092</v>
      </c>
      <c r="D795" s="940" t="s">
        <v>2845</v>
      </c>
      <c r="E795" t="s">
        <v>83</v>
      </c>
      <c r="F795">
        <v>1</v>
      </c>
      <c r="G795" s="135"/>
    </row>
    <row r="796" spans="1:7" x14ac:dyDescent="0.25">
      <c r="A796" s="940">
        <v>3490</v>
      </c>
      <c r="B796" s="940">
        <v>0</v>
      </c>
      <c r="C796" t="s">
        <v>4093</v>
      </c>
      <c r="D796" s="940" t="s">
        <v>4094</v>
      </c>
      <c r="E796" t="s">
        <v>3140</v>
      </c>
      <c r="F796">
        <v>1</v>
      </c>
      <c r="G796" s="135"/>
    </row>
    <row r="797" spans="1:7" x14ac:dyDescent="0.25">
      <c r="A797" s="940">
        <v>1036</v>
      </c>
      <c r="B797" s="940">
        <v>204</v>
      </c>
      <c r="C797" t="s">
        <v>4095</v>
      </c>
      <c r="D797" s="940" t="s">
        <v>4096</v>
      </c>
      <c r="E797" t="s">
        <v>112</v>
      </c>
      <c r="F797">
        <v>1</v>
      </c>
      <c r="G797" s="135"/>
    </row>
    <row r="798" spans="1:7" x14ac:dyDescent="0.25">
      <c r="A798" s="940">
        <v>284</v>
      </c>
      <c r="B798" s="940">
        <v>740</v>
      </c>
      <c r="C798" t="s">
        <v>4097</v>
      </c>
      <c r="D798" s="940" t="s">
        <v>4098</v>
      </c>
      <c r="E798" t="s">
        <v>3140</v>
      </c>
      <c r="F798">
        <v>1</v>
      </c>
      <c r="G798" s="135"/>
    </row>
    <row r="799" spans="1:7" x14ac:dyDescent="0.25">
      <c r="A799" s="940">
        <v>966</v>
      </c>
      <c r="B799" s="940">
        <v>230</v>
      </c>
      <c r="C799" t="s">
        <v>4099</v>
      </c>
      <c r="D799" s="940" t="s">
        <v>4100</v>
      </c>
      <c r="E799" t="s">
        <v>2916</v>
      </c>
      <c r="F799">
        <v>1</v>
      </c>
      <c r="G799" s="135"/>
    </row>
    <row r="800" spans="1:7" x14ac:dyDescent="0.25">
      <c r="A800" s="940">
        <v>1452</v>
      </c>
      <c r="B800" s="940">
        <v>113</v>
      </c>
      <c r="C800" t="s">
        <v>1466</v>
      </c>
      <c r="D800" s="940" t="s">
        <v>4101</v>
      </c>
      <c r="E800" t="s">
        <v>120</v>
      </c>
      <c r="F800">
        <v>1</v>
      </c>
      <c r="G800" s="135"/>
    </row>
    <row r="801" spans="1:7" x14ac:dyDescent="0.25">
      <c r="A801" s="940">
        <v>2272</v>
      </c>
      <c r="B801" s="940">
        <v>38</v>
      </c>
      <c r="C801" t="s">
        <v>4102</v>
      </c>
      <c r="D801" s="940" t="s">
        <v>4103</v>
      </c>
      <c r="E801" t="s">
        <v>4104</v>
      </c>
      <c r="F801">
        <v>1</v>
      </c>
      <c r="G801" s="135"/>
    </row>
    <row r="802" spans="1:7" x14ac:dyDescent="0.25">
      <c r="A802" s="940">
        <v>3490</v>
      </c>
      <c r="B802" s="940">
        <v>0</v>
      </c>
      <c r="C802" t="s">
        <v>4105</v>
      </c>
      <c r="D802" s="940" t="s">
        <v>4106</v>
      </c>
      <c r="E802" t="s">
        <v>213</v>
      </c>
      <c r="F802">
        <v>1</v>
      </c>
      <c r="G802" s="135"/>
    </row>
    <row r="803" spans="1:7" x14ac:dyDescent="0.25">
      <c r="A803" s="940">
        <v>387</v>
      </c>
      <c r="B803" s="940">
        <v>586</v>
      </c>
      <c r="C803" t="s">
        <v>4107</v>
      </c>
      <c r="D803" s="940" t="s">
        <v>4108</v>
      </c>
      <c r="E803" t="s">
        <v>1906</v>
      </c>
      <c r="F803">
        <v>1</v>
      </c>
      <c r="G803" s="135"/>
    </row>
    <row r="804" spans="1:7" x14ac:dyDescent="0.25">
      <c r="A804" s="940">
        <v>3045</v>
      </c>
      <c r="B804" s="940">
        <v>7</v>
      </c>
      <c r="C804" t="s">
        <v>4109</v>
      </c>
      <c r="D804" s="940" t="s">
        <v>4110</v>
      </c>
      <c r="E804" t="s">
        <v>111</v>
      </c>
      <c r="F804">
        <v>1</v>
      </c>
      <c r="G804" s="135"/>
    </row>
    <row r="805" spans="1:7" x14ac:dyDescent="0.25">
      <c r="A805" s="940">
        <v>592</v>
      </c>
      <c r="B805" s="940">
        <v>409</v>
      </c>
      <c r="C805" t="s">
        <v>4111</v>
      </c>
      <c r="D805" s="940" t="s">
        <v>4112</v>
      </c>
      <c r="E805" t="s">
        <v>107</v>
      </c>
      <c r="F805">
        <v>1</v>
      </c>
      <c r="G805" s="135"/>
    </row>
    <row r="806" spans="1:7" x14ac:dyDescent="0.25">
      <c r="A806" s="940">
        <v>1756</v>
      </c>
      <c r="B806" s="940">
        <v>78</v>
      </c>
      <c r="C806" t="s">
        <v>4113</v>
      </c>
      <c r="D806" s="940" t="s">
        <v>4114</v>
      </c>
      <c r="E806" t="s">
        <v>155</v>
      </c>
      <c r="F806">
        <v>1</v>
      </c>
      <c r="G806" s="135"/>
    </row>
    <row r="807" spans="1:7" x14ac:dyDescent="0.25">
      <c r="A807" s="940">
        <v>1031</v>
      </c>
      <c r="B807" s="940">
        <v>205</v>
      </c>
      <c r="C807" t="s">
        <v>4115</v>
      </c>
      <c r="D807" s="940" t="s">
        <v>4116</v>
      </c>
      <c r="E807" t="s">
        <v>3090</v>
      </c>
      <c r="F807">
        <v>1</v>
      </c>
      <c r="G807" s="135"/>
    </row>
    <row r="808" spans="1:7" x14ac:dyDescent="0.25">
      <c r="A808" s="940">
        <v>1581</v>
      </c>
      <c r="B808" s="940">
        <v>97</v>
      </c>
      <c r="C808" t="s">
        <v>4117</v>
      </c>
      <c r="D808" s="940" t="s">
        <v>4118</v>
      </c>
      <c r="E808" t="s">
        <v>4119</v>
      </c>
      <c r="F808">
        <v>1</v>
      </c>
      <c r="G808" s="135"/>
    </row>
    <row r="809" spans="1:7" x14ac:dyDescent="0.25">
      <c r="A809" s="940">
        <v>1977</v>
      </c>
      <c r="B809" s="940">
        <v>58</v>
      </c>
      <c r="C809" t="s">
        <v>4120</v>
      </c>
      <c r="D809" s="940" t="s">
        <v>4121</v>
      </c>
      <c r="E809" t="s">
        <v>208</v>
      </c>
      <c r="F809">
        <v>1</v>
      </c>
      <c r="G809" s="135"/>
    </row>
    <row r="810" spans="1:7" x14ac:dyDescent="0.25">
      <c r="A810" s="940">
        <v>2484</v>
      </c>
      <c r="B810" s="940">
        <v>26</v>
      </c>
      <c r="C810" t="s">
        <v>4122</v>
      </c>
      <c r="D810" s="940" t="s">
        <v>4123</v>
      </c>
      <c r="E810" t="s">
        <v>163</v>
      </c>
      <c r="F810">
        <v>1</v>
      </c>
      <c r="G810" s="135"/>
    </row>
    <row r="811" spans="1:7" x14ac:dyDescent="0.25">
      <c r="A811" s="940">
        <v>3490</v>
      </c>
      <c r="B811" s="940">
        <v>0</v>
      </c>
      <c r="C811" t="s">
        <v>4124</v>
      </c>
      <c r="D811" s="940" t="s">
        <v>4125</v>
      </c>
      <c r="E811" t="s">
        <v>614</v>
      </c>
      <c r="F811">
        <v>1</v>
      </c>
      <c r="G811" s="135"/>
    </row>
    <row r="812" spans="1:7" x14ac:dyDescent="0.25">
      <c r="A812" s="940">
        <v>1020</v>
      </c>
      <c r="B812" s="940">
        <v>209</v>
      </c>
      <c r="C812" t="s">
        <v>462</v>
      </c>
      <c r="D812" s="940" t="s">
        <v>4126</v>
      </c>
      <c r="E812" t="s">
        <v>105</v>
      </c>
      <c r="F812">
        <v>1</v>
      </c>
      <c r="G812" s="135"/>
    </row>
    <row r="813" spans="1:7" x14ac:dyDescent="0.25">
      <c r="A813" s="940">
        <v>3490</v>
      </c>
      <c r="B813" s="940">
        <v>0</v>
      </c>
      <c r="C813" t="s">
        <v>4127</v>
      </c>
      <c r="D813" s="940" t="s">
        <v>3317</v>
      </c>
      <c r="E813" t="s">
        <v>1423</v>
      </c>
      <c r="F813">
        <v>1</v>
      </c>
      <c r="G813" s="135"/>
    </row>
    <row r="814" spans="1:7" x14ac:dyDescent="0.25">
      <c r="A814" s="940">
        <v>89</v>
      </c>
      <c r="B814" s="940">
        <v>1150</v>
      </c>
      <c r="C814" t="s">
        <v>688</v>
      </c>
      <c r="D814" s="940" t="s">
        <v>2893</v>
      </c>
      <c r="E814" t="s">
        <v>186</v>
      </c>
      <c r="F814">
        <v>1</v>
      </c>
      <c r="G814" s="135"/>
    </row>
    <row r="815" spans="1:7" x14ac:dyDescent="0.25">
      <c r="A815" s="940">
        <v>273</v>
      </c>
      <c r="B815" s="940">
        <v>760</v>
      </c>
      <c r="C815" t="s">
        <v>4128</v>
      </c>
      <c r="D815" s="940" t="s">
        <v>4129</v>
      </c>
      <c r="E815" t="s">
        <v>427</v>
      </c>
      <c r="F815">
        <v>1</v>
      </c>
      <c r="G815" s="135"/>
    </row>
    <row r="816" spans="1:7" x14ac:dyDescent="0.25">
      <c r="A816" s="940">
        <v>781</v>
      </c>
      <c r="B816" s="940">
        <v>305</v>
      </c>
      <c r="C816" t="s">
        <v>4130</v>
      </c>
      <c r="D816" s="940" t="s">
        <v>4131</v>
      </c>
      <c r="E816" t="s">
        <v>138</v>
      </c>
      <c r="F816">
        <v>1</v>
      </c>
      <c r="G816" s="135"/>
    </row>
    <row r="817" spans="1:7" x14ac:dyDescent="0.25">
      <c r="A817" s="940">
        <v>2416</v>
      </c>
      <c r="B817" s="940">
        <v>29</v>
      </c>
      <c r="C817" t="s">
        <v>4132</v>
      </c>
      <c r="D817" s="940" t="s">
        <v>4133</v>
      </c>
      <c r="E817" t="s">
        <v>130</v>
      </c>
      <c r="F817">
        <v>1</v>
      </c>
      <c r="G817" s="135"/>
    </row>
    <row r="818" spans="1:7" x14ac:dyDescent="0.25">
      <c r="A818" s="940">
        <v>37</v>
      </c>
      <c r="B818" s="940">
        <v>1381</v>
      </c>
      <c r="C818" t="s">
        <v>4134</v>
      </c>
      <c r="D818" s="940" t="s">
        <v>4135</v>
      </c>
      <c r="E818" t="s">
        <v>99</v>
      </c>
      <c r="F818">
        <v>1</v>
      </c>
      <c r="G818" s="135"/>
    </row>
    <row r="819" spans="1:7" x14ac:dyDescent="0.25">
      <c r="A819" s="940">
        <v>3045</v>
      </c>
      <c r="B819" s="940">
        <v>7</v>
      </c>
      <c r="C819" t="s">
        <v>4136</v>
      </c>
      <c r="D819" s="940" t="s">
        <v>4137</v>
      </c>
      <c r="E819" t="s">
        <v>1171</v>
      </c>
      <c r="F819">
        <v>1</v>
      </c>
      <c r="G819" s="135"/>
    </row>
    <row r="820" spans="1:7" x14ac:dyDescent="0.25">
      <c r="A820" s="940">
        <v>3141</v>
      </c>
      <c r="B820" s="940">
        <v>5</v>
      </c>
      <c r="C820" t="s">
        <v>4138</v>
      </c>
      <c r="D820" s="940" t="s">
        <v>4139</v>
      </c>
      <c r="E820" t="s">
        <v>118</v>
      </c>
      <c r="F820">
        <v>1</v>
      </c>
      <c r="G820" s="135"/>
    </row>
    <row r="821" spans="1:7" x14ac:dyDescent="0.25">
      <c r="A821" s="940">
        <v>3490</v>
      </c>
      <c r="B821" s="940">
        <v>0</v>
      </c>
      <c r="C821" t="s">
        <v>4140</v>
      </c>
      <c r="D821" s="940" t="s">
        <v>4141</v>
      </c>
      <c r="E821" t="s">
        <v>1363</v>
      </c>
      <c r="F821">
        <v>1</v>
      </c>
      <c r="G821" s="135"/>
    </row>
    <row r="822" spans="1:7" x14ac:dyDescent="0.25">
      <c r="A822" s="940">
        <v>1317</v>
      </c>
      <c r="B822" s="940">
        <v>132</v>
      </c>
      <c r="C822" t="s">
        <v>1473</v>
      </c>
      <c r="D822" s="940" t="s">
        <v>4142</v>
      </c>
      <c r="E822" t="s">
        <v>120</v>
      </c>
      <c r="F822">
        <v>1</v>
      </c>
      <c r="G822" s="135"/>
    </row>
    <row r="823" spans="1:7" x14ac:dyDescent="0.25">
      <c r="A823" s="940">
        <v>3395</v>
      </c>
      <c r="B823" s="940">
        <v>1</v>
      </c>
      <c r="C823" t="s">
        <v>1474</v>
      </c>
      <c r="D823" s="940" t="s">
        <v>4143</v>
      </c>
      <c r="E823" t="s">
        <v>128</v>
      </c>
      <c r="F823">
        <v>1</v>
      </c>
      <c r="G823" s="135"/>
    </row>
    <row r="824" spans="1:7" x14ac:dyDescent="0.25">
      <c r="A824" s="940">
        <v>3395</v>
      </c>
      <c r="B824" s="940">
        <v>1</v>
      </c>
      <c r="C824" t="s">
        <v>4144</v>
      </c>
      <c r="D824" s="940" t="s">
        <v>4145</v>
      </c>
      <c r="E824" t="s">
        <v>120</v>
      </c>
      <c r="F824">
        <v>1</v>
      </c>
      <c r="G824" s="135"/>
    </row>
    <row r="825" spans="1:7" x14ac:dyDescent="0.25">
      <c r="A825" s="940">
        <v>3490</v>
      </c>
      <c r="B825" s="940">
        <v>0</v>
      </c>
      <c r="C825" t="s">
        <v>4146</v>
      </c>
      <c r="D825" s="940" t="s">
        <v>4147</v>
      </c>
      <c r="E825" t="s">
        <v>105</v>
      </c>
      <c r="F825">
        <v>1</v>
      </c>
      <c r="G825" s="135"/>
    </row>
    <row r="826" spans="1:7" x14ac:dyDescent="0.25">
      <c r="A826" s="940">
        <v>2381</v>
      </c>
      <c r="B826" s="940">
        <v>31</v>
      </c>
      <c r="C826" t="s">
        <v>4148</v>
      </c>
      <c r="D826" s="940" t="s">
        <v>4149</v>
      </c>
      <c r="E826" t="s">
        <v>1232</v>
      </c>
      <c r="F826">
        <v>1</v>
      </c>
      <c r="G826" s="135"/>
    </row>
    <row r="827" spans="1:7" x14ac:dyDescent="0.25">
      <c r="A827" s="940">
        <v>1701</v>
      </c>
      <c r="B827" s="940">
        <v>83</v>
      </c>
      <c r="C827" t="s">
        <v>4150</v>
      </c>
      <c r="D827" s="940" t="s">
        <v>4151</v>
      </c>
      <c r="E827" t="s">
        <v>111</v>
      </c>
      <c r="F827">
        <v>1</v>
      </c>
      <c r="G827" s="135"/>
    </row>
    <row r="828" spans="1:7" x14ac:dyDescent="0.25">
      <c r="A828" s="940">
        <v>3045</v>
      </c>
      <c r="B828" s="940">
        <v>7</v>
      </c>
      <c r="C828" t="s">
        <v>4152</v>
      </c>
      <c r="D828" s="940" t="s">
        <v>4153</v>
      </c>
      <c r="E828" t="s">
        <v>105</v>
      </c>
      <c r="F828">
        <v>1</v>
      </c>
      <c r="G828" s="135"/>
    </row>
    <row r="829" spans="1:7" x14ac:dyDescent="0.25">
      <c r="A829" s="940">
        <v>1711</v>
      </c>
      <c r="B829" s="940">
        <v>82</v>
      </c>
      <c r="C829" t="s">
        <v>4154</v>
      </c>
      <c r="D829" s="940" t="s">
        <v>4155</v>
      </c>
      <c r="E829" t="s">
        <v>1170</v>
      </c>
      <c r="F829">
        <v>1</v>
      </c>
      <c r="G829" s="135"/>
    </row>
    <row r="830" spans="1:7" x14ac:dyDescent="0.25">
      <c r="A830" s="940">
        <v>376</v>
      </c>
      <c r="B830" s="940">
        <v>605</v>
      </c>
      <c r="C830" t="s">
        <v>4156</v>
      </c>
      <c r="D830" s="940" t="s">
        <v>4157</v>
      </c>
      <c r="E830" t="s">
        <v>83</v>
      </c>
      <c r="F830">
        <v>1</v>
      </c>
      <c r="G830" s="135"/>
    </row>
    <row r="831" spans="1:7" x14ac:dyDescent="0.25">
      <c r="A831" s="940">
        <v>3490</v>
      </c>
      <c r="B831" s="940">
        <v>0</v>
      </c>
      <c r="C831" t="s">
        <v>4158</v>
      </c>
      <c r="D831" s="940" t="s">
        <v>4159</v>
      </c>
      <c r="E831" t="s">
        <v>1214</v>
      </c>
      <c r="F831">
        <v>1</v>
      </c>
      <c r="G831" s="135"/>
    </row>
    <row r="832" spans="1:7" x14ac:dyDescent="0.25">
      <c r="A832" s="940">
        <v>3089</v>
      </c>
      <c r="B832" s="940">
        <v>6</v>
      </c>
      <c r="C832" t="s">
        <v>4160</v>
      </c>
      <c r="D832" s="940" t="s">
        <v>2626</v>
      </c>
      <c r="E832" t="s">
        <v>1182</v>
      </c>
      <c r="F832">
        <v>1</v>
      </c>
      <c r="G832" s="135"/>
    </row>
    <row r="833" spans="1:7" x14ac:dyDescent="0.25">
      <c r="A833" s="940">
        <v>131</v>
      </c>
      <c r="B833" s="940">
        <v>1015</v>
      </c>
      <c r="C833" t="s">
        <v>4161</v>
      </c>
      <c r="D833" s="940" t="s">
        <v>4162</v>
      </c>
      <c r="E833" t="s">
        <v>105</v>
      </c>
      <c r="F833">
        <v>1</v>
      </c>
      <c r="G833" s="135"/>
    </row>
    <row r="834" spans="1:7" x14ac:dyDescent="0.25">
      <c r="A834" s="940">
        <v>1977</v>
      </c>
      <c r="B834" s="940">
        <v>58</v>
      </c>
      <c r="C834" t="s">
        <v>85</v>
      </c>
      <c r="D834" s="940" t="s">
        <v>4163</v>
      </c>
      <c r="E834" t="s">
        <v>105</v>
      </c>
      <c r="F834">
        <v>1</v>
      </c>
      <c r="G834" s="135"/>
    </row>
    <row r="835" spans="1:7" x14ac:dyDescent="0.25">
      <c r="A835" s="940">
        <v>2659</v>
      </c>
      <c r="B835" s="940">
        <v>18</v>
      </c>
      <c r="C835" t="s">
        <v>1482</v>
      </c>
      <c r="D835" s="940" t="s">
        <v>4164</v>
      </c>
      <c r="E835" t="s">
        <v>1311</v>
      </c>
      <c r="F835">
        <v>1</v>
      </c>
      <c r="G835" s="135"/>
    </row>
    <row r="836" spans="1:7" x14ac:dyDescent="0.25">
      <c r="A836" s="940">
        <v>1197</v>
      </c>
      <c r="B836" s="940">
        <v>157</v>
      </c>
      <c r="C836" t="s">
        <v>4165</v>
      </c>
      <c r="D836" s="940" t="s">
        <v>4166</v>
      </c>
      <c r="E836" t="s">
        <v>133</v>
      </c>
      <c r="F836">
        <v>1</v>
      </c>
      <c r="G836" s="135"/>
    </row>
    <row r="837" spans="1:7" x14ac:dyDescent="0.25">
      <c r="A837" s="940">
        <v>2626</v>
      </c>
      <c r="B837" s="940">
        <v>19</v>
      </c>
      <c r="C837" t="s">
        <v>4167</v>
      </c>
      <c r="D837" s="940" t="s">
        <v>2962</v>
      </c>
      <c r="E837" t="s">
        <v>74</v>
      </c>
      <c r="F837">
        <v>1</v>
      </c>
      <c r="G837" s="135"/>
    </row>
    <row r="838" spans="1:7" x14ac:dyDescent="0.25">
      <c r="A838" s="940">
        <v>3490</v>
      </c>
      <c r="B838" s="940">
        <v>0</v>
      </c>
      <c r="C838" t="s">
        <v>4168</v>
      </c>
      <c r="D838" s="940" t="s">
        <v>3614</v>
      </c>
      <c r="E838" t="s">
        <v>105</v>
      </c>
      <c r="F838">
        <v>1</v>
      </c>
      <c r="G838" s="135"/>
    </row>
    <row r="839" spans="1:7" x14ac:dyDescent="0.25">
      <c r="A839" s="940">
        <v>1711</v>
      </c>
      <c r="B839" s="940">
        <v>82</v>
      </c>
      <c r="C839" t="s">
        <v>4169</v>
      </c>
      <c r="D839" s="940" t="s">
        <v>4170</v>
      </c>
      <c r="E839" t="s">
        <v>99</v>
      </c>
      <c r="F839">
        <v>1</v>
      </c>
      <c r="G839" s="135"/>
    </row>
    <row r="840" spans="1:7" x14ac:dyDescent="0.25">
      <c r="A840" s="940">
        <v>3490</v>
      </c>
      <c r="B840" s="940">
        <v>0</v>
      </c>
      <c r="C840" t="s">
        <v>4171</v>
      </c>
      <c r="D840" s="940" t="s">
        <v>3464</v>
      </c>
      <c r="E840" t="s">
        <v>120</v>
      </c>
      <c r="F840">
        <v>1</v>
      </c>
      <c r="G840" s="135"/>
    </row>
    <row r="841" spans="1:7" x14ac:dyDescent="0.25">
      <c r="A841" s="940">
        <v>3490</v>
      </c>
      <c r="B841" s="940">
        <v>0</v>
      </c>
      <c r="C841" t="s">
        <v>4172</v>
      </c>
      <c r="D841" s="940" t="s">
        <v>4173</v>
      </c>
      <c r="E841" t="s">
        <v>136</v>
      </c>
      <c r="F841">
        <v>1</v>
      </c>
      <c r="G841" s="135"/>
    </row>
    <row r="842" spans="1:7" x14ac:dyDescent="0.25">
      <c r="A842" s="940">
        <v>3490</v>
      </c>
      <c r="B842" s="940">
        <v>0</v>
      </c>
      <c r="C842" t="s">
        <v>4174</v>
      </c>
      <c r="D842" s="940" t="s">
        <v>4175</v>
      </c>
      <c r="E842" t="s">
        <v>122</v>
      </c>
      <c r="F842">
        <v>1</v>
      </c>
      <c r="G842" s="135"/>
    </row>
    <row r="843" spans="1:7" x14ac:dyDescent="0.25">
      <c r="A843" s="940">
        <v>1924</v>
      </c>
      <c r="B843" s="940">
        <v>62</v>
      </c>
      <c r="C843" t="s">
        <v>4176</v>
      </c>
      <c r="D843" s="940" t="s">
        <v>4177</v>
      </c>
      <c r="E843" t="s">
        <v>120</v>
      </c>
      <c r="F843">
        <v>1</v>
      </c>
      <c r="G843" s="135"/>
    </row>
    <row r="844" spans="1:7" x14ac:dyDescent="0.25">
      <c r="A844" s="940">
        <v>3490</v>
      </c>
      <c r="B844" s="940">
        <v>0</v>
      </c>
      <c r="C844" t="s">
        <v>4178</v>
      </c>
      <c r="D844" s="940" t="s">
        <v>3560</v>
      </c>
      <c r="E844" t="s">
        <v>118</v>
      </c>
      <c r="F844">
        <v>1</v>
      </c>
      <c r="G844" s="135"/>
    </row>
    <row r="845" spans="1:7" x14ac:dyDescent="0.25">
      <c r="A845" s="940">
        <v>1885</v>
      </c>
      <c r="B845" s="940">
        <v>65</v>
      </c>
      <c r="C845" t="s">
        <v>4179</v>
      </c>
      <c r="D845" s="940" t="s">
        <v>4180</v>
      </c>
      <c r="E845" t="s">
        <v>2880</v>
      </c>
      <c r="F845">
        <v>1</v>
      </c>
      <c r="G845" s="135"/>
    </row>
    <row r="846" spans="1:7" x14ac:dyDescent="0.25">
      <c r="A846" s="940">
        <v>1468</v>
      </c>
      <c r="B846" s="940">
        <v>110</v>
      </c>
      <c r="C846" t="s">
        <v>4181</v>
      </c>
      <c r="D846" s="940" t="s">
        <v>4182</v>
      </c>
      <c r="E846" t="s">
        <v>2880</v>
      </c>
      <c r="F846">
        <v>1</v>
      </c>
      <c r="G846" s="135"/>
    </row>
    <row r="847" spans="1:7" x14ac:dyDescent="0.25">
      <c r="A847" s="940">
        <v>100</v>
      </c>
      <c r="B847" s="940">
        <v>1107</v>
      </c>
      <c r="C847" t="s">
        <v>4183</v>
      </c>
      <c r="D847" s="940" t="s">
        <v>4184</v>
      </c>
      <c r="E847" t="s">
        <v>1968</v>
      </c>
      <c r="F847">
        <v>1</v>
      </c>
      <c r="G847" s="135"/>
    </row>
    <row r="848" spans="1:7" x14ac:dyDescent="0.25">
      <c r="A848" s="940">
        <v>1800</v>
      </c>
      <c r="B848" s="940">
        <v>73</v>
      </c>
      <c r="C848" t="s">
        <v>4185</v>
      </c>
      <c r="D848" s="940" t="s">
        <v>4186</v>
      </c>
      <c r="E848" t="s">
        <v>2880</v>
      </c>
      <c r="F848">
        <v>1</v>
      </c>
      <c r="G848" s="135"/>
    </row>
    <row r="849" spans="1:7" x14ac:dyDescent="0.25">
      <c r="A849" s="940">
        <v>1067</v>
      </c>
      <c r="B849" s="940">
        <v>194</v>
      </c>
      <c r="C849" t="s">
        <v>203</v>
      </c>
      <c r="D849" s="940" t="s">
        <v>4187</v>
      </c>
      <c r="E849" t="s">
        <v>105</v>
      </c>
      <c r="F849">
        <v>1</v>
      </c>
      <c r="G849" s="135"/>
    </row>
    <row r="850" spans="1:7" x14ac:dyDescent="0.25">
      <c r="A850" s="940">
        <v>3490</v>
      </c>
      <c r="B850" s="940">
        <v>0</v>
      </c>
      <c r="C850" t="s">
        <v>4188</v>
      </c>
      <c r="D850" s="940" t="s">
        <v>4189</v>
      </c>
      <c r="E850" t="s">
        <v>120</v>
      </c>
      <c r="F850">
        <v>1</v>
      </c>
      <c r="G850" s="135"/>
    </row>
    <row r="851" spans="1:7" x14ac:dyDescent="0.25">
      <c r="A851" s="940">
        <v>2441</v>
      </c>
      <c r="B851" s="940">
        <v>28</v>
      </c>
      <c r="C851" t="s">
        <v>4190</v>
      </c>
      <c r="D851" s="940" t="s">
        <v>4191</v>
      </c>
      <c r="E851" t="s">
        <v>132</v>
      </c>
      <c r="F851">
        <v>1</v>
      </c>
      <c r="G851" s="135"/>
    </row>
    <row r="852" spans="1:7" x14ac:dyDescent="0.25">
      <c r="A852" s="940">
        <v>3490</v>
      </c>
      <c r="B852" s="940">
        <v>0</v>
      </c>
      <c r="C852" t="s">
        <v>4192</v>
      </c>
      <c r="D852" s="940" t="s">
        <v>4193</v>
      </c>
      <c r="E852" t="s">
        <v>1171</v>
      </c>
      <c r="F852">
        <v>1</v>
      </c>
      <c r="G852" s="135"/>
    </row>
    <row r="853" spans="1:7" x14ac:dyDescent="0.25">
      <c r="A853" s="940">
        <v>571</v>
      </c>
      <c r="B853" s="940">
        <v>421</v>
      </c>
      <c r="C853" t="s">
        <v>4194</v>
      </c>
      <c r="D853" s="940" t="s">
        <v>4195</v>
      </c>
      <c r="E853" t="s">
        <v>3098</v>
      </c>
      <c r="F853">
        <v>1</v>
      </c>
      <c r="G853" s="135"/>
    </row>
    <row r="854" spans="1:7" x14ac:dyDescent="0.25">
      <c r="A854" s="940">
        <v>709</v>
      </c>
      <c r="B854" s="940">
        <v>344</v>
      </c>
      <c r="C854" t="s">
        <v>4196</v>
      </c>
      <c r="D854" s="940" t="s">
        <v>4197</v>
      </c>
      <c r="E854" t="s">
        <v>3098</v>
      </c>
      <c r="F854">
        <v>1</v>
      </c>
      <c r="G854" s="135"/>
    </row>
    <row r="855" spans="1:7" x14ac:dyDescent="0.25">
      <c r="A855" s="940">
        <v>1478</v>
      </c>
      <c r="B855" s="940">
        <v>109</v>
      </c>
      <c r="C855" t="s">
        <v>204</v>
      </c>
      <c r="D855" s="940" t="s">
        <v>3792</v>
      </c>
      <c r="E855" t="s">
        <v>163</v>
      </c>
      <c r="F855">
        <v>1</v>
      </c>
      <c r="G855" s="135"/>
    </row>
    <row r="856" spans="1:7" x14ac:dyDescent="0.25">
      <c r="A856" s="940">
        <v>1412</v>
      </c>
      <c r="B856" s="940">
        <v>118</v>
      </c>
      <c r="C856" t="s">
        <v>4198</v>
      </c>
      <c r="D856" s="940" t="s">
        <v>4199</v>
      </c>
      <c r="E856" t="s">
        <v>3098</v>
      </c>
      <c r="F856">
        <v>1</v>
      </c>
      <c r="G856" s="135"/>
    </row>
    <row r="857" spans="1:7" x14ac:dyDescent="0.25">
      <c r="A857" s="940">
        <v>1468</v>
      </c>
      <c r="B857" s="940">
        <v>110</v>
      </c>
      <c r="C857" t="s">
        <v>4200</v>
      </c>
      <c r="D857" s="940" t="s">
        <v>4201</v>
      </c>
      <c r="E857" t="s">
        <v>1475</v>
      </c>
      <c r="F857">
        <v>1</v>
      </c>
      <c r="G857" s="135"/>
    </row>
    <row r="858" spans="1:7" x14ac:dyDescent="0.25">
      <c r="A858" s="940">
        <v>101</v>
      </c>
      <c r="B858" s="940">
        <v>1104</v>
      </c>
      <c r="C858" t="s">
        <v>4202</v>
      </c>
      <c r="D858" s="940" t="s">
        <v>4203</v>
      </c>
      <c r="E858" t="s">
        <v>4204</v>
      </c>
      <c r="F858">
        <v>1</v>
      </c>
      <c r="G858" s="135"/>
    </row>
    <row r="859" spans="1:7" x14ac:dyDescent="0.25">
      <c r="A859" s="940">
        <v>1691</v>
      </c>
      <c r="B859" s="940">
        <v>84</v>
      </c>
      <c r="C859" t="s">
        <v>4205</v>
      </c>
      <c r="D859" s="940" t="s">
        <v>4206</v>
      </c>
      <c r="E859" t="s">
        <v>105</v>
      </c>
      <c r="F859">
        <v>1</v>
      </c>
      <c r="G859" s="135"/>
    </row>
    <row r="860" spans="1:7" x14ac:dyDescent="0.25">
      <c r="A860" s="940">
        <v>1898</v>
      </c>
      <c r="B860" s="940">
        <v>64</v>
      </c>
      <c r="C860" t="s">
        <v>2545</v>
      </c>
      <c r="D860" s="940" t="s">
        <v>4207</v>
      </c>
      <c r="E860" t="s">
        <v>1483</v>
      </c>
      <c r="F860">
        <v>1</v>
      </c>
      <c r="G860" s="135"/>
    </row>
    <row r="861" spans="1:7" x14ac:dyDescent="0.25">
      <c r="A861" s="940">
        <v>1206</v>
      </c>
      <c r="B861" s="940">
        <v>155</v>
      </c>
      <c r="C861" t="s">
        <v>4208</v>
      </c>
      <c r="D861" s="940" t="s">
        <v>4209</v>
      </c>
      <c r="E861" t="s">
        <v>72</v>
      </c>
      <c r="F861">
        <v>1</v>
      </c>
      <c r="G861" s="135"/>
    </row>
    <row r="862" spans="1:7" x14ac:dyDescent="0.25">
      <c r="A862" s="940">
        <v>1220</v>
      </c>
      <c r="B862" s="940">
        <v>151</v>
      </c>
      <c r="C862" t="s">
        <v>4210</v>
      </c>
      <c r="D862" s="940" t="s">
        <v>4211</v>
      </c>
      <c r="E862" t="s">
        <v>2880</v>
      </c>
      <c r="F862">
        <v>1</v>
      </c>
      <c r="G862" s="135"/>
    </row>
    <row r="863" spans="1:7" x14ac:dyDescent="0.25">
      <c r="A863" s="940">
        <v>1872</v>
      </c>
      <c r="B863" s="940">
        <v>66</v>
      </c>
      <c r="C863" t="s">
        <v>4212</v>
      </c>
      <c r="D863" s="940" t="s">
        <v>2643</v>
      </c>
      <c r="E863" t="s">
        <v>165</v>
      </c>
      <c r="F863">
        <v>1</v>
      </c>
      <c r="G863" s="135"/>
    </row>
    <row r="864" spans="1:7" x14ac:dyDescent="0.25">
      <c r="A864" s="940">
        <v>1262</v>
      </c>
      <c r="B864" s="940">
        <v>143</v>
      </c>
      <c r="C864" t="s">
        <v>4213</v>
      </c>
      <c r="D864" s="940" t="s">
        <v>2997</v>
      </c>
      <c r="E864" t="s">
        <v>107</v>
      </c>
      <c r="F864">
        <v>1</v>
      </c>
      <c r="G864" s="135"/>
    </row>
    <row r="865" spans="1:7" x14ac:dyDescent="0.25">
      <c r="A865" s="940">
        <v>2079</v>
      </c>
      <c r="B865" s="940">
        <v>50</v>
      </c>
      <c r="C865" t="s">
        <v>4214</v>
      </c>
      <c r="D865" s="940" t="s">
        <v>4215</v>
      </c>
      <c r="E865" t="s">
        <v>4216</v>
      </c>
      <c r="F865">
        <v>1</v>
      </c>
      <c r="G865" s="135"/>
    </row>
    <row r="866" spans="1:7" x14ac:dyDescent="0.25">
      <c r="A866" s="940">
        <v>2174</v>
      </c>
      <c r="B866" s="940">
        <v>44</v>
      </c>
      <c r="C866" t="s">
        <v>4217</v>
      </c>
      <c r="D866" s="940" t="s">
        <v>4218</v>
      </c>
      <c r="E866" t="s">
        <v>2880</v>
      </c>
      <c r="F866">
        <v>1</v>
      </c>
      <c r="G866" s="135"/>
    </row>
    <row r="867" spans="1:7" x14ac:dyDescent="0.25">
      <c r="A867" s="940">
        <v>574</v>
      </c>
      <c r="B867" s="940">
        <v>420</v>
      </c>
      <c r="C867" t="s">
        <v>4219</v>
      </c>
      <c r="D867" s="940" t="s">
        <v>4220</v>
      </c>
      <c r="E867" t="s">
        <v>1275</v>
      </c>
      <c r="F867">
        <v>1</v>
      </c>
      <c r="G867" s="135"/>
    </row>
    <row r="868" spans="1:7" x14ac:dyDescent="0.25">
      <c r="A868" s="940">
        <v>3490</v>
      </c>
      <c r="B868" s="940">
        <v>0</v>
      </c>
      <c r="C868" t="s">
        <v>4221</v>
      </c>
      <c r="D868" s="940" t="s">
        <v>2891</v>
      </c>
      <c r="E868" t="s">
        <v>105</v>
      </c>
      <c r="F868">
        <v>1</v>
      </c>
      <c r="G868" s="135"/>
    </row>
    <row r="869" spans="1:7" x14ac:dyDescent="0.25">
      <c r="A869" s="940">
        <v>3490</v>
      </c>
      <c r="B869" s="940">
        <v>0</v>
      </c>
      <c r="C869" t="s">
        <v>4222</v>
      </c>
      <c r="D869" s="940" t="s">
        <v>4223</v>
      </c>
      <c r="E869" t="s">
        <v>1609</v>
      </c>
      <c r="F869">
        <v>1</v>
      </c>
      <c r="G869" s="135"/>
    </row>
    <row r="870" spans="1:7" x14ac:dyDescent="0.25">
      <c r="A870" s="940">
        <v>3490</v>
      </c>
      <c r="B870" s="940">
        <v>0</v>
      </c>
      <c r="C870" t="s">
        <v>4224</v>
      </c>
      <c r="D870" s="940" t="s">
        <v>4223</v>
      </c>
      <c r="E870" t="s">
        <v>1609</v>
      </c>
      <c r="F870">
        <v>1</v>
      </c>
      <c r="G870" s="135"/>
    </row>
    <row r="871" spans="1:7" x14ac:dyDescent="0.25">
      <c r="A871" s="940">
        <v>2129</v>
      </c>
      <c r="B871" s="940">
        <v>46</v>
      </c>
      <c r="C871" t="s">
        <v>4225</v>
      </c>
      <c r="D871" s="940" t="s">
        <v>4226</v>
      </c>
      <c r="E871" t="s">
        <v>1507</v>
      </c>
      <c r="F871">
        <v>1</v>
      </c>
      <c r="G871" s="135"/>
    </row>
    <row r="872" spans="1:7" x14ac:dyDescent="0.25">
      <c r="A872" s="940">
        <v>3490</v>
      </c>
      <c r="B872" s="940">
        <v>0</v>
      </c>
      <c r="C872" t="s">
        <v>4227</v>
      </c>
      <c r="D872" s="940" t="s">
        <v>2731</v>
      </c>
      <c r="E872" t="s">
        <v>1182</v>
      </c>
      <c r="F872">
        <v>1</v>
      </c>
      <c r="G872" s="135"/>
    </row>
    <row r="873" spans="1:7" x14ac:dyDescent="0.25">
      <c r="A873" s="940">
        <v>3089</v>
      </c>
      <c r="B873" s="940">
        <v>6</v>
      </c>
      <c r="C873" t="s">
        <v>4228</v>
      </c>
      <c r="D873" s="940" t="s">
        <v>4229</v>
      </c>
      <c r="E873" t="s">
        <v>1408</v>
      </c>
      <c r="F873">
        <v>1</v>
      </c>
      <c r="G873" s="135"/>
    </row>
    <row r="874" spans="1:7" x14ac:dyDescent="0.25">
      <c r="A874" s="940">
        <v>1800</v>
      </c>
      <c r="B874" s="940">
        <v>73</v>
      </c>
      <c r="C874" t="s">
        <v>1497</v>
      </c>
      <c r="D874" s="940" t="s">
        <v>4230</v>
      </c>
      <c r="E874" t="s">
        <v>120</v>
      </c>
      <c r="F874">
        <v>1</v>
      </c>
      <c r="G874" s="135"/>
    </row>
    <row r="875" spans="1:7" x14ac:dyDescent="0.25">
      <c r="A875" s="940">
        <v>3490</v>
      </c>
      <c r="B875" s="940">
        <v>0</v>
      </c>
      <c r="C875" t="s">
        <v>4231</v>
      </c>
      <c r="D875" s="940" t="s">
        <v>4052</v>
      </c>
      <c r="E875" t="s">
        <v>105</v>
      </c>
      <c r="F875">
        <v>1</v>
      </c>
      <c r="G875" s="135"/>
    </row>
    <row r="876" spans="1:7" x14ac:dyDescent="0.25">
      <c r="A876" s="940">
        <v>3196</v>
      </c>
      <c r="B876" s="940">
        <v>4</v>
      </c>
      <c r="C876" t="s">
        <v>4232</v>
      </c>
      <c r="D876" s="940" t="s">
        <v>4233</v>
      </c>
      <c r="E876" t="s">
        <v>1961</v>
      </c>
      <c r="F876">
        <v>1</v>
      </c>
      <c r="G876" s="135"/>
    </row>
    <row r="877" spans="1:7" x14ac:dyDescent="0.25">
      <c r="A877" s="940">
        <v>1433</v>
      </c>
      <c r="B877" s="940">
        <v>115</v>
      </c>
      <c r="C877" t="s">
        <v>1498</v>
      </c>
      <c r="D877" s="940" t="s">
        <v>4234</v>
      </c>
      <c r="E877" t="s">
        <v>1214</v>
      </c>
      <c r="F877">
        <v>1</v>
      </c>
      <c r="G877" s="135"/>
    </row>
    <row r="878" spans="1:7" x14ac:dyDescent="0.25">
      <c r="A878" s="940">
        <v>3490</v>
      </c>
      <c r="B878" s="940">
        <v>0</v>
      </c>
      <c r="C878" t="s">
        <v>4235</v>
      </c>
      <c r="D878" s="940" t="s">
        <v>4236</v>
      </c>
      <c r="E878" t="s">
        <v>1968</v>
      </c>
      <c r="F878">
        <v>1</v>
      </c>
      <c r="G878" s="135"/>
    </row>
    <row r="879" spans="1:7" x14ac:dyDescent="0.25">
      <c r="A879" s="940">
        <v>3490</v>
      </c>
      <c r="B879" s="940">
        <v>0</v>
      </c>
      <c r="C879" t="s">
        <v>4237</v>
      </c>
      <c r="D879" s="940" t="s">
        <v>4238</v>
      </c>
      <c r="E879" t="s">
        <v>105</v>
      </c>
      <c r="F879">
        <v>1</v>
      </c>
      <c r="G879" s="135"/>
    </row>
    <row r="880" spans="1:7" x14ac:dyDescent="0.25">
      <c r="A880" s="940">
        <v>3490</v>
      </c>
      <c r="B880" s="940">
        <v>0</v>
      </c>
      <c r="C880" t="s">
        <v>4239</v>
      </c>
      <c r="D880" s="940" t="s">
        <v>4240</v>
      </c>
      <c r="E880" t="s">
        <v>105</v>
      </c>
      <c r="F880">
        <v>1</v>
      </c>
      <c r="G880" s="135"/>
    </row>
    <row r="881" spans="1:7" x14ac:dyDescent="0.25">
      <c r="A881" s="940">
        <v>2347</v>
      </c>
      <c r="B881" s="940">
        <v>33</v>
      </c>
      <c r="C881" t="s">
        <v>4241</v>
      </c>
      <c r="D881" s="940" t="s">
        <v>4242</v>
      </c>
      <c r="E881" t="s">
        <v>105</v>
      </c>
      <c r="F881">
        <v>1</v>
      </c>
      <c r="G881" s="135"/>
    </row>
    <row r="882" spans="1:7" x14ac:dyDescent="0.25">
      <c r="A882" s="940">
        <v>15</v>
      </c>
      <c r="B882" s="940">
        <v>1548</v>
      </c>
      <c r="C882" t="s">
        <v>4243</v>
      </c>
      <c r="D882" s="940" t="s">
        <v>2711</v>
      </c>
      <c r="E882" t="s">
        <v>103</v>
      </c>
      <c r="F882">
        <v>1</v>
      </c>
      <c r="G882" s="135"/>
    </row>
    <row r="883" spans="1:7" x14ac:dyDescent="0.25">
      <c r="A883" s="940">
        <v>494</v>
      </c>
      <c r="B883" s="940">
        <v>476</v>
      </c>
      <c r="C883" t="s">
        <v>4244</v>
      </c>
      <c r="D883" s="940" t="s">
        <v>4245</v>
      </c>
      <c r="E883" t="s">
        <v>112</v>
      </c>
      <c r="F883">
        <v>1</v>
      </c>
      <c r="G883" s="135"/>
    </row>
    <row r="884" spans="1:7" x14ac:dyDescent="0.25">
      <c r="A884" s="940">
        <v>2048</v>
      </c>
      <c r="B884" s="940">
        <v>52</v>
      </c>
      <c r="C884" t="s">
        <v>4246</v>
      </c>
      <c r="D884" s="940" t="s">
        <v>4247</v>
      </c>
      <c r="E884" t="s">
        <v>99</v>
      </c>
      <c r="F884">
        <v>1</v>
      </c>
      <c r="G884" s="135"/>
    </row>
    <row r="885" spans="1:7" x14ac:dyDescent="0.25">
      <c r="A885" s="940">
        <v>999</v>
      </c>
      <c r="B885" s="940">
        <v>216</v>
      </c>
      <c r="C885" t="s">
        <v>4248</v>
      </c>
      <c r="D885" s="940" t="s">
        <v>4249</v>
      </c>
      <c r="E885" t="s">
        <v>120</v>
      </c>
      <c r="F885">
        <v>1</v>
      </c>
      <c r="G885" s="135"/>
    </row>
    <row r="886" spans="1:7" x14ac:dyDescent="0.25">
      <c r="A886" s="940">
        <v>499</v>
      </c>
      <c r="B886" s="940">
        <v>469</v>
      </c>
      <c r="C886" t="s">
        <v>4250</v>
      </c>
      <c r="D886" s="940" t="s">
        <v>4251</v>
      </c>
      <c r="E886" t="s">
        <v>2542</v>
      </c>
      <c r="F886">
        <v>1</v>
      </c>
      <c r="G886" s="135"/>
    </row>
    <row r="887" spans="1:7" x14ac:dyDescent="0.25">
      <c r="A887" s="940">
        <v>1266</v>
      </c>
      <c r="B887" s="940">
        <v>142</v>
      </c>
      <c r="C887" t="s">
        <v>4252</v>
      </c>
      <c r="D887" s="940" t="s">
        <v>3679</v>
      </c>
      <c r="E887" t="s">
        <v>122</v>
      </c>
      <c r="F887">
        <v>1</v>
      </c>
      <c r="G887" s="135"/>
    </row>
    <row r="888" spans="1:7" x14ac:dyDescent="0.25">
      <c r="A888" s="940">
        <v>2272</v>
      </c>
      <c r="B888" s="940">
        <v>38</v>
      </c>
      <c r="C888" t="s">
        <v>4253</v>
      </c>
      <c r="D888" s="940" t="s">
        <v>4254</v>
      </c>
      <c r="E888" t="s">
        <v>120</v>
      </c>
      <c r="F888">
        <v>1</v>
      </c>
      <c r="G888" s="135"/>
    </row>
    <row r="889" spans="1:7" x14ac:dyDescent="0.25">
      <c r="A889" s="940">
        <v>3327</v>
      </c>
      <c r="B889" s="940">
        <v>2</v>
      </c>
      <c r="C889" t="s">
        <v>4255</v>
      </c>
      <c r="D889" s="940" t="s">
        <v>4256</v>
      </c>
      <c r="E889" t="s">
        <v>1587</v>
      </c>
      <c r="F889">
        <v>1</v>
      </c>
      <c r="G889" s="135"/>
    </row>
    <row r="890" spans="1:7" x14ac:dyDescent="0.25">
      <c r="A890" s="940">
        <v>1346</v>
      </c>
      <c r="B890" s="940">
        <v>127</v>
      </c>
      <c r="C890" t="s">
        <v>4257</v>
      </c>
      <c r="D890" s="940" t="s">
        <v>2936</v>
      </c>
      <c r="E890" t="s">
        <v>3140</v>
      </c>
      <c r="F890">
        <v>1</v>
      </c>
      <c r="G890" s="135"/>
    </row>
    <row r="891" spans="1:7" x14ac:dyDescent="0.25">
      <c r="A891" s="940">
        <v>1412</v>
      </c>
      <c r="B891" s="940">
        <v>118</v>
      </c>
      <c r="C891" t="s">
        <v>4258</v>
      </c>
      <c r="D891" s="940" t="s">
        <v>4259</v>
      </c>
      <c r="E891" t="s">
        <v>1341</v>
      </c>
      <c r="F891">
        <v>1</v>
      </c>
      <c r="G891" s="135"/>
    </row>
    <row r="892" spans="1:7" x14ac:dyDescent="0.25">
      <c r="A892" s="940">
        <v>3196</v>
      </c>
      <c r="B892" s="940">
        <v>4</v>
      </c>
      <c r="C892" t="s">
        <v>4260</v>
      </c>
      <c r="D892" s="940" t="s">
        <v>4261</v>
      </c>
      <c r="E892" t="s">
        <v>120</v>
      </c>
      <c r="F892">
        <v>1</v>
      </c>
      <c r="G892" s="135"/>
    </row>
    <row r="893" spans="1:7" x14ac:dyDescent="0.25">
      <c r="A893" s="940">
        <v>3045</v>
      </c>
      <c r="B893" s="940">
        <v>7</v>
      </c>
      <c r="C893" t="s">
        <v>4262</v>
      </c>
      <c r="D893" s="940" t="s">
        <v>4263</v>
      </c>
      <c r="E893" t="s">
        <v>120</v>
      </c>
      <c r="F893">
        <v>1</v>
      </c>
      <c r="G893" s="135"/>
    </row>
    <row r="894" spans="1:7" x14ac:dyDescent="0.25">
      <c r="A894" s="940">
        <v>966</v>
      </c>
      <c r="B894" s="940">
        <v>230</v>
      </c>
      <c r="C894" t="s">
        <v>4264</v>
      </c>
      <c r="D894" s="940" t="s">
        <v>4265</v>
      </c>
      <c r="E894" t="s">
        <v>1282</v>
      </c>
      <c r="F894">
        <v>1</v>
      </c>
      <c r="G894" s="135"/>
    </row>
    <row r="895" spans="1:7" x14ac:dyDescent="0.25">
      <c r="A895" s="940">
        <v>2004</v>
      </c>
      <c r="B895" s="940">
        <v>55</v>
      </c>
      <c r="C895" t="s">
        <v>4266</v>
      </c>
      <c r="D895" s="940" t="s">
        <v>3253</v>
      </c>
      <c r="E895" t="s">
        <v>1507</v>
      </c>
      <c r="F895">
        <v>1</v>
      </c>
      <c r="G895" s="135"/>
    </row>
    <row r="896" spans="1:7" x14ac:dyDescent="0.25">
      <c r="A896" s="940">
        <v>3395</v>
      </c>
      <c r="B896" s="940">
        <v>1</v>
      </c>
      <c r="C896" t="s">
        <v>4267</v>
      </c>
      <c r="D896" s="940" t="s">
        <v>4163</v>
      </c>
      <c r="E896" t="s">
        <v>1702</v>
      </c>
      <c r="F896">
        <v>1</v>
      </c>
      <c r="G896" s="135"/>
    </row>
    <row r="897" spans="1:7" x14ac:dyDescent="0.25">
      <c r="A897" s="940">
        <v>2515</v>
      </c>
      <c r="B897" s="940">
        <v>24</v>
      </c>
      <c r="C897" t="s">
        <v>4268</v>
      </c>
      <c r="D897" s="940" t="s">
        <v>4269</v>
      </c>
      <c r="E897" t="s">
        <v>1221</v>
      </c>
      <c r="F897">
        <v>1</v>
      </c>
      <c r="G897" s="135"/>
    </row>
    <row r="898" spans="1:7" x14ac:dyDescent="0.25">
      <c r="A898" s="940">
        <v>309</v>
      </c>
      <c r="B898" s="940">
        <v>703</v>
      </c>
      <c r="C898" t="s">
        <v>4270</v>
      </c>
      <c r="D898" s="940" t="s">
        <v>4271</v>
      </c>
      <c r="E898" t="s">
        <v>1307</v>
      </c>
      <c r="F898">
        <v>1</v>
      </c>
      <c r="G898" s="135"/>
    </row>
    <row r="899" spans="1:7" x14ac:dyDescent="0.25">
      <c r="A899" s="940">
        <v>1594</v>
      </c>
      <c r="B899" s="940">
        <v>96</v>
      </c>
      <c r="C899" t="s">
        <v>4272</v>
      </c>
      <c r="D899" s="940" t="s">
        <v>4273</v>
      </c>
      <c r="E899" t="s">
        <v>127</v>
      </c>
      <c r="F899">
        <v>1</v>
      </c>
      <c r="G899" s="135"/>
    </row>
    <row r="900" spans="1:7" x14ac:dyDescent="0.25">
      <c r="A900" s="940">
        <v>644</v>
      </c>
      <c r="B900" s="940">
        <v>379</v>
      </c>
      <c r="C900" t="s">
        <v>4274</v>
      </c>
      <c r="D900" s="940" t="s">
        <v>4275</v>
      </c>
      <c r="E900" t="s">
        <v>2877</v>
      </c>
      <c r="F900">
        <v>1</v>
      </c>
      <c r="G900" s="135"/>
    </row>
    <row r="901" spans="1:7" x14ac:dyDescent="0.25">
      <c r="A901" s="940">
        <v>1206</v>
      </c>
      <c r="B901" s="940">
        <v>155</v>
      </c>
      <c r="C901" t="s">
        <v>1505</v>
      </c>
      <c r="D901" s="940" t="s">
        <v>4276</v>
      </c>
      <c r="E901" t="s">
        <v>1307</v>
      </c>
      <c r="F901">
        <v>1</v>
      </c>
      <c r="G901" s="135"/>
    </row>
    <row r="902" spans="1:7" x14ac:dyDescent="0.25">
      <c r="A902" s="940">
        <v>697</v>
      </c>
      <c r="B902" s="940">
        <v>348</v>
      </c>
      <c r="C902" t="s">
        <v>4277</v>
      </c>
      <c r="D902" s="940" t="s">
        <v>4278</v>
      </c>
      <c r="E902" t="s">
        <v>1906</v>
      </c>
      <c r="F902">
        <v>1</v>
      </c>
      <c r="G902" s="135"/>
    </row>
    <row r="903" spans="1:7" x14ac:dyDescent="0.25">
      <c r="A903" s="940">
        <v>2187</v>
      </c>
      <c r="B903" s="940">
        <v>43</v>
      </c>
      <c r="C903" t="s">
        <v>4279</v>
      </c>
      <c r="D903" s="940" t="s">
        <v>4280</v>
      </c>
      <c r="E903" t="s">
        <v>2542</v>
      </c>
      <c r="F903">
        <v>1</v>
      </c>
      <c r="G903" s="135"/>
    </row>
    <row r="904" spans="1:7" x14ac:dyDescent="0.25">
      <c r="A904" s="940">
        <v>1046</v>
      </c>
      <c r="B904" s="940">
        <v>201</v>
      </c>
      <c r="C904" t="s">
        <v>4281</v>
      </c>
      <c r="D904" s="940" t="s">
        <v>4282</v>
      </c>
      <c r="E904" t="s">
        <v>186</v>
      </c>
      <c r="F904">
        <v>1</v>
      </c>
      <c r="G904" s="135"/>
    </row>
    <row r="905" spans="1:7" x14ac:dyDescent="0.25">
      <c r="A905" s="940">
        <v>1711</v>
      </c>
      <c r="B905" s="940">
        <v>82</v>
      </c>
      <c r="C905" t="s">
        <v>4283</v>
      </c>
      <c r="D905" s="940" t="s">
        <v>4284</v>
      </c>
      <c r="E905" t="s">
        <v>4001</v>
      </c>
      <c r="F905">
        <v>1</v>
      </c>
      <c r="G905" s="135"/>
    </row>
    <row r="906" spans="1:7" x14ac:dyDescent="0.25">
      <c r="A906" s="940">
        <v>2659</v>
      </c>
      <c r="B906" s="940">
        <v>18</v>
      </c>
      <c r="C906" t="s">
        <v>4285</v>
      </c>
      <c r="D906" s="940" t="s">
        <v>4286</v>
      </c>
      <c r="E906" t="s">
        <v>118</v>
      </c>
      <c r="F906">
        <v>1</v>
      </c>
      <c r="G906" s="135"/>
    </row>
    <row r="907" spans="1:7" x14ac:dyDescent="0.25">
      <c r="A907" s="940">
        <v>3490</v>
      </c>
      <c r="B907" s="940">
        <v>0</v>
      </c>
      <c r="C907" t="s">
        <v>4287</v>
      </c>
      <c r="D907" s="940" t="s">
        <v>4288</v>
      </c>
      <c r="E907" t="s">
        <v>4289</v>
      </c>
      <c r="F907">
        <v>1</v>
      </c>
      <c r="G907" s="135"/>
    </row>
    <row r="908" spans="1:7" x14ac:dyDescent="0.25">
      <c r="A908" s="940">
        <v>1640</v>
      </c>
      <c r="B908" s="940">
        <v>91</v>
      </c>
      <c r="C908" t="s">
        <v>4290</v>
      </c>
      <c r="D908" s="940" t="s">
        <v>3556</v>
      </c>
      <c r="E908" t="s">
        <v>165</v>
      </c>
      <c r="F908">
        <v>1</v>
      </c>
      <c r="G908" s="135"/>
    </row>
    <row r="909" spans="1:7" x14ac:dyDescent="0.25">
      <c r="A909" s="940">
        <v>3490</v>
      </c>
      <c r="B909" s="940">
        <v>0</v>
      </c>
      <c r="C909" t="s">
        <v>4291</v>
      </c>
      <c r="D909" s="940" t="s">
        <v>4292</v>
      </c>
      <c r="E909" t="s">
        <v>1507</v>
      </c>
      <c r="F909">
        <v>1</v>
      </c>
      <c r="G909" s="135"/>
    </row>
    <row r="910" spans="1:7" x14ac:dyDescent="0.25">
      <c r="A910" s="940">
        <v>357</v>
      </c>
      <c r="B910" s="940">
        <v>625</v>
      </c>
      <c r="C910" t="s">
        <v>4293</v>
      </c>
      <c r="D910" s="940" t="s">
        <v>4294</v>
      </c>
      <c r="E910" t="s">
        <v>1507</v>
      </c>
      <c r="F910">
        <v>1</v>
      </c>
      <c r="G910" s="135"/>
    </row>
    <row r="911" spans="1:7" x14ac:dyDescent="0.25">
      <c r="A911" s="940">
        <v>3490</v>
      </c>
      <c r="B911" s="940">
        <v>0</v>
      </c>
      <c r="C911" t="s">
        <v>4295</v>
      </c>
      <c r="D911" s="940" t="s">
        <v>4296</v>
      </c>
      <c r="E911" t="s">
        <v>2970</v>
      </c>
      <c r="F911">
        <v>1</v>
      </c>
      <c r="G911" s="135"/>
    </row>
    <row r="912" spans="1:7" x14ac:dyDescent="0.25">
      <c r="A912" s="940">
        <v>375</v>
      </c>
      <c r="B912" s="940">
        <v>607</v>
      </c>
      <c r="C912" t="s">
        <v>4297</v>
      </c>
      <c r="D912" s="940" t="s">
        <v>4298</v>
      </c>
      <c r="E912" t="s">
        <v>1507</v>
      </c>
      <c r="F912">
        <v>1</v>
      </c>
      <c r="G912" s="135"/>
    </row>
    <row r="913" spans="1:7" x14ac:dyDescent="0.25">
      <c r="A913" s="940">
        <v>438</v>
      </c>
      <c r="B913" s="940">
        <v>533</v>
      </c>
      <c r="C913" t="s">
        <v>4299</v>
      </c>
      <c r="D913" s="940" t="s">
        <v>4300</v>
      </c>
      <c r="E913" t="s">
        <v>171</v>
      </c>
      <c r="F913">
        <v>1</v>
      </c>
      <c r="G913" s="135"/>
    </row>
    <row r="914" spans="1:7" x14ac:dyDescent="0.25">
      <c r="A914" s="940">
        <v>1701</v>
      </c>
      <c r="B914" s="940">
        <v>83</v>
      </c>
      <c r="C914" t="s">
        <v>4301</v>
      </c>
      <c r="D914" s="940" t="s">
        <v>4302</v>
      </c>
      <c r="E914" t="s">
        <v>1493</v>
      </c>
      <c r="F914">
        <v>1</v>
      </c>
      <c r="G914" s="135"/>
    </row>
    <row r="915" spans="1:7" x14ac:dyDescent="0.25">
      <c r="A915" s="940">
        <v>2959</v>
      </c>
      <c r="B915" s="940">
        <v>9</v>
      </c>
      <c r="C915" t="s">
        <v>4303</v>
      </c>
      <c r="D915" s="940" t="s">
        <v>4304</v>
      </c>
      <c r="E915" t="s">
        <v>186</v>
      </c>
      <c r="F915">
        <v>1</v>
      </c>
      <c r="G915" s="135"/>
    </row>
    <row r="916" spans="1:7" x14ac:dyDescent="0.25">
      <c r="A916" s="940">
        <v>3490</v>
      </c>
      <c r="B916" s="940">
        <v>0</v>
      </c>
      <c r="C916" t="s">
        <v>4305</v>
      </c>
      <c r="D916" s="940" t="s">
        <v>4306</v>
      </c>
      <c r="E916" t="s">
        <v>105</v>
      </c>
      <c r="F916">
        <v>1</v>
      </c>
      <c r="G916" s="135"/>
    </row>
    <row r="917" spans="1:7" x14ac:dyDescent="0.25">
      <c r="A917" s="940">
        <v>2690</v>
      </c>
      <c r="B917" s="940">
        <v>17</v>
      </c>
      <c r="C917" t="s">
        <v>4307</v>
      </c>
      <c r="D917" s="940" t="s">
        <v>4308</v>
      </c>
      <c r="E917" t="s">
        <v>83</v>
      </c>
      <c r="F917">
        <v>1</v>
      </c>
      <c r="G917" s="135"/>
    </row>
    <row r="918" spans="1:7" x14ac:dyDescent="0.25">
      <c r="A918" s="940">
        <v>3490</v>
      </c>
      <c r="B918" s="940">
        <v>0</v>
      </c>
      <c r="C918" t="s">
        <v>4309</v>
      </c>
      <c r="D918" s="940" t="s">
        <v>3808</v>
      </c>
      <c r="E918" t="s">
        <v>130</v>
      </c>
      <c r="F918">
        <v>1</v>
      </c>
      <c r="G918" s="135"/>
    </row>
    <row r="919" spans="1:7" x14ac:dyDescent="0.25">
      <c r="A919" s="940">
        <v>2996</v>
      </c>
      <c r="B919" s="940">
        <v>8</v>
      </c>
      <c r="C919" t="s">
        <v>4310</v>
      </c>
      <c r="D919" s="940" t="s">
        <v>4311</v>
      </c>
      <c r="E919" t="s">
        <v>111</v>
      </c>
      <c r="F919">
        <v>1</v>
      </c>
      <c r="G919" s="135"/>
    </row>
    <row r="920" spans="1:7" x14ac:dyDescent="0.25">
      <c r="A920" s="940">
        <v>2461</v>
      </c>
      <c r="B920" s="940">
        <v>27</v>
      </c>
      <c r="C920" t="s">
        <v>4312</v>
      </c>
      <c r="D920" s="940" t="s">
        <v>4012</v>
      </c>
      <c r="E920" t="s">
        <v>127</v>
      </c>
      <c r="F920">
        <v>1</v>
      </c>
      <c r="G920" s="135"/>
    </row>
    <row r="921" spans="1:7" x14ac:dyDescent="0.25">
      <c r="A921" s="940">
        <v>728</v>
      </c>
      <c r="B921" s="940">
        <v>332</v>
      </c>
      <c r="C921" t="s">
        <v>4313</v>
      </c>
      <c r="D921" s="940" t="s">
        <v>4314</v>
      </c>
      <c r="E921" t="s">
        <v>3058</v>
      </c>
      <c r="F921">
        <v>1</v>
      </c>
      <c r="G921" s="135"/>
    </row>
    <row r="922" spans="1:7" x14ac:dyDescent="0.25">
      <c r="A922" s="940">
        <v>3490</v>
      </c>
      <c r="B922" s="940">
        <v>0</v>
      </c>
      <c r="C922" t="s">
        <v>4315</v>
      </c>
      <c r="D922" s="940" t="s">
        <v>4316</v>
      </c>
      <c r="E922" t="s">
        <v>469</v>
      </c>
      <c r="F922">
        <v>1</v>
      </c>
      <c r="G922" s="135"/>
    </row>
    <row r="923" spans="1:7" x14ac:dyDescent="0.25">
      <c r="A923" s="940">
        <v>1097</v>
      </c>
      <c r="B923" s="940">
        <v>183</v>
      </c>
      <c r="C923" t="s">
        <v>4317</v>
      </c>
      <c r="D923" s="940" t="s">
        <v>4318</v>
      </c>
      <c r="E923" t="s">
        <v>661</v>
      </c>
      <c r="F923">
        <v>1</v>
      </c>
      <c r="G923" s="135"/>
    </row>
    <row r="924" spans="1:7" x14ac:dyDescent="0.25">
      <c r="A924" s="940">
        <v>3045</v>
      </c>
      <c r="B924" s="940">
        <v>7</v>
      </c>
      <c r="C924" t="s">
        <v>4319</v>
      </c>
      <c r="D924" s="940" t="s">
        <v>3431</v>
      </c>
      <c r="E924" t="s">
        <v>105</v>
      </c>
      <c r="F924">
        <v>1</v>
      </c>
      <c r="G924" s="135"/>
    </row>
    <row r="925" spans="1:7" x14ac:dyDescent="0.25">
      <c r="A925" s="940">
        <v>3490</v>
      </c>
      <c r="B925" s="940">
        <v>0</v>
      </c>
      <c r="C925" t="s">
        <v>4320</v>
      </c>
      <c r="D925" s="940" t="s">
        <v>3594</v>
      </c>
      <c r="E925" t="s">
        <v>1285</v>
      </c>
      <c r="F925">
        <v>1</v>
      </c>
      <c r="G925" s="135"/>
    </row>
    <row r="926" spans="1:7" x14ac:dyDescent="0.25">
      <c r="A926" s="940">
        <v>1356</v>
      </c>
      <c r="B926" s="940">
        <v>126</v>
      </c>
      <c r="C926" t="s">
        <v>4321</v>
      </c>
      <c r="D926" s="940" t="s">
        <v>4322</v>
      </c>
      <c r="E926" t="s">
        <v>1211</v>
      </c>
      <c r="F926">
        <v>1</v>
      </c>
      <c r="G926" s="135"/>
    </row>
    <row r="927" spans="1:7" x14ac:dyDescent="0.25">
      <c r="A927" s="940">
        <v>1489</v>
      </c>
      <c r="B927" s="940">
        <v>107</v>
      </c>
      <c r="C927" t="s">
        <v>4323</v>
      </c>
      <c r="D927" s="940" t="s">
        <v>4324</v>
      </c>
      <c r="E927" t="s">
        <v>171</v>
      </c>
      <c r="F927">
        <v>1</v>
      </c>
      <c r="G927" s="135"/>
    </row>
    <row r="928" spans="1:7" x14ac:dyDescent="0.25">
      <c r="A928" s="940">
        <v>82</v>
      </c>
      <c r="B928" s="940">
        <v>1164</v>
      </c>
      <c r="C928" t="s">
        <v>207</v>
      </c>
      <c r="D928" s="940" t="s">
        <v>2781</v>
      </c>
      <c r="E928" t="s">
        <v>166</v>
      </c>
      <c r="F928">
        <v>1</v>
      </c>
      <c r="G928" s="135"/>
    </row>
    <row r="929" spans="1:7" x14ac:dyDescent="0.25">
      <c r="A929" s="940">
        <v>3395</v>
      </c>
      <c r="B929" s="940">
        <v>1</v>
      </c>
      <c r="C929" t="s">
        <v>4325</v>
      </c>
      <c r="D929" s="940" t="s">
        <v>4326</v>
      </c>
      <c r="E929" t="s">
        <v>74</v>
      </c>
      <c r="F929">
        <v>1</v>
      </c>
      <c r="G929" s="135"/>
    </row>
    <row r="930" spans="1:7" x14ac:dyDescent="0.25">
      <c r="A930" s="940">
        <v>892</v>
      </c>
      <c r="B930" s="940">
        <v>257</v>
      </c>
      <c r="C930" t="s">
        <v>4327</v>
      </c>
      <c r="D930" s="940" t="s">
        <v>4328</v>
      </c>
      <c r="E930" t="s">
        <v>107</v>
      </c>
      <c r="F930">
        <v>1</v>
      </c>
      <c r="G930" s="135"/>
    </row>
    <row r="931" spans="1:7" x14ac:dyDescent="0.25">
      <c r="A931" s="940">
        <v>2079</v>
      </c>
      <c r="B931" s="940">
        <v>50</v>
      </c>
      <c r="C931" t="s">
        <v>4329</v>
      </c>
      <c r="D931" s="940" t="s">
        <v>3586</v>
      </c>
      <c r="E931" t="s">
        <v>120</v>
      </c>
      <c r="F931">
        <v>1</v>
      </c>
      <c r="G931" s="135"/>
    </row>
    <row r="932" spans="1:7" x14ac:dyDescent="0.25">
      <c r="A932" s="940">
        <v>116</v>
      </c>
      <c r="B932" s="940">
        <v>1059</v>
      </c>
      <c r="C932" t="s">
        <v>4330</v>
      </c>
      <c r="D932" s="940" t="s">
        <v>4331</v>
      </c>
      <c r="E932" t="s">
        <v>105</v>
      </c>
      <c r="F932">
        <v>1</v>
      </c>
      <c r="G932" s="135"/>
    </row>
    <row r="933" spans="1:7" x14ac:dyDescent="0.25">
      <c r="A933" s="940">
        <v>3490</v>
      </c>
      <c r="B933" s="940">
        <v>0</v>
      </c>
      <c r="C933" t="s">
        <v>4332</v>
      </c>
      <c r="D933" s="940" t="s">
        <v>4333</v>
      </c>
      <c r="E933" t="s">
        <v>130</v>
      </c>
      <c r="F933">
        <v>1</v>
      </c>
      <c r="G933" s="135"/>
    </row>
    <row r="934" spans="1:7" x14ac:dyDescent="0.25">
      <c r="A934" s="940">
        <v>3490</v>
      </c>
      <c r="B934" s="940">
        <v>0</v>
      </c>
      <c r="C934" t="s">
        <v>4334</v>
      </c>
      <c r="D934" s="940" t="s">
        <v>3185</v>
      </c>
      <c r="E934" t="s">
        <v>1182</v>
      </c>
      <c r="F934">
        <v>1</v>
      </c>
      <c r="G934" s="135"/>
    </row>
    <row r="935" spans="1:7" x14ac:dyDescent="0.25">
      <c r="A935" s="940">
        <v>1433</v>
      </c>
      <c r="B935" s="940">
        <v>115</v>
      </c>
      <c r="C935" t="s">
        <v>4335</v>
      </c>
      <c r="D935" s="940" t="s">
        <v>2731</v>
      </c>
      <c r="E935" t="s">
        <v>2880</v>
      </c>
      <c r="F935">
        <v>1</v>
      </c>
      <c r="G935" s="135"/>
    </row>
    <row r="936" spans="1:7" x14ac:dyDescent="0.25">
      <c r="A936" s="940">
        <v>3089</v>
      </c>
      <c r="B936" s="940">
        <v>6</v>
      </c>
      <c r="C936" t="s">
        <v>4336</v>
      </c>
      <c r="D936" s="940" t="s">
        <v>4288</v>
      </c>
      <c r="E936" t="s">
        <v>4289</v>
      </c>
      <c r="F936">
        <v>1</v>
      </c>
      <c r="G936" s="135"/>
    </row>
    <row r="937" spans="1:7" x14ac:dyDescent="0.25">
      <c r="A937" s="940">
        <v>264</v>
      </c>
      <c r="B937" s="940">
        <v>784</v>
      </c>
      <c r="C937" t="s">
        <v>4337</v>
      </c>
      <c r="D937" s="940" t="s">
        <v>4338</v>
      </c>
      <c r="E937" t="s">
        <v>165</v>
      </c>
      <c r="F937">
        <v>1</v>
      </c>
      <c r="G937" s="135"/>
    </row>
    <row r="938" spans="1:7" x14ac:dyDescent="0.25">
      <c r="A938" s="940">
        <v>3395</v>
      </c>
      <c r="B938" s="940">
        <v>1</v>
      </c>
      <c r="C938" t="s">
        <v>4339</v>
      </c>
      <c r="D938" s="940" t="s">
        <v>4340</v>
      </c>
      <c r="E938" t="s">
        <v>120</v>
      </c>
      <c r="F938">
        <v>1</v>
      </c>
      <c r="G938" s="135"/>
    </row>
    <row r="939" spans="1:7" x14ac:dyDescent="0.25">
      <c r="A939" s="940">
        <v>664</v>
      </c>
      <c r="B939" s="940">
        <v>368</v>
      </c>
      <c r="C939" t="s">
        <v>4341</v>
      </c>
      <c r="D939" s="940" t="s">
        <v>4342</v>
      </c>
      <c r="E939" t="s">
        <v>2880</v>
      </c>
      <c r="F939">
        <v>1</v>
      </c>
      <c r="G939" s="135"/>
    </row>
    <row r="940" spans="1:7" x14ac:dyDescent="0.25">
      <c r="A940" s="940">
        <v>502</v>
      </c>
      <c r="B940" s="940">
        <v>468</v>
      </c>
      <c r="C940" t="s">
        <v>4343</v>
      </c>
      <c r="D940" s="940" t="s">
        <v>4344</v>
      </c>
      <c r="E940" t="s">
        <v>103</v>
      </c>
      <c r="F940">
        <v>1</v>
      </c>
      <c r="G940" s="135"/>
    </row>
    <row r="941" spans="1:7" x14ac:dyDescent="0.25">
      <c r="A941" s="940">
        <v>1627</v>
      </c>
      <c r="B941" s="940">
        <v>92</v>
      </c>
      <c r="C941" t="s">
        <v>4345</v>
      </c>
      <c r="D941" s="940" t="s">
        <v>4346</v>
      </c>
      <c r="E941" t="s">
        <v>1358</v>
      </c>
      <c r="F941">
        <v>1</v>
      </c>
      <c r="G941" s="135"/>
    </row>
    <row r="942" spans="1:7" x14ac:dyDescent="0.25">
      <c r="A942" s="940">
        <v>3490</v>
      </c>
      <c r="B942" s="940">
        <v>0</v>
      </c>
      <c r="C942" t="s">
        <v>4347</v>
      </c>
      <c r="D942" s="940" t="s">
        <v>4348</v>
      </c>
      <c r="E942" t="s">
        <v>1311</v>
      </c>
      <c r="F942">
        <v>1</v>
      </c>
      <c r="G942" s="135"/>
    </row>
    <row r="943" spans="1:7" x14ac:dyDescent="0.25">
      <c r="A943" s="940">
        <v>3395</v>
      </c>
      <c r="B943" s="940">
        <v>1</v>
      </c>
      <c r="C943" t="s">
        <v>4349</v>
      </c>
      <c r="D943" s="940" t="s">
        <v>2753</v>
      </c>
      <c r="E943" t="s">
        <v>120</v>
      </c>
      <c r="F943">
        <v>1</v>
      </c>
      <c r="G943" s="135"/>
    </row>
    <row r="944" spans="1:7" x14ac:dyDescent="0.25">
      <c r="A944" s="940">
        <v>1346</v>
      </c>
      <c r="B944" s="940">
        <v>127</v>
      </c>
      <c r="C944" t="s">
        <v>4350</v>
      </c>
      <c r="D944" s="940" t="s">
        <v>4351</v>
      </c>
      <c r="E944" t="s">
        <v>1435</v>
      </c>
      <c r="F944">
        <v>1</v>
      </c>
      <c r="G944" s="135"/>
    </row>
    <row r="945" spans="1:7" x14ac:dyDescent="0.25">
      <c r="A945" s="940">
        <v>1749</v>
      </c>
      <c r="B945" s="940">
        <v>79</v>
      </c>
      <c r="C945" t="s">
        <v>4352</v>
      </c>
      <c r="D945" s="940" t="s">
        <v>4353</v>
      </c>
      <c r="E945" t="s">
        <v>1214</v>
      </c>
      <c r="F945">
        <v>1</v>
      </c>
      <c r="G945" s="135"/>
    </row>
    <row r="946" spans="1:7" x14ac:dyDescent="0.25">
      <c r="A946" s="940">
        <v>1615</v>
      </c>
      <c r="B946" s="940">
        <v>93</v>
      </c>
      <c r="C946" t="s">
        <v>4354</v>
      </c>
      <c r="D946" s="940" t="s">
        <v>4355</v>
      </c>
      <c r="E946" t="s">
        <v>120</v>
      </c>
      <c r="F946">
        <v>1</v>
      </c>
      <c r="G946" s="135"/>
    </row>
    <row r="947" spans="1:7" x14ac:dyDescent="0.25">
      <c r="A947" s="940">
        <v>637</v>
      </c>
      <c r="B947" s="940">
        <v>381</v>
      </c>
      <c r="C947" t="s">
        <v>4356</v>
      </c>
      <c r="D947" s="940" t="s">
        <v>4357</v>
      </c>
      <c r="E947" t="s">
        <v>4358</v>
      </c>
      <c r="F947">
        <v>1</v>
      </c>
      <c r="G947" s="135"/>
    </row>
    <row r="948" spans="1:7" x14ac:dyDescent="0.25">
      <c r="A948" s="940">
        <v>919</v>
      </c>
      <c r="B948" s="940">
        <v>248</v>
      </c>
      <c r="C948" t="s">
        <v>387</v>
      </c>
      <c r="D948" s="940" t="s">
        <v>4359</v>
      </c>
      <c r="E948" t="s">
        <v>120</v>
      </c>
      <c r="F948">
        <v>1</v>
      </c>
      <c r="G948" s="135"/>
    </row>
    <row r="949" spans="1:7" x14ac:dyDescent="0.25">
      <c r="A949" s="940">
        <v>3490</v>
      </c>
      <c r="B949" s="940">
        <v>0</v>
      </c>
      <c r="C949" t="s">
        <v>4360</v>
      </c>
      <c r="D949" s="940" t="s">
        <v>4361</v>
      </c>
      <c r="E949" t="s">
        <v>1248</v>
      </c>
      <c r="F949">
        <v>1</v>
      </c>
      <c r="G949" s="135"/>
    </row>
    <row r="950" spans="1:7" x14ac:dyDescent="0.25">
      <c r="A950" s="940">
        <v>1100</v>
      </c>
      <c r="B950" s="940">
        <v>182</v>
      </c>
      <c r="C950" t="s">
        <v>4362</v>
      </c>
      <c r="D950" s="940" t="s">
        <v>4363</v>
      </c>
      <c r="E950" t="s">
        <v>109</v>
      </c>
      <c r="F950">
        <v>1</v>
      </c>
      <c r="G950" s="135"/>
    </row>
    <row r="951" spans="1:7" x14ac:dyDescent="0.25">
      <c r="A951" s="940">
        <v>1062</v>
      </c>
      <c r="B951" s="940">
        <v>195</v>
      </c>
      <c r="C951" t="s">
        <v>4364</v>
      </c>
      <c r="D951" s="940" t="s">
        <v>4365</v>
      </c>
      <c r="E951" t="s">
        <v>109</v>
      </c>
      <c r="F951">
        <v>1</v>
      </c>
      <c r="G951" s="135"/>
    </row>
    <row r="952" spans="1:7" x14ac:dyDescent="0.25">
      <c r="A952" s="940">
        <v>2416</v>
      </c>
      <c r="B952" s="940">
        <v>29</v>
      </c>
      <c r="C952" t="s">
        <v>4366</v>
      </c>
      <c r="D952" s="940" t="s">
        <v>4367</v>
      </c>
      <c r="E952" t="s">
        <v>171</v>
      </c>
      <c r="F952">
        <v>1</v>
      </c>
      <c r="G952" s="135"/>
    </row>
    <row r="953" spans="1:7" x14ac:dyDescent="0.25">
      <c r="A953" s="940">
        <v>3490</v>
      </c>
      <c r="B953" s="940">
        <v>0</v>
      </c>
      <c r="C953" t="s">
        <v>4368</v>
      </c>
      <c r="D953" s="940" t="s">
        <v>4369</v>
      </c>
      <c r="E953" t="s">
        <v>105</v>
      </c>
      <c r="F953">
        <v>1</v>
      </c>
      <c r="G953" s="135"/>
    </row>
    <row r="954" spans="1:7" x14ac:dyDescent="0.25">
      <c r="A954" s="940">
        <v>2582</v>
      </c>
      <c r="B954" s="940">
        <v>21</v>
      </c>
      <c r="C954" t="s">
        <v>4370</v>
      </c>
      <c r="D954" s="940" t="s">
        <v>3942</v>
      </c>
      <c r="E954" t="s">
        <v>120</v>
      </c>
      <c r="F954">
        <v>1</v>
      </c>
      <c r="G954" s="135"/>
    </row>
    <row r="955" spans="1:7" x14ac:dyDescent="0.25">
      <c r="A955" s="940">
        <v>3490</v>
      </c>
      <c r="B955" s="940">
        <v>0</v>
      </c>
      <c r="C955" t="s">
        <v>4371</v>
      </c>
      <c r="D955" s="940" t="s">
        <v>4372</v>
      </c>
      <c r="E955" t="s">
        <v>4373</v>
      </c>
      <c r="F955">
        <v>1</v>
      </c>
      <c r="G955" s="135"/>
    </row>
    <row r="956" spans="1:7" x14ac:dyDescent="0.25">
      <c r="A956" s="940">
        <v>826</v>
      </c>
      <c r="B956" s="940">
        <v>287</v>
      </c>
      <c r="C956" t="s">
        <v>4374</v>
      </c>
      <c r="D956" s="940" t="s">
        <v>4375</v>
      </c>
      <c r="E956" t="s">
        <v>1435</v>
      </c>
      <c r="F956">
        <v>1</v>
      </c>
      <c r="G956" s="135"/>
    </row>
    <row r="957" spans="1:7" x14ac:dyDescent="0.25">
      <c r="A957" s="940">
        <v>1090</v>
      </c>
      <c r="B957" s="940">
        <v>185</v>
      </c>
      <c r="C957" t="s">
        <v>689</v>
      </c>
      <c r="D957" s="940" t="s">
        <v>4376</v>
      </c>
      <c r="E957" t="s">
        <v>105</v>
      </c>
      <c r="F957">
        <v>1</v>
      </c>
      <c r="G957" s="135"/>
    </row>
    <row r="958" spans="1:7" x14ac:dyDescent="0.25">
      <c r="A958" s="940">
        <v>2558</v>
      </c>
      <c r="B958" s="940">
        <v>22</v>
      </c>
      <c r="C958" t="s">
        <v>4377</v>
      </c>
      <c r="D958" s="940" t="s">
        <v>3832</v>
      </c>
      <c r="E958" t="s">
        <v>120</v>
      </c>
      <c r="F958">
        <v>1</v>
      </c>
      <c r="G958" s="135"/>
    </row>
    <row r="959" spans="1:7" x14ac:dyDescent="0.25">
      <c r="A959" s="940">
        <v>628</v>
      </c>
      <c r="B959" s="940">
        <v>384</v>
      </c>
      <c r="C959" t="s">
        <v>1528</v>
      </c>
      <c r="D959" s="940" t="s">
        <v>4378</v>
      </c>
      <c r="E959" t="s">
        <v>1507</v>
      </c>
      <c r="F959">
        <v>1</v>
      </c>
      <c r="G959" s="135"/>
    </row>
    <row r="960" spans="1:7" x14ac:dyDescent="0.25">
      <c r="A960" s="940">
        <v>3490</v>
      </c>
      <c r="B960" s="940">
        <v>0</v>
      </c>
      <c r="C960" t="s">
        <v>4379</v>
      </c>
      <c r="D960" s="940" t="s">
        <v>4380</v>
      </c>
      <c r="E960" t="s">
        <v>4381</v>
      </c>
      <c r="F960">
        <v>1</v>
      </c>
      <c r="G960" s="135"/>
    </row>
    <row r="961" spans="1:7" x14ac:dyDescent="0.25">
      <c r="A961" s="940">
        <v>3490</v>
      </c>
      <c r="B961" s="940">
        <v>0</v>
      </c>
      <c r="C961" t="s">
        <v>4382</v>
      </c>
      <c r="D961" s="940" t="s">
        <v>4383</v>
      </c>
      <c r="E961" t="s">
        <v>1236</v>
      </c>
      <c r="F961">
        <v>1</v>
      </c>
      <c r="G961" s="135"/>
    </row>
    <row r="962" spans="1:7" x14ac:dyDescent="0.25">
      <c r="A962" s="940">
        <v>3490</v>
      </c>
      <c r="B962" s="940">
        <v>0</v>
      </c>
      <c r="C962" t="s">
        <v>4384</v>
      </c>
      <c r="D962" s="940" t="s">
        <v>4385</v>
      </c>
      <c r="E962" t="s">
        <v>120</v>
      </c>
      <c r="F962">
        <v>1</v>
      </c>
      <c r="G962" s="135"/>
    </row>
    <row r="963" spans="1:7" x14ac:dyDescent="0.25">
      <c r="A963" s="940">
        <v>3490</v>
      </c>
      <c r="B963" s="940">
        <v>0</v>
      </c>
      <c r="C963" t="s">
        <v>4386</v>
      </c>
      <c r="D963" s="940" t="s">
        <v>4387</v>
      </c>
      <c r="E963" t="s">
        <v>142</v>
      </c>
      <c r="F963">
        <v>1</v>
      </c>
      <c r="G963" s="135"/>
    </row>
    <row r="964" spans="1:7" x14ac:dyDescent="0.25">
      <c r="A964" s="940">
        <v>1183</v>
      </c>
      <c r="B964" s="940">
        <v>161</v>
      </c>
      <c r="C964" t="s">
        <v>1532</v>
      </c>
      <c r="D964" s="940" t="s">
        <v>4388</v>
      </c>
      <c r="E964" t="s">
        <v>257</v>
      </c>
      <c r="F964">
        <v>1</v>
      </c>
      <c r="G964" s="135"/>
    </row>
    <row r="965" spans="1:7" x14ac:dyDescent="0.25">
      <c r="A965" s="940">
        <v>3490</v>
      </c>
      <c r="B965" s="940">
        <v>0</v>
      </c>
      <c r="C965" t="s">
        <v>4389</v>
      </c>
      <c r="D965" s="940" t="s">
        <v>4390</v>
      </c>
      <c r="E965" t="s">
        <v>126</v>
      </c>
      <c r="F965">
        <v>1</v>
      </c>
      <c r="G965" s="135"/>
    </row>
    <row r="966" spans="1:7" x14ac:dyDescent="0.25">
      <c r="A966" s="940">
        <v>1986</v>
      </c>
      <c r="B966" s="940">
        <v>57</v>
      </c>
      <c r="C966" t="s">
        <v>4391</v>
      </c>
      <c r="D966" s="940" t="s">
        <v>4392</v>
      </c>
      <c r="E966" t="s">
        <v>73</v>
      </c>
      <c r="F966">
        <v>1</v>
      </c>
      <c r="G966" s="135"/>
    </row>
    <row r="967" spans="1:7" x14ac:dyDescent="0.25">
      <c r="A967" s="940">
        <v>3490</v>
      </c>
      <c r="B967" s="940">
        <v>0</v>
      </c>
      <c r="C967" t="s">
        <v>4391</v>
      </c>
      <c r="D967" s="940" t="s">
        <v>4218</v>
      </c>
      <c r="E967" t="s">
        <v>83</v>
      </c>
      <c r="F967">
        <v>1</v>
      </c>
      <c r="G967" s="135"/>
    </row>
    <row r="968" spans="1:7" x14ac:dyDescent="0.25">
      <c r="A968" s="940">
        <v>2814</v>
      </c>
      <c r="B968" s="940">
        <v>13</v>
      </c>
      <c r="C968" t="s">
        <v>4393</v>
      </c>
      <c r="D968" s="940" t="s">
        <v>4394</v>
      </c>
      <c r="E968" t="s">
        <v>4395</v>
      </c>
      <c r="F968">
        <v>1</v>
      </c>
      <c r="G968" s="135"/>
    </row>
    <row r="969" spans="1:7" x14ac:dyDescent="0.25">
      <c r="A969" s="940">
        <v>2499</v>
      </c>
      <c r="B969" s="940">
        <v>25</v>
      </c>
      <c r="C969" t="s">
        <v>1534</v>
      </c>
      <c r="D969" s="940" t="s">
        <v>4396</v>
      </c>
      <c r="E969" t="s">
        <v>105</v>
      </c>
      <c r="F969">
        <v>1</v>
      </c>
      <c r="G969" s="135"/>
    </row>
    <row r="970" spans="1:7" x14ac:dyDescent="0.25">
      <c r="A970" s="940">
        <v>620</v>
      </c>
      <c r="B970" s="940">
        <v>390</v>
      </c>
      <c r="C970" t="s">
        <v>1536</v>
      </c>
      <c r="D970" s="940" t="s">
        <v>3686</v>
      </c>
      <c r="E970" t="s">
        <v>74</v>
      </c>
      <c r="F970">
        <v>1</v>
      </c>
      <c r="G970" s="135"/>
    </row>
    <row r="971" spans="1:7" x14ac:dyDescent="0.25">
      <c r="A971" s="940">
        <v>174</v>
      </c>
      <c r="B971" s="940">
        <v>939</v>
      </c>
      <c r="C971" t="s">
        <v>4397</v>
      </c>
      <c r="D971" s="940" t="s">
        <v>4398</v>
      </c>
      <c r="E971" t="s">
        <v>106</v>
      </c>
      <c r="F971">
        <v>1</v>
      </c>
      <c r="G971" s="135"/>
    </row>
    <row r="972" spans="1:7" x14ac:dyDescent="0.25">
      <c r="A972" s="940">
        <v>3196</v>
      </c>
      <c r="B972" s="940">
        <v>4</v>
      </c>
      <c r="C972" t="s">
        <v>4399</v>
      </c>
      <c r="D972" s="940" t="s">
        <v>3822</v>
      </c>
      <c r="E972" t="s">
        <v>120</v>
      </c>
      <c r="F972">
        <v>1</v>
      </c>
      <c r="G972" s="135"/>
    </row>
    <row r="973" spans="1:7" x14ac:dyDescent="0.25">
      <c r="A973" s="940">
        <v>3490</v>
      </c>
      <c r="B973" s="940">
        <v>0</v>
      </c>
      <c r="C973" t="s">
        <v>4400</v>
      </c>
      <c r="D973" s="940" t="s">
        <v>4401</v>
      </c>
      <c r="E973" t="s">
        <v>105</v>
      </c>
      <c r="F973">
        <v>1</v>
      </c>
      <c r="G973" s="135"/>
    </row>
    <row r="974" spans="1:7" x14ac:dyDescent="0.25">
      <c r="A974" s="940">
        <v>1167</v>
      </c>
      <c r="B974" s="940">
        <v>164</v>
      </c>
      <c r="C974" t="s">
        <v>4402</v>
      </c>
      <c r="D974" s="940" t="s">
        <v>3326</v>
      </c>
      <c r="E974" t="s">
        <v>1236</v>
      </c>
      <c r="F974">
        <v>1</v>
      </c>
      <c r="G974" s="135"/>
    </row>
    <row r="975" spans="1:7" x14ac:dyDescent="0.25">
      <c r="A975" s="940">
        <v>2814</v>
      </c>
      <c r="B975" s="940">
        <v>13</v>
      </c>
      <c r="C975" t="s">
        <v>4403</v>
      </c>
      <c r="D975" s="940" t="s">
        <v>3582</v>
      </c>
      <c r="E975" t="s">
        <v>99</v>
      </c>
      <c r="F975">
        <v>1</v>
      </c>
      <c r="G975" s="135"/>
    </row>
    <row r="976" spans="1:7" x14ac:dyDescent="0.25">
      <c r="A976" s="940">
        <v>3490</v>
      </c>
      <c r="B976" s="940">
        <v>0</v>
      </c>
      <c r="C976" t="s">
        <v>4404</v>
      </c>
      <c r="D976" s="940" t="s">
        <v>4405</v>
      </c>
      <c r="E976" t="s">
        <v>99</v>
      </c>
      <c r="F976">
        <v>1</v>
      </c>
      <c r="G976" s="135"/>
    </row>
    <row r="977" spans="1:7" x14ac:dyDescent="0.25">
      <c r="A977" s="940">
        <v>3490</v>
      </c>
      <c r="B977" s="940">
        <v>0</v>
      </c>
      <c r="C977" t="s">
        <v>4406</v>
      </c>
      <c r="D977" s="940" t="s">
        <v>4407</v>
      </c>
      <c r="E977" t="s">
        <v>120</v>
      </c>
      <c r="F977">
        <v>1</v>
      </c>
      <c r="G977" s="135"/>
    </row>
    <row r="978" spans="1:7" x14ac:dyDescent="0.25">
      <c r="A978" s="940">
        <v>813</v>
      </c>
      <c r="B978" s="940">
        <v>293</v>
      </c>
      <c r="C978" t="s">
        <v>1538</v>
      </c>
      <c r="D978" s="940" t="s">
        <v>4408</v>
      </c>
      <c r="E978" t="s">
        <v>120</v>
      </c>
      <c r="F978">
        <v>1</v>
      </c>
      <c r="G978" s="135"/>
    </row>
    <row r="979" spans="1:7" x14ac:dyDescent="0.25">
      <c r="A979" s="940">
        <v>2690</v>
      </c>
      <c r="B979" s="940">
        <v>17</v>
      </c>
      <c r="C979" t="s">
        <v>4409</v>
      </c>
      <c r="D979" s="940" t="s">
        <v>2753</v>
      </c>
      <c r="E979" t="s">
        <v>111</v>
      </c>
      <c r="F979">
        <v>1</v>
      </c>
      <c r="G979" s="135"/>
    </row>
    <row r="980" spans="1:7" x14ac:dyDescent="0.25">
      <c r="A980" s="940">
        <v>576</v>
      </c>
      <c r="B980" s="940">
        <v>419</v>
      </c>
      <c r="C980" t="s">
        <v>4410</v>
      </c>
      <c r="D980" s="940" t="s">
        <v>4411</v>
      </c>
      <c r="E980" t="s">
        <v>2880</v>
      </c>
      <c r="F980">
        <v>1</v>
      </c>
      <c r="G980" s="135"/>
    </row>
    <row r="981" spans="1:7" x14ac:dyDescent="0.25">
      <c r="A981" s="940">
        <v>3490</v>
      </c>
      <c r="B981" s="940">
        <v>0</v>
      </c>
      <c r="C981" t="s">
        <v>4412</v>
      </c>
      <c r="D981" s="940" t="s">
        <v>4413</v>
      </c>
      <c r="E981" t="s">
        <v>2979</v>
      </c>
      <c r="F981">
        <v>1</v>
      </c>
      <c r="G981" s="135"/>
    </row>
    <row r="982" spans="1:7" x14ac:dyDescent="0.25">
      <c r="A982" s="940">
        <v>2659</v>
      </c>
      <c r="B982" s="940">
        <v>18</v>
      </c>
      <c r="C982" t="s">
        <v>4414</v>
      </c>
      <c r="D982" s="940" t="s">
        <v>3745</v>
      </c>
      <c r="E982" t="s">
        <v>2979</v>
      </c>
      <c r="F982">
        <v>1</v>
      </c>
      <c r="G982" s="135"/>
    </row>
    <row r="983" spans="1:7" x14ac:dyDescent="0.25">
      <c r="A983" s="940">
        <v>2558</v>
      </c>
      <c r="B983" s="940">
        <v>22</v>
      </c>
      <c r="C983" t="s">
        <v>4415</v>
      </c>
      <c r="D983" s="940" t="s">
        <v>4416</v>
      </c>
      <c r="E983" t="s">
        <v>120</v>
      </c>
      <c r="F983">
        <v>1</v>
      </c>
      <c r="G983" s="135"/>
    </row>
    <row r="984" spans="1:7" x14ac:dyDescent="0.25">
      <c r="A984" s="940">
        <v>1968</v>
      </c>
      <c r="B984" s="940">
        <v>59</v>
      </c>
      <c r="C984" t="s">
        <v>4417</v>
      </c>
      <c r="D984" s="940" t="s">
        <v>4418</v>
      </c>
      <c r="E984" t="s">
        <v>120</v>
      </c>
      <c r="F984">
        <v>1</v>
      </c>
      <c r="G984" s="135"/>
    </row>
    <row r="985" spans="1:7" x14ac:dyDescent="0.25">
      <c r="A985" s="940">
        <v>3490</v>
      </c>
      <c r="B985" s="940">
        <v>0</v>
      </c>
      <c r="C985" t="s">
        <v>4419</v>
      </c>
      <c r="D985" s="940" t="s">
        <v>3594</v>
      </c>
      <c r="E985" t="s">
        <v>1182</v>
      </c>
      <c r="F985">
        <v>1</v>
      </c>
      <c r="G985" s="135"/>
    </row>
    <row r="986" spans="1:7" x14ac:dyDescent="0.25">
      <c r="A986" s="940">
        <v>881</v>
      </c>
      <c r="B986" s="940">
        <v>260</v>
      </c>
      <c r="C986" t="s">
        <v>4420</v>
      </c>
      <c r="D986" s="940" t="s">
        <v>4421</v>
      </c>
      <c r="E986" t="s">
        <v>103</v>
      </c>
      <c r="F986">
        <v>1</v>
      </c>
      <c r="G986" s="135"/>
    </row>
    <row r="987" spans="1:7" x14ac:dyDescent="0.25">
      <c r="A987" s="940">
        <v>1145</v>
      </c>
      <c r="B987" s="940">
        <v>169</v>
      </c>
      <c r="C987" t="s">
        <v>4422</v>
      </c>
      <c r="D987" s="940" t="s">
        <v>4423</v>
      </c>
      <c r="E987" t="s">
        <v>1158</v>
      </c>
      <c r="F987">
        <v>1</v>
      </c>
      <c r="G987" s="135"/>
    </row>
    <row r="988" spans="1:7" x14ac:dyDescent="0.25">
      <c r="A988" s="940">
        <v>1962</v>
      </c>
      <c r="B988" s="940">
        <v>60</v>
      </c>
      <c r="C988" t="s">
        <v>4424</v>
      </c>
      <c r="D988" s="940" t="s">
        <v>4209</v>
      </c>
      <c r="E988" t="s">
        <v>188</v>
      </c>
      <c r="F988">
        <v>1</v>
      </c>
      <c r="G988" s="135"/>
    </row>
    <row r="989" spans="1:7" x14ac:dyDescent="0.25">
      <c r="A989" s="940">
        <v>3490</v>
      </c>
      <c r="B989" s="940">
        <v>0</v>
      </c>
      <c r="C989" t="s">
        <v>4425</v>
      </c>
      <c r="D989" s="940" t="s">
        <v>4426</v>
      </c>
      <c r="E989" t="s">
        <v>2880</v>
      </c>
      <c r="F989">
        <v>1</v>
      </c>
      <c r="G989" s="135"/>
    </row>
    <row r="990" spans="1:7" x14ac:dyDescent="0.25">
      <c r="A990" s="940">
        <v>3395</v>
      </c>
      <c r="B990" s="940">
        <v>1</v>
      </c>
      <c r="C990" t="s">
        <v>4427</v>
      </c>
      <c r="D990" s="940" t="s">
        <v>4428</v>
      </c>
      <c r="E990" t="s">
        <v>1290</v>
      </c>
      <c r="F990">
        <v>1</v>
      </c>
      <c r="G990" s="135"/>
    </row>
    <row r="991" spans="1:7" x14ac:dyDescent="0.25">
      <c r="A991" s="940">
        <v>3490</v>
      </c>
      <c r="B991" s="940">
        <v>0</v>
      </c>
      <c r="C991" t="s">
        <v>4429</v>
      </c>
      <c r="D991" s="940" t="s">
        <v>4430</v>
      </c>
      <c r="E991" t="s">
        <v>137</v>
      </c>
      <c r="F991">
        <v>1</v>
      </c>
      <c r="G991" s="135"/>
    </row>
    <row r="992" spans="1:7" x14ac:dyDescent="0.25">
      <c r="A992" s="940">
        <v>3045</v>
      </c>
      <c r="B992" s="940">
        <v>7</v>
      </c>
      <c r="C992" t="s">
        <v>4431</v>
      </c>
      <c r="D992" s="940" t="s">
        <v>4432</v>
      </c>
      <c r="E992" t="s">
        <v>1435</v>
      </c>
      <c r="F992">
        <v>1</v>
      </c>
      <c r="G992" s="135"/>
    </row>
    <row r="993" spans="1:7" x14ac:dyDescent="0.25">
      <c r="A993" s="940">
        <v>1185</v>
      </c>
      <c r="B993" s="940">
        <v>160</v>
      </c>
      <c r="C993" t="s">
        <v>4433</v>
      </c>
      <c r="D993" s="940" t="s">
        <v>4434</v>
      </c>
      <c r="E993" t="s">
        <v>208</v>
      </c>
      <c r="F993">
        <v>1</v>
      </c>
      <c r="G993" s="135"/>
    </row>
    <row r="994" spans="1:7" x14ac:dyDescent="0.25">
      <c r="A994" s="940">
        <v>1153</v>
      </c>
      <c r="B994" s="940">
        <v>167</v>
      </c>
      <c r="C994" t="s">
        <v>4435</v>
      </c>
      <c r="D994" s="940" t="s">
        <v>4436</v>
      </c>
      <c r="E994" t="s">
        <v>112</v>
      </c>
      <c r="F994">
        <v>1</v>
      </c>
      <c r="G994" s="135"/>
    </row>
    <row r="995" spans="1:7" x14ac:dyDescent="0.25">
      <c r="A995" s="940">
        <v>477</v>
      </c>
      <c r="B995" s="940">
        <v>498</v>
      </c>
      <c r="C995" t="s">
        <v>4437</v>
      </c>
      <c r="D995" s="940" t="s">
        <v>4438</v>
      </c>
      <c r="E995" t="s">
        <v>3200</v>
      </c>
      <c r="F995">
        <v>1</v>
      </c>
      <c r="G995" s="135"/>
    </row>
    <row r="996" spans="1:7" x14ac:dyDescent="0.25">
      <c r="A996" s="940">
        <v>1026</v>
      </c>
      <c r="B996" s="940">
        <v>206</v>
      </c>
      <c r="C996" t="s">
        <v>4439</v>
      </c>
      <c r="D996" s="940" t="s">
        <v>4440</v>
      </c>
      <c r="E996" t="s">
        <v>99</v>
      </c>
      <c r="F996">
        <v>1</v>
      </c>
      <c r="G996" s="135"/>
    </row>
    <row r="997" spans="1:7" x14ac:dyDescent="0.25">
      <c r="A997" s="940">
        <v>2609</v>
      </c>
      <c r="B997" s="940">
        <v>20</v>
      </c>
      <c r="C997" t="s">
        <v>4441</v>
      </c>
      <c r="D997" s="940" t="s">
        <v>4442</v>
      </c>
      <c r="E997" t="s">
        <v>1286</v>
      </c>
      <c r="F997">
        <v>1</v>
      </c>
      <c r="G997" s="135"/>
    </row>
    <row r="998" spans="1:7" x14ac:dyDescent="0.25">
      <c r="A998" s="940">
        <v>3395</v>
      </c>
      <c r="B998" s="940">
        <v>1</v>
      </c>
      <c r="C998" t="s">
        <v>4443</v>
      </c>
      <c r="D998" s="940" t="s">
        <v>4401</v>
      </c>
      <c r="E998" t="s">
        <v>74</v>
      </c>
      <c r="F998">
        <v>1</v>
      </c>
      <c r="G998" s="135"/>
    </row>
    <row r="999" spans="1:7" x14ac:dyDescent="0.25">
      <c r="A999" s="940">
        <v>3490</v>
      </c>
      <c r="B999" s="940">
        <v>0</v>
      </c>
      <c r="C999" t="s">
        <v>4444</v>
      </c>
      <c r="D999" s="940" t="s">
        <v>4445</v>
      </c>
      <c r="E999" t="s">
        <v>2979</v>
      </c>
      <c r="F999">
        <v>1</v>
      </c>
      <c r="G999" s="135"/>
    </row>
    <row r="1000" spans="1:7" x14ac:dyDescent="0.25">
      <c r="A1000" s="940">
        <v>3395</v>
      </c>
      <c r="B1000" s="940">
        <v>1</v>
      </c>
      <c r="C1000" t="s">
        <v>4446</v>
      </c>
      <c r="D1000" s="940" t="s">
        <v>4447</v>
      </c>
      <c r="E1000" t="s">
        <v>128</v>
      </c>
      <c r="F1000">
        <v>1</v>
      </c>
      <c r="G1000" s="135"/>
    </row>
    <row r="1001" spans="1:7" x14ac:dyDescent="0.25">
      <c r="A1001" s="940">
        <v>254</v>
      </c>
      <c r="B1001" s="940">
        <v>811</v>
      </c>
      <c r="C1001" t="s">
        <v>4448</v>
      </c>
      <c r="D1001" s="940" t="s">
        <v>4449</v>
      </c>
      <c r="E1001" t="s">
        <v>84</v>
      </c>
      <c r="F1001">
        <v>1</v>
      </c>
      <c r="G1001" s="135"/>
    </row>
    <row r="1002" spans="1:7" x14ac:dyDescent="0.25">
      <c r="A1002" s="940">
        <v>2996</v>
      </c>
      <c r="B1002" s="940">
        <v>8</v>
      </c>
      <c r="C1002" t="s">
        <v>4450</v>
      </c>
      <c r="D1002" s="940" t="s">
        <v>2682</v>
      </c>
      <c r="E1002" t="s">
        <v>111</v>
      </c>
      <c r="F1002">
        <v>1</v>
      </c>
      <c r="G1002" s="135"/>
    </row>
    <row r="1003" spans="1:7" x14ac:dyDescent="0.25">
      <c r="A1003" s="940">
        <v>2539</v>
      </c>
      <c r="B1003" s="940">
        <v>23</v>
      </c>
      <c r="C1003" t="s">
        <v>4451</v>
      </c>
      <c r="D1003" s="940" t="s">
        <v>3601</v>
      </c>
      <c r="E1003" t="s">
        <v>1363</v>
      </c>
      <c r="F1003">
        <v>1</v>
      </c>
      <c r="G1003" s="135"/>
    </row>
    <row r="1004" spans="1:7" x14ac:dyDescent="0.25">
      <c r="A1004" s="940">
        <v>3490</v>
      </c>
      <c r="B1004" s="940">
        <v>0</v>
      </c>
      <c r="C1004" t="s">
        <v>4452</v>
      </c>
      <c r="D1004" s="940" t="s">
        <v>4453</v>
      </c>
      <c r="E1004" t="s">
        <v>246</v>
      </c>
      <c r="F1004">
        <v>1</v>
      </c>
      <c r="G1004" s="135"/>
    </row>
    <row r="1005" spans="1:7" x14ac:dyDescent="0.25">
      <c r="A1005" s="940">
        <v>2405</v>
      </c>
      <c r="B1005" s="940">
        <v>30</v>
      </c>
      <c r="C1005" t="s">
        <v>4454</v>
      </c>
      <c r="D1005" s="940" t="s">
        <v>4353</v>
      </c>
      <c r="E1005" t="s">
        <v>120</v>
      </c>
      <c r="F1005">
        <v>1</v>
      </c>
      <c r="G1005" s="135"/>
    </row>
    <row r="1006" spans="1:7" x14ac:dyDescent="0.25">
      <c r="A1006" s="940">
        <v>2714</v>
      </c>
      <c r="B1006" s="940">
        <v>16</v>
      </c>
      <c r="C1006" t="s">
        <v>4455</v>
      </c>
      <c r="D1006" s="940" t="s">
        <v>4456</v>
      </c>
      <c r="E1006" t="s">
        <v>2291</v>
      </c>
      <c r="F1006">
        <v>1</v>
      </c>
      <c r="G1006" s="135"/>
    </row>
    <row r="1007" spans="1:7" x14ac:dyDescent="0.25">
      <c r="A1007" s="940">
        <v>223</v>
      </c>
      <c r="B1007" s="940">
        <v>864</v>
      </c>
      <c r="C1007" t="s">
        <v>4457</v>
      </c>
      <c r="D1007" s="940" t="s">
        <v>4458</v>
      </c>
      <c r="E1007" t="s">
        <v>1232</v>
      </c>
      <c r="F1007">
        <v>1</v>
      </c>
      <c r="G1007" s="135"/>
    </row>
    <row r="1008" spans="1:7" x14ac:dyDescent="0.25">
      <c r="A1008" s="940">
        <v>131</v>
      </c>
      <c r="B1008" s="940">
        <v>1015</v>
      </c>
      <c r="C1008" t="s">
        <v>4459</v>
      </c>
      <c r="D1008" s="940" t="s">
        <v>4460</v>
      </c>
      <c r="E1008" t="s">
        <v>4461</v>
      </c>
      <c r="F1008">
        <v>1</v>
      </c>
      <c r="G1008" s="135"/>
    </row>
    <row r="1009" spans="1:7" x14ac:dyDescent="0.25">
      <c r="A1009" s="940">
        <v>1653</v>
      </c>
      <c r="B1009" s="940">
        <v>89</v>
      </c>
      <c r="C1009" t="s">
        <v>4462</v>
      </c>
      <c r="D1009" s="940" t="s">
        <v>4463</v>
      </c>
      <c r="E1009" t="s">
        <v>1236</v>
      </c>
      <c r="F1009">
        <v>1</v>
      </c>
      <c r="G1009" s="135"/>
    </row>
    <row r="1010" spans="1:7" x14ac:dyDescent="0.25">
      <c r="A1010" s="940">
        <v>1110</v>
      </c>
      <c r="B1010" s="940">
        <v>177</v>
      </c>
      <c r="C1010" t="s">
        <v>4464</v>
      </c>
      <c r="D1010" s="940" t="s">
        <v>4465</v>
      </c>
      <c r="E1010" t="s">
        <v>4466</v>
      </c>
      <c r="F1010">
        <v>1</v>
      </c>
      <c r="G1010" s="135"/>
    </row>
    <row r="1011" spans="1:7" x14ac:dyDescent="0.25">
      <c r="A1011" s="940">
        <v>730</v>
      </c>
      <c r="B1011" s="940">
        <v>330</v>
      </c>
      <c r="C1011" t="s">
        <v>4467</v>
      </c>
      <c r="D1011" s="940" t="s">
        <v>4468</v>
      </c>
      <c r="E1011" t="s">
        <v>103</v>
      </c>
      <c r="F1011">
        <v>1</v>
      </c>
      <c r="G1011" s="135"/>
    </row>
    <row r="1012" spans="1:7" x14ac:dyDescent="0.25">
      <c r="A1012" s="940">
        <v>1942</v>
      </c>
      <c r="B1012" s="940">
        <v>61</v>
      </c>
      <c r="C1012" t="s">
        <v>4469</v>
      </c>
      <c r="D1012" s="940" t="s">
        <v>2955</v>
      </c>
      <c r="E1012" t="s">
        <v>4470</v>
      </c>
      <c r="F1012">
        <v>1</v>
      </c>
      <c r="G1012" s="135"/>
    </row>
    <row r="1013" spans="1:7" x14ac:dyDescent="0.25">
      <c r="A1013" s="940">
        <v>2335</v>
      </c>
      <c r="B1013" s="940">
        <v>34</v>
      </c>
      <c r="C1013" t="s">
        <v>4471</v>
      </c>
      <c r="D1013" s="940" t="s">
        <v>4064</v>
      </c>
      <c r="E1013" t="s">
        <v>120</v>
      </c>
      <c r="F1013">
        <v>1</v>
      </c>
      <c r="G1013" s="135"/>
    </row>
    <row r="1014" spans="1:7" x14ac:dyDescent="0.25">
      <c r="A1014" s="940">
        <v>1818</v>
      </c>
      <c r="B1014" s="940">
        <v>71</v>
      </c>
      <c r="C1014" t="s">
        <v>4472</v>
      </c>
      <c r="D1014" s="940" t="s">
        <v>4473</v>
      </c>
      <c r="E1014" t="s">
        <v>99</v>
      </c>
      <c r="F1014">
        <v>1</v>
      </c>
      <c r="G1014" s="135"/>
    </row>
    <row r="1015" spans="1:7" x14ac:dyDescent="0.25">
      <c r="A1015" s="940">
        <v>1986</v>
      </c>
      <c r="B1015" s="940">
        <v>57</v>
      </c>
      <c r="C1015" t="s">
        <v>4474</v>
      </c>
      <c r="D1015" s="940" t="s">
        <v>4475</v>
      </c>
      <c r="E1015" t="s">
        <v>200</v>
      </c>
      <c r="F1015">
        <v>1</v>
      </c>
      <c r="G1015" s="135"/>
    </row>
    <row r="1016" spans="1:7" x14ac:dyDescent="0.25">
      <c r="A1016" s="940">
        <v>631</v>
      </c>
      <c r="B1016" s="940">
        <v>383</v>
      </c>
      <c r="C1016" t="s">
        <v>4476</v>
      </c>
      <c r="D1016" s="940" t="s">
        <v>4477</v>
      </c>
      <c r="E1016" t="s">
        <v>99</v>
      </c>
      <c r="F1016">
        <v>1</v>
      </c>
      <c r="G1016" s="135"/>
    </row>
    <row r="1017" spans="1:7" x14ac:dyDescent="0.25">
      <c r="A1017" s="940">
        <v>852</v>
      </c>
      <c r="B1017" s="940">
        <v>272</v>
      </c>
      <c r="C1017" t="s">
        <v>4478</v>
      </c>
      <c r="D1017" s="940" t="s">
        <v>4479</v>
      </c>
      <c r="E1017" t="s">
        <v>99</v>
      </c>
      <c r="F1017">
        <v>1</v>
      </c>
      <c r="G1017" s="135"/>
    </row>
    <row r="1018" spans="1:7" x14ac:dyDescent="0.25">
      <c r="A1018" s="940">
        <v>3490</v>
      </c>
      <c r="B1018" s="940">
        <v>0</v>
      </c>
      <c r="C1018" t="s">
        <v>4480</v>
      </c>
      <c r="D1018" s="940" t="s">
        <v>4481</v>
      </c>
      <c r="E1018" t="s">
        <v>257</v>
      </c>
      <c r="F1018">
        <v>1</v>
      </c>
      <c r="G1018" s="135"/>
    </row>
    <row r="1019" spans="1:7" x14ac:dyDescent="0.25">
      <c r="A1019" s="940">
        <v>496</v>
      </c>
      <c r="B1019" s="940">
        <v>474</v>
      </c>
      <c r="C1019" t="s">
        <v>4482</v>
      </c>
      <c r="D1019" s="940" t="s">
        <v>4483</v>
      </c>
      <c r="E1019" t="s">
        <v>257</v>
      </c>
      <c r="F1019">
        <v>1</v>
      </c>
      <c r="G1019" s="135"/>
    </row>
    <row r="1020" spans="1:7" x14ac:dyDescent="0.25">
      <c r="A1020" s="940">
        <v>3490</v>
      </c>
      <c r="B1020" s="940">
        <v>0</v>
      </c>
      <c r="C1020" t="s">
        <v>4484</v>
      </c>
      <c r="D1020" s="940" t="s">
        <v>4485</v>
      </c>
      <c r="E1020" t="s">
        <v>74</v>
      </c>
      <c r="F1020">
        <v>1</v>
      </c>
      <c r="G1020" s="135"/>
    </row>
    <row r="1021" spans="1:7" x14ac:dyDescent="0.25">
      <c r="A1021" s="940">
        <v>2016</v>
      </c>
      <c r="B1021" s="940">
        <v>54</v>
      </c>
      <c r="C1021" t="s">
        <v>4486</v>
      </c>
      <c r="D1021" s="940" t="s">
        <v>4487</v>
      </c>
      <c r="E1021" t="s">
        <v>3687</v>
      </c>
      <c r="F1021">
        <v>1</v>
      </c>
      <c r="G1021" s="135"/>
    </row>
    <row r="1022" spans="1:7" x14ac:dyDescent="0.25">
      <c r="A1022" s="940">
        <v>1322</v>
      </c>
      <c r="B1022" s="940">
        <v>131</v>
      </c>
      <c r="C1022" t="s">
        <v>4488</v>
      </c>
      <c r="D1022" s="940" t="s">
        <v>4489</v>
      </c>
      <c r="E1022" t="s">
        <v>1968</v>
      </c>
      <c r="F1022">
        <v>1</v>
      </c>
      <c r="G1022" s="135"/>
    </row>
    <row r="1023" spans="1:7" x14ac:dyDescent="0.25">
      <c r="A1023" s="940">
        <v>1333</v>
      </c>
      <c r="B1023" s="940">
        <v>129</v>
      </c>
      <c r="C1023" t="s">
        <v>1554</v>
      </c>
      <c r="D1023" s="940" t="s">
        <v>4490</v>
      </c>
      <c r="E1023" t="s">
        <v>115</v>
      </c>
      <c r="F1023">
        <v>1</v>
      </c>
      <c r="G1023" s="135"/>
    </row>
    <row r="1024" spans="1:7" x14ac:dyDescent="0.25">
      <c r="A1024" s="940">
        <v>1284</v>
      </c>
      <c r="B1024" s="940">
        <v>139</v>
      </c>
      <c r="C1024" t="s">
        <v>4491</v>
      </c>
      <c r="D1024" s="940" t="s">
        <v>4492</v>
      </c>
      <c r="E1024" t="s">
        <v>2291</v>
      </c>
      <c r="F1024">
        <v>1</v>
      </c>
      <c r="G1024" s="135"/>
    </row>
    <row r="1025" spans="1:7" x14ac:dyDescent="0.25">
      <c r="A1025" s="940">
        <v>994</v>
      </c>
      <c r="B1025" s="940">
        <v>219</v>
      </c>
      <c r="C1025" t="s">
        <v>4493</v>
      </c>
      <c r="D1025" s="940" t="s">
        <v>4494</v>
      </c>
      <c r="E1025" t="s">
        <v>1493</v>
      </c>
      <c r="F1025">
        <v>1</v>
      </c>
      <c r="G1025" s="135"/>
    </row>
    <row r="1026" spans="1:7" x14ac:dyDescent="0.25">
      <c r="A1026" s="940">
        <v>2016</v>
      </c>
      <c r="B1026" s="940">
        <v>54</v>
      </c>
      <c r="C1026" t="s">
        <v>4495</v>
      </c>
      <c r="D1026" s="940" t="s">
        <v>4496</v>
      </c>
      <c r="E1026" t="s">
        <v>208</v>
      </c>
      <c r="F1026">
        <v>1</v>
      </c>
      <c r="G1026" s="135"/>
    </row>
    <row r="1027" spans="1:7" x14ac:dyDescent="0.25">
      <c r="A1027" s="940">
        <v>3045</v>
      </c>
      <c r="B1027" s="940">
        <v>7</v>
      </c>
      <c r="C1027" t="s">
        <v>4497</v>
      </c>
      <c r="D1027" s="940" t="s">
        <v>2953</v>
      </c>
      <c r="E1027" t="s">
        <v>1460</v>
      </c>
      <c r="F1027">
        <v>1</v>
      </c>
      <c r="G1027" s="135"/>
    </row>
    <row r="1028" spans="1:7" x14ac:dyDescent="0.25">
      <c r="A1028" s="940">
        <v>179</v>
      </c>
      <c r="B1028" s="940">
        <v>925</v>
      </c>
      <c r="C1028" t="s">
        <v>4498</v>
      </c>
      <c r="D1028" s="940" t="s">
        <v>4499</v>
      </c>
      <c r="E1028" t="s">
        <v>105</v>
      </c>
      <c r="F1028">
        <v>1</v>
      </c>
      <c r="G1028" s="135"/>
    </row>
    <row r="1029" spans="1:7" x14ac:dyDescent="0.25">
      <c r="A1029" s="940">
        <v>756</v>
      </c>
      <c r="B1029" s="940">
        <v>318</v>
      </c>
      <c r="C1029" t="s">
        <v>1557</v>
      </c>
      <c r="D1029" s="940" t="s">
        <v>4500</v>
      </c>
      <c r="E1029" t="s">
        <v>1162</v>
      </c>
      <c r="F1029">
        <v>1</v>
      </c>
      <c r="G1029" s="135"/>
    </row>
    <row r="1030" spans="1:7" x14ac:dyDescent="0.25">
      <c r="A1030" s="940">
        <v>3327</v>
      </c>
      <c r="B1030" s="940">
        <v>2</v>
      </c>
      <c r="C1030" t="s">
        <v>4501</v>
      </c>
      <c r="D1030" s="940" t="s">
        <v>4502</v>
      </c>
      <c r="E1030" t="s">
        <v>1236</v>
      </c>
      <c r="F1030">
        <v>1</v>
      </c>
      <c r="G1030" s="135"/>
    </row>
    <row r="1031" spans="1:7" x14ac:dyDescent="0.25">
      <c r="A1031" s="940">
        <v>2291</v>
      </c>
      <c r="B1031" s="940">
        <v>37</v>
      </c>
      <c r="C1031" t="s">
        <v>4503</v>
      </c>
      <c r="D1031" s="940" t="s">
        <v>4504</v>
      </c>
      <c r="E1031" t="s">
        <v>1248</v>
      </c>
      <c r="F1031">
        <v>1</v>
      </c>
      <c r="G1031" s="135"/>
    </row>
    <row r="1032" spans="1:7" x14ac:dyDescent="0.25">
      <c r="A1032" s="940">
        <v>2582</v>
      </c>
      <c r="B1032" s="940">
        <v>21</v>
      </c>
      <c r="C1032" t="s">
        <v>4505</v>
      </c>
      <c r="D1032" s="940" t="s">
        <v>4506</v>
      </c>
      <c r="E1032" t="s">
        <v>4470</v>
      </c>
      <c r="F1032">
        <v>1</v>
      </c>
      <c r="G1032" s="135"/>
    </row>
    <row r="1033" spans="1:7" x14ac:dyDescent="0.25">
      <c r="A1033" s="940">
        <v>3490</v>
      </c>
      <c r="B1033" s="940">
        <v>0</v>
      </c>
      <c r="C1033" t="s">
        <v>4507</v>
      </c>
      <c r="D1033" s="940" t="s">
        <v>4508</v>
      </c>
      <c r="E1033" t="s">
        <v>4509</v>
      </c>
      <c r="F1033">
        <v>1</v>
      </c>
      <c r="G1033" s="135"/>
    </row>
    <row r="1034" spans="1:7" x14ac:dyDescent="0.25">
      <c r="A1034" s="940">
        <v>2187</v>
      </c>
      <c r="B1034" s="940">
        <v>43</v>
      </c>
      <c r="C1034" t="s">
        <v>1558</v>
      </c>
      <c r="D1034" s="940" t="s">
        <v>4510</v>
      </c>
      <c r="E1034" t="s">
        <v>119</v>
      </c>
      <c r="F1034">
        <v>1</v>
      </c>
      <c r="G1034" s="135"/>
    </row>
    <row r="1035" spans="1:7" x14ac:dyDescent="0.25">
      <c r="A1035" s="940">
        <v>2743</v>
      </c>
      <c r="B1035" s="940">
        <v>15</v>
      </c>
      <c r="C1035" t="s">
        <v>4511</v>
      </c>
      <c r="D1035" s="940" t="s">
        <v>4512</v>
      </c>
      <c r="E1035" t="s">
        <v>144</v>
      </c>
      <c r="F1035">
        <v>1</v>
      </c>
      <c r="G1035" s="135"/>
    </row>
    <row r="1036" spans="1:7" x14ac:dyDescent="0.25">
      <c r="A1036" s="940">
        <v>2187</v>
      </c>
      <c r="B1036" s="940">
        <v>43</v>
      </c>
      <c r="C1036" t="s">
        <v>4513</v>
      </c>
      <c r="D1036" s="940" t="s">
        <v>4514</v>
      </c>
      <c r="E1036" t="s">
        <v>105</v>
      </c>
      <c r="F1036">
        <v>1</v>
      </c>
      <c r="G1036" s="135"/>
    </row>
    <row r="1037" spans="1:7" x14ac:dyDescent="0.25">
      <c r="A1037" s="940">
        <v>1533</v>
      </c>
      <c r="B1037" s="940">
        <v>102</v>
      </c>
      <c r="C1037" t="s">
        <v>4515</v>
      </c>
      <c r="D1037" s="940" t="s">
        <v>3970</v>
      </c>
      <c r="E1037" t="s">
        <v>113</v>
      </c>
      <c r="F1037">
        <v>1</v>
      </c>
      <c r="G1037" s="135"/>
    </row>
    <row r="1038" spans="1:7" x14ac:dyDescent="0.25">
      <c r="A1038" s="940">
        <v>1489</v>
      </c>
      <c r="B1038" s="940">
        <v>107</v>
      </c>
      <c r="C1038" t="s">
        <v>4516</v>
      </c>
      <c r="D1038" s="940" t="s">
        <v>4517</v>
      </c>
      <c r="E1038" t="s">
        <v>106</v>
      </c>
      <c r="F1038">
        <v>1</v>
      </c>
      <c r="G1038" s="135"/>
    </row>
    <row r="1039" spans="1:7" x14ac:dyDescent="0.25">
      <c r="A1039" s="940">
        <v>3490</v>
      </c>
      <c r="B1039" s="940">
        <v>0</v>
      </c>
      <c r="C1039" t="s">
        <v>4518</v>
      </c>
      <c r="D1039" s="940" t="s">
        <v>4519</v>
      </c>
      <c r="E1039" t="s">
        <v>3421</v>
      </c>
      <c r="F1039">
        <v>1</v>
      </c>
      <c r="G1039" s="135"/>
    </row>
    <row r="1040" spans="1:7" x14ac:dyDescent="0.25">
      <c r="A1040" s="940">
        <v>1367</v>
      </c>
      <c r="B1040" s="940">
        <v>124</v>
      </c>
      <c r="C1040" t="s">
        <v>4520</v>
      </c>
      <c r="D1040" s="940" t="s">
        <v>4521</v>
      </c>
      <c r="E1040" t="s">
        <v>1182</v>
      </c>
      <c r="F1040">
        <v>1</v>
      </c>
      <c r="G1040" s="135"/>
    </row>
    <row r="1041" spans="1:7" x14ac:dyDescent="0.25">
      <c r="A1041" s="940">
        <v>1468</v>
      </c>
      <c r="B1041" s="940">
        <v>110</v>
      </c>
      <c r="C1041" t="s">
        <v>4522</v>
      </c>
      <c r="D1041" s="940" t="s">
        <v>4523</v>
      </c>
      <c r="E1041" t="s">
        <v>3137</v>
      </c>
      <c r="F1041">
        <v>1</v>
      </c>
      <c r="G1041" s="135"/>
    </row>
    <row r="1042" spans="1:7" x14ac:dyDescent="0.25">
      <c r="A1042" s="940">
        <v>287</v>
      </c>
      <c r="B1042" s="940">
        <v>733</v>
      </c>
      <c r="C1042" t="s">
        <v>4524</v>
      </c>
      <c r="D1042" s="940" t="s">
        <v>4525</v>
      </c>
      <c r="E1042" t="s">
        <v>257</v>
      </c>
      <c r="F1042">
        <v>1</v>
      </c>
      <c r="G1042" s="135"/>
    </row>
    <row r="1043" spans="1:7" x14ac:dyDescent="0.25">
      <c r="A1043" s="940">
        <v>1254</v>
      </c>
      <c r="B1043" s="940">
        <v>144</v>
      </c>
      <c r="C1043" t="s">
        <v>4526</v>
      </c>
      <c r="D1043" s="940" t="s">
        <v>4527</v>
      </c>
      <c r="E1043" t="s">
        <v>99</v>
      </c>
      <c r="F1043">
        <v>1</v>
      </c>
      <c r="G1043" s="135"/>
    </row>
    <row r="1044" spans="1:7" x14ac:dyDescent="0.25">
      <c r="A1044" s="940">
        <v>2659</v>
      </c>
      <c r="B1044" s="940">
        <v>18</v>
      </c>
      <c r="C1044" t="s">
        <v>4528</v>
      </c>
      <c r="D1044" s="940" t="s">
        <v>4529</v>
      </c>
      <c r="E1044" t="s">
        <v>120</v>
      </c>
      <c r="F1044">
        <v>1</v>
      </c>
      <c r="G1044" s="135"/>
    </row>
    <row r="1045" spans="1:7" x14ac:dyDescent="0.25">
      <c r="A1045" s="940">
        <v>2241</v>
      </c>
      <c r="B1045" s="940">
        <v>40</v>
      </c>
      <c r="C1045" t="s">
        <v>4530</v>
      </c>
      <c r="D1045" s="940" t="s">
        <v>3555</v>
      </c>
      <c r="E1045" t="s">
        <v>170</v>
      </c>
      <c r="F1045">
        <v>1</v>
      </c>
      <c r="G1045" s="135"/>
    </row>
    <row r="1046" spans="1:7" x14ac:dyDescent="0.25">
      <c r="A1046" s="940">
        <v>2152</v>
      </c>
      <c r="B1046" s="940">
        <v>45</v>
      </c>
      <c r="C1046" t="s">
        <v>4531</v>
      </c>
      <c r="D1046" s="940" t="s">
        <v>2747</v>
      </c>
      <c r="E1046" t="s">
        <v>1507</v>
      </c>
      <c r="F1046">
        <v>1</v>
      </c>
      <c r="G1046" s="135"/>
    </row>
    <row r="1047" spans="1:7" x14ac:dyDescent="0.25">
      <c r="A1047" s="940">
        <v>1110</v>
      </c>
      <c r="B1047" s="940">
        <v>177</v>
      </c>
      <c r="C1047" t="s">
        <v>4532</v>
      </c>
      <c r="D1047" s="940" t="s">
        <v>4533</v>
      </c>
      <c r="E1047" t="s">
        <v>1251</v>
      </c>
      <c r="F1047">
        <v>1</v>
      </c>
      <c r="G1047" s="135"/>
    </row>
    <row r="1048" spans="1:7" x14ac:dyDescent="0.25">
      <c r="A1048" s="940">
        <v>1913</v>
      </c>
      <c r="B1048" s="940">
        <v>63</v>
      </c>
      <c r="C1048" t="s">
        <v>4534</v>
      </c>
      <c r="D1048" s="940" t="s">
        <v>2780</v>
      </c>
      <c r="E1048" t="s">
        <v>83</v>
      </c>
      <c r="F1048">
        <v>1</v>
      </c>
      <c r="G1048" s="135"/>
    </row>
    <row r="1049" spans="1:7" x14ac:dyDescent="0.25">
      <c r="A1049" s="940">
        <v>1317</v>
      </c>
      <c r="B1049" s="940">
        <v>132</v>
      </c>
      <c r="C1049" t="s">
        <v>4535</v>
      </c>
      <c r="D1049" s="940" t="s">
        <v>3812</v>
      </c>
      <c r="E1049" t="s">
        <v>2660</v>
      </c>
      <c r="F1049">
        <v>1</v>
      </c>
      <c r="G1049" s="135"/>
    </row>
    <row r="1050" spans="1:7" x14ac:dyDescent="0.25">
      <c r="A1050" s="940">
        <v>2626</v>
      </c>
      <c r="B1050" s="940">
        <v>19</v>
      </c>
      <c r="C1050" t="s">
        <v>4536</v>
      </c>
      <c r="D1050" s="940" t="s">
        <v>4537</v>
      </c>
      <c r="E1050" t="s">
        <v>129</v>
      </c>
      <c r="F1050">
        <v>1</v>
      </c>
      <c r="G1050" s="135"/>
    </row>
    <row r="1051" spans="1:7" x14ac:dyDescent="0.25">
      <c r="A1051" s="940">
        <v>1489</v>
      </c>
      <c r="B1051" s="940">
        <v>107</v>
      </c>
      <c r="C1051" t="s">
        <v>4538</v>
      </c>
      <c r="D1051" s="940" t="s">
        <v>4288</v>
      </c>
      <c r="E1051" t="s">
        <v>1179</v>
      </c>
      <c r="F1051">
        <v>1</v>
      </c>
      <c r="G1051" s="135"/>
    </row>
    <row r="1052" spans="1:7" x14ac:dyDescent="0.25">
      <c r="A1052" s="940">
        <v>1132</v>
      </c>
      <c r="B1052" s="940">
        <v>172</v>
      </c>
      <c r="C1052" t="s">
        <v>4539</v>
      </c>
      <c r="D1052" s="940" t="s">
        <v>3873</v>
      </c>
      <c r="E1052" t="s">
        <v>74</v>
      </c>
      <c r="F1052">
        <v>1</v>
      </c>
      <c r="G1052" s="135"/>
    </row>
    <row r="1053" spans="1:7" x14ac:dyDescent="0.25">
      <c r="A1053" s="940">
        <v>3327</v>
      </c>
      <c r="B1053" s="940">
        <v>2</v>
      </c>
      <c r="C1053" t="s">
        <v>4540</v>
      </c>
      <c r="D1053" s="940" t="s">
        <v>4541</v>
      </c>
      <c r="E1053" t="s">
        <v>130</v>
      </c>
      <c r="F1053">
        <v>1</v>
      </c>
      <c r="G1053" s="135"/>
    </row>
    <row r="1054" spans="1:7" x14ac:dyDescent="0.25">
      <c r="A1054" s="940">
        <v>1730</v>
      </c>
      <c r="B1054" s="940">
        <v>80</v>
      </c>
      <c r="C1054" t="s">
        <v>4542</v>
      </c>
      <c r="D1054" s="940" t="s">
        <v>4543</v>
      </c>
      <c r="E1054" t="s">
        <v>1284</v>
      </c>
      <c r="F1054">
        <v>1</v>
      </c>
      <c r="G1054" s="135"/>
    </row>
    <row r="1055" spans="1:7" x14ac:dyDescent="0.25">
      <c r="A1055" s="940">
        <v>3395</v>
      </c>
      <c r="B1055" s="940">
        <v>1</v>
      </c>
      <c r="C1055" t="s">
        <v>4544</v>
      </c>
      <c r="D1055" s="940" t="s">
        <v>4545</v>
      </c>
      <c r="E1055" t="s">
        <v>163</v>
      </c>
      <c r="F1055">
        <v>1</v>
      </c>
      <c r="G1055" s="135"/>
    </row>
    <row r="1056" spans="1:7" x14ac:dyDescent="0.25">
      <c r="A1056" s="940">
        <v>3089</v>
      </c>
      <c r="B1056" s="940">
        <v>6</v>
      </c>
      <c r="C1056" t="s">
        <v>4546</v>
      </c>
      <c r="D1056" s="940" t="s">
        <v>4547</v>
      </c>
      <c r="E1056" t="s">
        <v>4548</v>
      </c>
      <c r="F1056">
        <v>1</v>
      </c>
      <c r="G1056" s="135"/>
    </row>
    <row r="1057" spans="1:7" x14ac:dyDescent="0.25">
      <c r="A1057" s="940">
        <v>3490</v>
      </c>
      <c r="B1057" s="940">
        <v>0</v>
      </c>
      <c r="C1057" t="s">
        <v>4549</v>
      </c>
      <c r="D1057" s="940" t="s">
        <v>3232</v>
      </c>
      <c r="E1057" t="s">
        <v>2880</v>
      </c>
      <c r="F1057">
        <v>1</v>
      </c>
      <c r="G1057" s="135"/>
    </row>
    <row r="1058" spans="1:7" x14ac:dyDescent="0.25">
      <c r="A1058" s="940">
        <v>1214</v>
      </c>
      <c r="B1058" s="940">
        <v>153</v>
      </c>
      <c r="C1058" t="s">
        <v>4550</v>
      </c>
      <c r="D1058" s="940" t="s">
        <v>4551</v>
      </c>
      <c r="E1058" t="s">
        <v>127</v>
      </c>
      <c r="F1058">
        <v>1</v>
      </c>
      <c r="G1058" s="135"/>
    </row>
    <row r="1059" spans="1:7" x14ac:dyDescent="0.25">
      <c r="A1059" s="940">
        <v>2539</v>
      </c>
      <c r="B1059" s="940">
        <v>23</v>
      </c>
      <c r="C1059" t="s">
        <v>4552</v>
      </c>
      <c r="D1059" s="940" t="s">
        <v>4553</v>
      </c>
      <c r="E1059" t="s">
        <v>1460</v>
      </c>
      <c r="F1059">
        <v>1</v>
      </c>
      <c r="G1059" s="135"/>
    </row>
    <row r="1060" spans="1:7" x14ac:dyDescent="0.25">
      <c r="A1060" s="940">
        <v>3490</v>
      </c>
      <c r="B1060" s="940">
        <v>0</v>
      </c>
      <c r="C1060" t="s">
        <v>4554</v>
      </c>
      <c r="D1060" s="940" t="s">
        <v>4555</v>
      </c>
      <c r="E1060" t="s">
        <v>111</v>
      </c>
      <c r="F1060">
        <v>1</v>
      </c>
      <c r="G1060" s="135"/>
    </row>
    <row r="1061" spans="1:7" x14ac:dyDescent="0.25">
      <c r="A1061" s="940">
        <v>1356</v>
      </c>
      <c r="B1061" s="940">
        <v>126</v>
      </c>
      <c r="C1061" t="s">
        <v>4556</v>
      </c>
      <c r="D1061" s="940" t="s">
        <v>3460</v>
      </c>
      <c r="E1061" t="s">
        <v>105</v>
      </c>
      <c r="F1061">
        <v>1</v>
      </c>
      <c r="G1061" s="135"/>
    </row>
    <row r="1062" spans="1:7" x14ac:dyDescent="0.25">
      <c r="A1062" s="940">
        <v>2461</v>
      </c>
      <c r="B1062" s="940">
        <v>27</v>
      </c>
      <c r="C1062" t="s">
        <v>4557</v>
      </c>
      <c r="D1062" s="940" t="s">
        <v>4558</v>
      </c>
      <c r="E1062" t="s">
        <v>105</v>
      </c>
      <c r="F1062">
        <v>1</v>
      </c>
      <c r="G1062" s="135"/>
    </row>
    <row r="1063" spans="1:7" x14ac:dyDescent="0.25">
      <c r="A1063" s="940">
        <v>1452</v>
      </c>
      <c r="B1063" s="940">
        <v>113</v>
      </c>
      <c r="C1063" t="s">
        <v>4559</v>
      </c>
      <c r="D1063" s="940" t="s">
        <v>3615</v>
      </c>
      <c r="E1063" t="s">
        <v>1236</v>
      </c>
      <c r="F1063">
        <v>1</v>
      </c>
      <c r="G1063" s="135"/>
    </row>
    <row r="1064" spans="1:7" x14ac:dyDescent="0.25">
      <c r="A1064" s="940">
        <v>1356</v>
      </c>
      <c r="B1064" s="940">
        <v>126</v>
      </c>
      <c r="C1064" t="s">
        <v>4560</v>
      </c>
      <c r="D1064" s="940" t="s">
        <v>3790</v>
      </c>
      <c r="E1064" t="s">
        <v>1214</v>
      </c>
      <c r="F1064">
        <v>1</v>
      </c>
      <c r="G1064" s="135"/>
    </row>
    <row r="1065" spans="1:7" x14ac:dyDescent="0.25">
      <c r="A1065" s="940">
        <v>3395</v>
      </c>
      <c r="B1065" s="940">
        <v>1</v>
      </c>
      <c r="C1065" t="s">
        <v>4561</v>
      </c>
      <c r="D1065" s="940" t="s">
        <v>4562</v>
      </c>
      <c r="E1065" t="s">
        <v>3383</v>
      </c>
      <c r="F1065">
        <v>1</v>
      </c>
      <c r="G1065" s="135"/>
    </row>
    <row r="1066" spans="1:7" x14ac:dyDescent="0.25">
      <c r="A1066" s="940">
        <v>2060</v>
      </c>
      <c r="B1066" s="940">
        <v>51</v>
      </c>
      <c r="C1066" t="s">
        <v>4563</v>
      </c>
      <c r="D1066" s="940" t="s">
        <v>4564</v>
      </c>
      <c r="E1066" t="s">
        <v>3137</v>
      </c>
      <c r="F1066">
        <v>1</v>
      </c>
      <c r="G1066" s="135"/>
    </row>
    <row r="1067" spans="1:7" x14ac:dyDescent="0.25">
      <c r="A1067" s="940">
        <v>2272</v>
      </c>
      <c r="B1067" s="940">
        <v>38</v>
      </c>
      <c r="C1067" t="s">
        <v>4565</v>
      </c>
      <c r="D1067" s="940" t="s">
        <v>4566</v>
      </c>
      <c r="E1067" t="s">
        <v>1315</v>
      </c>
      <c r="F1067">
        <v>1</v>
      </c>
      <c r="G1067" s="135"/>
    </row>
    <row r="1068" spans="1:7" x14ac:dyDescent="0.25">
      <c r="A1068" s="940">
        <v>3490</v>
      </c>
      <c r="B1068" s="940">
        <v>0</v>
      </c>
      <c r="C1068" t="s">
        <v>4567</v>
      </c>
      <c r="D1068" s="940" t="s">
        <v>4568</v>
      </c>
      <c r="E1068" t="s">
        <v>1968</v>
      </c>
      <c r="F1068">
        <v>1</v>
      </c>
      <c r="G1068" s="135"/>
    </row>
    <row r="1069" spans="1:7" x14ac:dyDescent="0.25">
      <c r="A1069" s="940">
        <v>353</v>
      </c>
      <c r="B1069" s="940">
        <v>629</v>
      </c>
      <c r="C1069" t="s">
        <v>217</v>
      </c>
      <c r="D1069" s="940" t="s">
        <v>4569</v>
      </c>
      <c r="E1069" t="s">
        <v>105</v>
      </c>
      <c r="F1069">
        <v>1</v>
      </c>
      <c r="G1069" s="135"/>
    </row>
    <row r="1070" spans="1:7" x14ac:dyDescent="0.25">
      <c r="A1070" s="940">
        <v>1153</v>
      </c>
      <c r="B1070" s="940">
        <v>167</v>
      </c>
      <c r="C1070" t="s">
        <v>4570</v>
      </c>
      <c r="D1070" s="940" t="s">
        <v>4571</v>
      </c>
      <c r="E1070" t="s">
        <v>4572</v>
      </c>
      <c r="F1070">
        <v>1</v>
      </c>
      <c r="G1070" s="135"/>
    </row>
    <row r="1071" spans="1:7" x14ac:dyDescent="0.25">
      <c r="A1071" s="940">
        <v>2539</v>
      </c>
      <c r="B1071" s="940">
        <v>23</v>
      </c>
      <c r="C1071" t="s">
        <v>1564</v>
      </c>
      <c r="D1071" s="940" t="s">
        <v>4035</v>
      </c>
      <c r="E1071" t="s">
        <v>1363</v>
      </c>
      <c r="F1071">
        <v>1</v>
      </c>
      <c r="G1071" s="135"/>
    </row>
    <row r="1072" spans="1:7" x14ac:dyDescent="0.25">
      <c r="A1072" s="940">
        <v>1885</v>
      </c>
      <c r="B1072" s="940">
        <v>65</v>
      </c>
      <c r="C1072" t="s">
        <v>4573</v>
      </c>
      <c r="D1072" s="940" t="s">
        <v>3592</v>
      </c>
      <c r="E1072" t="s">
        <v>4574</v>
      </c>
      <c r="F1072">
        <v>1</v>
      </c>
      <c r="G1072" s="135"/>
    </row>
    <row r="1073" spans="1:7" x14ac:dyDescent="0.25">
      <c r="A1073" s="940">
        <v>142</v>
      </c>
      <c r="B1073" s="940">
        <v>991</v>
      </c>
      <c r="C1073" t="s">
        <v>4575</v>
      </c>
      <c r="D1073" s="940" t="s">
        <v>4576</v>
      </c>
      <c r="E1073" t="s">
        <v>1332</v>
      </c>
      <c r="F1073">
        <v>1</v>
      </c>
      <c r="G1073" s="135"/>
    </row>
    <row r="1074" spans="1:7" x14ac:dyDescent="0.25">
      <c r="A1074" s="940">
        <v>1017</v>
      </c>
      <c r="B1074" s="940">
        <v>210</v>
      </c>
      <c r="C1074" t="s">
        <v>815</v>
      </c>
      <c r="D1074" s="940" t="s">
        <v>4037</v>
      </c>
      <c r="E1074" t="s">
        <v>1460</v>
      </c>
      <c r="F1074">
        <v>1</v>
      </c>
      <c r="G1074" s="135"/>
    </row>
    <row r="1075" spans="1:7" x14ac:dyDescent="0.25">
      <c r="A1075" s="940">
        <v>1862</v>
      </c>
      <c r="B1075" s="940">
        <v>67</v>
      </c>
      <c r="C1075" t="s">
        <v>4577</v>
      </c>
      <c r="D1075" s="940" t="s">
        <v>4578</v>
      </c>
      <c r="E1075" t="s">
        <v>1156</v>
      </c>
      <c r="F1075">
        <v>1</v>
      </c>
      <c r="G1075" s="135"/>
    </row>
    <row r="1076" spans="1:7" x14ac:dyDescent="0.25">
      <c r="A1076" s="940">
        <v>1994</v>
      </c>
      <c r="B1076" s="940">
        <v>56</v>
      </c>
      <c r="C1076" t="s">
        <v>4579</v>
      </c>
      <c r="D1076" s="940" t="s">
        <v>4580</v>
      </c>
      <c r="E1076" t="s">
        <v>128</v>
      </c>
      <c r="F1076">
        <v>1</v>
      </c>
      <c r="G1076" s="135"/>
    </row>
    <row r="1077" spans="1:7" x14ac:dyDescent="0.25">
      <c r="A1077" s="940">
        <v>3490</v>
      </c>
      <c r="B1077" s="940">
        <v>0</v>
      </c>
      <c r="C1077" t="s">
        <v>4581</v>
      </c>
      <c r="D1077" s="940" t="s">
        <v>4582</v>
      </c>
      <c r="E1077" t="s">
        <v>4583</v>
      </c>
      <c r="F1077">
        <v>1</v>
      </c>
      <c r="G1077" s="135"/>
    </row>
    <row r="1078" spans="1:7" x14ac:dyDescent="0.25">
      <c r="A1078" s="940">
        <v>2907</v>
      </c>
      <c r="B1078" s="940">
        <v>10</v>
      </c>
      <c r="C1078" t="s">
        <v>4584</v>
      </c>
      <c r="D1078" s="940" t="s">
        <v>4585</v>
      </c>
      <c r="E1078" t="s">
        <v>171</v>
      </c>
      <c r="F1078">
        <v>1</v>
      </c>
      <c r="G1078" s="135"/>
    </row>
    <row r="1079" spans="1:7" x14ac:dyDescent="0.25">
      <c r="A1079" s="940">
        <v>1105</v>
      </c>
      <c r="B1079" s="940">
        <v>179</v>
      </c>
      <c r="C1079" t="s">
        <v>4586</v>
      </c>
      <c r="D1079" s="940" t="s">
        <v>4587</v>
      </c>
      <c r="E1079" t="s">
        <v>1493</v>
      </c>
      <c r="F1079">
        <v>1</v>
      </c>
      <c r="G1079" s="135"/>
    </row>
    <row r="1080" spans="1:7" x14ac:dyDescent="0.25">
      <c r="A1080" s="940">
        <v>3490</v>
      </c>
      <c r="B1080" s="940">
        <v>0</v>
      </c>
      <c r="C1080" t="s">
        <v>4588</v>
      </c>
      <c r="D1080" s="940" t="s">
        <v>4589</v>
      </c>
      <c r="E1080" t="s">
        <v>83</v>
      </c>
      <c r="F1080">
        <v>1</v>
      </c>
      <c r="G1080" s="135"/>
    </row>
    <row r="1081" spans="1:7" x14ac:dyDescent="0.25">
      <c r="A1081" s="940">
        <v>1942</v>
      </c>
      <c r="B1081" s="940">
        <v>61</v>
      </c>
      <c r="C1081" t="s">
        <v>471</v>
      </c>
      <c r="D1081" s="940" t="s">
        <v>4590</v>
      </c>
      <c r="E1081" t="s">
        <v>1200</v>
      </c>
      <c r="F1081">
        <v>1</v>
      </c>
      <c r="G1081" s="135"/>
    </row>
    <row r="1082" spans="1:7" x14ac:dyDescent="0.25">
      <c r="A1082" s="940">
        <v>1659</v>
      </c>
      <c r="B1082" s="940">
        <v>88</v>
      </c>
      <c r="C1082" t="s">
        <v>4591</v>
      </c>
      <c r="D1082" s="940" t="s">
        <v>4592</v>
      </c>
      <c r="E1082" t="s">
        <v>132</v>
      </c>
      <c r="F1082">
        <v>1</v>
      </c>
      <c r="G1082" s="135"/>
    </row>
    <row r="1083" spans="1:7" x14ac:dyDescent="0.25">
      <c r="A1083" s="940">
        <v>3490</v>
      </c>
      <c r="B1083" s="940">
        <v>0</v>
      </c>
      <c r="C1083" t="s">
        <v>472</v>
      </c>
      <c r="D1083" s="940" t="s">
        <v>4593</v>
      </c>
      <c r="E1083" t="s">
        <v>2979</v>
      </c>
      <c r="F1083">
        <v>1</v>
      </c>
      <c r="G1083" s="135"/>
    </row>
    <row r="1084" spans="1:7" x14ac:dyDescent="0.25">
      <c r="A1084" s="940">
        <v>179</v>
      </c>
      <c r="B1084" s="940">
        <v>925</v>
      </c>
      <c r="C1084" t="s">
        <v>693</v>
      </c>
      <c r="D1084" s="940" t="s">
        <v>4594</v>
      </c>
      <c r="E1084" t="s">
        <v>120</v>
      </c>
      <c r="F1084">
        <v>1</v>
      </c>
      <c r="G1084" s="135"/>
    </row>
    <row r="1085" spans="1:7" x14ac:dyDescent="0.25">
      <c r="A1085" s="940">
        <v>3490</v>
      </c>
      <c r="B1085" s="940">
        <v>0</v>
      </c>
      <c r="C1085" t="s">
        <v>4595</v>
      </c>
      <c r="D1085" s="940" t="s">
        <v>3963</v>
      </c>
      <c r="E1085" t="s">
        <v>1578</v>
      </c>
      <c r="F1085">
        <v>1</v>
      </c>
      <c r="G1085" s="135"/>
    </row>
    <row r="1086" spans="1:7" x14ac:dyDescent="0.25">
      <c r="A1086" s="940">
        <v>3490</v>
      </c>
      <c r="B1086" s="940">
        <v>0</v>
      </c>
      <c r="C1086" t="s">
        <v>4596</v>
      </c>
      <c r="D1086" s="940" t="s">
        <v>4597</v>
      </c>
      <c r="E1086" t="s">
        <v>120</v>
      </c>
      <c r="F1086">
        <v>1</v>
      </c>
      <c r="G1086" s="135"/>
    </row>
    <row r="1087" spans="1:7" x14ac:dyDescent="0.25">
      <c r="A1087" s="940">
        <v>3395</v>
      </c>
      <c r="B1087" s="940">
        <v>1</v>
      </c>
      <c r="C1087" t="s">
        <v>4598</v>
      </c>
      <c r="D1087" s="940" t="s">
        <v>4599</v>
      </c>
      <c r="E1087" t="s">
        <v>1968</v>
      </c>
      <c r="F1087">
        <v>1</v>
      </c>
      <c r="G1087" s="135"/>
    </row>
    <row r="1088" spans="1:7" x14ac:dyDescent="0.25">
      <c r="A1088" s="940">
        <v>3490</v>
      </c>
      <c r="B1088" s="940">
        <v>0</v>
      </c>
      <c r="C1088" t="s">
        <v>388</v>
      </c>
      <c r="D1088" s="940" t="s">
        <v>4600</v>
      </c>
      <c r="E1088" t="s">
        <v>120</v>
      </c>
      <c r="F1088">
        <v>1</v>
      </c>
      <c r="G1088" s="135"/>
    </row>
    <row r="1089" spans="1:7" x14ac:dyDescent="0.25">
      <c r="A1089" s="940">
        <v>837</v>
      </c>
      <c r="B1089" s="940">
        <v>280</v>
      </c>
      <c r="C1089" t="s">
        <v>1567</v>
      </c>
      <c r="D1089" s="940" t="s">
        <v>4601</v>
      </c>
      <c r="E1089" t="s">
        <v>3487</v>
      </c>
      <c r="F1089">
        <v>1</v>
      </c>
      <c r="G1089" s="135"/>
    </row>
    <row r="1090" spans="1:7" x14ac:dyDescent="0.25">
      <c r="A1090" s="940">
        <v>910</v>
      </c>
      <c r="B1090" s="940">
        <v>251</v>
      </c>
      <c r="C1090" t="s">
        <v>1568</v>
      </c>
      <c r="D1090" s="940" t="s">
        <v>4602</v>
      </c>
      <c r="E1090" t="s">
        <v>120</v>
      </c>
      <c r="F1090">
        <v>1</v>
      </c>
      <c r="G1090" s="135"/>
    </row>
    <row r="1091" spans="1:7" x14ac:dyDescent="0.25">
      <c r="A1091" s="940">
        <v>164</v>
      </c>
      <c r="B1091" s="940">
        <v>946</v>
      </c>
      <c r="C1091" t="s">
        <v>218</v>
      </c>
      <c r="D1091" s="940" t="s">
        <v>4603</v>
      </c>
      <c r="E1091" t="s">
        <v>105</v>
      </c>
      <c r="F1091">
        <v>1</v>
      </c>
      <c r="G1091" s="135"/>
    </row>
    <row r="1092" spans="1:7" x14ac:dyDescent="0.25">
      <c r="A1092" s="940">
        <v>3490</v>
      </c>
      <c r="B1092" s="940">
        <v>0</v>
      </c>
      <c r="C1092" t="s">
        <v>4604</v>
      </c>
      <c r="D1092" s="940" t="s">
        <v>4605</v>
      </c>
      <c r="E1092" t="s">
        <v>170</v>
      </c>
      <c r="F1092">
        <v>1</v>
      </c>
      <c r="G1092" s="135"/>
    </row>
    <row r="1093" spans="1:7" x14ac:dyDescent="0.25">
      <c r="A1093" s="940">
        <v>2609</v>
      </c>
      <c r="B1093" s="940">
        <v>20</v>
      </c>
      <c r="C1093" t="s">
        <v>4606</v>
      </c>
      <c r="D1093" s="940" t="s">
        <v>4607</v>
      </c>
      <c r="E1093" t="s">
        <v>120</v>
      </c>
      <c r="F1093">
        <v>1</v>
      </c>
      <c r="G1093" s="135"/>
    </row>
    <row r="1094" spans="1:7" x14ac:dyDescent="0.25">
      <c r="A1094" s="940">
        <v>3490</v>
      </c>
      <c r="B1094" s="940">
        <v>0</v>
      </c>
      <c r="C1094" t="s">
        <v>4608</v>
      </c>
      <c r="D1094" s="940" t="s">
        <v>4609</v>
      </c>
      <c r="E1094" t="s">
        <v>137</v>
      </c>
      <c r="F1094">
        <v>1</v>
      </c>
      <c r="G1094" s="135"/>
    </row>
    <row r="1095" spans="1:7" x14ac:dyDescent="0.25">
      <c r="A1095" s="940">
        <v>3490</v>
      </c>
      <c r="B1095" s="940">
        <v>0</v>
      </c>
      <c r="C1095" t="s">
        <v>4610</v>
      </c>
      <c r="D1095" s="940" t="s">
        <v>4611</v>
      </c>
      <c r="E1095" t="s">
        <v>2846</v>
      </c>
      <c r="F1095">
        <v>1</v>
      </c>
      <c r="G1095" s="135"/>
    </row>
    <row r="1096" spans="1:7" x14ac:dyDescent="0.25">
      <c r="A1096" s="940">
        <v>2839</v>
      </c>
      <c r="B1096" s="940">
        <v>12</v>
      </c>
      <c r="C1096" t="s">
        <v>4612</v>
      </c>
      <c r="D1096" s="940" t="s">
        <v>4613</v>
      </c>
      <c r="E1096" t="s">
        <v>130</v>
      </c>
      <c r="F1096">
        <v>1</v>
      </c>
      <c r="G1096" s="135"/>
    </row>
    <row r="1097" spans="1:7" x14ac:dyDescent="0.25">
      <c r="A1097" s="940">
        <v>1153</v>
      </c>
      <c r="B1097" s="940">
        <v>167</v>
      </c>
      <c r="C1097" t="s">
        <v>2547</v>
      </c>
      <c r="D1097" s="940" t="s">
        <v>4614</v>
      </c>
      <c r="E1097" t="s">
        <v>73</v>
      </c>
      <c r="F1097">
        <v>1</v>
      </c>
      <c r="G1097" s="135"/>
    </row>
    <row r="1098" spans="1:7" x14ac:dyDescent="0.25">
      <c r="A1098" s="940">
        <v>3490</v>
      </c>
      <c r="B1098" s="940">
        <v>0</v>
      </c>
      <c r="C1098" t="s">
        <v>4615</v>
      </c>
      <c r="D1098" s="940" t="s">
        <v>4616</v>
      </c>
      <c r="E1098" t="s">
        <v>105</v>
      </c>
      <c r="F1098">
        <v>1</v>
      </c>
      <c r="G1098" s="135"/>
    </row>
    <row r="1099" spans="1:7" x14ac:dyDescent="0.25">
      <c r="A1099" s="940">
        <v>1525</v>
      </c>
      <c r="B1099" s="940">
        <v>103</v>
      </c>
      <c r="C1099" t="s">
        <v>4617</v>
      </c>
      <c r="D1099" s="940" t="s">
        <v>4618</v>
      </c>
      <c r="E1099" t="s">
        <v>1158</v>
      </c>
      <c r="F1099">
        <v>1</v>
      </c>
      <c r="G1099" s="135"/>
    </row>
    <row r="1100" spans="1:7" x14ac:dyDescent="0.25">
      <c r="A1100" s="940">
        <v>1574</v>
      </c>
      <c r="B1100" s="940">
        <v>98</v>
      </c>
      <c r="C1100" t="s">
        <v>4617</v>
      </c>
      <c r="D1100" s="940" t="s">
        <v>2868</v>
      </c>
      <c r="E1100" t="s">
        <v>1158</v>
      </c>
      <c r="F1100">
        <v>1</v>
      </c>
      <c r="G1100" s="135"/>
    </row>
    <row r="1101" spans="1:7" x14ac:dyDescent="0.25">
      <c r="A1101" s="940">
        <v>3490</v>
      </c>
      <c r="B1101" s="940">
        <v>0</v>
      </c>
      <c r="C1101" t="s">
        <v>4619</v>
      </c>
      <c r="D1101" s="940" t="s">
        <v>4620</v>
      </c>
      <c r="E1101" t="s">
        <v>1578</v>
      </c>
      <c r="F1101">
        <v>1</v>
      </c>
      <c r="G1101" s="135"/>
    </row>
    <row r="1102" spans="1:7" x14ac:dyDescent="0.25">
      <c r="A1102" s="940">
        <v>3045</v>
      </c>
      <c r="B1102" s="940">
        <v>7</v>
      </c>
      <c r="C1102" t="s">
        <v>4621</v>
      </c>
      <c r="D1102" s="940" t="s">
        <v>4611</v>
      </c>
      <c r="E1102" t="s">
        <v>74</v>
      </c>
      <c r="F1102">
        <v>1</v>
      </c>
      <c r="G1102" s="135"/>
    </row>
    <row r="1103" spans="1:7" x14ac:dyDescent="0.25">
      <c r="A1103" s="940">
        <v>873</v>
      </c>
      <c r="B1103" s="940">
        <v>263</v>
      </c>
      <c r="C1103" t="s">
        <v>4622</v>
      </c>
      <c r="D1103" s="940" t="s">
        <v>4623</v>
      </c>
      <c r="E1103" t="s">
        <v>3218</v>
      </c>
      <c r="F1103">
        <v>1</v>
      </c>
      <c r="G1103" s="135"/>
    </row>
    <row r="1104" spans="1:7" x14ac:dyDescent="0.25">
      <c r="A1104" s="940">
        <v>1800</v>
      </c>
      <c r="B1104" s="940">
        <v>73</v>
      </c>
      <c r="C1104" t="s">
        <v>4624</v>
      </c>
      <c r="D1104" s="940" t="s">
        <v>4625</v>
      </c>
      <c r="E1104" t="s">
        <v>1214</v>
      </c>
      <c r="F1104">
        <v>1</v>
      </c>
      <c r="G1104" s="135"/>
    </row>
    <row r="1105" spans="1:7" x14ac:dyDescent="0.25">
      <c r="A1105" s="940">
        <v>520</v>
      </c>
      <c r="B1105" s="940">
        <v>452</v>
      </c>
      <c r="C1105" t="s">
        <v>4626</v>
      </c>
      <c r="D1105" s="940" t="s">
        <v>4627</v>
      </c>
      <c r="E1105" t="s">
        <v>2880</v>
      </c>
      <c r="F1105">
        <v>1</v>
      </c>
      <c r="G1105" s="135"/>
    </row>
    <row r="1106" spans="1:7" x14ac:dyDescent="0.25">
      <c r="A1106" s="940">
        <v>1562</v>
      </c>
      <c r="B1106" s="940">
        <v>99</v>
      </c>
      <c r="C1106" t="s">
        <v>4628</v>
      </c>
      <c r="D1106" s="940" t="s">
        <v>4629</v>
      </c>
      <c r="E1106" t="s">
        <v>126</v>
      </c>
      <c r="F1106">
        <v>1</v>
      </c>
      <c r="G1106" s="135"/>
    </row>
    <row r="1107" spans="1:7" x14ac:dyDescent="0.25">
      <c r="A1107" s="940">
        <v>3327</v>
      </c>
      <c r="B1107" s="940">
        <v>2</v>
      </c>
      <c r="C1107" t="s">
        <v>4630</v>
      </c>
      <c r="D1107" s="940" t="s">
        <v>4631</v>
      </c>
      <c r="E1107" t="s">
        <v>176</v>
      </c>
      <c r="F1107">
        <v>1</v>
      </c>
      <c r="G1107" s="135"/>
    </row>
    <row r="1108" spans="1:7" x14ac:dyDescent="0.25">
      <c r="A1108" s="940">
        <v>3089</v>
      </c>
      <c r="B1108" s="940">
        <v>6</v>
      </c>
      <c r="C1108" t="s">
        <v>4632</v>
      </c>
      <c r="D1108" s="940" t="s">
        <v>4633</v>
      </c>
      <c r="E1108" t="s">
        <v>128</v>
      </c>
      <c r="F1108">
        <v>1</v>
      </c>
      <c r="G1108" s="135"/>
    </row>
    <row r="1109" spans="1:7" x14ac:dyDescent="0.25">
      <c r="A1109" s="940">
        <v>3490</v>
      </c>
      <c r="B1109" s="940">
        <v>0</v>
      </c>
      <c r="C1109" t="s">
        <v>4632</v>
      </c>
      <c r="D1109" s="940" t="s">
        <v>4634</v>
      </c>
      <c r="E1109" t="s">
        <v>2660</v>
      </c>
      <c r="F1109">
        <v>1</v>
      </c>
      <c r="G1109" s="135"/>
    </row>
    <row r="1110" spans="1:7" x14ac:dyDescent="0.25">
      <c r="A1110" s="940">
        <v>3490</v>
      </c>
      <c r="B1110" s="940">
        <v>0</v>
      </c>
      <c r="C1110" t="s">
        <v>4635</v>
      </c>
      <c r="D1110" s="940" t="s">
        <v>4636</v>
      </c>
      <c r="E1110" t="s">
        <v>99</v>
      </c>
      <c r="F1110">
        <v>1</v>
      </c>
      <c r="G1110" s="135"/>
    </row>
    <row r="1111" spans="1:7" x14ac:dyDescent="0.25">
      <c r="A1111" s="940">
        <v>2839</v>
      </c>
      <c r="B1111" s="940">
        <v>12</v>
      </c>
      <c r="C1111" t="s">
        <v>4637</v>
      </c>
      <c r="D1111" s="940" t="s">
        <v>3997</v>
      </c>
      <c r="E1111" t="s">
        <v>129</v>
      </c>
      <c r="F1111">
        <v>1</v>
      </c>
      <c r="G1111" s="135"/>
    </row>
    <row r="1112" spans="1:7" x14ac:dyDescent="0.25">
      <c r="A1112" s="940">
        <v>1627</v>
      </c>
      <c r="B1112" s="940">
        <v>92</v>
      </c>
      <c r="C1112" t="s">
        <v>4638</v>
      </c>
      <c r="D1112" s="940" t="s">
        <v>4639</v>
      </c>
      <c r="E1112" t="s">
        <v>122</v>
      </c>
      <c r="F1112">
        <v>1</v>
      </c>
      <c r="G1112" s="135"/>
    </row>
    <row r="1113" spans="1:7" x14ac:dyDescent="0.25">
      <c r="A1113" s="940">
        <v>1444</v>
      </c>
      <c r="B1113" s="940">
        <v>114</v>
      </c>
      <c r="C1113" t="s">
        <v>4640</v>
      </c>
      <c r="D1113" s="940" t="s">
        <v>4641</v>
      </c>
      <c r="E1113" t="s">
        <v>132</v>
      </c>
      <c r="F1113">
        <v>1</v>
      </c>
      <c r="G1113" s="135"/>
    </row>
    <row r="1114" spans="1:7" x14ac:dyDescent="0.25">
      <c r="A1114" s="940">
        <v>3490</v>
      </c>
      <c r="B1114" s="940">
        <v>0</v>
      </c>
      <c r="C1114" t="s">
        <v>4642</v>
      </c>
      <c r="D1114" s="940" t="s">
        <v>4643</v>
      </c>
      <c r="E1114" t="s">
        <v>120</v>
      </c>
      <c r="F1114">
        <v>1</v>
      </c>
      <c r="G1114" s="135"/>
    </row>
    <row r="1115" spans="1:7" x14ac:dyDescent="0.25">
      <c r="A1115" s="940">
        <v>685</v>
      </c>
      <c r="B1115" s="940">
        <v>355</v>
      </c>
      <c r="C1115" t="s">
        <v>4644</v>
      </c>
      <c r="D1115" s="940" t="s">
        <v>4645</v>
      </c>
      <c r="E1115" t="s">
        <v>3330</v>
      </c>
      <c r="F1115">
        <v>1</v>
      </c>
      <c r="G1115" s="135"/>
    </row>
    <row r="1116" spans="1:7" x14ac:dyDescent="0.25">
      <c r="A1116" s="940">
        <v>3490</v>
      </c>
      <c r="B1116" s="940">
        <v>0</v>
      </c>
      <c r="C1116" t="s">
        <v>4646</v>
      </c>
      <c r="D1116" s="940" t="s">
        <v>4647</v>
      </c>
      <c r="E1116" t="s">
        <v>160</v>
      </c>
      <c r="F1116">
        <v>1</v>
      </c>
      <c r="G1116" s="135"/>
    </row>
    <row r="1117" spans="1:7" x14ac:dyDescent="0.25">
      <c r="A1117" s="940">
        <v>660</v>
      </c>
      <c r="B1117" s="940">
        <v>370</v>
      </c>
      <c r="C1117" t="s">
        <v>4648</v>
      </c>
      <c r="D1117" s="940" t="s">
        <v>4649</v>
      </c>
      <c r="E1117" t="s">
        <v>2880</v>
      </c>
      <c r="F1117">
        <v>1</v>
      </c>
      <c r="G1117" s="135"/>
    </row>
    <row r="1118" spans="1:7" x14ac:dyDescent="0.25">
      <c r="A1118" s="940">
        <v>1924</v>
      </c>
      <c r="B1118" s="940">
        <v>62</v>
      </c>
      <c r="C1118" t="s">
        <v>4650</v>
      </c>
      <c r="D1118" s="940" t="s">
        <v>4651</v>
      </c>
      <c r="E1118" t="s">
        <v>3114</v>
      </c>
      <c r="F1118">
        <v>1</v>
      </c>
      <c r="G1118" s="135"/>
    </row>
    <row r="1119" spans="1:7" x14ac:dyDescent="0.25">
      <c r="A1119" s="940">
        <v>1346</v>
      </c>
      <c r="B1119" s="940">
        <v>127</v>
      </c>
      <c r="C1119" t="s">
        <v>4652</v>
      </c>
      <c r="D1119" s="940" t="s">
        <v>4653</v>
      </c>
      <c r="E1119" t="s">
        <v>4654</v>
      </c>
      <c r="F1119">
        <v>1</v>
      </c>
      <c r="G1119" s="135"/>
    </row>
    <row r="1120" spans="1:7" x14ac:dyDescent="0.25">
      <c r="A1120" s="940">
        <v>490</v>
      </c>
      <c r="B1120" s="940">
        <v>481</v>
      </c>
      <c r="C1120" t="s">
        <v>1577</v>
      </c>
      <c r="D1120" s="940" t="s">
        <v>4655</v>
      </c>
      <c r="E1120" t="s">
        <v>1493</v>
      </c>
      <c r="F1120">
        <v>1</v>
      </c>
      <c r="G1120" s="135"/>
    </row>
    <row r="1121" spans="1:7" x14ac:dyDescent="0.25">
      <c r="A1121" s="940">
        <v>1643</v>
      </c>
      <c r="B1121" s="940">
        <v>90</v>
      </c>
      <c r="C1121" t="s">
        <v>1577</v>
      </c>
      <c r="D1121" s="940" t="s">
        <v>4656</v>
      </c>
      <c r="E1121" t="s">
        <v>1578</v>
      </c>
      <c r="F1121">
        <v>1</v>
      </c>
      <c r="G1121" s="135"/>
    </row>
    <row r="1122" spans="1:7" x14ac:dyDescent="0.25">
      <c r="A1122" s="940">
        <v>2626</v>
      </c>
      <c r="B1122" s="940">
        <v>19</v>
      </c>
      <c r="C1122" t="s">
        <v>1577</v>
      </c>
      <c r="D1122" s="940" t="s">
        <v>4211</v>
      </c>
      <c r="E1122" t="s">
        <v>120</v>
      </c>
      <c r="F1122">
        <v>1</v>
      </c>
      <c r="G1122" s="135"/>
    </row>
    <row r="1123" spans="1:7" x14ac:dyDescent="0.25">
      <c r="A1123" s="940">
        <v>1094</v>
      </c>
      <c r="B1123" s="940">
        <v>184</v>
      </c>
      <c r="C1123" t="s">
        <v>223</v>
      </c>
      <c r="D1123" s="940" t="s">
        <v>4657</v>
      </c>
      <c r="E1123" t="s">
        <v>105</v>
      </c>
      <c r="F1123">
        <v>1</v>
      </c>
      <c r="G1123" s="135"/>
    </row>
    <row r="1124" spans="1:7" x14ac:dyDescent="0.25">
      <c r="A1124" s="940">
        <v>2659</v>
      </c>
      <c r="B1124" s="940">
        <v>18</v>
      </c>
      <c r="C1124" t="s">
        <v>4658</v>
      </c>
      <c r="D1124" s="940" t="s">
        <v>4659</v>
      </c>
      <c r="E1124" t="s">
        <v>4660</v>
      </c>
      <c r="F1124">
        <v>1</v>
      </c>
      <c r="G1124" s="135"/>
    </row>
    <row r="1125" spans="1:7" x14ac:dyDescent="0.25">
      <c r="A1125" s="940">
        <v>198</v>
      </c>
      <c r="B1125" s="940">
        <v>896</v>
      </c>
      <c r="C1125" t="s">
        <v>4661</v>
      </c>
      <c r="D1125" s="940" t="s">
        <v>4662</v>
      </c>
      <c r="E1125" t="s">
        <v>1214</v>
      </c>
      <c r="F1125">
        <v>1</v>
      </c>
      <c r="G1125" s="135"/>
    </row>
    <row r="1126" spans="1:7" x14ac:dyDescent="0.25">
      <c r="A1126" s="940">
        <v>2626</v>
      </c>
      <c r="B1126" s="940">
        <v>19</v>
      </c>
      <c r="C1126" t="s">
        <v>4663</v>
      </c>
      <c r="D1126" s="940" t="s">
        <v>4664</v>
      </c>
      <c r="E1126" t="s">
        <v>1236</v>
      </c>
      <c r="F1126">
        <v>1</v>
      </c>
      <c r="G1126" s="135"/>
    </row>
    <row r="1127" spans="1:7" x14ac:dyDescent="0.25">
      <c r="A1127" s="940">
        <v>1060</v>
      </c>
      <c r="B1127" s="940">
        <v>198</v>
      </c>
      <c r="C1127" t="s">
        <v>4665</v>
      </c>
      <c r="D1127" s="940" t="s">
        <v>4666</v>
      </c>
      <c r="E1127" t="s">
        <v>4667</v>
      </c>
      <c r="F1127">
        <v>1</v>
      </c>
      <c r="G1127" s="135"/>
    </row>
    <row r="1128" spans="1:7" x14ac:dyDescent="0.25">
      <c r="A1128" s="940">
        <v>2129</v>
      </c>
      <c r="B1128" s="940">
        <v>46</v>
      </c>
      <c r="C1128" t="s">
        <v>4668</v>
      </c>
      <c r="D1128" s="940" t="s">
        <v>4669</v>
      </c>
      <c r="E1128" t="s">
        <v>74</v>
      </c>
      <c r="F1128">
        <v>1</v>
      </c>
      <c r="G1128" s="135"/>
    </row>
    <row r="1129" spans="1:7" x14ac:dyDescent="0.25">
      <c r="A1129" s="940">
        <v>1062</v>
      </c>
      <c r="B1129" s="940">
        <v>195</v>
      </c>
      <c r="C1129" t="s">
        <v>1581</v>
      </c>
      <c r="D1129" s="940" t="s">
        <v>4670</v>
      </c>
      <c r="E1129" t="s">
        <v>1311</v>
      </c>
      <c r="F1129">
        <v>1</v>
      </c>
      <c r="G1129" s="135"/>
    </row>
    <row r="1130" spans="1:7" x14ac:dyDescent="0.25">
      <c r="A1130" s="940">
        <v>1994</v>
      </c>
      <c r="B1130" s="940">
        <v>56</v>
      </c>
      <c r="C1130" t="s">
        <v>4671</v>
      </c>
      <c r="D1130" s="940" t="s">
        <v>4672</v>
      </c>
      <c r="E1130" t="s">
        <v>105</v>
      </c>
      <c r="F1130">
        <v>1</v>
      </c>
      <c r="G1130" s="135"/>
    </row>
    <row r="1131" spans="1:7" x14ac:dyDescent="0.25">
      <c r="A1131" s="940">
        <v>2996</v>
      </c>
      <c r="B1131" s="940">
        <v>8</v>
      </c>
      <c r="C1131" t="s">
        <v>4673</v>
      </c>
      <c r="D1131" s="940" t="s">
        <v>3028</v>
      </c>
      <c r="E1131" t="s">
        <v>4674</v>
      </c>
      <c r="F1131">
        <v>1</v>
      </c>
      <c r="G1131" s="135"/>
    </row>
    <row r="1132" spans="1:7" x14ac:dyDescent="0.25">
      <c r="A1132" s="940">
        <v>3265</v>
      </c>
      <c r="B1132" s="940">
        <v>3</v>
      </c>
      <c r="C1132" t="s">
        <v>4675</v>
      </c>
      <c r="D1132" s="940" t="s">
        <v>4676</v>
      </c>
      <c r="E1132" t="s">
        <v>1214</v>
      </c>
      <c r="F1132">
        <v>1</v>
      </c>
      <c r="G1132" s="135"/>
    </row>
    <row r="1133" spans="1:7" x14ac:dyDescent="0.25">
      <c r="A1133" s="940">
        <v>534</v>
      </c>
      <c r="B1133" s="940">
        <v>441</v>
      </c>
      <c r="C1133" t="s">
        <v>4677</v>
      </c>
      <c r="D1133" s="940" t="s">
        <v>4678</v>
      </c>
      <c r="E1133" t="s">
        <v>4679</v>
      </c>
      <c r="F1133">
        <v>1</v>
      </c>
      <c r="G1133" s="135"/>
    </row>
    <row r="1134" spans="1:7" x14ac:dyDescent="0.25">
      <c r="A1134" s="940">
        <v>2582</v>
      </c>
      <c r="B1134" s="940">
        <v>21</v>
      </c>
      <c r="C1134" t="s">
        <v>4680</v>
      </c>
      <c r="D1134" s="940" t="s">
        <v>4681</v>
      </c>
      <c r="E1134" t="s">
        <v>3396</v>
      </c>
      <c r="F1134">
        <v>1</v>
      </c>
      <c r="G1134" s="135"/>
    </row>
    <row r="1135" spans="1:7" x14ac:dyDescent="0.25">
      <c r="A1135" s="940">
        <v>3089</v>
      </c>
      <c r="B1135" s="940">
        <v>6</v>
      </c>
      <c r="C1135" t="s">
        <v>4682</v>
      </c>
      <c r="D1135" s="940" t="s">
        <v>4683</v>
      </c>
      <c r="E1135" t="s">
        <v>111</v>
      </c>
      <c r="F1135">
        <v>1</v>
      </c>
      <c r="G1135" s="135"/>
    </row>
    <row r="1136" spans="1:7" x14ac:dyDescent="0.25">
      <c r="A1136" s="940">
        <v>1811</v>
      </c>
      <c r="B1136" s="940">
        <v>72</v>
      </c>
      <c r="C1136" t="s">
        <v>4684</v>
      </c>
      <c r="D1136" s="940" t="s">
        <v>4685</v>
      </c>
      <c r="E1136" t="s">
        <v>147</v>
      </c>
      <c r="F1136">
        <v>1</v>
      </c>
      <c r="G1136" s="135"/>
    </row>
    <row r="1137" spans="1:7" x14ac:dyDescent="0.25">
      <c r="A1137" s="940">
        <v>866</v>
      </c>
      <c r="B1137" s="940">
        <v>267</v>
      </c>
      <c r="C1137" t="s">
        <v>1583</v>
      </c>
      <c r="D1137" s="940" t="s">
        <v>4686</v>
      </c>
      <c r="E1137" t="s">
        <v>1584</v>
      </c>
      <c r="F1137">
        <v>1</v>
      </c>
      <c r="G1137" s="135"/>
    </row>
    <row r="1138" spans="1:7" x14ac:dyDescent="0.25">
      <c r="A1138" s="940">
        <v>3196</v>
      </c>
      <c r="B1138" s="940">
        <v>4</v>
      </c>
      <c r="C1138" t="s">
        <v>4687</v>
      </c>
      <c r="D1138" s="940" t="s">
        <v>4688</v>
      </c>
      <c r="E1138" t="s">
        <v>120</v>
      </c>
      <c r="F1138">
        <v>1</v>
      </c>
      <c r="G1138" s="135"/>
    </row>
    <row r="1139" spans="1:7" x14ac:dyDescent="0.25">
      <c r="A1139" s="940">
        <v>108</v>
      </c>
      <c r="B1139" s="940">
        <v>1095</v>
      </c>
      <c r="C1139" t="s">
        <v>4689</v>
      </c>
      <c r="D1139" s="940" t="s">
        <v>4690</v>
      </c>
      <c r="E1139" t="s">
        <v>83</v>
      </c>
      <c r="F1139">
        <v>1</v>
      </c>
      <c r="G1139" s="135"/>
    </row>
    <row r="1140" spans="1:7" x14ac:dyDescent="0.25">
      <c r="A1140" s="940">
        <v>944</v>
      </c>
      <c r="B1140" s="940">
        <v>239</v>
      </c>
      <c r="C1140" t="s">
        <v>1585</v>
      </c>
      <c r="D1140" s="940" t="s">
        <v>4691</v>
      </c>
      <c r="E1140" t="s">
        <v>1332</v>
      </c>
      <c r="F1140">
        <v>1</v>
      </c>
      <c r="G1140" s="135"/>
    </row>
    <row r="1141" spans="1:7" x14ac:dyDescent="0.25">
      <c r="A1141" s="940">
        <v>3196</v>
      </c>
      <c r="B1141" s="940">
        <v>4</v>
      </c>
      <c r="C1141" t="s">
        <v>4692</v>
      </c>
      <c r="D1141" s="940" t="s">
        <v>2703</v>
      </c>
      <c r="E1141" t="s">
        <v>4395</v>
      </c>
      <c r="F1141">
        <v>1</v>
      </c>
      <c r="G1141" s="135"/>
    </row>
    <row r="1142" spans="1:7" x14ac:dyDescent="0.25">
      <c r="A1142" s="940">
        <v>826</v>
      </c>
      <c r="B1142" s="940">
        <v>287</v>
      </c>
      <c r="C1142" t="s">
        <v>4693</v>
      </c>
      <c r="D1142" s="940" t="s">
        <v>2987</v>
      </c>
      <c r="E1142" t="s">
        <v>122</v>
      </c>
      <c r="F1142">
        <v>1</v>
      </c>
      <c r="G1142" s="135"/>
    </row>
    <row r="1143" spans="1:7" x14ac:dyDescent="0.25">
      <c r="A1143" s="940">
        <v>3490</v>
      </c>
      <c r="B1143" s="940">
        <v>0</v>
      </c>
      <c r="C1143" t="s">
        <v>4694</v>
      </c>
      <c r="D1143" s="940" t="s">
        <v>4048</v>
      </c>
      <c r="E1143" t="s">
        <v>109</v>
      </c>
      <c r="F1143">
        <v>1</v>
      </c>
      <c r="G1143" s="135"/>
    </row>
    <row r="1144" spans="1:7" x14ac:dyDescent="0.25">
      <c r="A1144" s="940">
        <v>1367</v>
      </c>
      <c r="B1144" s="940">
        <v>124</v>
      </c>
      <c r="C1144" t="s">
        <v>4695</v>
      </c>
      <c r="D1144" s="940" t="s">
        <v>4696</v>
      </c>
      <c r="E1144" t="s">
        <v>115</v>
      </c>
      <c r="F1144">
        <v>1</v>
      </c>
      <c r="G1144" s="135"/>
    </row>
    <row r="1145" spans="1:7" x14ac:dyDescent="0.25">
      <c r="A1145" s="940">
        <v>2558</v>
      </c>
      <c r="B1145" s="940">
        <v>22</v>
      </c>
      <c r="C1145" t="s">
        <v>4695</v>
      </c>
      <c r="D1145" s="940" t="s">
        <v>3686</v>
      </c>
      <c r="E1145" t="s">
        <v>170</v>
      </c>
      <c r="F1145">
        <v>1</v>
      </c>
      <c r="G1145" s="135"/>
    </row>
    <row r="1146" spans="1:7" x14ac:dyDescent="0.25">
      <c r="A1146" s="940">
        <v>1756</v>
      </c>
      <c r="B1146" s="940">
        <v>78</v>
      </c>
      <c r="C1146" t="s">
        <v>4697</v>
      </c>
      <c r="D1146" s="940" t="s">
        <v>4698</v>
      </c>
      <c r="E1146" t="s">
        <v>4699</v>
      </c>
      <c r="F1146">
        <v>1</v>
      </c>
      <c r="G1146" s="135"/>
    </row>
    <row r="1147" spans="1:7" x14ac:dyDescent="0.25">
      <c r="A1147" s="940">
        <v>3327</v>
      </c>
      <c r="B1147" s="940">
        <v>2</v>
      </c>
      <c r="C1147" t="s">
        <v>4700</v>
      </c>
      <c r="D1147" s="940" t="s">
        <v>4701</v>
      </c>
      <c r="E1147" t="s">
        <v>3114</v>
      </c>
      <c r="F1147">
        <v>1</v>
      </c>
      <c r="G1147" s="135"/>
    </row>
    <row r="1148" spans="1:7" x14ac:dyDescent="0.25">
      <c r="A1148" s="940">
        <v>75</v>
      </c>
      <c r="B1148" s="940">
        <v>1197</v>
      </c>
      <c r="C1148" t="s">
        <v>4702</v>
      </c>
      <c r="D1148" s="940" t="s">
        <v>4703</v>
      </c>
      <c r="E1148" t="s">
        <v>105</v>
      </c>
      <c r="F1148">
        <v>1</v>
      </c>
      <c r="G1148" s="135"/>
    </row>
    <row r="1149" spans="1:7" x14ac:dyDescent="0.25">
      <c r="A1149" s="940">
        <v>1615</v>
      </c>
      <c r="B1149" s="940">
        <v>93</v>
      </c>
      <c r="C1149" t="s">
        <v>4704</v>
      </c>
      <c r="D1149" s="940" t="s">
        <v>3546</v>
      </c>
      <c r="E1149" t="s">
        <v>120</v>
      </c>
      <c r="F1149">
        <v>1</v>
      </c>
      <c r="G1149" s="135"/>
    </row>
    <row r="1150" spans="1:7" x14ac:dyDescent="0.25">
      <c r="A1150" s="940">
        <v>279</v>
      </c>
      <c r="B1150" s="940">
        <v>746</v>
      </c>
      <c r="C1150" t="s">
        <v>4705</v>
      </c>
      <c r="D1150" s="940" t="s">
        <v>4706</v>
      </c>
      <c r="E1150" t="s">
        <v>1190</v>
      </c>
      <c r="F1150">
        <v>1</v>
      </c>
      <c r="G1150" s="135"/>
    </row>
    <row r="1151" spans="1:7" x14ac:dyDescent="0.25">
      <c r="A1151" s="940">
        <v>2381</v>
      </c>
      <c r="B1151" s="940">
        <v>31</v>
      </c>
      <c r="C1151" t="s">
        <v>475</v>
      </c>
      <c r="D1151" s="940" t="s">
        <v>4707</v>
      </c>
      <c r="E1151" t="s">
        <v>1214</v>
      </c>
      <c r="F1151">
        <v>1</v>
      </c>
      <c r="G1151" s="135"/>
    </row>
    <row r="1152" spans="1:7" x14ac:dyDescent="0.25">
      <c r="A1152" s="940">
        <v>3490</v>
      </c>
      <c r="B1152" s="940">
        <v>0</v>
      </c>
      <c r="C1152" t="s">
        <v>4708</v>
      </c>
      <c r="D1152" s="940" t="s">
        <v>3411</v>
      </c>
      <c r="E1152" t="s">
        <v>4674</v>
      </c>
      <c r="F1152">
        <v>1</v>
      </c>
      <c r="G1152" s="135"/>
    </row>
    <row r="1153" spans="1:7" x14ac:dyDescent="0.25">
      <c r="A1153" s="940">
        <v>3490</v>
      </c>
      <c r="B1153" s="940">
        <v>0</v>
      </c>
      <c r="C1153" t="s">
        <v>4709</v>
      </c>
      <c r="D1153" s="940" t="s">
        <v>2751</v>
      </c>
      <c r="E1153" t="s">
        <v>3421</v>
      </c>
      <c r="F1153">
        <v>1</v>
      </c>
      <c r="G1153" s="135"/>
    </row>
    <row r="1154" spans="1:7" x14ac:dyDescent="0.25">
      <c r="A1154" s="940">
        <v>1924</v>
      </c>
      <c r="B1154" s="940">
        <v>62</v>
      </c>
      <c r="C1154" t="s">
        <v>4710</v>
      </c>
      <c r="D1154" s="940" t="s">
        <v>4711</v>
      </c>
      <c r="E1154" t="s">
        <v>1214</v>
      </c>
      <c r="F1154">
        <v>1</v>
      </c>
      <c r="G1154" s="135"/>
    </row>
    <row r="1155" spans="1:7" x14ac:dyDescent="0.25">
      <c r="A1155" s="940">
        <v>1458</v>
      </c>
      <c r="B1155" s="940">
        <v>112</v>
      </c>
      <c r="C1155" t="s">
        <v>1589</v>
      </c>
      <c r="D1155" s="940" t="s">
        <v>4712</v>
      </c>
      <c r="E1155" t="s">
        <v>1590</v>
      </c>
      <c r="F1155">
        <v>1</v>
      </c>
      <c r="G1155" s="135"/>
    </row>
    <row r="1156" spans="1:7" x14ac:dyDescent="0.25">
      <c r="A1156" s="940">
        <v>232</v>
      </c>
      <c r="B1156" s="940">
        <v>847</v>
      </c>
      <c r="C1156" t="s">
        <v>4713</v>
      </c>
      <c r="D1156" s="940" t="s">
        <v>4714</v>
      </c>
      <c r="E1156" t="s">
        <v>130</v>
      </c>
      <c r="F1156">
        <v>1</v>
      </c>
      <c r="G1156" s="135"/>
    </row>
    <row r="1157" spans="1:7" x14ac:dyDescent="0.25">
      <c r="A1157" s="940">
        <v>1417</v>
      </c>
      <c r="B1157" s="940">
        <v>117</v>
      </c>
      <c r="C1157" t="s">
        <v>4715</v>
      </c>
      <c r="D1157" s="940" t="s">
        <v>4716</v>
      </c>
      <c r="E1157" t="s">
        <v>120</v>
      </c>
      <c r="F1157">
        <v>1</v>
      </c>
      <c r="G1157" s="135"/>
    </row>
    <row r="1158" spans="1:7" x14ac:dyDescent="0.25">
      <c r="A1158" s="940">
        <v>3490</v>
      </c>
      <c r="B1158" s="940">
        <v>0</v>
      </c>
      <c r="C1158" t="s">
        <v>4717</v>
      </c>
      <c r="D1158" s="940" t="s">
        <v>3086</v>
      </c>
      <c r="E1158" t="s">
        <v>117</v>
      </c>
      <c r="F1158">
        <v>1</v>
      </c>
      <c r="G1158" s="135"/>
    </row>
    <row r="1159" spans="1:7" x14ac:dyDescent="0.25">
      <c r="A1159" s="940">
        <v>3490</v>
      </c>
      <c r="B1159" s="940">
        <v>0</v>
      </c>
      <c r="C1159" t="s">
        <v>4718</v>
      </c>
      <c r="D1159" s="940" t="s">
        <v>4719</v>
      </c>
      <c r="E1159" t="s">
        <v>165</v>
      </c>
      <c r="F1159">
        <v>1</v>
      </c>
      <c r="G1159" s="135"/>
    </row>
    <row r="1160" spans="1:7" x14ac:dyDescent="0.25">
      <c r="A1160" s="940">
        <v>3045</v>
      </c>
      <c r="B1160" s="940">
        <v>7</v>
      </c>
      <c r="C1160" t="s">
        <v>4720</v>
      </c>
      <c r="D1160" s="940" t="s">
        <v>4721</v>
      </c>
      <c r="E1160" t="s">
        <v>4722</v>
      </c>
      <c r="F1160">
        <v>1</v>
      </c>
      <c r="G1160" s="135"/>
    </row>
    <row r="1161" spans="1:7" x14ac:dyDescent="0.25">
      <c r="A1161" s="940">
        <v>2187</v>
      </c>
      <c r="B1161" s="940">
        <v>43</v>
      </c>
      <c r="C1161" t="s">
        <v>4723</v>
      </c>
      <c r="D1161" s="940" t="s">
        <v>4724</v>
      </c>
      <c r="E1161" t="s">
        <v>144</v>
      </c>
      <c r="F1161">
        <v>1</v>
      </c>
      <c r="G1161" s="135"/>
    </row>
    <row r="1162" spans="1:7" x14ac:dyDescent="0.25">
      <c r="A1162" s="940">
        <v>3490</v>
      </c>
      <c r="B1162" s="940">
        <v>0</v>
      </c>
      <c r="C1162" t="s">
        <v>4725</v>
      </c>
      <c r="D1162" s="940" t="s">
        <v>4726</v>
      </c>
      <c r="E1162" t="s">
        <v>99</v>
      </c>
      <c r="F1162">
        <v>1</v>
      </c>
      <c r="G1162" s="135"/>
    </row>
    <row r="1163" spans="1:7" x14ac:dyDescent="0.25">
      <c r="A1163" s="940">
        <v>2048</v>
      </c>
      <c r="B1163" s="940">
        <v>52</v>
      </c>
      <c r="C1163" t="s">
        <v>4727</v>
      </c>
      <c r="D1163" s="940" t="s">
        <v>4728</v>
      </c>
      <c r="E1163" t="s">
        <v>863</v>
      </c>
      <c r="F1163">
        <v>1</v>
      </c>
      <c r="G1163" s="135"/>
    </row>
    <row r="1164" spans="1:7" x14ac:dyDescent="0.25">
      <c r="A1164" s="940">
        <v>3395</v>
      </c>
      <c r="B1164" s="940">
        <v>1</v>
      </c>
      <c r="C1164" t="s">
        <v>4729</v>
      </c>
      <c r="D1164" s="940" t="s">
        <v>3127</v>
      </c>
      <c r="E1164" t="s">
        <v>165</v>
      </c>
      <c r="F1164">
        <v>1</v>
      </c>
      <c r="G1164" s="135"/>
    </row>
    <row r="1165" spans="1:7" x14ac:dyDescent="0.25">
      <c r="A1165" s="940">
        <v>1533</v>
      </c>
      <c r="B1165" s="940">
        <v>102</v>
      </c>
      <c r="C1165" t="s">
        <v>4730</v>
      </c>
      <c r="D1165" s="940" t="s">
        <v>2870</v>
      </c>
      <c r="E1165" t="s">
        <v>74</v>
      </c>
      <c r="F1165">
        <v>1</v>
      </c>
      <c r="G1165" s="135"/>
    </row>
    <row r="1166" spans="1:7" x14ac:dyDescent="0.25">
      <c r="A1166" s="940">
        <v>2152</v>
      </c>
      <c r="B1166" s="940">
        <v>45</v>
      </c>
      <c r="C1166" t="s">
        <v>4731</v>
      </c>
      <c r="D1166" s="940" t="s">
        <v>4732</v>
      </c>
      <c r="E1166" t="s">
        <v>4104</v>
      </c>
      <c r="F1166">
        <v>1</v>
      </c>
      <c r="G1166" s="135"/>
    </row>
    <row r="1167" spans="1:7" x14ac:dyDescent="0.25">
      <c r="A1167" s="940">
        <v>57</v>
      </c>
      <c r="B1167" s="940">
        <v>1262</v>
      </c>
      <c r="C1167" t="s">
        <v>4733</v>
      </c>
      <c r="D1167" s="940" t="s">
        <v>4734</v>
      </c>
      <c r="E1167" t="s">
        <v>4735</v>
      </c>
      <c r="F1167">
        <v>1</v>
      </c>
      <c r="G1167" s="135"/>
    </row>
    <row r="1168" spans="1:7" x14ac:dyDescent="0.25">
      <c r="A1168" s="940">
        <v>174</v>
      </c>
      <c r="B1168" s="940">
        <v>939</v>
      </c>
      <c r="C1168" t="s">
        <v>4736</v>
      </c>
      <c r="D1168" s="940" t="s">
        <v>4737</v>
      </c>
      <c r="E1168" t="s">
        <v>105</v>
      </c>
      <c r="F1168">
        <v>1</v>
      </c>
      <c r="G1168" s="135"/>
    </row>
    <row r="1169" spans="1:7" x14ac:dyDescent="0.25">
      <c r="A1169" s="940">
        <v>2883</v>
      </c>
      <c r="B1169" s="940">
        <v>11</v>
      </c>
      <c r="C1169" t="s">
        <v>4738</v>
      </c>
      <c r="D1169" s="940" t="s">
        <v>2647</v>
      </c>
      <c r="E1169" t="s">
        <v>179</v>
      </c>
      <c r="F1169">
        <v>1</v>
      </c>
      <c r="G1169" s="135"/>
    </row>
    <row r="1170" spans="1:7" x14ac:dyDescent="0.25">
      <c r="A1170" s="940">
        <v>2690</v>
      </c>
      <c r="B1170" s="940">
        <v>17</v>
      </c>
      <c r="C1170" t="s">
        <v>4739</v>
      </c>
      <c r="D1170" s="940" t="s">
        <v>4740</v>
      </c>
      <c r="E1170" t="s">
        <v>113</v>
      </c>
      <c r="F1170">
        <v>1</v>
      </c>
      <c r="G1170" s="135"/>
    </row>
    <row r="1171" spans="1:7" x14ac:dyDescent="0.25">
      <c r="A1171" s="940">
        <v>2461</v>
      </c>
      <c r="B1171" s="940">
        <v>27</v>
      </c>
      <c r="C1171" t="s">
        <v>4741</v>
      </c>
      <c r="D1171" s="940" t="s">
        <v>3405</v>
      </c>
      <c r="E1171" t="s">
        <v>4742</v>
      </c>
      <c r="F1171">
        <v>1</v>
      </c>
      <c r="G1171" s="135"/>
    </row>
    <row r="1172" spans="1:7" x14ac:dyDescent="0.25">
      <c r="A1172" s="940">
        <v>44</v>
      </c>
      <c r="B1172" s="940">
        <v>1338</v>
      </c>
      <c r="C1172" t="s">
        <v>4743</v>
      </c>
      <c r="D1172" s="940" t="s">
        <v>4744</v>
      </c>
      <c r="E1172" t="s">
        <v>1171</v>
      </c>
      <c r="F1172">
        <v>1</v>
      </c>
      <c r="G1172" s="135"/>
    </row>
    <row r="1173" spans="1:7" x14ac:dyDescent="0.25">
      <c r="A1173" s="940">
        <v>3490</v>
      </c>
      <c r="B1173" s="940">
        <v>0</v>
      </c>
      <c r="C1173" t="s">
        <v>4745</v>
      </c>
      <c r="D1173" s="940" t="s">
        <v>4445</v>
      </c>
      <c r="E1173" t="s">
        <v>128</v>
      </c>
      <c r="F1173">
        <v>1</v>
      </c>
      <c r="G1173" s="135"/>
    </row>
    <row r="1174" spans="1:7" x14ac:dyDescent="0.25">
      <c r="A1174" s="940">
        <v>155</v>
      </c>
      <c r="B1174" s="940">
        <v>966</v>
      </c>
      <c r="C1174" t="s">
        <v>4746</v>
      </c>
      <c r="D1174" s="940" t="s">
        <v>4747</v>
      </c>
      <c r="E1174" t="s">
        <v>74</v>
      </c>
      <c r="F1174">
        <v>1</v>
      </c>
      <c r="G1174" s="135"/>
    </row>
    <row r="1175" spans="1:7" x14ac:dyDescent="0.25">
      <c r="A1175" s="940">
        <v>3490</v>
      </c>
      <c r="B1175" s="940">
        <v>0</v>
      </c>
      <c r="C1175" t="s">
        <v>4748</v>
      </c>
      <c r="D1175" s="940" t="s">
        <v>4749</v>
      </c>
      <c r="E1175" t="s">
        <v>1236</v>
      </c>
      <c r="F1175">
        <v>1</v>
      </c>
      <c r="G1175" s="135"/>
    </row>
    <row r="1176" spans="1:7" x14ac:dyDescent="0.25">
      <c r="A1176" s="940">
        <v>1346</v>
      </c>
      <c r="B1176" s="940">
        <v>127</v>
      </c>
      <c r="C1176" t="s">
        <v>4750</v>
      </c>
      <c r="D1176" s="940" t="s">
        <v>4751</v>
      </c>
      <c r="E1176" t="s">
        <v>99</v>
      </c>
      <c r="F1176">
        <v>1</v>
      </c>
      <c r="G1176" s="135"/>
    </row>
    <row r="1177" spans="1:7" x14ac:dyDescent="0.25">
      <c r="A1177" s="940">
        <v>3265</v>
      </c>
      <c r="B1177" s="940">
        <v>3</v>
      </c>
      <c r="C1177" t="s">
        <v>4752</v>
      </c>
      <c r="D1177" s="940" t="s">
        <v>4753</v>
      </c>
      <c r="E1177" t="s">
        <v>105</v>
      </c>
      <c r="F1177">
        <v>1</v>
      </c>
      <c r="G1177" s="135"/>
    </row>
    <row r="1178" spans="1:7" x14ac:dyDescent="0.25">
      <c r="A1178" s="940">
        <v>2959</v>
      </c>
      <c r="B1178" s="940">
        <v>9</v>
      </c>
      <c r="C1178" t="s">
        <v>4754</v>
      </c>
      <c r="D1178" s="940" t="s">
        <v>4755</v>
      </c>
      <c r="E1178" t="s">
        <v>99</v>
      </c>
      <c r="F1178">
        <v>1</v>
      </c>
      <c r="G1178" s="135"/>
    </row>
    <row r="1179" spans="1:7" x14ac:dyDescent="0.25">
      <c r="A1179" s="940">
        <v>2312</v>
      </c>
      <c r="B1179" s="940">
        <v>36</v>
      </c>
      <c r="C1179" t="s">
        <v>4756</v>
      </c>
      <c r="D1179" s="940" t="s">
        <v>4755</v>
      </c>
      <c r="E1179" t="s">
        <v>99</v>
      </c>
      <c r="F1179">
        <v>1</v>
      </c>
      <c r="G1179" s="135"/>
    </row>
    <row r="1180" spans="1:7" x14ac:dyDescent="0.25">
      <c r="A1180" s="940">
        <v>3490</v>
      </c>
      <c r="B1180" s="940">
        <v>0</v>
      </c>
      <c r="C1180" t="s">
        <v>4757</v>
      </c>
      <c r="D1180" s="940" t="s">
        <v>4758</v>
      </c>
      <c r="E1180" t="s">
        <v>1285</v>
      </c>
      <c r="F1180">
        <v>1</v>
      </c>
      <c r="G1180" s="135"/>
    </row>
    <row r="1181" spans="1:7" x14ac:dyDescent="0.25">
      <c r="A1181" s="940">
        <v>3141</v>
      </c>
      <c r="B1181" s="940">
        <v>5</v>
      </c>
      <c r="C1181" t="s">
        <v>4759</v>
      </c>
      <c r="D1181" s="940" t="s">
        <v>3981</v>
      </c>
      <c r="E1181" t="s">
        <v>105</v>
      </c>
      <c r="F1181">
        <v>1</v>
      </c>
      <c r="G1181" s="135"/>
    </row>
    <row r="1182" spans="1:7" x14ac:dyDescent="0.25">
      <c r="A1182" s="940">
        <v>1100</v>
      </c>
      <c r="B1182" s="940">
        <v>182</v>
      </c>
      <c r="C1182" t="s">
        <v>4760</v>
      </c>
      <c r="D1182" s="940" t="s">
        <v>4761</v>
      </c>
      <c r="E1182" t="s">
        <v>130</v>
      </c>
      <c r="F1182">
        <v>1</v>
      </c>
      <c r="G1182" s="135"/>
    </row>
    <row r="1183" spans="1:7" x14ac:dyDescent="0.25">
      <c r="A1183" s="940">
        <v>928</v>
      </c>
      <c r="B1183" s="940">
        <v>246</v>
      </c>
      <c r="C1183" t="s">
        <v>4762</v>
      </c>
      <c r="D1183" s="940" t="s">
        <v>4763</v>
      </c>
      <c r="E1183" t="s">
        <v>105</v>
      </c>
      <c r="F1183">
        <v>1</v>
      </c>
      <c r="G1183" s="135"/>
    </row>
    <row r="1184" spans="1:7" x14ac:dyDescent="0.25">
      <c r="A1184" s="940">
        <v>3490</v>
      </c>
      <c r="B1184" s="940">
        <v>0</v>
      </c>
      <c r="C1184" t="s">
        <v>4764</v>
      </c>
      <c r="D1184" s="940" t="s">
        <v>4765</v>
      </c>
      <c r="E1184" t="s">
        <v>120</v>
      </c>
      <c r="F1184">
        <v>1</v>
      </c>
      <c r="G1184" s="135"/>
    </row>
    <row r="1185" spans="1:7" x14ac:dyDescent="0.25">
      <c r="A1185" s="940">
        <v>27</v>
      </c>
      <c r="B1185" s="940">
        <v>1417</v>
      </c>
      <c r="C1185" t="s">
        <v>4766</v>
      </c>
      <c r="D1185" s="940" t="s">
        <v>4767</v>
      </c>
      <c r="E1185" t="s">
        <v>1214</v>
      </c>
      <c r="F1185">
        <v>1</v>
      </c>
      <c r="G1185" s="135"/>
    </row>
    <row r="1186" spans="1:7" x14ac:dyDescent="0.25">
      <c r="A1186" s="940">
        <v>1811</v>
      </c>
      <c r="B1186" s="940">
        <v>72</v>
      </c>
      <c r="C1186" t="s">
        <v>4768</v>
      </c>
      <c r="D1186" s="940" t="s">
        <v>4769</v>
      </c>
      <c r="E1186" t="s">
        <v>112</v>
      </c>
      <c r="F1186">
        <v>1</v>
      </c>
      <c r="G1186" s="135"/>
    </row>
    <row r="1187" spans="1:7" x14ac:dyDescent="0.25">
      <c r="A1187" s="940">
        <v>3327</v>
      </c>
      <c r="B1187" s="940">
        <v>2</v>
      </c>
      <c r="C1187" t="s">
        <v>4770</v>
      </c>
      <c r="D1187" s="940" t="s">
        <v>3594</v>
      </c>
      <c r="E1187" t="s">
        <v>110</v>
      </c>
      <c r="F1187">
        <v>1</v>
      </c>
      <c r="G1187" s="135"/>
    </row>
    <row r="1188" spans="1:7" x14ac:dyDescent="0.25">
      <c r="A1188" s="940">
        <v>2016</v>
      </c>
      <c r="B1188" s="940">
        <v>54</v>
      </c>
      <c r="C1188" t="s">
        <v>4771</v>
      </c>
      <c r="D1188" s="940" t="s">
        <v>4772</v>
      </c>
      <c r="E1188" t="s">
        <v>165</v>
      </c>
      <c r="F1188">
        <v>1</v>
      </c>
      <c r="G1188" s="135"/>
    </row>
    <row r="1189" spans="1:7" x14ac:dyDescent="0.25">
      <c r="A1189" s="940">
        <v>3490</v>
      </c>
      <c r="B1189" s="940">
        <v>0</v>
      </c>
      <c r="C1189" t="s">
        <v>4773</v>
      </c>
      <c r="D1189" s="940" t="s">
        <v>3749</v>
      </c>
      <c r="E1189" t="s">
        <v>1200</v>
      </c>
      <c r="F1189">
        <v>1</v>
      </c>
      <c r="G1189" s="135"/>
    </row>
    <row r="1190" spans="1:7" x14ac:dyDescent="0.25">
      <c r="A1190" s="940">
        <v>792</v>
      </c>
      <c r="B1190" s="940">
        <v>300</v>
      </c>
      <c r="C1190" t="s">
        <v>4774</v>
      </c>
      <c r="D1190" s="940" t="s">
        <v>4775</v>
      </c>
      <c r="E1190" t="s">
        <v>4776</v>
      </c>
      <c r="F1190">
        <v>1</v>
      </c>
      <c r="G1190" s="135"/>
    </row>
    <row r="1191" spans="1:7" x14ac:dyDescent="0.25">
      <c r="A1191" s="940">
        <v>1007</v>
      </c>
      <c r="B1191" s="940">
        <v>213</v>
      </c>
      <c r="C1191" t="s">
        <v>4777</v>
      </c>
      <c r="D1191" s="940" t="s">
        <v>4778</v>
      </c>
      <c r="E1191" t="s">
        <v>4373</v>
      </c>
      <c r="F1191">
        <v>1</v>
      </c>
      <c r="G1191" s="135"/>
    </row>
    <row r="1192" spans="1:7" x14ac:dyDescent="0.25">
      <c r="A1192" s="940">
        <v>3490</v>
      </c>
      <c r="B1192" s="940">
        <v>0</v>
      </c>
      <c r="C1192" t="s">
        <v>4779</v>
      </c>
      <c r="D1192" s="940" t="s">
        <v>4780</v>
      </c>
      <c r="E1192" t="s">
        <v>4583</v>
      </c>
      <c r="F1192">
        <v>1</v>
      </c>
      <c r="G1192" s="135"/>
    </row>
    <row r="1193" spans="1:7" x14ac:dyDescent="0.25">
      <c r="A1193" s="940">
        <v>847</v>
      </c>
      <c r="B1193" s="940">
        <v>275</v>
      </c>
      <c r="C1193" t="s">
        <v>4781</v>
      </c>
      <c r="D1193" s="940" t="s">
        <v>4782</v>
      </c>
      <c r="E1193" t="s">
        <v>3951</v>
      </c>
      <c r="F1193">
        <v>1</v>
      </c>
      <c r="G1193" s="135"/>
    </row>
    <row r="1194" spans="1:7" x14ac:dyDescent="0.25">
      <c r="A1194" s="940">
        <v>2312</v>
      </c>
      <c r="B1194" s="940">
        <v>36</v>
      </c>
      <c r="C1194" t="s">
        <v>4783</v>
      </c>
      <c r="D1194" s="940" t="s">
        <v>4784</v>
      </c>
      <c r="E1194" t="s">
        <v>1578</v>
      </c>
      <c r="F1194">
        <v>1</v>
      </c>
      <c r="G1194" s="135"/>
    </row>
    <row r="1195" spans="1:7" x14ac:dyDescent="0.25">
      <c r="A1195" s="940">
        <v>1562</v>
      </c>
      <c r="B1195" s="940">
        <v>99</v>
      </c>
      <c r="C1195" t="s">
        <v>4785</v>
      </c>
      <c r="D1195" s="940" t="s">
        <v>4786</v>
      </c>
      <c r="E1195" t="s">
        <v>99</v>
      </c>
      <c r="F1195">
        <v>1</v>
      </c>
      <c r="G1195" s="135"/>
    </row>
    <row r="1196" spans="1:7" x14ac:dyDescent="0.25">
      <c r="A1196" s="940">
        <v>1533</v>
      </c>
      <c r="B1196" s="940">
        <v>102</v>
      </c>
      <c r="C1196" t="s">
        <v>4787</v>
      </c>
      <c r="D1196" s="940" t="s">
        <v>4788</v>
      </c>
      <c r="E1196" t="s">
        <v>4789</v>
      </c>
      <c r="F1196">
        <v>1</v>
      </c>
      <c r="G1196" s="135"/>
    </row>
    <row r="1197" spans="1:7" x14ac:dyDescent="0.25">
      <c r="A1197" s="940">
        <v>1167</v>
      </c>
      <c r="B1197" s="940">
        <v>164</v>
      </c>
      <c r="C1197" t="s">
        <v>4790</v>
      </c>
      <c r="D1197" s="940" t="s">
        <v>4791</v>
      </c>
      <c r="E1197" t="s">
        <v>1261</v>
      </c>
      <c r="F1197">
        <v>1</v>
      </c>
      <c r="G1197" s="135"/>
    </row>
    <row r="1198" spans="1:7" x14ac:dyDescent="0.25">
      <c r="A1198" s="940">
        <v>2515</v>
      </c>
      <c r="B1198" s="940">
        <v>24</v>
      </c>
      <c r="C1198" t="s">
        <v>4792</v>
      </c>
      <c r="D1198" s="940" t="s">
        <v>4793</v>
      </c>
      <c r="E1198" t="s">
        <v>1200</v>
      </c>
      <c r="F1198">
        <v>1</v>
      </c>
      <c r="G1198" s="135"/>
    </row>
    <row r="1199" spans="1:7" x14ac:dyDescent="0.25">
      <c r="A1199" s="940">
        <v>1251</v>
      </c>
      <c r="B1199" s="940">
        <v>145</v>
      </c>
      <c r="C1199" t="s">
        <v>4794</v>
      </c>
      <c r="D1199" s="940" t="s">
        <v>4795</v>
      </c>
      <c r="E1199" t="s">
        <v>251</v>
      </c>
      <c r="F1199">
        <v>1</v>
      </c>
      <c r="G1199" s="135"/>
    </row>
    <row r="1200" spans="1:7" x14ac:dyDescent="0.25">
      <c r="A1200" s="940">
        <v>3490</v>
      </c>
      <c r="B1200" s="940">
        <v>0</v>
      </c>
      <c r="C1200" t="s">
        <v>4796</v>
      </c>
      <c r="D1200" s="940" t="s">
        <v>4797</v>
      </c>
      <c r="E1200" t="s">
        <v>2916</v>
      </c>
      <c r="F1200">
        <v>1</v>
      </c>
      <c r="G1200" s="135"/>
    </row>
    <row r="1201" spans="1:7" x14ac:dyDescent="0.25">
      <c r="A1201" s="940">
        <v>1774</v>
      </c>
      <c r="B1201" s="940">
        <v>76</v>
      </c>
      <c r="C1201" t="s">
        <v>4798</v>
      </c>
      <c r="D1201" s="940" t="s">
        <v>4799</v>
      </c>
      <c r="E1201" t="s">
        <v>72</v>
      </c>
      <c r="F1201">
        <v>1</v>
      </c>
      <c r="G1201" s="135"/>
    </row>
    <row r="1202" spans="1:7" x14ac:dyDescent="0.25">
      <c r="A1202" s="940">
        <v>3490</v>
      </c>
      <c r="B1202" s="940">
        <v>0</v>
      </c>
      <c r="C1202" t="s">
        <v>4800</v>
      </c>
      <c r="D1202" s="940" t="s">
        <v>4593</v>
      </c>
      <c r="E1202" t="s">
        <v>1156</v>
      </c>
      <c r="F1202">
        <v>1</v>
      </c>
      <c r="G1202" s="135"/>
    </row>
    <row r="1203" spans="1:7" x14ac:dyDescent="0.25">
      <c r="A1203" s="940">
        <v>3490</v>
      </c>
      <c r="B1203" s="940">
        <v>0</v>
      </c>
      <c r="C1203" t="s">
        <v>4801</v>
      </c>
      <c r="D1203" s="940" t="s">
        <v>4802</v>
      </c>
      <c r="E1203" t="s">
        <v>179</v>
      </c>
      <c r="F1203">
        <v>1</v>
      </c>
      <c r="G1203" s="135"/>
    </row>
    <row r="1204" spans="1:7" x14ac:dyDescent="0.25">
      <c r="A1204" s="940">
        <v>1227</v>
      </c>
      <c r="B1204" s="940">
        <v>150</v>
      </c>
      <c r="C1204" t="s">
        <v>4803</v>
      </c>
      <c r="D1204" s="940" t="s">
        <v>4804</v>
      </c>
      <c r="E1204" t="s">
        <v>661</v>
      </c>
      <c r="F1204">
        <v>1</v>
      </c>
      <c r="G1204" s="135"/>
    </row>
    <row r="1205" spans="1:7" x14ac:dyDescent="0.25">
      <c r="A1205" s="940">
        <v>524</v>
      </c>
      <c r="B1205" s="940">
        <v>447</v>
      </c>
      <c r="C1205" t="s">
        <v>4805</v>
      </c>
      <c r="D1205" s="940" t="s">
        <v>4806</v>
      </c>
      <c r="E1205" t="s">
        <v>74</v>
      </c>
      <c r="F1205">
        <v>1</v>
      </c>
      <c r="G1205" s="135"/>
    </row>
    <row r="1206" spans="1:7" x14ac:dyDescent="0.25">
      <c r="A1206" s="940">
        <v>2060</v>
      </c>
      <c r="B1206" s="940">
        <v>51</v>
      </c>
      <c r="C1206" t="s">
        <v>4807</v>
      </c>
      <c r="D1206" s="940" t="s">
        <v>4808</v>
      </c>
      <c r="E1206" t="s">
        <v>110</v>
      </c>
      <c r="F1206">
        <v>1</v>
      </c>
      <c r="G1206" s="135"/>
    </row>
    <row r="1207" spans="1:7" x14ac:dyDescent="0.25">
      <c r="A1207" s="940">
        <v>747</v>
      </c>
      <c r="B1207" s="940">
        <v>321</v>
      </c>
      <c r="C1207" t="s">
        <v>816</v>
      </c>
      <c r="D1207" s="940" t="s">
        <v>3679</v>
      </c>
      <c r="E1207" t="s">
        <v>110</v>
      </c>
      <c r="F1207">
        <v>1</v>
      </c>
      <c r="G1207" s="135"/>
    </row>
    <row r="1208" spans="1:7" x14ac:dyDescent="0.25">
      <c r="A1208" s="940">
        <v>2272</v>
      </c>
      <c r="B1208" s="940">
        <v>38</v>
      </c>
      <c r="C1208" t="s">
        <v>4809</v>
      </c>
      <c r="D1208" s="940" t="s">
        <v>4810</v>
      </c>
      <c r="E1208" t="s">
        <v>1384</v>
      </c>
      <c r="F1208">
        <v>1</v>
      </c>
      <c r="G1208" s="135"/>
    </row>
    <row r="1209" spans="1:7" x14ac:dyDescent="0.25">
      <c r="A1209" s="940">
        <v>3490</v>
      </c>
      <c r="B1209" s="940">
        <v>0</v>
      </c>
      <c r="C1209" t="s">
        <v>4811</v>
      </c>
      <c r="D1209" s="940" t="s">
        <v>4013</v>
      </c>
      <c r="E1209" t="s">
        <v>111</v>
      </c>
      <c r="F1209">
        <v>1</v>
      </c>
      <c r="G1209" s="135"/>
    </row>
    <row r="1210" spans="1:7" x14ac:dyDescent="0.25">
      <c r="A1210" s="940">
        <v>1818</v>
      </c>
      <c r="B1210" s="940">
        <v>71</v>
      </c>
      <c r="C1210" t="s">
        <v>4812</v>
      </c>
      <c r="D1210" s="940" t="s">
        <v>4813</v>
      </c>
      <c r="E1210" t="s">
        <v>2613</v>
      </c>
      <c r="F1210">
        <v>1</v>
      </c>
      <c r="G1210" s="135"/>
    </row>
    <row r="1211" spans="1:7" x14ac:dyDescent="0.25">
      <c r="A1211" s="940">
        <v>31</v>
      </c>
      <c r="B1211" s="940">
        <v>1411</v>
      </c>
      <c r="C1211" t="s">
        <v>4814</v>
      </c>
      <c r="D1211" s="940" t="s">
        <v>4815</v>
      </c>
      <c r="E1211" t="s">
        <v>142</v>
      </c>
      <c r="F1211">
        <v>1</v>
      </c>
      <c r="G1211" s="135"/>
    </row>
    <row r="1212" spans="1:7" x14ac:dyDescent="0.25">
      <c r="A1212" s="940">
        <v>2883</v>
      </c>
      <c r="B1212" s="940">
        <v>11</v>
      </c>
      <c r="C1212" t="s">
        <v>4816</v>
      </c>
      <c r="D1212" s="940" t="s">
        <v>4817</v>
      </c>
      <c r="E1212" t="s">
        <v>3098</v>
      </c>
      <c r="F1212">
        <v>1</v>
      </c>
      <c r="G1212" s="135"/>
    </row>
    <row r="1213" spans="1:7" x14ac:dyDescent="0.25">
      <c r="A1213" s="940">
        <v>2347</v>
      </c>
      <c r="B1213" s="940">
        <v>33</v>
      </c>
      <c r="C1213" t="s">
        <v>4818</v>
      </c>
      <c r="D1213" s="940" t="s">
        <v>4819</v>
      </c>
      <c r="E1213" t="s">
        <v>74</v>
      </c>
      <c r="F1213">
        <v>1</v>
      </c>
      <c r="G1213" s="135"/>
    </row>
    <row r="1214" spans="1:7" x14ac:dyDescent="0.25">
      <c r="A1214" s="940">
        <v>720</v>
      </c>
      <c r="B1214" s="940">
        <v>336</v>
      </c>
      <c r="C1214" t="s">
        <v>817</v>
      </c>
      <c r="D1214" s="940" t="s">
        <v>4820</v>
      </c>
      <c r="E1214" t="s">
        <v>1200</v>
      </c>
      <c r="F1214">
        <v>1</v>
      </c>
      <c r="G1214" s="135"/>
    </row>
    <row r="1215" spans="1:7" x14ac:dyDescent="0.25">
      <c r="A1215" s="940">
        <v>3490</v>
      </c>
      <c r="B1215" s="940">
        <v>0</v>
      </c>
      <c r="C1215" t="s">
        <v>4821</v>
      </c>
      <c r="D1215" s="940" t="s">
        <v>4822</v>
      </c>
      <c r="E1215" t="s">
        <v>121</v>
      </c>
      <c r="F1215">
        <v>1</v>
      </c>
      <c r="G1215" s="135"/>
    </row>
    <row r="1216" spans="1:7" x14ac:dyDescent="0.25">
      <c r="A1216" s="940">
        <v>3196</v>
      </c>
      <c r="B1216" s="940">
        <v>4</v>
      </c>
      <c r="C1216" t="s">
        <v>1613</v>
      </c>
      <c r="D1216" s="940" t="s">
        <v>3594</v>
      </c>
      <c r="E1216" t="s">
        <v>140</v>
      </c>
      <c r="F1216">
        <v>1</v>
      </c>
      <c r="G1216" s="135"/>
    </row>
    <row r="1217" spans="1:7" x14ac:dyDescent="0.25">
      <c r="A1217" s="940">
        <v>487</v>
      </c>
      <c r="B1217" s="940">
        <v>482</v>
      </c>
      <c r="C1217" t="s">
        <v>4823</v>
      </c>
      <c r="D1217" s="940" t="s">
        <v>4824</v>
      </c>
      <c r="E1217" t="s">
        <v>2880</v>
      </c>
      <c r="F1217">
        <v>1</v>
      </c>
      <c r="G1217" s="135"/>
    </row>
    <row r="1218" spans="1:7" x14ac:dyDescent="0.25">
      <c r="A1218" s="940">
        <v>1505</v>
      </c>
      <c r="B1218" s="940">
        <v>105</v>
      </c>
      <c r="C1218" t="s">
        <v>4825</v>
      </c>
      <c r="D1218" s="940" t="s">
        <v>4826</v>
      </c>
      <c r="E1218" t="s">
        <v>257</v>
      </c>
      <c r="F1218">
        <v>1</v>
      </c>
      <c r="G1218" s="135"/>
    </row>
    <row r="1219" spans="1:7" x14ac:dyDescent="0.25">
      <c r="A1219" s="940">
        <v>3045</v>
      </c>
      <c r="B1219" s="940">
        <v>7</v>
      </c>
      <c r="C1219" t="s">
        <v>4827</v>
      </c>
      <c r="D1219" s="940" t="s">
        <v>4828</v>
      </c>
      <c r="E1219" t="s">
        <v>1844</v>
      </c>
      <c r="F1219">
        <v>1</v>
      </c>
      <c r="G1219" s="135"/>
    </row>
    <row r="1220" spans="1:7" x14ac:dyDescent="0.25">
      <c r="A1220" s="940">
        <v>2582</v>
      </c>
      <c r="B1220" s="940">
        <v>21</v>
      </c>
      <c r="C1220" t="s">
        <v>4829</v>
      </c>
      <c r="D1220" s="940" t="s">
        <v>4830</v>
      </c>
      <c r="E1220" t="s">
        <v>4722</v>
      </c>
      <c r="F1220">
        <v>1</v>
      </c>
      <c r="G1220" s="135"/>
    </row>
    <row r="1221" spans="1:7" x14ac:dyDescent="0.25">
      <c r="A1221" s="940">
        <v>1749</v>
      </c>
      <c r="B1221" s="940">
        <v>79</v>
      </c>
      <c r="C1221" t="s">
        <v>4831</v>
      </c>
      <c r="D1221" s="940" t="s">
        <v>3095</v>
      </c>
      <c r="E1221" t="s">
        <v>105</v>
      </c>
      <c r="F1221">
        <v>1</v>
      </c>
      <c r="G1221" s="135"/>
    </row>
    <row r="1222" spans="1:7" x14ac:dyDescent="0.25">
      <c r="A1222" s="940">
        <v>3196</v>
      </c>
      <c r="B1222" s="940">
        <v>4</v>
      </c>
      <c r="C1222" t="s">
        <v>4832</v>
      </c>
      <c r="D1222" s="940" t="s">
        <v>4833</v>
      </c>
      <c r="E1222" t="s">
        <v>1171</v>
      </c>
      <c r="F1222">
        <v>1</v>
      </c>
      <c r="G1222" s="135"/>
    </row>
    <row r="1223" spans="1:7" x14ac:dyDescent="0.25">
      <c r="A1223" s="940">
        <v>3395</v>
      </c>
      <c r="B1223" s="940">
        <v>1</v>
      </c>
      <c r="C1223" t="s">
        <v>4834</v>
      </c>
      <c r="D1223" s="940" t="s">
        <v>4835</v>
      </c>
      <c r="E1223" t="s">
        <v>74</v>
      </c>
      <c r="F1223">
        <v>1</v>
      </c>
      <c r="G1223" s="135"/>
    </row>
    <row r="1224" spans="1:7" x14ac:dyDescent="0.25">
      <c r="A1224" s="940">
        <v>3196</v>
      </c>
      <c r="B1224" s="940">
        <v>4</v>
      </c>
      <c r="C1224" t="s">
        <v>4836</v>
      </c>
      <c r="D1224" s="940" t="s">
        <v>2820</v>
      </c>
      <c r="E1224" t="s">
        <v>120</v>
      </c>
      <c r="F1224">
        <v>1</v>
      </c>
      <c r="G1224" s="135"/>
    </row>
    <row r="1225" spans="1:7" x14ac:dyDescent="0.25">
      <c r="A1225" s="940">
        <v>3196</v>
      </c>
      <c r="B1225" s="940">
        <v>4</v>
      </c>
      <c r="C1225" t="s">
        <v>4837</v>
      </c>
      <c r="D1225" s="940" t="s">
        <v>4407</v>
      </c>
      <c r="E1225" t="s">
        <v>120</v>
      </c>
      <c r="F1225">
        <v>1</v>
      </c>
      <c r="G1225" s="135"/>
    </row>
    <row r="1226" spans="1:7" x14ac:dyDescent="0.25">
      <c r="A1226" s="940">
        <v>3141</v>
      </c>
      <c r="B1226" s="940">
        <v>5</v>
      </c>
      <c r="C1226" t="s">
        <v>4838</v>
      </c>
      <c r="D1226" s="940" t="s">
        <v>4839</v>
      </c>
      <c r="E1226" t="s">
        <v>1447</v>
      </c>
      <c r="F1226">
        <v>1</v>
      </c>
      <c r="G1226" s="135"/>
    </row>
    <row r="1227" spans="1:7" x14ac:dyDescent="0.25">
      <c r="A1227" s="940">
        <v>1994</v>
      </c>
      <c r="B1227" s="940">
        <v>56</v>
      </c>
      <c r="C1227" t="s">
        <v>4840</v>
      </c>
      <c r="D1227" s="940" t="s">
        <v>4841</v>
      </c>
      <c r="E1227" t="s">
        <v>120</v>
      </c>
      <c r="F1227">
        <v>1</v>
      </c>
      <c r="G1227" s="135"/>
    </row>
    <row r="1228" spans="1:7" x14ac:dyDescent="0.25">
      <c r="A1228" s="940">
        <v>3490</v>
      </c>
      <c r="B1228" s="940">
        <v>0</v>
      </c>
      <c r="C1228" t="s">
        <v>4842</v>
      </c>
      <c r="D1228" s="940" t="s">
        <v>4843</v>
      </c>
      <c r="E1228" t="s">
        <v>1284</v>
      </c>
      <c r="F1228">
        <v>1</v>
      </c>
      <c r="G1228" s="135"/>
    </row>
    <row r="1229" spans="1:7" x14ac:dyDescent="0.25">
      <c r="A1229" s="940">
        <v>835</v>
      </c>
      <c r="B1229" s="940">
        <v>282</v>
      </c>
      <c r="C1229" t="s">
        <v>4844</v>
      </c>
      <c r="D1229" s="940" t="s">
        <v>4845</v>
      </c>
      <c r="E1229" t="s">
        <v>105</v>
      </c>
      <c r="F1229">
        <v>1</v>
      </c>
      <c r="G1229" s="135"/>
    </row>
    <row r="1230" spans="1:7" x14ac:dyDescent="0.25">
      <c r="A1230" s="940">
        <v>3490</v>
      </c>
      <c r="B1230" s="940">
        <v>0</v>
      </c>
      <c r="C1230" t="s">
        <v>4846</v>
      </c>
      <c r="D1230" s="940" t="s">
        <v>4847</v>
      </c>
      <c r="E1230" t="s">
        <v>120</v>
      </c>
      <c r="F1230">
        <v>1</v>
      </c>
      <c r="G1230" s="135"/>
    </row>
    <row r="1231" spans="1:7" x14ac:dyDescent="0.25">
      <c r="A1231" s="940">
        <v>2291</v>
      </c>
      <c r="B1231" s="940">
        <v>37</v>
      </c>
      <c r="C1231" t="s">
        <v>4848</v>
      </c>
      <c r="D1231" s="940" t="s">
        <v>3248</v>
      </c>
      <c r="E1231" t="s">
        <v>1384</v>
      </c>
      <c r="F1231">
        <v>1</v>
      </c>
      <c r="G1231" s="135"/>
    </row>
    <row r="1232" spans="1:7" x14ac:dyDescent="0.25">
      <c r="A1232" s="940">
        <v>2743</v>
      </c>
      <c r="B1232" s="940">
        <v>15</v>
      </c>
      <c r="C1232" t="s">
        <v>4849</v>
      </c>
      <c r="D1232" s="940" t="s">
        <v>4850</v>
      </c>
      <c r="E1232" t="s">
        <v>120</v>
      </c>
      <c r="F1232">
        <v>1</v>
      </c>
      <c r="G1232" s="135"/>
    </row>
    <row r="1233" spans="1:7" x14ac:dyDescent="0.25">
      <c r="A1233" s="940">
        <v>1977</v>
      </c>
      <c r="B1233" s="940">
        <v>58</v>
      </c>
      <c r="C1233" t="s">
        <v>4851</v>
      </c>
      <c r="D1233" s="940" t="s">
        <v>4852</v>
      </c>
      <c r="E1233" t="s">
        <v>74</v>
      </c>
      <c r="F1233">
        <v>1</v>
      </c>
      <c r="G1233" s="135"/>
    </row>
    <row r="1234" spans="1:7" x14ac:dyDescent="0.25">
      <c r="A1234" s="940">
        <v>3490</v>
      </c>
      <c r="B1234" s="940">
        <v>0</v>
      </c>
      <c r="C1234" t="s">
        <v>4853</v>
      </c>
      <c r="D1234" s="940" t="s">
        <v>4854</v>
      </c>
      <c r="E1234" t="s">
        <v>111</v>
      </c>
      <c r="F1234">
        <v>1</v>
      </c>
      <c r="G1234" s="135"/>
    </row>
    <row r="1235" spans="1:7" x14ac:dyDescent="0.25">
      <c r="A1235" s="940">
        <v>1254</v>
      </c>
      <c r="B1235" s="940">
        <v>144</v>
      </c>
      <c r="C1235" t="s">
        <v>4855</v>
      </c>
      <c r="D1235" s="940" t="s">
        <v>3253</v>
      </c>
      <c r="E1235" t="s">
        <v>365</v>
      </c>
      <c r="F1235">
        <v>1</v>
      </c>
      <c r="G1235" s="135"/>
    </row>
    <row r="1236" spans="1:7" x14ac:dyDescent="0.25">
      <c r="A1236" s="940">
        <v>864</v>
      </c>
      <c r="B1236" s="940">
        <v>268</v>
      </c>
      <c r="C1236" t="s">
        <v>818</v>
      </c>
      <c r="D1236" s="940" t="s">
        <v>4856</v>
      </c>
      <c r="E1236" t="s">
        <v>365</v>
      </c>
      <c r="F1236">
        <v>1</v>
      </c>
      <c r="G1236" s="135"/>
    </row>
    <row r="1237" spans="1:7" x14ac:dyDescent="0.25">
      <c r="A1237" s="940">
        <v>823</v>
      </c>
      <c r="B1237" s="940">
        <v>289</v>
      </c>
      <c r="C1237" t="s">
        <v>4857</v>
      </c>
      <c r="D1237" s="940" t="s">
        <v>4858</v>
      </c>
      <c r="E1237" t="s">
        <v>2880</v>
      </c>
      <c r="F1237">
        <v>1</v>
      </c>
      <c r="G1237" s="135"/>
    </row>
    <row r="1238" spans="1:7" x14ac:dyDescent="0.25">
      <c r="A1238" s="940">
        <v>1015</v>
      </c>
      <c r="B1238" s="940">
        <v>211</v>
      </c>
      <c r="C1238" t="s">
        <v>1618</v>
      </c>
      <c r="D1238" s="940" t="s">
        <v>4859</v>
      </c>
      <c r="E1238" t="s">
        <v>120</v>
      </c>
      <c r="F1238">
        <v>1</v>
      </c>
      <c r="G1238" s="135"/>
    </row>
    <row r="1239" spans="1:7" x14ac:dyDescent="0.25">
      <c r="A1239" s="940">
        <v>451</v>
      </c>
      <c r="B1239" s="940">
        <v>521</v>
      </c>
      <c r="C1239" t="s">
        <v>1619</v>
      </c>
      <c r="D1239" s="940" t="s">
        <v>4860</v>
      </c>
      <c r="E1239" t="s">
        <v>105</v>
      </c>
      <c r="F1239">
        <v>1</v>
      </c>
      <c r="G1239" s="135"/>
    </row>
    <row r="1240" spans="1:7" x14ac:dyDescent="0.25">
      <c r="A1240" s="940">
        <v>2441</v>
      </c>
      <c r="B1240" s="940">
        <v>28</v>
      </c>
      <c r="C1240" t="s">
        <v>4861</v>
      </c>
      <c r="D1240" s="940" t="s">
        <v>4477</v>
      </c>
      <c r="E1240" t="s">
        <v>208</v>
      </c>
      <c r="F1240">
        <v>1</v>
      </c>
      <c r="G1240" s="135"/>
    </row>
    <row r="1241" spans="1:7" x14ac:dyDescent="0.25">
      <c r="A1241" s="940">
        <v>3327</v>
      </c>
      <c r="B1241" s="940">
        <v>2</v>
      </c>
      <c r="C1241" t="s">
        <v>2548</v>
      </c>
      <c r="D1241" s="940" t="s">
        <v>4862</v>
      </c>
      <c r="E1241" t="s">
        <v>2549</v>
      </c>
      <c r="F1241">
        <v>1</v>
      </c>
      <c r="G1241" s="135"/>
    </row>
    <row r="1242" spans="1:7" x14ac:dyDescent="0.25">
      <c r="A1242" s="940">
        <v>3490</v>
      </c>
      <c r="B1242" s="940">
        <v>0</v>
      </c>
      <c r="C1242" t="s">
        <v>4863</v>
      </c>
      <c r="D1242" s="940" t="s">
        <v>4864</v>
      </c>
      <c r="E1242" t="s">
        <v>74</v>
      </c>
      <c r="F1242">
        <v>1</v>
      </c>
      <c r="G1242" s="135"/>
    </row>
    <row r="1243" spans="1:7" x14ac:dyDescent="0.25">
      <c r="A1243" s="940">
        <v>808</v>
      </c>
      <c r="B1243" s="940">
        <v>294</v>
      </c>
      <c r="C1243" t="s">
        <v>4865</v>
      </c>
      <c r="D1243" s="940" t="s">
        <v>4866</v>
      </c>
      <c r="E1243" t="s">
        <v>183</v>
      </c>
      <c r="F1243">
        <v>1</v>
      </c>
      <c r="G1243" s="135"/>
    </row>
    <row r="1244" spans="1:7" x14ac:dyDescent="0.25">
      <c r="A1244" s="940">
        <v>2441</v>
      </c>
      <c r="B1244" s="940">
        <v>28</v>
      </c>
      <c r="C1244" t="s">
        <v>4867</v>
      </c>
      <c r="D1244" s="940" t="s">
        <v>3139</v>
      </c>
      <c r="E1244" t="s">
        <v>4868</v>
      </c>
      <c r="F1244">
        <v>1</v>
      </c>
      <c r="G1244" s="135"/>
    </row>
    <row r="1245" spans="1:7" x14ac:dyDescent="0.25">
      <c r="A1245" s="940">
        <v>2996</v>
      </c>
      <c r="B1245" s="940">
        <v>8</v>
      </c>
      <c r="C1245" t="s">
        <v>4869</v>
      </c>
      <c r="D1245" s="940" t="s">
        <v>4870</v>
      </c>
      <c r="E1245" t="s">
        <v>4868</v>
      </c>
      <c r="F1245">
        <v>1</v>
      </c>
      <c r="G1245" s="135"/>
    </row>
    <row r="1246" spans="1:7" x14ac:dyDescent="0.25">
      <c r="A1246" s="940">
        <v>2959</v>
      </c>
      <c r="B1246" s="940">
        <v>9</v>
      </c>
      <c r="C1246" t="s">
        <v>4871</v>
      </c>
      <c r="D1246" s="940" t="s">
        <v>4348</v>
      </c>
      <c r="E1246" t="s">
        <v>120</v>
      </c>
      <c r="F1246">
        <v>1</v>
      </c>
      <c r="G1246" s="135"/>
    </row>
    <row r="1247" spans="1:7" x14ac:dyDescent="0.25">
      <c r="A1247" s="940">
        <v>103</v>
      </c>
      <c r="B1247" s="940">
        <v>1103</v>
      </c>
      <c r="C1247" t="s">
        <v>4872</v>
      </c>
      <c r="D1247" s="940" t="s">
        <v>4873</v>
      </c>
      <c r="E1247" t="s">
        <v>132</v>
      </c>
      <c r="F1247">
        <v>1</v>
      </c>
      <c r="G1247" s="135"/>
    </row>
    <row r="1248" spans="1:7" x14ac:dyDescent="0.25">
      <c r="A1248" s="940">
        <v>1924</v>
      </c>
      <c r="B1248" s="940">
        <v>62</v>
      </c>
      <c r="C1248" t="s">
        <v>4874</v>
      </c>
      <c r="D1248" s="940" t="s">
        <v>4875</v>
      </c>
      <c r="E1248" t="s">
        <v>2880</v>
      </c>
      <c r="F1248">
        <v>1</v>
      </c>
      <c r="G1248" s="135"/>
    </row>
    <row r="1249" spans="1:7" x14ac:dyDescent="0.25">
      <c r="A1249" s="940">
        <v>2416</v>
      </c>
      <c r="B1249" s="940">
        <v>29</v>
      </c>
      <c r="C1249" t="s">
        <v>4876</v>
      </c>
      <c r="D1249" s="940" t="s">
        <v>4877</v>
      </c>
      <c r="E1249" t="s">
        <v>110</v>
      </c>
      <c r="F1249">
        <v>1</v>
      </c>
      <c r="G1249" s="135"/>
    </row>
    <row r="1250" spans="1:7" x14ac:dyDescent="0.25">
      <c r="A1250" s="940">
        <v>3327</v>
      </c>
      <c r="B1250" s="940">
        <v>2</v>
      </c>
      <c r="C1250" t="s">
        <v>4878</v>
      </c>
      <c r="D1250" s="940" t="s">
        <v>4879</v>
      </c>
      <c r="E1250" t="s">
        <v>2979</v>
      </c>
      <c r="F1250">
        <v>1</v>
      </c>
      <c r="G1250" s="135"/>
    </row>
    <row r="1251" spans="1:7" x14ac:dyDescent="0.25">
      <c r="A1251" s="940">
        <v>1484</v>
      </c>
      <c r="B1251" s="940">
        <v>108</v>
      </c>
      <c r="C1251" t="s">
        <v>4880</v>
      </c>
      <c r="D1251" s="940" t="s">
        <v>4881</v>
      </c>
      <c r="E1251" t="s">
        <v>1158</v>
      </c>
      <c r="F1251">
        <v>1</v>
      </c>
      <c r="G1251" s="135"/>
    </row>
    <row r="1252" spans="1:7" x14ac:dyDescent="0.25">
      <c r="A1252" s="940">
        <v>1555</v>
      </c>
      <c r="B1252" s="940">
        <v>100</v>
      </c>
      <c r="C1252" t="s">
        <v>4882</v>
      </c>
      <c r="D1252" s="940" t="s">
        <v>4883</v>
      </c>
      <c r="E1252" t="s">
        <v>175</v>
      </c>
      <c r="F1252">
        <v>1</v>
      </c>
      <c r="G1252" s="135"/>
    </row>
    <row r="1253" spans="1:7" x14ac:dyDescent="0.25">
      <c r="A1253" s="940">
        <v>3089</v>
      </c>
      <c r="B1253" s="940">
        <v>6</v>
      </c>
      <c r="C1253" t="s">
        <v>4884</v>
      </c>
      <c r="D1253" s="940" t="s">
        <v>4396</v>
      </c>
      <c r="E1253" t="s">
        <v>4470</v>
      </c>
      <c r="F1253">
        <v>1</v>
      </c>
      <c r="G1253" s="135"/>
    </row>
    <row r="1254" spans="1:7" x14ac:dyDescent="0.25">
      <c r="A1254" s="940">
        <v>539</v>
      </c>
      <c r="B1254" s="940">
        <v>440</v>
      </c>
      <c r="C1254" t="s">
        <v>4885</v>
      </c>
      <c r="D1254" s="940" t="s">
        <v>4886</v>
      </c>
      <c r="E1254" t="s">
        <v>4887</v>
      </c>
      <c r="F1254">
        <v>1</v>
      </c>
      <c r="G1254" s="135"/>
    </row>
    <row r="1255" spans="1:7" x14ac:dyDescent="0.25">
      <c r="A1255" s="940">
        <v>3395</v>
      </c>
      <c r="B1255" s="940">
        <v>1</v>
      </c>
      <c r="C1255" t="s">
        <v>4888</v>
      </c>
      <c r="D1255" s="940" t="s">
        <v>4889</v>
      </c>
      <c r="E1255" t="s">
        <v>99</v>
      </c>
      <c r="F1255">
        <v>1</v>
      </c>
      <c r="G1255" s="135"/>
    </row>
    <row r="1256" spans="1:7" x14ac:dyDescent="0.25">
      <c r="A1256" s="940">
        <v>1468</v>
      </c>
      <c r="B1256" s="940">
        <v>110</v>
      </c>
      <c r="C1256" t="s">
        <v>4890</v>
      </c>
      <c r="D1256" s="940" t="s">
        <v>4891</v>
      </c>
      <c r="E1256" t="s">
        <v>99</v>
      </c>
      <c r="F1256">
        <v>1</v>
      </c>
      <c r="G1256" s="135"/>
    </row>
    <row r="1257" spans="1:7" x14ac:dyDescent="0.25">
      <c r="A1257" s="940">
        <v>215</v>
      </c>
      <c r="B1257" s="940">
        <v>875</v>
      </c>
      <c r="C1257" t="s">
        <v>4892</v>
      </c>
      <c r="D1257" s="940" t="s">
        <v>4893</v>
      </c>
      <c r="E1257" t="s">
        <v>120</v>
      </c>
      <c r="F1257">
        <v>1</v>
      </c>
      <c r="G1257" s="135"/>
    </row>
    <row r="1258" spans="1:7" x14ac:dyDescent="0.25">
      <c r="A1258" s="940">
        <v>2098</v>
      </c>
      <c r="B1258" s="940">
        <v>49</v>
      </c>
      <c r="C1258" t="s">
        <v>4894</v>
      </c>
      <c r="D1258" s="940" t="s">
        <v>4895</v>
      </c>
      <c r="E1258" t="s">
        <v>73</v>
      </c>
      <c r="F1258">
        <v>1</v>
      </c>
      <c r="G1258" s="135"/>
    </row>
    <row r="1259" spans="1:7" x14ac:dyDescent="0.25">
      <c r="A1259" s="940">
        <v>735</v>
      </c>
      <c r="B1259" s="940">
        <v>327</v>
      </c>
      <c r="C1259" t="s">
        <v>481</v>
      </c>
      <c r="D1259" s="940" t="s">
        <v>4896</v>
      </c>
      <c r="E1259" t="s">
        <v>74</v>
      </c>
      <c r="F1259">
        <v>1</v>
      </c>
      <c r="G1259" s="135"/>
    </row>
    <row r="1260" spans="1:7" x14ac:dyDescent="0.25">
      <c r="A1260" s="940">
        <v>559</v>
      </c>
      <c r="B1260" s="940">
        <v>431</v>
      </c>
      <c r="C1260" t="s">
        <v>235</v>
      </c>
      <c r="D1260" s="940" t="s">
        <v>4897</v>
      </c>
      <c r="E1260" t="s">
        <v>74</v>
      </c>
      <c r="F1260">
        <v>1</v>
      </c>
      <c r="G1260" s="135"/>
    </row>
    <row r="1261" spans="1:7" x14ac:dyDescent="0.25">
      <c r="A1261" s="940">
        <v>64</v>
      </c>
      <c r="B1261" s="940">
        <v>1237</v>
      </c>
      <c r="C1261" t="s">
        <v>4898</v>
      </c>
      <c r="D1261" s="940" t="s">
        <v>4899</v>
      </c>
      <c r="E1261" t="s">
        <v>83</v>
      </c>
      <c r="F1261">
        <v>1</v>
      </c>
      <c r="G1261" s="135"/>
    </row>
    <row r="1262" spans="1:7" x14ac:dyDescent="0.25">
      <c r="A1262" s="940">
        <v>3196</v>
      </c>
      <c r="B1262" s="940">
        <v>4</v>
      </c>
      <c r="C1262" t="s">
        <v>4900</v>
      </c>
      <c r="D1262" s="940" t="s">
        <v>4901</v>
      </c>
      <c r="E1262" t="s">
        <v>111</v>
      </c>
      <c r="F1262">
        <v>1</v>
      </c>
      <c r="G1262" s="135"/>
    </row>
    <row r="1263" spans="1:7" x14ac:dyDescent="0.25">
      <c r="A1263" s="940">
        <v>3045</v>
      </c>
      <c r="B1263" s="940">
        <v>7</v>
      </c>
      <c r="C1263" t="s">
        <v>4902</v>
      </c>
      <c r="D1263" s="940" t="s">
        <v>4903</v>
      </c>
      <c r="E1263" t="s">
        <v>106</v>
      </c>
      <c r="F1263">
        <v>1</v>
      </c>
      <c r="G1263" s="135"/>
    </row>
    <row r="1264" spans="1:7" x14ac:dyDescent="0.25">
      <c r="A1264" s="940">
        <v>3490</v>
      </c>
      <c r="B1264" s="940">
        <v>0</v>
      </c>
      <c r="C1264" t="s">
        <v>4904</v>
      </c>
      <c r="D1264" s="940" t="s">
        <v>4905</v>
      </c>
      <c r="E1264" t="s">
        <v>4906</v>
      </c>
      <c r="F1264">
        <v>1</v>
      </c>
      <c r="G1264" s="135"/>
    </row>
    <row r="1265" spans="1:7" x14ac:dyDescent="0.25">
      <c r="A1265" s="940">
        <v>3196</v>
      </c>
      <c r="B1265" s="940">
        <v>4</v>
      </c>
      <c r="C1265" t="s">
        <v>4907</v>
      </c>
      <c r="D1265" s="940" t="s">
        <v>4908</v>
      </c>
      <c r="E1265" t="s">
        <v>1939</v>
      </c>
      <c r="F1265">
        <v>1</v>
      </c>
      <c r="G1265" s="135"/>
    </row>
    <row r="1266" spans="1:7" x14ac:dyDescent="0.25">
      <c r="A1266" s="940">
        <v>733</v>
      </c>
      <c r="B1266" s="940">
        <v>329</v>
      </c>
      <c r="C1266" t="s">
        <v>4909</v>
      </c>
      <c r="D1266" s="940" t="s">
        <v>4910</v>
      </c>
      <c r="E1266" t="s">
        <v>113</v>
      </c>
      <c r="F1266">
        <v>1</v>
      </c>
      <c r="G1266" s="135"/>
    </row>
    <row r="1267" spans="1:7" x14ac:dyDescent="0.25">
      <c r="A1267" s="940">
        <v>425</v>
      </c>
      <c r="B1267" s="940">
        <v>550</v>
      </c>
      <c r="C1267" t="s">
        <v>4911</v>
      </c>
      <c r="D1267" s="940" t="s">
        <v>4912</v>
      </c>
      <c r="E1267" t="s">
        <v>122</v>
      </c>
      <c r="F1267">
        <v>1</v>
      </c>
      <c r="G1267" s="135"/>
    </row>
    <row r="1268" spans="1:7" x14ac:dyDescent="0.25">
      <c r="A1268" s="940">
        <v>2883</v>
      </c>
      <c r="B1268" s="940">
        <v>11</v>
      </c>
      <c r="C1268" t="s">
        <v>4913</v>
      </c>
      <c r="D1268" s="940" t="s">
        <v>4914</v>
      </c>
      <c r="E1268" t="s">
        <v>147</v>
      </c>
      <c r="F1268">
        <v>1</v>
      </c>
      <c r="G1268" s="135"/>
    </row>
    <row r="1269" spans="1:7" x14ac:dyDescent="0.25">
      <c r="A1269" s="940">
        <v>2499</v>
      </c>
      <c r="B1269" s="940">
        <v>25</v>
      </c>
      <c r="C1269" t="s">
        <v>4915</v>
      </c>
      <c r="D1269" s="940" t="s">
        <v>4916</v>
      </c>
      <c r="E1269" t="s">
        <v>1170</v>
      </c>
      <c r="F1269">
        <v>1</v>
      </c>
      <c r="G1269" s="135"/>
    </row>
    <row r="1270" spans="1:7" x14ac:dyDescent="0.25">
      <c r="A1270" s="940">
        <v>2416</v>
      </c>
      <c r="B1270" s="940">
        <v>29</v>
      </c>
      <c r="C1270" t="s">
        <v>4917</v>
      </c>
      <c r="D1270" s="940" t="s">
        <v>4719</v>
      </c>
      <c r="E1270" t="s">
        <v>1170</v>
      </c>
      <c r="F1270">
        <v>1</v>
      </c>
      <c r="G1270" s="135"/>
    </row>
    <row r="1271" spans="1:7" x14ac:dyDescent="0.25">
      <c r="A1271" s="940">
        <v>2782</v>
      </c>
      <c r="B1271" s="940">
        <v>14</v>
      </c>
      <c r="C1271" t="s">
        <v>4918</v>
      </c>
      <c r="D1271" s="940" t="s">
        <v>4919</v>
      </c>
      <c r="E1271" t="s">
        <v>4920</v>
      </c>
      <c r="F1271">
        <v>1</v>
      </c>
      <c r="G1271" s="135"/>
    </row>
    <row r="1272" spans="1:7" x14ac:dyDescent="0.25">
      <c r="A1272" s="940">
        <v>2582</v>
      </c>
      <c r="B1272" s="940">
        <v>21</v>
      </c>
      <c r="C1272" t="s">
        <v>4921</v>
      </c>
      <c r="D1272" s="940" t="s">
        <v>4922</v>
      </c>
      <c r="E1272" t="s">
        <v>4923</v>
      </c>
      <c r="F1272">
        <v>1</v>
      </c>
      <c r="G1272" s="135"/>
    </row>
    <row r="1273" spans="1:7" x14ac:dyDescent="0.25">
      <c r="A1273" s="940">
        <v>3490</v>
      </c>
      <c r="B1273" s="940">
        <v>0</v>
      </c>
      <c r="C1273" t="s">
        <v>4924</v>
      </c>
      <c r="D1273" s="940" t="s">
        <v>4925</v>
      </c>
      <c r="E1273" t="s">
        <v>99</v>
      </c>
      <c r="F1273">
        <v>1</v>
      </c>
      <c r="G1273" s="135"/>
    </row>
    <row r="1274" spans="1:7" x14ac:dyDescent="0.25">
      <c r="A1274" s="940">
        <v>2714</v>
      </c>
      <c r="B1274" s="940">
        <v>16</v>
      </c>
      <c r="C1274" t="s">
        <v>4926</v>
      </c>
      <c r="D1274" s="940" t="s">
        <v>4927</v>
      </c>
      <c r="E1274" t="s">
        <v>3673</v>
      </c>
      <c r="F1274">
        <v>1</v>
      </c>
      <c r="G1274" s="135"/>
    </row>
    <row r="1275" spans="1:7" x14ac:dyDescent="0.25">
      <c r="A1275" s="940">
        <v>873</v>
      </c>
      <c r="B1275" s="940">
        <v>263</v>
      </c>
      <c r="C1275" t="s">
        <v>4928</v>
      </c>
      <c r="D1275" s="940" t="s">
        <v>4929</v>
      </c>
      <c r="E1275" t="s">
        <v>99</v>
      </c>
      <c r="F1275">
        <v>1</v>
      </c>
      <c r="G1275" s="135"/>
    </row>
    <row r="1276" spans="1:7" x14ac:dyDescent="0.25">
      <c r="A1276" s="940">
        <v>1924</v>
      </c>
      <c r="B1276" s="940">
        <v>62</v>
      </c>
      <c r="C1276" t="s">
        <v>1627</v>
      </c>
      <c r="D1276" s="940" t="s">
        <v>4930</v>
      </c>
      <c r="E1276" t="s">
        <v>1214</v>
      </c>
      <c r="F1276">
        <v>1</v>
      </c>
      <c r="G1276" s="135"/>
    </row>
    <row r="1277" spans="1:7" x14ac:dyDescent="0.25">
      <c r="A1277" s="940">
        <v>52</v>
      </c>
      <c r="B1277" s="940">
        <v>1284</v>
      </c>
      <c r="C1277" t="s">
        <v>4931</v>
      </c>
      <c r="D1277" s="940" t="s">
        <v>4932</v>
      </c>
      <c r="E1277" t="s">
        <v>105</v>
      </c>
      <c r="F1277">
        <v>1</v>
      </c>
      <c r="G1277" s="135"/>
    </row>
    <row r="1278" spans="1:7" x14ac:dyDescent="0.25">
      <c r="A1278" s="940">
        <v>3490</v>
      </c>
      <c r="B1278" s="940">
        <v>0</v>
      </c>
      <c r="C1278" t="s">
        <v>4933</v>
      </c>
      <c r="D1278" s="940" t="s">
        <v>4934</v>
      </c>
      <c r="E1278" t="s">
        <v>469</v>
      </c>
      <c r="F1278">
        <v>1</v>
      </c>
      <c r="G1278" s="135"/>
    </row>
    <row r="1279" spans="1:7" x14ac:dyDescent="0.25">
      <c r="A1279" s="940">
        <v>3490</v>
      </c>
      <c r="B1279" s="940">
        <v>0</v>
      </c>
      <c r="C1279" t="s">
        <v>4935</v>
      </c>
      <c r="D1279" s="940" t="s">
        <v>4936</v>
      </c>
      <c r="E1279" t="s">
        <v>99</v>
      </c>
      <c r="F1279">
        <v>1</v>
      </c>
      <c r="G1279" s="135"/>
    </row>
    <row r="1280" spans="1:7" x14ac:dyDescent="0.25">
      <c r="A1280" s="940">
        <v>697</v>
      </c>
      <c r="B1280" s="940">
        <v>348</v>
      </c>
      <c r="C1280" t="s">
        <v>4937</v>
      </c>
      <c r="D1280" s="940" t="s">
        <v>4938</v>
      </c>
      <c r="E1280" t="s">
        <v>3200</v>
      </c>
      <c r="F1280">
        <v>1</v>
      </c>
      <c r="G1280" s="135"/>
    </row>
    <row r="1281" spans="1:7" x14ac:dyDescent="0.25">
      <c r="A1281" s="940">
        <v>3490</v>
      </c>
      <c r="B1281" s="940">
        <v>0</v>
      </c>
      <c r="C1281" t="s">
        <v>4939</v>
      </c>
      <c r="D1281" s="940" t="s">
        <v>4940</v>
      </c>
      <c r="E1281" t="s">
        <v>469</v>
      </c>
      <c r="F1281">
        <v>1</v>
      </c>
      <c r="G1281" s="135"/>
    </row>
    <row r="1282" spans="1:7" x14ac:dyDescent="0.25">
      <c r="A1282" s="940">
        <v>3490</v>
      </c>
      <c r="B1282" s="940">
        <v>0</v>
      </c>
      <c r="C1282" t="s">
        <v>4941</v>
      </c>
      <c r="D1282" s="940" t="s">
        <v>3586</v>
      </c>
      <c r="E1282" t="s">
        <v>128</v>
      </c>
      <c r="F1282">
        <v>1</v>
      </c>
      <c r="G1282" s="135"/>
    </row>
    <row r="1283" spans="1:7" x14ac:dyDescent="0.25">
      <c r="A1283" s="940">
        <v>1848</v>
      </c>
      <c r="B1283" s="940">
        <v>68</v>
      </c>
      <c r="C1283" t="s">
        <v>4942</v>
      </c>
      <c r="D1283" s="940" t="s">
        <v>4943</v>
      </c>
      <c r="E1283" t="s">
        <v>99</v>
      </c>
      <c r="F1283">
        <v>1</v>
      </c>
      <c r="G1283" s="135"/>
    </row>
    <row r="1284" spans="1:7" x14ac:dyDescent="0.25">
      <c r="A1284" s="940">
        <v>1765</v>
      </c>
      <c r="B1284" s="940">
        <v>77</v>
      </c>
      <c r="C1284" t="s">
        <v>4944</v>
      </c>
      <c r="D1284" s="940" t="s">
        <v>3301</v>
      </c>
      <c r="E1284" t="s">
        <v>99</v>
      </c>
      <c r="F1284">
        <v>1</v>
      </c>
      <c r="G1284" s="135"/>
    </row>
    <row r="1285" spans="1:7" x14ac:dyDescent="0.25">
      <c r="A1285" s="940">
        <v>2883</v>
      </c>
      <c r="B1285" s="940">
        <v>11</v>
      </c>
      <c r="C1285" t="s">
        <v>4945</v>
      </c>
      <c r="D1285" s="940" t="s">
        <v>4946</v>
      </c>
      <c r="E1285" t="s">
        <v>1705</v>
      </c>
      <c r="F1285">
        <v>1</v>
      </c>
      <c r="G1285" s="135"/>
    </row>
    <row r="1286" spans="1:7" x14ac:dyDescent="0.25">
      <c r="A1286" s="940">
        <v>3490</v>
      </c>
      <c r="B1286" s="940">
        <v>0</v>
      </c>
      <c r="C1286" t="s">
        <v>4947</v>
      </c>
      <c r="D1286" s="940" t="s">
        <v>4948</v>
      </c>
      <c r="E1286" t="s">
        <v>105</v>
      </c>
      <c r="F1286">
        <v>1</v>
      </c>
      <c r="G1286" s="135"/>
    </row>
    <row r="1287" spans="1:7" x14ac:dyDescent="0.25">
      <c r="A1287" s="940">
        <v>3089</v>
      </c>
      <c r="B1287" s="940">
        <v>6</v>
      </c>
      <c r="C1287" t="s">
        <v>4949</v>
      </c>
      <c r="D1287" s="940" t="s">
        <v>4950</v>
      </c>
      <c r="E1287" t="s">
        <v>105</v>
      </c>
      <c r="F1287">
        <v>1</v>
      </c>
      <c r="G1287" s="135"/>
    </row>
    <row r="1288" spans="1:7" x14ac:dyDescent="0.25">
      <c r="A1288" s="940">
        <v>2016</v>
      </c>
      <c r="B1288" s="940">
        <v>54</v>
      </c>
      <c r="C1288" t="s">
        <v>4951</v>
      </c>
      <c r="D1288" s="940" t="s">
        <v>4952</v>
      </c>
      <c r="E1288" t="s">
        <v>1214</v>
      </c>
      <c r="F1288">
        <v>1</v>
      </c>
      <c r="G1288" s="135"/>
    </row>
    <row r="1289" spans="1:7" x14ac:dyDescent="0.25">
      <c r="A1289" s="940">
        <v>1827</v>
      </c>
      <c r="B1289" s="940">
        <v>70</v>
      </c>
      <c r="C1289" t="s">
        <v>4953</v>
      </c>
      <c r="D1289" s="940" t="s">
        <v>4954</v>
      </c>
      <c r="E1289" t="s">
        <v>120</v>
      </c>
      <c r="F1289">
        <v>1</v>
      </c>
      <c r="G1289" s="135"/>
    </row>
    <row r="1290" spans="1:7" x14ac:dyDescent="0.25">
      <c r="A1290" s="940">
        <v>3490</v>
      </c>
      <c r="B1290" s="940">
        <v>0</v>
      </c>
      <c r="C1290" t="s">
        <v>4955</v>
      </c>
      <c r="D1290" s="940" t="s">
        <v>4956</v>
      </c>
      <c r="E1290" t="s">
        <v>120</v>
      </c>
      <c r="F1290">
        <v>1</v>
      </c>
      <c r="G1290" s="135"/>
    </row>
    <row r="1291" spans="1:7" x14ac:dyDescent="0.25">
      <c r="A1291" s="940">
        <v>3490</v>
      </c>
      <c r="B1291" s="940">
        <v>0</v>
      </c>
      <c r="C1291" t="s">
        <v>1629</v>
      </c>
      <c r="D1291" s="940" t="s">
        <v>4957</v>
      </c>
      <c r="E1291" t="s">
        <v>1236</v>
      </c>
      <c r="F1291">
        <v>1</v>
      </c>
      <c r="G1291" s="135"/>
    </row>
    <row r="1292" spans="1:7" x14ac:dyDescent="0.25">
      <c r="A1292" s="940">
        <v>2839</v>
      </c>
      <c r="B1292" s="940">
        <v>12</v>
      </c>
      <c r="C1292" t="s">
        <v>4958</v>
      </c>
      <c r="D1292" s="940" t="s">
        <v>3873</v>
      </c>
      <c r="E1292" t="s">
        <v>173</v>
      </c>
      <c r="F1292">
        <v>1</v>
      </c>
      <c r="G1292" s="135"/>
    </row>
    <row r="1293" spans="1:7" x14ac:dyDescent="0.25">
      <c r="A1293" s="940">
        <v>3490</v>
      </c>
      <c r="B1293" s="940">
        <v>0</v>
      </c>
      <c r="C1293" t="s">
        <v>4959</v>
      </c>
      <c r="D1293" s="940" t="s">
        <v>4960</v>
      </c>
      <c r="E1293" t="s">
        <v>3814</v>
      </c>
      <c r="F1293">
        <v>1</v>
      </c>
      <c r="G1293" s="135"/>
    </row>
    <row r="1294" spans="1:7" x14ac:dyDescent="0.25">
      <c r="A1294" s="940">
        <v>3490</v>
      </c>
      <c r="B1294" s="940">
        <v>0</v>
      </c>
      <c r="C1294" t="s">
        <v>1631</v>
      </c>
      <c r="D1294" s="940" t="s">
        <v>4101</v>
      </c>
      <c r="E1294" t="s">
        <v>1204</v>
      </c>
      <c r="F1294">
        <v>1</v>
      </c>
      <c r="G1294" s="135"/>
    </row>
    <row r="1295" spans="1:7" x14ac:dyDescent="0.25">
      <c r="A1295" s="940">
        <v>692</v>
      </c>
      <c r="B1295" s="940">
        <v>352</v>
      </c>
      <c r="C1295" t="s">
        <v>4961</v>
      </c>
      <c r="D1295" s="940" t="s">
        <v>4962</v>
      </c>
      <c r="E1295" t="s">
        <v>208</v>
      </c>
      <c r="F1295">
        <v>1</v>
      </c>
      <c r="G1295" s="135"/>
    </row>
    <row r="1296" spans="1:7" x14ac:dyDescent="0.25">
      <c r="A1296" s="940">
        <v>423</v>
      </c>
      <c r="B1296" s="940">
        <v>551</v>
      </c>
      <c r="C1296" t="s">
        <v>4963</v>
      </c>
      <c r="D1296" s="940" t="s">
        <v>4964</v>
      </c>
      <c r="E1296" t="s">
        <v>1236</v>
      </c>
      <c r="F1296">
        <v>1</v>
      </c>
      <c r="G1296" s="135"/>
    </row>
    <row r="1297" spans="1:7" x14ac:dyDescent="0.25">
      <c r="A1297" s="940">
        <v>3265</v>
      </c>
      <c r="B1297" s="940">
        <v>3</v>
      </c>
      <c r="C1297" t="s">
        <v>4965</v>
      </c>
      <c r="D1297" s="940" t="s">
        <v>4966</v>
      </c>
      <c r="E1297" t="s">
        <v>246</v>
      </c>
      <c r="F1297">
        <v>1</v>
      </c>
      <c r="G1297" s="135"/>
    </row>
    <row r="1298" spans="1:7" x14ac:dyDescent="0.25">
      <c r="A1298" s="940">
        <v>1653</v>
      </c>
      <c r="B1298" s="940">
        <v>89</v>
      </c>
      <c r="C1298" t="s">
        <v>4967</v>
      </c>
      <c r="D1298" s="940" t="s">
        <v>4968</v>
      </c>
      <c r="E1298" t="s">
        <v>4969</v>
      </c>
      <c r="F1298">
        <v>1</v>
      </c>
      <c r="G1298" s="135"/>
    </row>
    <row r="1299" spans="1:7" x14ac:dyDescent="0.25">
      <c r="A1299" s="940">
        <v>3490</v>
      </c>
      <c r="B1299" s="940">
        <v>0</v>
      </c>
      <c r="C1299" t="s">
        <v>1633</v>
      </c>
      <c r="D1299" s="940" t="s">
        <v>4970</v>
      </c>
      <c r="E1299" t="s">
        <v>130</v>
      </c>
      <c r="F1299">
        <v>1</v>
      </c>
      <c r="G1299" s="135"/>
    </row>
    <row r="1300" spans="1:7" x14ac:dyDescent="0.25">
      <c r="A1300" s="940">
        <v>291</v>
      </c>
      <c r="B1300" s="940">
        <v>725</v>
      </c>
      <c r="C1300" t="s">
        <v>4971</v>
      </c>
      <c r="D1300" s="940" t="s">
        <v>4972</v>
      </c>
      <c r="E1300" t="s">
        <v>120</v>
      </c>
      <c r="F1300">
        <v>1</v>
      </c>
      <c r="G1300" s="135"/>
    </row>
    <row r="1301" spans="1:7" x14ac:dyDescent="0.25">
      <c r="A1301" s="940">
        <v>1848</v>
      </c>
      <c r="B1301" s="940">
        <v>68</v>
      </c>
      <c r="C1301" t="s">
        <v>4973</v>
      </c>
      <c r="D1301" s="940" t="s">
        <v>4974</v>
      </c>
      <c r="E1301" t="s">
        <v>1372</v>
      </c>
      <c r="F1301">
        <v>1</v>
      </c>
      <c r="G1301" s="135"/>
    </row>
    <row r="1302" spans="1:7" x14ac:dyDescent="0.25">
      <c r="A1302" s="940">
        <v>245</v>
      </c>
      <c r="B1302" s="940">
        <v>825</v>
      </c>
      <c r="C1302" t="s">
        <v>4975</v>
      </c>
      <c r="D1302" s="940" t="s">
        <v>3912</v>
      </c>
      <c r="E1302" t="s">
        <v>111</v>
      </c>
      <c r="F1302">
        <v>1</v>
      </c>
      <c r="G1302" s="135"/>
    </row>
    <row r="1303" spans="1:7" x14ac:dyDescent="0.25">
      <c r="A1303" s="940">
        <v>3490</v>
      </c>
      <c r="B1303" s="940">
        <v>0</v>
      </c>
      <c r="C1303" t="s">
        <v>4976</v>
      </c>
      <c r="D1303" s="940" t="s">
        <v>4977</v>
      </c>
      <c r="E1303" t="s">
        <v>105</v>
      </c>
      <c r="F1303">
        <v>1</v>
      </c>
      <c r="G1303" s="135"/>
    </row>
    <row r="1304" spans="1:7" x14ac:dyDescent="0.25">
      <c r="A1304" s="940">
        <v>1672</v>
      </c>
      <c r="B1304" s="940">
        <v>86</v>
      </c>
      <c r="C1304" t="s">
        <v>4978</v>
      </c>
      <c r="D1304" s="940" t="s">
        <v>2788</v>
      </c>
      <c r="E1304" t="s">
        <v>111</v>
      </c>
      <c r="F1304">
        <v>1</v>
      </c>
      <c r="G1304" s="135"/>
    </row>
    <row r="1305" spans="1:7" x14ac:dyDescent="0.25">
      <c r="A1305" s="940">
        <v>2558</v>
      </c>
      <c r="B1305" s="940">
        <v>22</v>
      </c>
      <c r="C1305" t="s">
        <v>4979</v>
      </c>
      <c r="D1305" s="940" t="s">
        <v>4980</v>
      </c>
      <c r="E1305" t="s">
        <v>72</v>
      </c>
      <c r="F1305">
        <v>1</v>
      </c>
      <c r="G1305" s="135"/>
    </row>
    <row r="1306" spans="1:7" x14ac:dyDescent="0.25">
      <c r="A1306" s="940">
        <v>2839</v>
      </c>
      <c r="B1306" s="940">
        <v>12</v>
      </c>
      <c r="C1306" t="s">
        <v>4981</v>
      </c>
      <c r="D1306" s="940" t="s">
        <v>4982</v>
      </c>
      <c r="E1306" t="s">
        <v>4983</v>
      </c>
      <c r="F1306">
        <v>1</v>
      </c>
      <c r="G1306" s="135"/>
    </row>
    <row r="1307" spans="1:7" x14ac:dyDescent="0.25">
      <c r="A1307" s="940">
        <v>3490</v>
      </c>
      <c r="B1307" s="940">
        <v>0</v>
      </c>
      <c r="C1307" t="s">
        <v>4984</v>
      </c>
      <c r="D1307" s="940" t="s">
        <v>4889</v>
      </c>
      <c r="E1307" t="s">
        <v>661</v>
      </c>
      <c r="F1307">
        <v>1</v>
      </c>
      <c r="G1307" s="135"/>
    </row>
    <row r="1308" spans="1:7" x14ac:dyDescent="0.25">
      <c r="A1308" s="940">
        <v>3196</v>
      </c>
      <c r="B1308" s="940">
        <v>4</v>
      </c>
      <c r="C1308" t="s">
        <v>4985</v>
      </c>
      <c r="D1308" s="940" t="s">
        <v>3808</v>
      </c>
      <c r="E1308" t="s">
        <v>74</v>
      </c>
      <c r="F1308">
        <v>1</v>
      </c>
      <c r="G1308" s="135"/>
    </row>
    <row r="1309" spans="1:7" x14ac:dyDescent="0.25">
      <c r="A1309" s="940">
        <v>3395</v>
      </c>
      <c r="B1309" s="940">
        <v>1</v>
      </c>
      <c r="C1309" t="s">
        <v>4986</v>
      </c>
      <c r="D1309" s="940" t="s">
        <v>3364</v>
      </c>
      <c r="E1309" t="s">
        <v>1364</v>
      </c>
      <c r="F1309">
        <v>1</v>
      </c>
      <c r="G1309" s="135"/>
    </row>
    <row r="1310" spans="1:7" x14ac:dyDescent="0.25">
      <c r="A1310" s="940">
        <v>2883</v>
      </c>
      <c r="B1310" s="940">
        <v>11</v>
      </c>
      <c r="C1310" t="s">
        <v>4987</v>
      </c>
      <c r="D1310" s="940" t="s">
        <v>4988</v>
      </c>
      <c r="E1310" t="s">
        <v>1358</v>
      </c>
      <c r="F1310">
        <v>1</v>
      </c>
      <c r="G1310" s="135"/>
    </row>
    <row r="1311" spans="1:7" x14ac:dyDescent="0.25">
      <c r="A1311" s="940">
        <v>1322</v>
      </c>
      <c r="B1311" s="940">
        <v>131</v>
      </c>
      <c r="C1311" t="s">
        <v>1635</v>
      </c>
      <c r="D1311" s="940" t="s">
        <v>4187</v>
      </c>
      <c r="E1311" t="s">
        <v>120</v>
      </c>
      <c r="F1311">
        <v>1</v>
      </c>
      <c r="G1311" s="135"/>
    </row>
    <row r="1312" spans="1:7" x14ac:dyDescent="0.25">
      <c r="A1312" s="940">
        <v>3490</v>
      </c>
      <c r="B1312" s="940">
        <v>0</v>
      </c>
      <c r="C1312" t="s">
        <v>4989</v>
      </c>
      <c r="D1312" s="940" t="s">
        <v>4990</v>
      </c>
      <c r="E1312" t="s">
        <v>2880</v>
      </c>
      <c r="F1312">
        <v>1</v>
      </c>
      <c r="G1312" s="135"/>
    </row>
    <row r="1313" spans="1:7" x14ac:dyDescent="0.25">
      <c r="A1313" s="940">
        <v>3265</v>
      </c>
      <c r="B1313" s="940">
        <v>3</v>
      </c>
      <c r="C1313" t="s">
        <v>4991</v>
      </c>
      <c r="D1313" s="940" t="s">
        <v>4992</v>
      </c>
      <c r="E1313" t="s">
        <v>120</v>
      </c>
      <c r="F1313">
        <v>1</v>
      </c>
      <c r="G1313" s="135"/>
    </row>
    <row r="1314" spans="1:7" x14ac:dyDescent="0.25">
      <c r="A1314" s="940">
        <v>3490</v>
      </c>
      <c r="B1314" s="940">
        <v>0</v>
      </c>
      <c r="C1314" t="s">
        <v>4993</v>
      </c>
      <c r="D1314" s="940" t="s">
        <v>3558</v>
      </c>
      <c r="E1314" t="s">
        <v>105</v>
      </c>
      <c r="F1314">
        <v>1</v>
      </c>
      <c r="G1314" s="135"/>
    </row>
    <row r="1315" spans="1:7" x14ac:dyDescent="0.25">
      <c r="A1315" s="940">
        <v>3141</v>
      </c>
      <c r="B1315" s="940">
        <v>5</v>
      </c>
      <c r="C1315" t="s">
        <v>238</v>
      </c>
      <c r="D1315" s="940" t="s">
        <v>4994</v>
      </c>
      <c r="E1315" t="s">
        <v>126</v>
      </c>
      <c r="F1315">
        <v>1</v>
      </c>
      <c r="G1315" s="135"/>
    </row>
    <row r="1316" spans="1:7" x14ac:dyDescent="0.25">
      <c r="A1316" s="940">
        <v>1300</v>
      </c>
      <c r="B1316" s="940">
        <v>136</v>
      </c>
      <c r="C1316" t="s">
        <v>239</v>
      </c>
      <c r="D1316" s="940" t="s">
        <v>4995</v>
      </c>
      <c r="E1316" t="s">
        <v>1232</v>
      </c>
      <c r="F1316">
        <v>1</v>
      </c>
      <c r="G1316" s="135"/>
    </row>
    <row r="1317" spans="1:7" x14ac:dyDescent="0.25">
      <c r="A1317" s="940">
        <v>2782</v>
      </c>
      <c r="B1317" s="940">
        <v>14</v>
      </c>
      <c r="C1317" t="s">
        <v>1637</v>
      </c>
      <c r="D1317" s="940" t="s">
        <v>3775</v>
      </c>
      <c r="E1317" t="s">
        <v>1493</v>
      </c>
      <c r="F1317">
        <v>1</v>
      </c>
      <c r="G1317" s="135"/>
    </row>
    <row r="1318" spans="1:7" x14ac:dyDescent="0.25">
      <c r="A1318" s="940">
        <v>3490</v>
      </c>
      <c r="B1318" s="940">
        <v>0</v>
      </c>
      <c r="C1318" t="s">
        <v>4996</v>
      </c>
      <c r="D1318" s="940" t="s">
        <v>4997</v>
      </c>
      <c r="E1318" t="s">
        <v>163</v>
      </c>
      <c r="F1318">
        <v>1</v>
      </c>
      <c r="G1318" s="135"/>
    </row>
    <row r="1319" spans="1:7" x14ac:dyDescent="0.25">
      <c r="A1319" s="940">
        <v>2839</v>
      </c>
      <c r="B1319" s="940">
        <v>12</v>
      </c>
      <c r="C1319" t="s">
        <v>4998</v>
      </c>
      <c r="D1319" s="940" t="s">
        <v>4094</v>
      </c>
      <c r="E1319" t="s">
        <v>1214</v>
      </c>
      <c r="F1319">
        <v>1</v>
      </c>
      <c r="G1319" s="135"/>
    </row>
    <row r="1320" spans="1:7" x14ac:dyDescent="0.25">
      <c r="A1320" s="940">
        <v>1672</v>
      </c>
      <c r="B1320" s="940">
        <v>86</v>
      </c>
      <c r="C1320" t="s">
        <v>4999</v>
      </c>
      <c r="D1320" s="940" t="s">
        <v>5000</v>
      </c>
      <c r="E1320" t="s">
        <v>2880</v>
      </c>
      <c r="F1320">
        <v>1</v>
      </c>
      <c r="G1320" s="135"/>
    </row>
    <row r="1321" spans="1:7" x14ac:dyDescent="0.25">
      <c r="A1321" s="940">
        <v>2839</v>
      </c>
      <c r="B1321" s="940">
        <v>12</v>
      </c>
      <c r="C1321" t="s">
        <v>5001</v>
      </c>
      <c r="D1321" s="940" t="s">
        <v>3388</v>
      </c>
      <c r="E1321" t="s">
        <v>1968</v>
      </c>
      <c r="F1321">
        <v>1</v>
      </c>
      <c r="G1321" s="135"/>
    </row>
    <row r="1322" spans="1:7" x14ac:dyDescent="0.25">
      <c r="A1322" s="940">
        <v>429</v>
      </c>
      <c r="B1322" s="940">
        <v>544</v>
      </c>
      <c r="C1322" t="s">
        <v>5002</v>
      </c>
      <c r="D1322" s="940" t="s">
        <v>5003</v>
      </c>
      <c r="E1322" t="s">
        <v>2880</v>
      </c>
      <c r="F1322">
        <v>1</v>
      </c>
      <c r="G1322" s="135"/>
    </row>
    <row r="1323" spans="1:7" x14ac:dyDescent="0.25">
      <c r="A1323" s="940">
        <v>321</v>
      </c>
      <c r="B1323" s="940">
        <v>682</v>
      </c>
      <c r="C1323" t="s">
        <v>5004</v>
      </c>
      <c r="D1323" s="940" t="s">
        <v>5005</v>
      </c>
      <c r="E1323" t="s">
        <v>103</v>
      </c>
      <c r="F1323">
        <v>1</v>
      </c>
      <c r="G1323" s="135"/>
    </row>
    <row r="1324" spans="1:7" x14ac:dyDescent="0.25">
      <c r="A1324" s="940">
        <v>2347</v>
      </c>
      <c r="B1324" s="940">
        <v>33</v>
      </c>
      <c r="C1324" t="s">
        <v>5006</v>
      </c>
      <c r="D1324" s="940" t="s">
        <v>5007</v>
      </c>
      <c r="E1324" t="s">
        <v>5008</v>
      </c>
      <c r="F1324">
        <v>1</v>
      </c>
      <c r="G1324" s="135"/>
    </row>
    <row r="1325" spans="1:7" x14ac:dyDescent="0.25">
      <c r="A1325" s="940">
        <v>3490</v>
      </c>
      <c r="B1325" s="940">
        <v>0</v>
      </c>
      <c r="C1325" t="s">
        <v>5006</v>
      </c>
      <c r="D1325" s="940" t="s">
        <v>5009</v>
      </c>
      <c r="E1325" t="s">
        <v>661</v>
      </c>
      <c r="F1325">
        <v>1</v>
      </c>
      <c r="G1325" s="135"/>
    </row>
    <row r="1326" spans="1:7" x14ac:dyDescent="0.25">
      <c r="A1326" s="940">
        <v>3490</v>
      </c>
      <c r="B1326" s="940">
        <v>0</v>
      </c>
      <c r="C1326" t="s">
        <v>5010</v>
      </c>
      <c r="D1326" s="940" t="s">
        <v>5011</v>
      </c>
      <c r="E1326" t="s">
        <v>105</v>
      </c>
      <c r="F1326">
        <v>1</v>
      </c>
      <c r="G1326" s="135"/>
    </row>
    <row r="1327" spans="1:7" x14ac:dyDescent="0.25">
      <c r="A1327" s="940">
        <v>1145</v>
      </c>
      <c r="B1327" s="940">
        <v>169</v>
      </c>
      <c r="C1327" t="s">
        <v>5012</v>
      </c>
      <c r="D1327" s="940" t="s">
        <v>5013</v>
      </c>
      <c r="E1327" t="s">
        <v>110</v>
      </c>
      <c r="F1327">
        <v>1</v>
      </c>
      <c r="G1327" s="135"/>
    </row>
    <row r="1328" spans="1:7" x14ac:dyDescent="0.25">
      <c r="A1328" s="940">
        <v>2814</v>
      </c>
      <c r="B1328" s="940">
        <v>13</v>
      </c>
      <c r="C1328" t="s">
        <v>5014</v>
      </c>
      <c r="D1328" s="940" t="s">
        <v>5015</v>
      </c>
      <c r="E1328" t="s">
        <v>2928</v>
      </c>
      <c r="F1328">
        <v>1</v>
      </c>
      <c r="G1328" s="135"/>
    </row>
    <row r="1329" spans="1:7" x14ac:dyDescent="0.25">
      <c r="A1329" s="940">
        <v>3395</v>
      </c>
      <c r="B1329" s="940">
        <v>1</v>
      </c>
      <c r="C1329" t="s">
        <v>1640</v>
      </c>
      <c r="D1329" s="940" t="s">
        <v>5016</v>
      </c>
      <c r="E1329" t="s">
        <v>73</v>
      </c>
      <c r="F1329">
        <v>1</v>
      </c>
      <c r="G1329" s="135"/>
    </row>
    <row r="1330" spans="1:7" x14ac:dyDescent="0.25">
      <c r="A1330" s="940">
        <v>869</v>
      </c>
      <c r="B1330" s="940">
        <v>264</v>
      </c>
      <c r="C1330" t="s">
        <v>5017</v>
      </c>
      <c r="D1330" s="940" t="s">
        <v>5018</v>
      </c>
      <c r="E1330" t="s">
        <v>2880</v>
      </c>
      <c r="F1330">
        <v>1</v>
      </c>
      <c r="G1330" s="135"/>
    </row>
    <row r="1331" spans="1:7" x14ac:dyDescent="0.25">
      <c r="A1331" s="940">
        <v>76</v>
      </c>
      <c r="B1331" s="940">
        <v>1196</v>
      </c>
      <c r="C1331" t="s">
        <v>5019</v>
      </c>
      <c r="D1331" s="940" t="s">
        <v>5020</v>
      </c>
      <c r="E1331" t="s">
        <v>105</v>
      </c>
      <c r="F1331">
        <v>1</v>
      </c>
      <c r="G1331" s="135"/>
    </row>
    <row r="1332" spans="1:7" x14ac:dyDescent="0.25">
      <c r="A1332" s="940">
        <v>3196</v>
      </c>
      <c r="B1332" s="940">
        <v>4</v>
      </c>
      <c r="C1332" t="s">
        <v>5021</v>
      </c>
      <c r="D1332" s="940" t="s">
        <v>5022</v>
      </c>
      <c r="E1332" t="s">
        <v>120</v>
      </c>
      <c r="F1332">
        <v>1</v>
      </c>
      <c r="G1332" s="135"/>
    </row>
    <row r="1333" spans="1:7" x14ac:dyDescent="0.25">
      <c r="A1333" s="940">
        <v>122</v>
      </c>
      <c r="B1333" s="940">
        <v>1043</v>
      </c>
      <c r="C1333" t="s">
        <v>391</v>
      </c>
      <c r="D1333" s="940" t="s">
        <v>5023</v>
      </c>
      <c r="E1333" t="s">
        <v>103</v>
      </c>
      <c r="F1333">
        <v>1</v>
      </c>
      <c r="G1333" s="135"/>
    </row>
    <row r="1334" spans="1:7" x14ac:dyDescent="0.25">
      <c r="A1334" s="940">
        <v>3490</v>
      </c>
      <c r="B1334" s="940">
        <v>0</v>
      </c>
      <c r="C1334" t="s">
        <v>391</v>
      </c>
      <c r="D1334" s="940" t="s">
        <v>5024</v>
      </c>
      <c r="E1334" t="s">
        <v>5025</v>
      </c>
      <c r="F1334">
        <v>1</v>
      </c>
      <c r="G1334" s="135"/>
    </row>
    <row r="1335" spans="1:7" x14ac:dyDescent="0.25">
      <c r="A1335" s="940">
        <v>3490</v>
      </c>
      <c r="B1335" s="940">
        <v>0</v>
      </c>
      <c r="C1335" t="s">
        <v>391</v>
      </c>
      <c r="D1335" s="940" t="s">
        <v>5026</v>
      </c>
      <c r="E1335" t="s">
        <v>1343</v>
      </c>
      <c r="F1335">
        <v>1</v>
      </c>
      <c r="G1335" s="135"/>
    </row>
    <row r="1336" spans="1:7" x14ac:dyDescent="0.25">
      <c r="A1336" s="940">
        <v>101</v>
      </c>
      <c r="B1336" s="940">
        <v>1104</v>
      </c>
      <c r="C1336" t="s">
        <v>1642</v>
      </c>
      <c r="D1336" s="940" t="s">
        <v>5027</v>
      </c>
      <c r="E1336" t="s">
        <v>120</v>
      </c>
      <c r="F1336">
        <v>1</v>
      </c>
      <c r="G1336" s="135"/>
    </row>
    <row r="1337" spans="1:7" x14ac:dyDescent="0.25">
      <c r="A1337" s="940">
        <v>1994</v>
      </c>
      <c r="B1337" s="940">
        <v>56</v>
      </c>
      <c r="C1337" t="s">
        <v>1642</v>
      </c>
      <c r="D1337" s="940" t="s">
        <v>5028</v>
      </c>
      <c r="E1337" t="s">
        <v>1372</v>
      </c>
      <c r="F1337">
        <v>1</v>
      </c>
      <c r="G1337" s="135"/>
    </row>
    <row r="1338" spans="1:7" x14ac:dyDescent="0.25">
      <c r="A1338" s="940">
        <v>3196</v>
      </c>
      <c r="B1338" s="940">
        <v>4</v>
      </c>
      <c r="C1338" t="s">
        <v>1642</v>
      </c>
      <c r="D1338" s="940" t="s">
        <v>5029</v>
      </c>
      <c r="E1338" t="s">
        <v>111</v>
      </c>
      <c r="F1338">
        <v>1</v>
      </c>
      <c r="G1338" s="135"/>
    </row>
    <row r="1339" spans="1:7" x14ac:dyDescent="0.25">
      <c r="A1339" s="940">
        <v>3395</v>
      </c>
      <c r="B1339" s="940">
        <v>1</v>
      </c>
      <c r="C1339" t="s">
        <v>1642</v>
      </c>
      <c r="D1339" s="940" t="s">
        <v>5030</v>
      </c>
      <c r="E1339" t="s">
        <v>120</v>
      </c>
      <c r="F1339">
        <v>1</v>
      </c>
      <c r="G1339" s="135"/>
    </row>
    <row r="1340" spans="1:7" x14ac:dyDescent="0.25">
      <c r="A1340" s="940">
        <v>663</v>
      </c>
      <c r="B1340" s="940">
        <v>369</v>
      </c>
      <c r="C1340" t="s">
        <v>482</v>
      </c>
      <c r="D1340" s="940" t="s">
        <v>5031</v>
      </c>
      <c r="E1340" t="s">
        <v>83</v>
      </c>
      <c r="F1340">
        <v>1</v>
      </c>
      <c r="G1340" s="135"/>
    </row>
    <row r="1341" spans="1:7" x14ac:dyDescent="0.25">
      <c r="A1341" s="940">
        <v>3265</v>
      </c>
      <c r="B1341" s="940">
        <v>3</v>
      </c>
      <c r="C1341" t="s">
        <v>5032</v>
      </c>
      <c r="D1341" s="940" t="s">
        <v>5033</v>
      </c>
      <c r="E1341" t="s">
        <v>99</v>
      </c>
      <c r="F1341">
        <v>1</v>
      </c>
      <c r="G1341" s="135"/>
    </row>
    <row r="1342" spans="1:7" x14ac:dyDescent="0.25">
      <c r="A1342" s="940">
        <v>2347</v>
      </c>
      <c r="B1342" s="940">
        <v>33</v>
      </c>
      <c r="C1342" t="s">
        <v>2520</v>
      </c>
      <c r="D1342" s="940" t="s">
        <v>5034</v>
      </c>
      <c r="E1342" t="s">
        <v>2237</v>
      </c>
      <c r="F1342">
        <v>1</v>
      </c>
      <c r="G1342" s="135"/>
    </row>
    <row r="1343" spans="1:7" x14ac:dyDescent="0.25">
      <c r="A1343" s="940">
        <v>1026</v>
      </c>
      <c r="B1343" s="940">
        <v>206</v>
      </c>
      <c r="C1343" t="s">
        <v>1645</v>
      </c>
      <c r="D1343" s="940" t="s">
        <v>5035</v>
      </c>
      <c r="E1343" t="s">
        <v>1236</v>
      </c>
      <c r="F1343">
        <v>1</v>
      </c>
      <c r="G1343" s="135"/>
    </row>
    <row r="1344" spans="1:7" x14ac:dyDescent="0.25">
      <c r="A1344" s="940">
        <v>1462</v>
      </c>
      <c r="B1344" s="940">
        <v>111</v>
      </c>
      <c r="C1344" t="s">
        <v>5036</v>
      </c>
      <c r="D1344" s="940" t="s">
        <v>5037</v>
      </c>
      <c r="E1344" t="s">
        <v>2880</v>
      </c>
      <c r="F1344">
        <v>1</v>
      </c>
      <c r="G1344" s="135"/>
    </row>
    <row r="1345" spans="1:7" x14ac:dyDescent="0.25">
      <c r="A1345" s="940">
        <v>3490</v>
      </c>
      <c r="B1345" s="940">
        <v>0</v>
      </c>
      <c r="C1345" t="s">
        <v>5038</v>
      </c>
      <c r="D1345" s="940" t="s">
        <v>5039</v>
      </c>
      <c r="E1345" t="s">
        <v>4104</v>
      </c>
      <c r="F1345">
        <v>1</v>
      </c>
      <c r="G1345" s="135"/>
    </row>
    <row r="1346" spans="1:7" x14ac:dyDescent="0.25">
      <c r="A1346" s="940">
        <v>28</v>
      </c>
      <c r="B1346" s="940">
        <v>1416</v>
      </c>
      <c r="C1346" t="s">
        <v>71</v>
      </c>
      <c r="D1346" s="940" t="s">
        <v>5040</v>
      </c>
      <c r="E1346" t="s">
        <v>130</v>
      </c>
      <c r="F1346">
        <v>1</v>
      </c>
      <c r="G1346" s="135"/>
    </row>
    <row r="1347" spans="1:7" x14ac:dyDescent="0.25">
      <c r="A1347" s="940">
        <v>1287</v>
      </c>
      <c r="B1347" s="940">
        <v>138</v>
      </c>
      <c r="C1347" t="s">
        <v>5041</v>
      </c>
      <c r="D1347" s="940" t="s">
        <v>3584</v>
      </c>
      <c r="E1347" t="s">
        <v>1171</v>
      </c>
      <c r="F1347">
        <v>1</v>
      </c>
      <c r="G1347" s="135"/>
    </row>
    <row r="1348" spans="1:7" x14ac:dyDescent="0.25">
      <c r="A1348" s="940">
        <v>3490</v>
      </c>
      <c r="B1348" s="940">
        <v>0</v>
      </c>
      <c r="C1348" t="s">
        <v>5042</v>
      </c>
      <c r="D1348" s="940" t="s">
        <v>3159</v>
      </c>
      <c r="E1348" t="s">
        <v>3533</v>
      </c>
      <c r="F1348">
        <v>1</v>
      </c>
      <c r="G1348" s="135"/>
    </row>
    <row r="1349" spans="1:7" x14ac:dyDescent="0.25">
      <c r="A1349" s="940">
        <v>3490</v>
      </c>
      <c r="B1349" s="940">
        <v>0</v>
      </c>
      <c r="C1349" t="s">
        <v>5043</v>
      </c>
      <c r="D1349" s="940" t="s">
        <v>4223</v>
      </c>
      <c r="E1349" t="s">
        <v>105</v>
      </c>
      <c r="F1349">
        <v>1</v>
      </c>
      <c r="G1349" s="135"/>
    </row>
    <row r="1350" spans="1:7" x14ac:dyDescent="0.25">
      <c r="A1350" s="940">
        <v>1078</v>
      </c>
      <c r="B1350" s="940">
        <v>189</v>
      </c>
      <c r="C1350" t="s">
        <v>1648</v>
      </c>
      <c r="D1350" s="940" t="s">
        <v>5044</v>
      </c>
      <c r="E1350" t="s">
        <v>105</v>
      </c>
      <c r="F1350">
        <v>1</v>
      </c>
      <c r="G1350" s="135"/>
    </row>
    <row r="1351" spans="1:7" x14ac:dyDescent="0.25">
      <c r="A1351" s="940">
        <v>3490</v>
      </c>
      <c r="B1351" s="940">
        <v>0</v>
      </c>
      <c r="C1351" t="s">
        <v>5045</v>
      </c>
      <c r="D1351" s="940" t="s">
        <v>5046</v>
      </c>
      <c r="E1351" t="s">
        <v>74</v>
      </c>
      <c r="F1351">
        <v>1</v>
      </c>
      <c r="G1351" s="135"/>
    </row>
    <row r="1352" spans="1:7" x14ac:dyDescent="0.25">
      <c r="A1352" s="940">
        <v>3327</v>
      </c>
      <c r="B1352" s="940">
        <v>2</v>
      </c>
      <c r="C1352" t="s">
        <v>5047</v>
      </c>
      <c r="D1352" s="940" t="s">
        <v>5048</v>
      </c>
      <c r="E1352" t="s">
        <v>1290</v>
      </c>
      <c r="F1352">
        <v>1</v>
      </c>
      <c r="G1352" s="135"/>
    </row>
    <row r="1353" spans="1:7" x14ac:dyDescent="0.25">
      <c r="A1353" s="940">
        <v>1363</v>
      </c>
      <c r="B1353" s="940">
        <v>125</v>
      </c>
      <c r="C1353" t="s">
        <v>5049</v>
      </c>
      <c r="D1353" s="940" t="s">
        <v>5050</v>
      </c>
      <c r="E1353" t="s">
        <v>128</v>
      </c>
      <c r="F1353">
        <v>1</v>
      </c>
      <c r="G1353" s="135"/>
    </row>
    <row r="1354" spans="1:7" x14ac:dyDescent="0.25">
      <c r="A1354" s="940">
        <v>1749</v>
      </c>
      <c r="B1354" s="940">
        <v>79</v>
      </c>
      <c r="C1354" t="s">
        <v>5051</v>
      </c>
      <c r="D1354" s="940" t="s">
        <v>5052</v>
      </c>
      <c r="E1354" t="s">
        <v>128</v>
      </c>
      <c r="F1354">
        <v>1</v>
      </c>
      <c r="G1354" s="135"/>
    </row>
    <row r="1355" spans="1:7" x14ac:dyDescent="0.25">
      <c r="A1355" s="940">
        <v>795</v>
      </c>
      <c r="B1355" s="940">
        <v>299</v>
      </c>
      <c r="C1355" t="s">
        <v>5053</v>
      </c>
      <c r="D1355" s="940" t="s">
        <v>5054</v>
      </c>
      <c r="E1355" t="s">
        <v>80</v>
      </c>
      <c r="F1355">
        <v>1</v>
      </c>
      <c r="G1355" s="135"/>
    </row>
    <row r="1356" spans="1:7" x14ac:dyDescent="0.25">
      <c r="A1356" s="940">
        <v>71</v>
      </c>
      <c r="B1356" s="940">
        <v>1213</v>
      </c>
      <c r="C1356" t="s">
        <v>5055</v>
      </c>
      <c r="D1356" s="940" t="s">
        <v>5056</v>
      </c>
      <c r="E1356" t="s">
        <v>142</v>
      </c>
      <c r="F1356">
        <v>1</v>
      </c>
      <c r="G1356" s="135"/>
    </row>
    <row r="1357" spans="1:7" x14ac:dyDescent="0.25">
      <c r="A1357" s="940">
        <v>919</v>
      </c>
      <c r="B1357" s="940">
        <v>248</v>
      </c>
      <c r="C1357" t="s">
        <v>5057</v>
      </c>
      <c r="D1357" s="940" t="s">
        <v>5058</v>
      </c>
      <c r="E1357" t="s">
        <v>103</v>
      </c>
      <c r="F1357">
        <v>1</v>
      </c>
      <c r="G1357" s="135"/>
    </row>
    <row r="1358" spans="1:7" x14ac:dyDescent="0.25">
      <c r="A1358" s="940">
        <v>3141</v>
      </c>
      <c r="B1358" s="940">
        <v>5</v>
      </c>
      <c r="C1358" t="s">
        <v>5059</v>
      </c>
      <c r="D1358" s="940" t="s">
        <v>5060</v>
      </c>
      <c r="E1358" t="s">
        <v>1290</v>
      </c>
      <c r="F1358">
        <v>1</v>
      </c>
      <c r="G1358" s="135"/>
    </row>
    <row r="1359" spans="1:7" x14ac:dyDescent="0.25">
      <c r="A1359" s="940">
        <v>3490</v>
      </c>
      <c r="B1359" s="940">
        <v>0</v>
      </c>
      <c r="C1359" t="s">
        <v>5061</v>
      </c>
      <c r="D1359" s="940" t="s">
        <v>5062</v>
      </c>
      <c r="E1359" t="s">
        <v>1156</v>
      </c>
      <c r="F1359">
        <v>1</v>
      </c>
      <c r="G1359" s="135"/>
    </row>
    <row r="1360" spans="1:7" x14ac:dyDescent="0.25">
      <c r="A1360" s="940">
        <v>3490</v>
      </c>
      <c r="B1360" s="940">
        <v>0</v>
      </c>
      <c r="C1360" t="s">
        <v>5063</v>
      </c>
      <c r="D1360" s="940" t="s">
        <v>5064</v>
      </c>
      <c r="E1360" t="s">
        <v>74</v>
      </c>
      <c r="F1360">
        <v>1</v>
      </c>
      <c r="G1360" s="135"/>
    </row>
    <row r="1361" spans="1:7" x14ac:dyDescent="0.25">
      <c r="A1361" s="940">
        <v>741</v>
      </c>
      <c r="B1361" s="940">
        <v>325</v>
      </c>
      <c r="C1361" t="s">
        <v>5065</v>
      </c>
      <c r="D1361" s="940" t="s">
        <v>5066</v>
      </c>
      <c r="E1361" t="s">
        <v>105</v>
      </c>
      <c r="F1361">
        <v>1</v>
      </c>
      <c r="G1361" s="135"/>
    </row>
    <row r="1362" spans="1:7" x14ac:dyDescent="0.25">
      <c r="A1362" s="940">
        <v>434</v>
      </c>
      <c r="B1362" s="940">
        <v>538</v>
      </c>
      <c r="C1362" t="s">
        <v>5067</v>
      </c>
      <c r="D1362" s="940" t="s">
        <v>5068</v>
      </c>
      <c r="E1362" t="s">
        <v>105</v>
      </c>
      <c r="F1362">
        <v>1</v>
      </c>
      <c r="G1362" s="135"/>
    </row>
    <row r="1363" spans="1:7" x14ac:dyDescent="0.25">
      <c r="A1363" s="940">
        <v>1600</v>
      </c>
      <c r="B1363" s="940">
        <v>95</v>
      </c>
      <c r="C1363" t="s">
        <v>5069</v>
      </c>
      <c r="D1363" s="940" t="s">
        <v>5070</v>
      </c>
      <c r="E1363" t="s">
        <v>105</v>
      </c>
      <c r="F1363">
        <v>1</v>
      </c>
      <c r="G1363" s="135"/>
    </row>
    <row r="1364" spans="1:7" x14ac:dyDescent="0.25">
      <c r="A1364" s="940">
        <v>760</v>
      </c>
      <c r="B1364" s="940">
        <v>313</v>
      </c>
      <c r="C1364" t="s">
        <v>1651</v>
      </c>
      <c r="D1364" s="940" t="s">
        <v>5071</v>
      </c>
      <c r="E1364" t="s">
        <v>1200</v>
      </c>
      <c r="F1364">
        <v>1</v>
      </c>
      <c r="G1364" s="135"/>
    </row>
    <row r="1365" spans="1:7" x14ac:dyDescent="0.25">
      <c r="A1365" s="940">
        <v>1942</v>
      </c>
      <c r="B1365" s="940">
        <v>61</v>
      </c>
      <c r="C1365" t="s">
        <v>1651</v>
      </c>
      <c r="D1365" s="940" t="s">
        <v>2965</v>
      </c>
      <c r="E1365" t="s">
        <v>99</v>
      </c>
      <c r="F1365">
        <v>1</v>
      </c>
      <c r="G1365" s="135"/>
    </row>
    <row r="1366" spans="1:7" x14ac:dyDescent="0.25">
      <c r="A1366" s="940">
        <v>1148</v>
      </c>
      <c r="B1366" s="940">
        <v>168</v>
      </c>
      <c r="C1366" t="s">
        <v>5072</v>
      </c>
      <c r="D1366" s="940" t="s">
        <v>4453</v>
      </c>
      <c r="E1366" t="s">
        <v>120</v>
      </c>
      <c r="F1366">
        <v>1</v>
      </c>
      <c r="G1366" s="135"/>
    </row>
    <row r="1367" spans="1:7" x14ac:dyDescent="0.25">
      <c r="A1367" s="940">
        <v>2206</v>
      </c>
      <c r="B1367" s="940">
        <v>42</v>
      </c>
      <c r="C1367" t="s">
        <v>5073</v>
      </c>
      <c r="D1367" s="940" t="s">
        <v>5074</v>
      </c>
      <c r="E1367" t="s">
        <v>1700</v>
      </c>
      <c r="F1367">
        <v>1</v>
      </c>
      <c r="G1367" s="135"/>
    </row>
    <row r="1368" spans="1:7" x14ac:dyDescent="0.25">
      <c r="A1368" s="940">
        <v>2048</v>
      </c>
      <c r="B1368" s="940">
        <v>52</v>
      </c>
      <c r="C1368" t="s">
        <v>5075</v>
      </c>
      <c r="D1368" s="940" t="s">
        <v>4879</v>
      </c>
      <c r="E1368" t="s">
        <v>1332</v>
      </c>
      <c r="F1368">
        <v>1</v>
      </c>
      <c r="G1368" s="135"/>
    </row>
    <row r="1369" spans="1:7" x14ac:dyDescent="0.25">
      <c r="A1369" s="940">
        <v>464</v>
      </c>
      <c r="B1369" s="940">
        <v>508</v>
      </c>
      <c r="C1369" t="s">
        <v>5076</v>
      </c>
      <c r="D1369" s="940" t="s">
        <v>5077</v>
      </c>
      <c r="E1369" t="s">
        <v>1200</v>
      </c>
      <c r="F1369">
        <v>1</v>
      </c>
      <c r="G1369" s="135"/>
    </row>
    <row r="1370" spans="1:7" x14ac:dyDescent="0.25">
      <c r="A1370" s="940">
        <v>1787</v>
      </c>
      <c r="B1370" s="940">
        <v>74</v>
      </c>
      <c r="C1370" t="s">
        <v>5078</v>
      </c>
      <c r="D1370" s="940" t="s">
        <v>5079</v>
      </c>
      <c r="E1370" t="s">
        <v>1214</v>
      </c>
      <c r="F1370">
        <v>1</v>
      </c>
      <c r="G1370" s="135"/>
    </row>
    <row r="1371" spans="1:7" x14ac:dyDescent="0.25">
      <c r="A1371" s="940">
        <v>2381</v>
      </c>
      <c r="B1371" s="940">
        <v>31</v>
      </c>
      <c r="C1371" t="s">
        <v>5080</v>
      </c>
      <c r="D1371" s="940" t="s">
        <v>3773</v>
      </c>
      <c r="E1371" t="s">
        <v>3597</v>
      </c>
      <c r="F1371">
        <v>1</v>
      </c>
      <c r="G1371" s="135"/>
    </row>
    <row r="1372" spans="1:7" x14ac:dyDescent="0.25">
      <c r="A1372" s="940">
        <v>3490</v>
      </c>
      <c r="B1372" s="940">
        <v>0</v>
      </c>
      <c r="C1372" t="s">
        <v>5081</v>
      </c>
      <c r="D1372" s="940" t="s">
        <v>5082</v>
      </c>
      <c r="E1372" t="s">
        <v>120</v>
      </c>
      <c r="F1372">
        <v>1</v>
      </c>
      <c r="G1372" s="135"/>
    </row>
    <row r="1373" spans="1:7" x14ac:dyDescent="0.25">
      <c r="A1373" s="940">
        <v>1724</v>
      </c>
      <c r="B1373" s="940">
        <v>81</v>
      </c>
      <c r="C1373" t="s">
        <v>5083</v>
      </c>
      <c r="D1373" s="940" t="s">
        <v>4263</v>
      </c>
      <c r="E1373" t="s">
        <v>1311</v>
      </c>
      <c r="F1373">
        <v>1</v>
      </c>
      <c r="G1373" s="135"/>
    </row>
    <row r="1374" spans="1:7" x14ac:dyDescent="0.25">
      <c r="A1374" s="940">
        <v>227</v>
      </c>
      <c r="B1374" s="940">
        <v>856</v>
      </c>
      <c r="C1374" t="s">
        <v>5084</v>
      </c>
      <c r="D1374" s="940" t="s">
        <v>5085</v>
      </c>
      <c r="E1374" t="s">
        <v>122</v>
      </c>
      <c r="F1374">
        <v>1</v>
      </c>
      <c r="G1374" s="135"/>
    </row>
    <row r="1375" spans="1:7" x14ac:dyDescent="0.25">
      <c r="A1375" s="940">
        <v>1659</v>
      </c>
      <c r="B1375" s="940">
        <v>88</v>
      </c>
      <c r="C1375" t="s">
        <v>5086</v>
      </c>
      <c r="D1375" s="940" t="s">
        <v>4177</v>
      </c>
      <c r="E1375" t="s">
        <v>863</v>
      </c>
      <c r="F1375">
        <v>1</v>
      </c>
      <c r="G1375" s="135"/>
    </row>
    <row r="1376" spans="1:7" x14ac:dyDescent="0.25">
      <c r="A1376" s="940">
        <v>2174</v>
      </c>
      <c r="B1376" s="940">
        <v>44</v>
      </c>
      <c r="C1376" t="s">
        <v>5087</v>
      </c>
      <c r="D1376" s="940" t="s">
        <v>5088</v>
      </c>
      <c r="E1376" t="s">
        <v>2916</v>
      </c>
      <c r="F1376">
        <v>1</v>
      </c>
      <c r="G1376" s="135"/>
    </row>
    <row r="1377" spans="1:7" x14ac:dyDescent="0.25">
      <c r="A1377" s="940">
        <v>2839</v>
      </c>
      <c r="B1377" s="940">
        <v>12</v>
      </c>
      <c r="C1377" t="s">
        <v>5089</v>
      </c>
      <c r="D1377" s="940" t="s">
        <v>3645</v>
      </c>
      <c r="E1377" t="s">
        <v>1447</v>
      </c>
      <c r="F1377">
        <v>1</v>
      </c>
      <c r="G1377" s="135"/>
    </row>
    <row r="1378" spans="1:7" x14ac:dyDescent="0.25">
      <c r="A1378" s="940">
        <v>106</v>
      </c>
      <c r="B1378" s="940">
        <v>1096</v>
      </c>
      <c r="C1378" t="s">
        <v>5090</v>
      </c>
      <c r="D1378" s="940" t="s">
        <v>5091</v>
      </c>
      <c r="E1378" t="s">
        <v>120</v>
      </c>
      <c r="F1378">
        <v>1</v>
      </c>
      <c r="G1378" s="135"/>
    </row>
    <row r="1379" spans="1:7" x14ac:dyDescent="0.25">
      <c r="A1379" s="940">
        <v>3265</v>
      </c>
      <c r="B1379" s="940">
        <v>3</v>
      </c>
      <c r="C1379" t="s">
        <v>5092</v>
      </c>
      <c r="D1379" s="940" t="s">
        <v>5093</v>
      </c>
      <c r="E1379" t="s">
        <v>213</v>
      </c>
      <c r="F1379">
        <v>1</v>
      </c>
      <c r="G1379" s="135"/>
    </row>
    <row r="1380" spans="1:7" x14ac:dyDescent="0.25">
      <c r="A1380" s="940">
        <v>2347</v>
      </c>
      <c r="B1380" s="940">
        <v>33</v>
      </c>
      <c r="C1380" t="s">
        <v>5094</v>
      </c>
      <c r="D1380" s="940" t="s">
        <v>4479</v>
      </c>
      <c r="E1380" t="s">
        <v>1286</v>
      </c>
      <c r="F1380">
        <v>1</v>
      </c>
      <c r="G1380" s="135"/>
    </row>
    <row r="1381" spans="1:7" x14ac:dyDescent="0.25">
      <c r="A1381" s="940">
        <v>821</v>
      </c>
      <c r="B1381" s="940">
        <v>290</v>
      </c>
      <c r="C1381" t="s">
        <v>5095</v>
      </c>
      <c r="D1381" s="940" t="s">
        <v>5096</v>
      </c>
      <c r="E1381" t="s">
        <v>105</v>
      </c>
      <c r="F1381">
        <v>1</v>
      </c>
      <c r="G1381" s="135"/>
    </row>
    <row r="1382" spans="1:7" x14ac:dyDescent="0.25">
      <c r="A1382" s="940">
        <v>1836</v>
      </c>
      <c r="B1382" s="940">
        <v>69</v>
      </c>
      <c r="C1382" t="s">
        <v>5097</v>
      </c>
      <c r="D1382" s="940" t="s">
        <v>5098</v>
      </c>
      <c r="E1382" t="s">
        <v>1332</v>
      </c>
      <c r="F1382">
        <v>1</v>
      </c>
      <c r="G1382" s="135"/>
    </row>
    <row r="1383" spans="1:7" x14ac:dyDescent="0.25">
      <c r="A1383" s="940">
        <v>1220</v>
      </c>
      <c r="B1383" s="940">
        <v>151</v>
      </c>
      <c r="C1383" t="s">
        <v>5099</v>
      </c>
      <c r="D1383" s="940" t="s">
        <v>5100</v>
      </c>
      <c r="E1383" t="s">
        <v>142</v>
      </c>
      <c r="F1383">
        <v>1</v>
      </c>
      <c r="G1383" s="135"/>
    </row>
    <row r="1384" spans="1:7" x14ac:dyDescent="0.25">
      <c r="A1384" s="940">
        <v>1730</v>
      </c>
      <c r="B1384" s="940">
        <v>80</v>
      </c>
      <c r="C1384" t="s">
        <v>5101</v>
      </c>
      <c r="D1384" s="940" t="s">
        <v>5102</v>
      </c>
      <c r="E1384" t="s">
        <v>1372</v>
      </c>
      <c r="F1384">
        <v>1</v>
      </c>
      <c r="G1384" s="135"/>
    </row>
    <row r="1385" spans="1:7" x14ac:dyDescent="0.25">
      <c r="A1385" s="940">
        <v>2839</v>
      </c>
      <c r="B1385" s="940">
        <v>12</v>
      </c>
      <c r="C1385" t="s">
        <v>5103</v>
      </c>
      <c r="D1385" s="940" t="s">
        <v>5104</v>
      </c>
      <c r="E1385" t="s">
        <v>1609</v>
      </c>
      <c r="F1385">
        <v>1</v>
      </c>
      <c r="G1385" s="135"/>
    </row>
    <row r="1386" spans="1:7" x14ac:dyDescent="0.25">
      <c r="A1386" s="940">
        <v>904</v>
      </c>
      <c r="B1386" s="940">
        <v>253</v>
      </c>
      <c r="C1386" t="s">
        <v>5105</v>
      </c>
      <c r="D1386" s="940" t="s">
        <v>5106</v>
      </c>
      <c r="E1386" t="s">
        <v>1609</v>
      </c>
      <c r="F1386">
        <v>1</v>
      </c>
      <c r="G1386" s="135"/>
    </row>
    <row r="1387" spans="1:7" x14ac:dyDescent="0.25">
      <c r="A1387" s="940">
        <v>1153</v>
      </c>
      <c r="B1387" s="940">
        <v>167</v>
      </c>
      <c r="C1387" t="s">
        <v>1657</v>
      </c>
      <c r="D1387" s="940" t="s">
        <v>5107</v>
      </c>
      <c r="E1387" t="s">
        <v>1590</v>
      </c>
      <c r="F1387">
        <v>1</v>
      </c>
      <c r="G1387" s="135"/>
    </row>
    <row r="1388" spans="1:7" x14ac:dyDescent="0.25">
      <c r="A1388" s="940">
        <v>2441</v>
      </c>
      <c r="B1388" s="940">
        <v>28</v>
      </c>
      <c r="C1388" t="s">
        <v>5108</v>
      </c>
      <c r="D1388" s="940" t="s">
        <v>2814</v>
      </c>
      <c r="E1388" t="s">
        <v>130</v>
      </c>
      <c r="F1388">
        <v>1</v>
      </c>
      <c r="G1388" s="135"/>
    </row>
    <row r="1389" spans="1:7" x14ac:dyDescent="0.25">
      <c r="A1389" s="940">
        <v>53</v>
      </c>
      <c r="B1389" s="940">
        <v>1279</v>
      </c>
      <c r="C1389" t="s">
        <v>242</v>
      </c>
      <c r="D1389" s="940" t="s">
        <v>5109</v>
      </c>
      <c r="E1389" t="s">
        <v>1171</v>
      </c>
      <c r="F1389">
        <v>1</v>
      </c>
      <c r="G1389" s="135"/>
    </row>
    <row r="1390" spans="1:7" x14ac:dyDescent="0.25">
      <c r="A1390" s="940">
        <v>2098</v>
      </c>
      <c r="B1390" s="940">
        <v>49</v>
      </c>
      <c r="C1390" t="s">
        <v>5110</v>
      </c>
      <c r="D1390" s="940" t="s">
        <v>4877</v>
      </c>
      <c r="E1390" t="s">
        <v>1182</v>
      </c>
      <c r="F1390">
        <v>1</v>
      </c>
      <c r="G1390" s="135"/>
    </row>
    <row r="1391" spans="1:7" x14ac:dyDescent="0.25">
      <c r="A1391" s="940">
        <v>9</v>
      </c>
      <c r="B1391" s="940">
        <v>1595</v>
      </c>
      <c r="C1391" t="s">
        <v>5111</v>
      </c>
      <c r="D1391" s="940" t="s">
        <v>5112</v>
      </c>
      <c r="E1391" t="s">
        <v>74</v>
      </c>
      <c r="F1391">
        <v>1</v>
      </c>
      <c r="G1391" s="135"/>
    </row>
    <row r="1392" spans="1:7" x14ac:dyDescent="0.25">
      <c r="A1392" s="940">
        <v>332</v>
      </c>
      <c r="B1392" s="940">
        <v>660</v>
      </c>
      <c r="C1392" t="s">
        <v>5113</v>
      </c>
      <c r="D1392" s="940" t="s">
        <v>5114</v>
      </c>
      <c r="E1392" t="s">
        <v>74</v>
      </c>
      <c r="F1392">
        <v>1</v>
      </c>
      <c r="G1392" s="135"/>
    </row>
    <row r="1393" spans="1:7" x14ac:dyDescent="0.25">
      <c r="A1393" s="940">
        <v>3196</v>
      </c>
      <c r="B1393" s="940">
        <v>4</v>
      </c>
      <c r="C1393" t="s">
        <v>5115</v>
      </c>
      <c r="D1393" s="940" t="s">
        <v>5116</v>
      </c>
      <c r="E1393" t="s">
        <v>3137</v>
      </c>
      <c r="F1393">
        <v>1</v>
      </c>
      <c r="G1393" s="135"/>
    </row>
    <row r="1394" spans="1:7" x14ac:dyDescent="0.25">
      <c r="A1394" s="940">
        <v>2221</v>
      </c>
      <c r="B1394" s="940">
        <v>41</v>
      </c>
      <c r="C1394" t="s">
        <v>5117</v>
      </c>
      <c r="D1394" s="940" t="s">
        <v>5118</v>
      </c>
      <c r="E1394" t="s">
        <v>3137</v>
      </c>
      <c r="F1394">
        <v>1</v>
      </c>
      <c r="G1394" s="135"/>
    </row>
    <row r="1395" spans="1:7" x14ac:dyDescent="0.25">
      <c r="A1395" s="940">
        <v>2714</v>
      </c>
      <c r="B1395" s="940">
        <v>16</v>
      </c>
      <c r="C1395" t="s">
        <v>5119</v>
      </c>
      <c r="D1395" s="940" t="s">
        <v>5120</v>
      </c>
      <c r="E1395" t="s">
        <v>3066</v>
      </c>
      <c r="F1395">
        <v>1</v>
      </c>
      <c r="G1395" s="135"/>
    </row>
    <row r="1396" spans="1:7" x14ac:dyDescent="0.25">
      <c r="A1396" s="940">
        <v>1653</v>
      </c>
      <c r="B1396" s="940">
        <v>89</v>
      </c>
      <c r="C1396" t="s">
        <v>5121</v>
      </c>
      <c r="D1396" s="940" t="s">
        <v>5122</v>
      </c>
      <c r="E1396" t="s">
        <v>1609</v>
      </c>
      <c r="F1396">
        <v>1</v>
      </c>
      <c r="G1396" s="135"/>
    </row>
    <row r="1397" spans="1:7" x14ac:dyDescent="0.25">
      <c r="A1397" s="940">
        <v>813</v>
      </c>
      <c r="B1397" s="940">
        <v>293</v>
      </c>
      <c r="C1397" t="s">
        <v>5123</v>
      </c>
      <c r="D1397" s="940" t="s">
        <v>5124</v>
      </c>
      <c r="E1397" t="s">
        <v>72</v>
      </c>
      <c r="F1397">
        <v>1</v>
      </c>
      <c r="G1397" s="135"/>
    </row>
    <row r="1398" spans="1:7" x14ac:dyDescent="0.25">
      <c r="A1398" s="940">
        <v>3490</v>
      </c>
      <c r="B1398" s="940">
        <v>0</v>
      </c>
      <c r="C1398" t="s">
        <v>5125</v>
      </c>
      <c r="D1398" s="940" t="s">
        <v>5126</v>
      </c>
      <c r="E1398" t="s">
        <v>105</v>
      </c>
      <c r="F1398">
        <v>1</v>
      </c>
      <c r="G1398" s="135"/>
    </row>
    <row r="1399" spans="1:7" x14ac:dyDescent="0.25">
      <c r="A1399" s="940">
        <v>1100</v>
      </c>
      <c r="B1399" s="940">
        <v>182</v>
      </c>
      <c r="C1399" t="s">
        <v>5127</v>
      </c>
      <c r="D1399" s="940" t="s">
        <v>3726</v>
      </c>
      <c r="E1399" t="s">
        <v>74</v>
      </c>
      <c r="F1399">
        <v>1</v>
      </c>
      <c r="G1399" s="135"/>
    </row>
    <row r="1400" spans="1:7" x14ac:dyDescent="0.25">
      <c r="A1400" s="940">
        <v>238</v>
      </c>
      <c r="B1400" s="940">
        <v>841</v>
      </c>
      <c r="C1400" t="s">
        <v>5128</v>
      </c>
      <c r="D1400" s="940" t="s">
        <v>5129</v>
      </c>
      <c r="E1400" t="s">
        <v>104</v>
      </c>
      <c r="F1400">
        <v>1</v>
      </c>
      <c r="G1400" s="135"/>
    </row>
    <row r="1401" spans="1:7" x14ac:dyDescent="0.25">
      <c r="A1401" s="940">
        <v>3045</v>
      </c>
      <c r="B1401" s="940">
        <v>7</v>
      </c>
      <c r="C1401" t="s">
        <v>5130</v>
      </c>
      <c r="D1401" s="940" t="s">
        <v>5131</v>
      </c>
      <c r="E1401" t="s">
        <v>1171</v>
      </c>
      <c r="F1401">
        <v>1</v>
      </c>
      <c r="G1401" s="135"/>
    </row>
    <row r="1402" spans="1:7" x14ac:dyDescent="0.25">
      <c r="A1402" s="940">
        <v>2539</v>
      </c>
      <c r="B1402" s="940">
        <v>23</v>
      </c>
      <c r="C1402" t="s">
        <v>5132</v>
      </c>
      <c r="D1402" s="940" t="s">
        <v>5133</v>
      </c>
      <c r="E1402" t="s">
        <v>3954</v>
      </c>
      <c r="F1402">
        <v>1</v>
      </c>
      <c r="G1402" s="135"/>
    </row>
    <row r="1403" spans="1:7" x14ac:dyDescent="0.25">
      <c r="A1403" s="940">
        <v>539</v>
      </c>
      <c r="B1403" s="940">
        <v>440</v>
      </c>
      <c r="C1403" t="s">
        <v>1665</v>
      </c>
      <c r="D1403" s="940" t="s">
        <v>4512</v>
      </c>
      <c r="E1403" t="s">
        <v>73</v>
      </c>
      <c r="F1403">
        <v>1</v>
      </c>
      <c r="G1403" s="135"/>
    </row>
    <row r="1404" spans="1:7" x14ac:dyDescent="0.25">
      <c r="A1404" s="940">
        <v>2907</v>
      </c>
      <c r="B1404" s="940">
        <v>10</v>
      </c>
      <c r="C1404" t="s">
        <v>5134</v>
      </c>
      <c r="D1404" s="940" t="s">
        <v>5135</v>
      </c>
      <c r="E1404" t="s">
        <v>5136</v>
      </c>
      <c r="F1404">
        <v>1</v>
      </c>
      <c r="G1404" s="135"/>
    </row>
    <row r="1405" spans="1:7" x14ac:dyDescent="0.25">
      <c r="A1405" s="940">
        <v>760</v>
      </c>
      <c r="B1405" s="940">
        <v>313</v>
      </c>
      <c r="C1405" t="s">
        <v>5137</v>
      </c>
      <c r="D1405" s="940" t="s">
        <v>5138</v>
      </c>
      <c r="E1405" t="s">
        <v>105</v>
      </c>
      <c r="F1405">
        <v>1</v>
      </c>
      <c r="G1405" s="135"/>
    </row>
    <row r="1406" spans="1:7" x14ac:dyDescent="0.25">
      <c r="A1406" s="940">
        <v>1468</v>
      </c>
      <c r="B1406" s="940">
        <v>110</v>
      </c>
      <c r="C1406" t="s">
        <v>5139</v>
      </c>
      <c r="D1406" s="940" t="s">
        <v>4778</v>
      </c>
      <c r="E1406" t="s">
        <v>83</v>
      </c>
      <c r="F1406">
        <v>1</v>
      </c>
      <c r="G1406" s="135"/>
    </row>
    <row r="1407" spans="1:7" x14ac:dyDescent="0.25">
      <c r="A1407" s="940">
        <v>2814</v>
      </c>
      <c r="B1407" s="940">
        <v>13</v>
      </c>
      <c r="C1407" t="s">
        <v>5140</v>
      </c>
      <c r="D1407" s="940" t="s">
        <v>5141</v>
      </c>
      <c r="E1407" t="s">
        <v>105</v>
      </c>
      <c r="F1407">
        <v>1</v>
      </c>
      <c r="G1407" s="135"/>
    </row>
    <row r="1408" spans="1:7" x14ac:dyDescent="0.25">
      <c r="A1408" s="940">
        <v>869</v>
      </c>
      <c r="B1408" s="940">
        <v>264</v>
      </c>
      <c r="C1408" t="s">
        <v>1666</v>
      </c>
      <c r="D1408" s="940" t="s">
        <v>5142</v>
      </c>
      <c r="E1408" t="s">
        <v>1379</v>
      </c>
      <c r="F1408">
        <v>1</v>
      </c>
      <c r="G1408" s="135"/>
    </row>
    <row r="1409" spans="1:7" x14ac:dyDescent="0.25">
      <c r="A1409" s="940">
        <v>733</v>
      </c>
      <c r="B1409" s="940">
        <v>329</v>
      </c>
      <c r="C1409" t="s">
        <v>5143</v>
      </c>
      <c r="D1409" s="940" t="s">
        <v>5144</v>
      </c>
      <c r="E1409" t="s">
        <v>5145</v>
      </c>
      <c r="F1409">
        <v>1</v>
      </c>
      <c r="G1409" s="135"/>
    </row>
    <row r="1410" spans="1:7" x14ac:dyDescent="0.25">
      <c r="A1410" s="940">
        <v>2416</v>
      </c>
      <c r="B1410" s="940">
        <v>29</v>
      </c>
      <c r="C1410" t="s">
        <v>5146</v>
      </c>
      <c r="D1410" s="940" t="s">
        <v>4566</v>
      </c>
      <c r="E1410" t="s">
        <v>105</v>
      </c>
      <c r="F1410">
        <v>1</v>
      </c>
      <c r="G1410" s="135"/>
    </row>
    <row r="1411" spans="1:7" x14ac:dyDescent="0.25">
      <c r="A1411" s="940">
        <v>2079</v>
      </c>
      <c r="B1411" s="940">
        <v>50</v>
      </c>
      <c r="C1411" t="s">
        <v>5147</v>
      </c>
      <c r="D1411" s="940" t="s">
        <v>5148</v>
      </c>
      <c r="E1411" t="s">
        <v>130</v>
      </c>
      <c r="F1411">
        <v>1</v>
      </c>
      <c r="G1411" s="135"/>
    </row>
    <row r="1412" spans="1:7" x14ac:dyDescent="0.25">
      <c r="A1412" s="940">
        <v>405</v>
      </c>
      <c r="B1412" s="940">
        <v>565</v>
      </c>
      <c r="C1412" t="s">
        <v>1667</v>
      </c>
      <c r="D1412" s="940" t="s">
        <v>5149</v>
      </c>
      <c r="E1412" t="s">
        <v>105</v>
      </c>
      <c r="F1412">
        <v>1</v>
      </c>
      <c r="G1412" s="135"/>
    </row>
    <row r="1413" spans="1:7" x14ac:dyDescent="0.25">
      <c r="A1413" s="940">
        <v>2416</v>
      </c>
      <c r="B1413" s="940">
        <v>29</v>
      </c>
      <c r="C1413" t="s">
        <v>5150</v>
      </c>
      <c r="D1413" s="940" t="s">
        <v>3220</v>
      </c>
      <c r="E1413" t="s">
        <v>99</v>
      </c>
      <c r="F1413">
        <v>1</v>
      </c>
      <c r="G1413" s="135"/>
    </row>
    <row r="1414" spans="1:7" x14ac:dyDescent="0.25">
      <c r="A1414" s="940">
        <v>2959</v>
      </c>
      <c r="B1414" s="940">
        <v>9</v>
      </c>
      <c r="C1414" t="s">
        <v>5151</v>
      </c>
      <c r="D1414" s="940" t="s">
        <v>3358</v>
      </c>
      <c r="E1414" t="s">
        <v>1961</v>
      </c>
      <c r="F1414">
        <v>1</v>
      </c>
      <c r="G1414" s="135"/>
    </row>
    <row r="1415" spans="1:7" x14ac:dyDescent="0.25">
      <c r="A1415" s="940">
        <v>3089</v>
      </c>
      <c r="B1415" s="940">
        <v>6</v>
      </c>
      <c r="C1415" t="s">
        <v>5152</v>
      </c>
      <c r="D1415" s="940" t="s">
        <v>5153</v>
      </c>
      <c r="E1415" t="s">
        <v>1156</v>
      </c>
      <c r="F1415">
        <v>1</v>
      </c>
      <c r="G1415" s="135"/>
    </row>
    <row r="1416" spans="1:7" x14ac:dyDescent="0.25">
      <c r="A1416" s="940">
        <v>3490</v>
      </c>
      <c r="B1416" s="940">
        <v>0</v>
      </c>
      <c r="C1416" t="s">
        <v>5154</v>
      </c>
      <c r="D1416" s="940" t="s">
        <v>5155</v>
      </c>
      <c r="E1416" t="s">
        <v>5156</v>
      </c>
      <c r="F1416">
        <v>1</v>
      </c>
      <c r="G1416" s="135"/>
    </row>
    <row r="1417" spans="1:7" x14ac:dyDescent="0.25">
      <c r="A1417" s="940">
        <v>1127</v>
      </c>
      <c r="B1417" s="940">
        <v>173</v>
      </c>
      <c r="C1417" t="s">
        <v>490</v>
      </c>
      <c r="D1417" s="940" t="s">
        <v>2781</v>
      </c>
      <c r="E1417" t="s">
        <v>115</v>
      </c>
      <c r="F1417">
        <v>1</v>
      </c>
      <c r="G1417" s="135"/>
    </row>
    <row r="1418" spans="1:7" x14ac:dyDescent="0.25">
      <c r="A1418" s="940">
        <v>1262</v>
      </c>
      <c r="B1418" s="940">
        <v>143</v>
      </c>
      <c r="C1418" t="s">
        <v>1669</v>
      </c>
      <c r="D1418" s="940" t="s">
        <v>5157</v>
      </c>
      <c r="E1418" t="s">
        <v>115</v>
      </c>
      <c r="F1418">
        <v>1</v>
      </c>
      <c r="G1418" s="135"/>
    </row>
    <row r="1419" spans="1:7" x14ac:dyDescent="0.25">
      <c r="A1419" s="940">
        <v>1393</v>
      </c>
      <c r="B1419" s="940">
        <v>121</v>
      </c>
      <c r="C1419" t="s">
        <v>5158</v>
      </c>
      <c r="D1419" s="940" t="s">
        <v>3895</v>
      </c>
      <c r="E1419" t="s">
        <v>72</v>
      </c>
      <c r="F1419">
        <v>1</v>
      </c>
      <c r="G1419" s="135"/>
    </row>
    <row r="1420" spans="1:7" x14ac:dyDescent="0.25">
      <c r="A1420" s="940">
        <v>3490</v>
      </c>
      <c r="B1420" s="940">
        <v>0</v>
      </c>
      <c r="C1420" t="s">
        <v>5159</v>
      </c>
      <c r="D1420" s="940" t="s">
        <v>5160</v>
      </c>
      <c r="E1420" t="s">
        <v>72</v>
      </c>
      <c r="F1420">
        <v>1</v>
      </c>
      <c r="G1420" s="135"/>
    </row>
    <row r="1421" spans="1:7" x14ac:dyDescent="0.25">
      <c r="A1421" s="940">
        <v>2032</v>
      </c>
      <c r="B1421" s="940">
        <v>53</v>
      </c>
      <c r="C1421" t="s">
        <v>5161</v>
      </c>
      <c r="D1421" s="940" t="s">
        <v>4512</v>
      </c>
      <c r="E1421" t="s">
        <v>2880</v>
      </c>
      <c r="F1421">
        <v>1</v>
      </c>
      <c r="G1421" s="135"/>
    </row>
    <row r="1422" spans="1:7" x14ac:dyDescent="0.25">
      <c r="A1422" s="940">
        <v>741</v>
      </c>
      <c r="B1422" s="940">
        <v>325</v>
      </c>
      <c r="C1422" t="s">
        <v>5162</v>
      </c>
      <c r="D1422" s="940" t="s">
        <v>5163</v>
      </c>
      <c r="E1422" t="s">
        <v>132</v>
      </c>
      <c r="F1422">
        <v>1</v>
      </c>
      <c r="G1422" s="135"/>
    </row>
    <row r="1423" spans="1:7" x14ac:dyDescent="0.25">
      <c r="A1423" s="940">
        <v>3490</v>
      </c>
      <c r="B1423" s="940">
        <v>0</v>
      </c>
      <c r="C1423" t="s">
        <v>5164</v>
      </c>
      <c r="D1423" s="940" t="s">
        <v>5165</v>
      </c>
      <c r="E1423" t="s">
        <v>231</v>
      </c>
      <c r="F1423">
        <v>1</v>
      </c>
      <c r="G1423" s="135"/>
    </row>
    <row r="1424" spans="1:7" x14ac:dyDescent="0.25">
      <c r="A1424" s="940">
        <v>2996</v>
      </c>
      <c r="B1424" s="940">
        <v>8</v>
      </c>
      <c r="C1424" t="s">
        <v>5166</v>
      </c>
      <c r="D1424" s="940" t="s">
        <v>4676</v>
      </c>
      <c r="E1424" t="s">
        <v>120</v>
      </c>
      <c r="F1424">
        <v>1</v>
      </c>
      <c r="G1424" s="135"/>
    </row>
    <row r="1425" spans="1:7" x14ac:dyDescent="0.25">
      <c r="A1425" s="940">
        <v>3490</v>
      </c>
      <c r="B1425" s="940">
        <v>0</v>
      </c>
      <c r="C1425" t="s">
        <v>5167</v>
      </c>
      <c r="D1425" s="940" t="s">
        <v>4740</v>
      </c>
      <c r="E1425" t="s">
        <v>376</v>
      </c>
      <c r="F1425">
        <v>1</v>
      </c>
      <c r="G1425" s="135"/>
    </row>
    <row r="1426" spans="1:7" x14ac:dyDescent="0.25">
      <c r="A1426" s="940">
        <v>2743</v>
      </c>
      <c r="B1426" s="940">
        <v>15</v>
      </c>
      <c r="C1426" t="s">
        <v>5168</v>
      </c>
      <c r="D1426" s="940" t="s">
        <v>5169</v>
      </c>
      <c r="E1426" t="s">
        <v>129</v>
      </c>
      <c r="F1426">
        <v>1</v>
      </c>
      <c r="G1426" s="135"/>
    </row>
    <row r="1427" spans="1:7" x14ac:dyDescent="0.25">
      <c r="A1427" s="940">
        <v>1749</v>
      </c>
      <c r="B1427" s="940">
        <v>79</v>
      </c>
      <c r="C1427" t="s">
        <v>5170</v>
      </c>
      <c r="D1427" s="940" t="s">
        <v>5171</v>
      </c>
      <c r="E1427" t="s">
        <v>99</v>
      </c>
      <c r="F1427">
        <v>1</v>
      </c>
      <c r="G1427" s="135"/>
    </row>
    <row r="1428" spans="1:7" x14ac:dyDescent="0.25">
      <c r="A1428" s="940">
        <v>1174</v>
      </c>
      <c r="B1428" s="940">
        <v>163</v>
      </c>
      <c r="C1428" t="s">
        <v>1674</v>
      </c>
      <c r="D1428" s="940" t="s">
        <v>5172</v>
      </c>
      <c r="E1428" t="s">
        <v>1675</v>
      </c>
      <c r="F1428">
        <v>1</v>
      </c>
      <c r="G1428" s="135"/>
    </row>
    <row r="1429" spans="1:7" x14ac:dyDescent="0.25">
      <c r="A1429" s="940">
        <v>2539</v>
      </c>
      <c r="B1429" s="940">
        <v>23</v>
      </c>
      <c r="C1429" t="s">
        <v>5173</v>
      </c>
      <c r="D1429" s="940" t="s">
        <v>5174</v>
      </c>
      <c r="E1429" t="s">
        <v>105</v>
      </c>
      <c r="F1429">
        <v>1</v>
      </c>
      <c r="G1429" s="135"/>
    </row>
    <row r="1430" spans="1:7" x14ac:dyDescent="0.25">
      <c r="A1430" s="940">
        <v>747</v>
      </c>
      <c r="B1430" s="940">
        <v>321</v>
      </c>
      <c r="C1430" t="s">
        <v>1676</v>
      </c>
      <c r="D1430" s="940" t="s">
        <v>5175</v>
      </c>
      <c r="E1430" t="s">
        <v>105</v>
      </c>
      <c r="F1430">
        <v>1</v>
      </c>
      <c r="G1430" s="135"/>
    </row>
    <row r="1431" spans="1:7" x14ac:dyDescent="0.25">
      <c r="A1431" s="940">
        <v>396</v>
      </c>
      <c r="B1431" s="940">
        <v>573</v>
      </c>
      <c r="C1431" t="s">
        <v>5176</v>
      </c>
      <c r="D1431" s="940" t="s">
        <v>5177</v>
      </c>
      <c r="E1431" t="s">
        <v>120</v>
      </c>
      <c r="F1431">
        <v>1</v>
      </c>
      <c r="G1431" s="135"/>
    </row>
    <row r="1432" spans="1:7" x14ac:dyDescent="0.25">
      <c r="A1432" s="940">
        <v>2461</v>
      </c>
      <c r="B1432" s="940">
        <v>27</v>
      </c>
      <c r="C1432" t="s">
        <v>5178</v>
      </c>
      <c r="D1432" s="940" t="s">
        <v>5179</v>
      </c>
      <c r="E1432" t="s">
        <v>105</v>
      </c>
      <c r="F1432">
        <v>1</v>
      </c>
      <c r="G1432" s="135"/>
    </row>
    <row r="1433" spans="1:7" x14ac:dyDescent="0.25">
      <c r="A1433" s="940">
        <v>2782</v>
      </c>
      <c r="B1433" s="940">
        <v>14</v>
      </c>
      <c r="C1433" t="s">
        <v>5180</v>
      </c>
      <c r="D1433" s="940" t="s">
        <v>2770</v>
      </c>
      <c r="E1433" t="s">
        <v>128</v>
      </c>
      <c r="F1433">
        <v>1</v>
      </c>
      <c r="G1433" s="135"/>
    </row>
    <row r="1434" spans="1:7" x14ac:dyDescent="0.25">
      <c r="A1434" s="940">
        <v>587</v>
      </c>
      <c r="B1434" s="940">
        <v>411</v>
      </c>
      <c r="C1434" t="s">
        <v>245</v>
      </c>
      <c r="D1434" s="940" t="s">
        <v>5181</v>
      </c>
      <c r="E1434" t="s">
        <v>1236</v>
      </c>
      <c r="F1434">
        <v>1</v>
      </c>
      <c r="G1434" s="135"/>
    </row>
    <row r="1435" spans="1:7" x14ac:dyDescent="0.25">
      <c r="A1435" s="940">
        <v>2499</v>
      </c>
      <c r="B1435" s="940">
        <v>25</v>
      </c>
      <c r="C1435" t="s">
        <v>5182</v>
      </c>
      <c r="D1435" s="940" t="s">
        <v>2927</v>
      </c>
      <c r="E1435" t="s">
        <v>3098</v>
      </c>
      <c r="F1435">
        <v>1</v>
      </c>
      <c r="G1435" s="135"/>
    </row>
    <row r="1436" spans="1:7" x14ac:dyDescent="0.25">
      <c r="A1436" s="940">
        <v>248</v>
      </c>
      <c r="B1436" s="940">
        <v>818</v>
      </c>
      <c r="C1436" t="s">
        <v>5183</v>
      </c>
      <c r="D1436" s="940" t="s">
        <v>5184</v>
      </c>
      <c r="E1436" t="s">
        <v>1171</v>
      </c>
      <c r="F1436">
        <v>1</v>
      </c>
      <c r="G1436" s="135"/>
    </row>
    <row r="1437" spans="1:7" x14ac:dyDescent="0.25">
      <c r="A1437" s="940">
        <v>2959</v>
      </c>
      <c r="B1437" s="940">
        <v>9</v>
      </c>
      <c r="C1437" t="s">
        <v>5185</v>
      </c>
      <c r="D1437" s="940" t="s">
        <v>5186</v>
      </c>
      <c r="E1437" t="s">
        <v>164</v>
      </c>
      <c r="F1437">
        <v>1</v>
      </c>
      <c r="G1437" s="135"/>
    </row>
    <row r="1438" spans="1:7" x14ac:dyDescent="0.25">
      <c r="A1438" s="940">
        <v>3490</v>
      </c>
      <c r="B1438" s="940">
        <v>0</v>
      </c>
      <c r="C1438" t="s">
        <v>5187</v>
      </c>
      <c r="D1438" s="940" t="s">
        <v>2753</v>
      </c>
      <c r="E1438" t="s">
        <v>1609</v>
      </c>
      <c r="F1438">
        <v>1</v>
      </c>
      <c r="G1438" s="135"/>
    </row>
    <row r="1439" spans="1:7" x14ac:dyDescent="0.25">
      <c r="A1439" s="940">
        <v>2690</v>
      </c>
      <c r="B1439" s="940">
        <v>17</v>
      </c>
      <c r="C1439" t="s">
        <v>5188</v>
      </c>
      <c r="D1439" s="940" t="s">
        <v>5189</v>
      </c>
      <c r="E1439" t="s">
        <v>120</v>
      </c>
      <c r="F1439">
        <v>1</v>
      </c>
      <c r="G1439" s="135"/>
    </row>
    <row r="1440" spans="1:7" x14ac:dyDescent="0.25">
      <c r="A1440" s="940">
        <v>1691</v>
      </c>
      <c r="B1440" s="940">
        <v>84</v>
      </c>
      <c r="C1440" t="s">
        <v>5190</v>
      </c>
      <c r="D1440" s="940" t="s">
        <v>5191</v>
      </c>
      <c r="E1440" t="s">
        <v>129</v>
      </c>
      <c r="F1440">
        <v>1</v>
      </c>
      <c r="G1440" s="135"/>
    </row>
    <row r="1441" spans="1:7" x14ac:dyDescent="0.25">
      <c r="A1441" s="940">
        <v>341</v>
      </c>
      <c r="B1441" s="940">
        <v>646</v>
      </c>
      <c r="C1441" t="s">
        <v>5192</v>
      </c>
      <c r="D1441" s="940" t="s">
        <v>5193</v>
      </c>
      <c r="E1441" t="s">
        <v>105</v>
      </c>
      <c r="F1441">
        <v>1</v>
      </c>
      <c r="G1441" s="135"/>
    </row>
    <row r="1442" spans="1:7" x14ac:dyDescent="0.25">
      <c r="A1442" s="940">
        <v>590</v>
      </c>
      <c r="B1442" s="940">
        <v>410</v>
      </c>
      <c r="C1442" t="s">
        <v>5194</v>
      </c>
      <c r="D1442" s="940" t="s">
        <v>5195</v>
      </c>
      <c r="E1442" t="s">
        <v>5196</v>
      </c>
      <c r="F1442">
        <v>1</v>
      </c>
      <c r="G1442" s="135"/>
    </row>
    <row r="1443" spans="1:7" x14ac:dyDescent="0.25">
      <c r="A1443" s="940">
        <v>138</v>
      </c>
      <c r="B1443" s="940">
        <v>1007</v>
      </c>
      <c r="C1443" t="s">
        <v>5197</v>
      </c>
      <c r="D1443" s="940" t="s">
        <v>5198</v>
      </c>
      <c r="E1443" t="s">
        <v>105</v>
      </c>
      <c r="F1443">
        <v>1</v>
      </c>
      <c r="G1443" s="135"/>
    </row>
    <row r="1444" spans="1:7" x14ac:dyDescent="0.25">
      <c r="A1444" s="940">
        <v>3089</v>
      </c>
      <c r="B1444" s="940">
        <v>6</v>
      </c>
      <c r="C1444" t="s">
        <v>5199</v>
      </c>
      <c r="D1444" s="940" t="s">
        <v>5200</v>
      </c>
      <c r="E1444" t="s">
        <v>105</v>
      </c>
      <c r="F1444">
        <v>1</v>
      </c>
      <c r="G1444" s="135"/>
    </row>
    <row r="1445" spans="1:7" x14ac:dyDescent="0.25">
      <c r="A1445" s="940">
        <v>923</v>
      </c>
      <c r="B1445" s="940">
        <v>247</v>
      </c>
      <c r="C1445" t="s">
        <v>5201</v>
      </c>
      <c r="D1445" s="940" t="s">
        <v>5202</v>
      </c>
      <c r="E1445" t="s">
        <v>5203</v>
      </c>
      <c r="F1445">
        <v>1</v>
      </c>
      <c r="G1445" s="135"/>
    </row>
    <row r="1446" spans="1:7" x14ac:dyDescent="0.25">
      <c r="A1446" s="940">
        <v>735</v>
      </c>
      <c r="B1446" s="940">
        <v>327</v>
      </c>
      <c r="C1446" t="s">
        <v>5204</v>
      </c>
      <c r="D1446" s="940" t="s">
        <v>5205</v>
      </c>
      <c r="E1446" t="s">
        <v>1156</v>
      </c>
      <c r="F1446">
        <v>1</v>
      </c>
      <c r="G1446" s="135"/>
    </row>
    <row r="1447" spans="1:7" x14ac:dyDescent="0.25">
      <c r="A1447" s="940">
        <v>3141</v>
      </c>
      <c r="B1447" s="940">
        <v>5</v>
      </c>
      <c r="C1447" t="s">
        <v>5206</v>
      </c>
      <c r="D1447" s="940" t="s">
        <v>5207</v>
      </c>
      <c r="E1447" t="s">
        <v>110</v>
      </c>
      <c r="F1447">
        <v>1</v>
      </c>
      <c r="G1447" s="135"/>
    </row>
    <row r="1448" spans="1:7" x14ac:dyDescent="0.25">
      <c r="A1448" s="940">
        <v>3196</v>
      </c>
      <c r="B1448" s="940">
        <v>4</v>
      </c>
      <c r="C1448" t="s">
        <v>5208</v>
      </c>
      <c r="D1448" s="940" t="s">
        <v>4141</v>
      </c>
      <c r="E1448" t="s">
        <v>105</v>
      </c>
      <c r="F1448">
        <v>1</v>
      </c>
      <c r="G1448" s="135"/>
    </row>
    <row r="1449" spans="1:7" x14ac:dyDescent="0.25">
      <c r="A1449" s="940">
        <v>3265</v>
      </c>
      <c r="B1449" s="940">
        <v>3</v>
      </c>
      <c r="C1449" t="s">
        <v>5209</v>
      </c>
      <c r="D1449" s="940" t="s">
        <v>2795</v>
      </c>
      <c r="E1449" t="s">
        <v>1214</v>
      </c>
      <c r="F1449">
        <v>1</v>
      </c>
      <c r="G1449" s="135"/>
    </row>
    <row r="1450" spans="1:7" x14ac:dyDescent="0.25">
      <c r="A1450" s="940">
        <v>1489</v>
      </c>
      <c r="B1450" s="940">
        <v>107</v>
      </c>
      <c r="C1450" t="s">
        <v>5210</v>
      </c>
      <c r="D1450" s="940" t="s">
        <v>5211</v>
      </c>
      <c r="E1450" t="s">
        <v>4466</v>
      </c>
      <c r="F1450">
        <v>1</v>
      </c>
      <c r="G1450" s="135"/>
    </row>
    <row r="1451" spans="1:7" x14ac:dyDescent="0.25">
      <c r="A1451" s="940">
        <v>416</v>
      </c>
      <c r="B1451" s="940">
        <v>557</v>
      </c>
      <c r="C1451" t="s">
        <v>5212</v>
      </c>
      <c r="D1451" s="940" t="s">
        <v>5213</v>
      </c>
      <c r="E1451" t="s">
        <v>105</v>
      </c>
      <c r="F1451">
        <v>1</v>
      </c>
      <c r="G1451" s="135"/>
    </row>
    <row r="1452" spans="1:7" x14ac:dyDescent="0.25">
      <c r="A1452" s="940">
        <v>2996</v>
      </c>
      <c r="B1452" s="940">
        <v>8</v>
      </c>
      <c r="C1452" t="s">
        <v>5214</v>
      </c>
      <c r="D1452" s="940" t="s">
        <v>5215</v>
      </c>
      <c r="E1452" t="s">
        <v>160</v>
      </c>
      <c r="F1452">
        <v>1</v>
      </c>
      <c r="G1452" s="135"/>
    </row>
    <row r="1453" spans="1:7" x14ac:dyDescent="0.25">
      <c r="A1453" s="940">
        <v>764</v>
      </c>
      <c r="B1453" s="940">
        <v>312</v>
      </c>
      <c r="C1453" t="s">
        <v>1686</v>
      </c>
      <c r="D1453" s="940" t="s">
        <v>4830</v>
      </c>
      <c r="E1453" t="s">
        <v>661</v>
      </c>
      <c r="F1453">
        <v>1</v>
      </c>
      <c r="G1453" s="135"/>
    </row>
    <row r="1454" spans="1:7" x14ac:dyDescent="0.25">
      <c r="A1454" s="940">
        <v>1031</v>
      </c>
      <c r="B1454" s="940">
        <v>205</v>
      </c>
      <c r="C1454" t="s">
        <v>1687</v>
      </c>
      <c r="D1454" s="940" t="s">
        <v>5216</v>
      </c>
      <c r="E1454" t="s">
        <v>661</v>
      </c>
      <c r="F1454">
        <v>1</v>
      </c>
      <c r="G1454" s="135"/>
    </row>
    <row r="1455" spans="1:7" x14ac:dyDescent="0.25">
      <c r="A1455" s="940">
        <v>892</v>
      </c>
      <c r="B1455" s="940">
        <v>257</v>
      </c>
      <c r="C1455" t="s">
        <v>5217</v>
      </c>
      <c r="D1455" s="940" t="s">
        <v>5218</v>
      </c>
      <c r="E1455" t="s">
        <v>126</v>
      </c>
      <c r="F1455">
        <v>1</v>
      </c>
      <c r="G1455" s="135"/>
    </row>
    <row r="1456" spans="1:7" x14ac:dyDescent="0.25">
      <c r="A1456" s="940">
        <v>1400</v>
      </c>
      <c r="B1456" s="940">
        <v>120</v>
      </c>
      <c r="C1456" t="s">
        <v>5219</v>
      </c>
      <c r="D1456" s="940" t="s">
        <v>5220</v>
      </c>
      <c r="E1456" t="s">
        <v>2880</v>
      </c>
      <c r="F1456">
        <v>1</v>
      </c>
      <c r="G1456" s="135"/>
    </row>
    <row r="1457" spans="1:7" x14ac:dyDescent="0.25">
      <c r="A1457" s="940">
        <v>1127</v>
      </c>
      <c r="B1457" s="940">
        <v>173</v>
      </c>
      <c r="C1457" t="s">
        <v>5221</v>
      </c>
      <c r="D1457" s="940" t="s">
        <v>5222</v>
      </c>
      <c r="E1457" t="s">
        <v>1590</v>
      </c>
      <c r="F1457">
        <v>1</v>
      </c>
      <c r="G1457" s="135"/>
    </row>
    <row r="1458" spans="1:7" x14ac:dyDescent="0.25">
      <c r="A1458" s="940">
        <v>1049</v>
      </c>
      <c r="B1458" s="940">
        <v>200</v>
      </c>
      <c r="C1458" t="s">
        <v>5223</v>
      </c>
      <c r="D1458" s="940" t="s">
        <v>5224</v>
      </c>
      <c r="E1458" t="s">
        <v>120</v>
      </c>
      <c r="F1458">
        <v>1</v>
      </c>
      <c r="G1458" s="135"/>
    </row>
    <row r="1459" spans="1:7" x14ac:dyDescent="0.25">
      <c r="A1459" s="940">
        <v>2609</v>
      </c>
      <c r="B1459" s="940">
        <v>20</v>
      </c>
      <c r="C1459" t="s">
        <v>5225</v>
      </c>
      <c r="D1459" s="940" t="s">
        <v>4582</v>
      </c>
      <c r="E1459" t="s">
        <v>165</v>
      </c>
      <c r="F1459">
        <v>1</v>
      </c>
      <c r="G1459" s="135"/>
    </row>
    <row r="1460" spans="1:7" x14ac:dyDescent="0.25">
      <c r="A1460" s="940">
        <v>631</v>
      </c>
      <c r="B1460" s="940">
        <v>383</v>
      </c>
      <c r="C1460" t="s">
        <v>5226</v>
      </c>
      <c r="D1460" s="940" t="s">
        <v>5227</v>
      </c>
      <c r="E1460" t="s">
        <v>165</v>
      </c>
      <c r="F1460">
        <v>1</v>
      </c>
      <c r="G1460" s="135"/>
    </row>
    <row r="1461" spans="1:7" x14ac:dyDescent="0.25">
      <c r="A1461" s="940">
        <v>1533</v>
      </c>
      <c r="B1461" s="940">
        <v>102</v>
      </c>
      <c r="C1461" t="s">
        <v>5228</v>
      </c>
      <c r="D1461" s="940" t="s">
        <v>5229</v>
      </c>
      <c r="E1461" t="s">
        <v>5136</v>
      </c>
      <c r="F1461">
        <v>1</v>
      </c>
      <c r="G1461" s="135"/>
    </row>
    <row r="1462" spans="1:7" x14ac:dyDescent="0.25">
      <c r="A1462" s="940">
        <v>2515</v>
      </c>
      <c r="B1462" s="940">
        <v>24</v>
      </c>
      <c r="C1462" t="s">
        <v>5230</v>
      </c>
      <c r="D1462" s="940" t="s">
        <v>5231</v>
      </c>
      <c r="E1462" t="s">
        <v>122</v>
      </c>
      <c r="F1462">
        <v>1</v>
      </c>
      <c r="G1462" s="135"/>
    </row>
    <row r="1463" spans="1:7" x14ac:dyDescent="0.25">
      <c r="A1463" s="940">
        <v>651</v>
      </c>
      <c r="B1463" s="940">
        <v>375</v>
      </c>
      <c r="C1463" t="s">
        <v>492</v>
      </c>
      <c r="D1463" s="940" t="s">
        <v>5232</v>
      </c>
      <c r="E1463" t="s">
        <v>99</v>
      </c>
      <c r="F1463">
        <v>1</v>
      </c>
      <c r="G1463" s="135"/>
    </row>
    <row r="1464" spans="1:7" x14ac:dyDescent="0.25">
      <c r="A1464" s="940">
        <v>3265</v>
      </c>
      <c r="B1464" s="940">
        <v>3</v>
      </c>
      <c r="C1464" t="s">
        <v>5233</v>
      </c>
      <c r="D1464" s="940" t="s">
        <v>5234</v>
      </c>
      <c r="E1464" t="s">
        <v>111</v>
      </c>
      <c r="F1464">
        <v>1</v>
      </c>
      <c r="G1464" s="135"/>
    </row>
    <row r="1465" spans="1:7" x14ac:dyDescent="0.25">
      <c r="A1465" s="940">
        <v>3490</v>
      </c>
      <c r="B1465" s="940">
        <v>0</v>
      </c>
      <c r="C1465" t="s">
        <v>5235</v>
      </c>
      <c r="D1465" s="940" t="s">
        <v>5236</v>
      </c>
      <c r="E1465" t="s">
        <v>661</v>
      </c>
      <c r="F1465">
        <v>1</v>
      </c>
      <c r="G1465" s="135"/>
    </row>
    <row r="1466" spans="1:7" x14ac:dyDescent="0.25">
      <c r="A1466" s="940">
        <v>1615</v>
      </c>
      <c r="B1466" s="940">
        <v>93</v>
      </c>
      <c r="C1466" t="s">
        <v>5237</v>
      </c>
      <c r="D1466" s="940" t="s">
        <v>5238</v>
      </c>
      <c r="E1466" t="s">
        <v>282</v>
      </c>
      <c r="F1466">
        <v>1</v>
      </c>
      <c r="G1466" s="135"/>
    </row>
    <row r="1467" spans="1:7" x14ac:dyDescent="0.25">
      <c r="A1467" s="940">
        <v>3490</v>
      </c>
      <c r="B1467" s="940">
        <v>0</v>
      </c>
      <c r="C1467" t="s">
        <v>5239</v>
      </c>
      <c r="D1467" s="940" t="s">
        <v>3262</v>
      </c>
      <c r="E1467" t="s">
        <v>2660</v>
      </c>
      <c r="F1467">
        <v>1</v>
      </c>
      <c r="G1467" s="135"/>
    </row>
    <row r="1468" spans="1:7" x14ac:dyDescent="0.25">
      <c r="A1468" s="940">
        <v>3490</v>
      </c>
      <c r="B1468" s="940">
        <v>0</v>
      </c>
      <c r="C1468" t="s">
        <v>5240</v>
      </c>
      <c r="D1468" s="940" t="s">
        <v>5241</v>
      </c>
      <c r="E1468" t="s">
        <v>111</v>
      </c>
      <c r="F1468">
        <v>1</v>
      </c>
      <c r="G1468" s="135"/>
    </row>
    <row r="1469" spans="1:7" x14ac:dyDescent="0.25">
      <c r="A1469" s="940">
        <v>957</v>
      </c>
      <c r="B1469" s="940">
        <v>232</v>
      </c>
      <c r="C1469" t="s">
        <v>5242</v>
      </c>
      <c r="D1469" s="940" t="s">
        <v>5243</v>
      </c>
      <c r="E1469" t="s">
        <v>103</v>
      </c>
      <c r="F1469">
        <v>1</v>
      </c>
      <c r="G1469" s="135"/>
    </row>
    <row r="1470" spans="1:7" x14ac:dyDescent="0.25">
      <c r="A1470" s="940">
        <v>2079</v>
      </c>
      <c r="B1470" s="940">
        <v>50</v>
      </c>
      <c r="C1470" t="s">
        <v>5244</v>
      </c>
      <c r="D1470" s="940" t="s">
        <v>4514</v>
      </c>
      <c r="E1470" t="s">
        <v>109</v>
      </c>
      <c r="F1470">
        <v>1</v>
      </c>
      <c r="G1470" s="135"/>
    </row>
    <row r="1471" spans="1:7" x14ac:dyDescent="0.25">
      <c r="A1471" s="940">
        <v>2048</v>
      </c>
      <c r="B1471" s="940">
        <v>52</v>
      </c>
      <c r="C1471" t="s">
        <v>5245</v>
      </c>
      <c r="D1471" s="940" t="s">
        <v>5246</v>
      </c>
      <c r="E1471" t="s">
        <v>1612</v>
      </c>
      <c r="F1471">
        <v>1</v>
      </c>
      <c r="G1471" s="135"/>
    </row>
    <row r="1472" spans="1:7" x14ac:dyDescent="0.25">
      <c r="A1472" s="940">
        <v>3395</v>
      </c>
      <c r="B1472" s="940">
        <v>1</v>
      </c>
      <c r="C1472" t="s">
        <v>5247</v>
      </c>
      <c r="D1472" s="940" t="s">
        <v>5248</v>
      </c>
      <c r="E1472" t="s">
        <v>105</v>
      </c>
      <c r="F1472">
        <v>1</v>
      </c>
      <c r="G1472" s="135"/>
    </row>
    <row r="1473" spans="1:7" x14ac:dyDescent="0.25">
      <c r="A1473" s="940">
        <v>1024</v>
      </c>
      <c r="B1473" s="940">
        <v>207</v>
      </c>
      <c r="C1473" t="s">
        <v>5249</v>
      </c>
      <c r="D1473" s="940" t="s">
        <v>5250</v>
      </c>
      <c r="E1473" t="s">
        <v>4548</v>
      </c>
      <c r="F1473">
        <v>1</v>
      </c>
      <c r="G1473" s="135"/>
    </row>
    <row r="1474" spans="1:7" x14ac:dyDescent="0.25">
      <c r="A1474" s="940">
        <v>2060</v>
      </c>
      <c r="B1474" s="940">
        <v>51</v>
      </c>
      <c r="C1474" t="s">
        <v>5251</v>
      </c>
      <c r="D1474" s="940" t="s">
        <v>5252</v>
      </c>
      <c r="E1474" t="s">
        <v>165</v>
      </c>
      <c r="F1474">
        <v>1</v>
      </c>
      <c r="G1474" s="135"/>
    </row>
    <row r="1475" spans="1:7" x14ac:dyDescent="0.25">
      <c r="A1475" s="940">
        <v>112</v>
      </c>
      <c r="B1475" s="940">
        <v>1076</v>
      </c>
      <c r="C1475" t="s">
        <v>5253</v>
      </c>
      <c r="D1475" s="940" t="s">
        <v>5254</v>
      </c>
      <c r="E1475" t="s">
        <v>1179</v>
      </c>
      <c r="F1475">
        <v>1</v>
      </c>
      <c r="G1475" s="135"/>
    </row>
    <row r="1476" spans="1:7" x14ac:dyDescent="0.25">
      <c r="A1476" s="940">
        <v>1800</v>
      </c>
      <c r="B1476" s="940">
        <v>73</v>
      </c>
      <c r="C1476" t="s">
        <v>5255</v>
      </c>
      <c r="D1476" s="940" t="s">
        <v>5256</v>
      </c>
      <c r="E1476" t="s">
        <v>1236</v>
      </c>
      <c r="F1476">
        <v>1</v>
      </c>
      <c r="G1476" s="135"/>
    </row>
    <row r="1477" spans="1:7" x14ac:dyDescent="0.25">
      <c r="A1477" s="940">
        <v>3490</v>
      </c>
      <c r="B1477" s="940">
        <v>0</v>
      </c>
      <c r="C1477" t="s">
        <v>5257</v>
      </c>
      <c r="D1477" s="940" t="s">
        <v>5258</v>
      </c>
      <c r="E1477" t="s">
        <v>99</v>
      </c>
      <c r="F1477">
        <v>1</v>
      </c>
      <c r="G1477" s="135"/>
    </row>
    <row r="1478" spans="1:7" x14ac:dyDescent="0.25">
      <c r="A1478" s="940">
        <v>3089</v>
      </c>
      <c r="B1478" s="940">
        <v>6</v>
      </c>
      <c r="C1478" t="s">
        <v>5259</v>
      </c>
      <c r="D1478" s="940" t="s">
        <v>2825</v>
      </c>
      <c r="E1478" t="s">
        <v>111</v>
      </c>
      <c r="F1478">
        <v>1</v>
      </c>
      <c r="G1478" s="135"/>
    </row>
    <row r="1479" spans="1:7" x14ac:dyDescent="0.25">
      <c r="A1479" s="940">
        <v>63</v>
      </c>
      <c r="B1479" s="940">
        <v>1240</v>
      </c>
      <c r="C1479" t="s">
        <v>5260</v>
      </c>
      <c r="D1479" s="940" t="s">
        <v>5261</v>
      </c>
      <c r="E1479" t="s">
        <v>120</v>
      </c>
      <c r="F1479">
        <v>1</v>
      </c>
      <c r="G1479" s="135"/>
    </row>
    <row r="1480" spans="1:7" x14ac:dyDescent="0.25">
      <c r="A1480" s="940">
        <v>463</v>
      </c>
      <c r="B1480" s="940">
        <v>509</v>
      </c>
      <c r="C1480" t="s">
        <v>5262</v>
      </c>
      <c r="D1480" s="940" t="s">
        <v>5263</v>
      </c>
      <c r="E1480" t="s">
        <v>1307</v>
      </c>
      <c r="F1480">
        <v>1</v>
      </c>
      <c r="G1480" s="135"/>
    </row>
    <row r="1481" spans="1:7" x14ac:dyDescent="0.25">
      <c r="A1481" s="940">
        <v>562</v>
      </c>
      <c r="B1481" s="940">
        <v>425</v>
      </c>
      <c r="C1481" t="s">
        <v>5264</v>
      </c>
      <c r="D1481" s="940" t="s">
        <v>5265</v>
      </c>
      <c r="E1481" t="s">
        <v>111</v>
      </c>
      <c r="F1481">
        <v>1</v>
      </c>
      <c r="G1481" s="135"/>
    </row>
    <row r="1482" spans="1:7" x14ac:dyDescent="0.25">
      <c r="A1482" s="940">
        <v>3395</v>
      </c>
      <c r="B1482" s="940">
        <v>1</v>
      </c>
      <c r="C1482" t="s">
        <v>5266</v>
      </c>
      <c r="D1482" s="940" t="s">
        <v>3248</v>
      </c>
      <c r="E1482" t="s">
        <v>171</v>
      </c>
      <c r="F1482">
        <v>1</v>
      </c>
      <c r="G1482" s="135"/>
    </row>
    <row r="1483" spans="1:7" x14ac:dyDescent="0.25">
      <c r="A1483" s="940">
        <v>3490</v>
      </c>
      <c r="B1483" s="940">
        <v>0</v>
      </c>
      <c r="C1483" t="s">
        <v>5267</v>
      </c>
      <c r="D1483" s="940" t="s">
        <v>5268</v>
      </c>
      <c r="E1483" t="s">
        <v>74</v>
      </c>
      <c r="F1483">
        <v>1</v>
      </c>
      <c r="G1483" s="135"/>
    </row>
    <row r="1484" spans="1:7" x14ac:dyDescent="0.25">
      <c r="A1484" s="940">
        <v>2060</v>
      </c>
      <c r="B1484" s="940">
        <v>51</v>
      </c>
      <c r="C1484" t="s">
        <v>5269</v>
      </c>
      <c r="D1484" s="940" t="s">
        <v>5270</v>
      </c>
      <c r="E1484" t="s">
        <v>170</v>
      </c>
      <c r="F1484">
        <v>1</v>
      </c>
      <c r="G1484" s="135"/>
    </row>
    <row r="1485" spans="1:7" x14ac:dyDescent="0.25">
      <c r="A1485" s="940">
        <v>3490</v>
      </c>
      <c r="B1485" s="940">
        <v>0</v>
      </c>
      <c r="C1485" t="s">
        <v>5271</v>
      </c>
      <c r="D1485" s="940" t="s">
        <v>5272</v>
      </c>
      <c r="E1485" t="s">
        <v>99</v>
      </c>
      <c r="F1485">
        <v>1</v>
      </c>
      <c r="G1485" s="135"/>
    </row>
    <row r="1486" spans="1:7" x14ac:dyDescent="0.25">
      <c r="A1486" s="940">
        <v>3490</v>
      </c>
      <c r="B1486" s="940">
        <v>0</v>
      </c>
      <c r="C1486" t="s">
        <v>5273</v>
      </c>
      <c r="D1486" s="940" t="s">
        <v>4428</v>
      </c>
      <c r="E1486" t="s">
        <v>110</v>
      </c>
      <c r="F1486">
        <v>1</v>
      </c>
      <c r="G1486" s="135"/>
    </row>
    <row r="1487" spans="1:7" x14ac:dyDescent="0.25">
      <c r="A1487" s="940">
        <v>2959</v>
      </c>
      <c r="B1487" s="940">
        <v>9</v>
      </c>
      <c r="C1487" t="s">
        <v>5274</v>
      </c>
      <c r="D1487" s="940" t="s">
        <v>4629</v>
      </c>
      <c r="E1487" t="s">
        <v>105</v>
      </c>
      <c r="F1487">
        <v>1</v>
      </c>
      <c r="G1487" s="135"/>
    </row>
    <row r="1488" spans="1:7" x14ac:dyDescent="0.25">
      <c r="A1488" s="940">
        <v>574</v>
      </c>
      <c r="B1488" s="940">
        <v>420</v>
      </c>
      <c r="C1488" t="s">
        <v>5275</v>
      </c>
      <c r="D1488" s="940" t="s">
        <v>5276</v>
      </c>
      <c r="E1488" t="s">
        <v>1315</v>
      </c>
      <c r="F1488">
        <v>1</v>
      </c>
      <c r="G1488" s="135"/>
    </row>
    <row r="1489" spans="1:7" x14ac:dyDescent="0.25">
      <c r="A1489" s="940">
        <v>1672</v>
      </c>
      <c r="B1489" s="940">
        <v>86</v>
      </c>
      <c r="C1489" t="s">
        <v>2551</v>
      </c>
      <c r="D1489" s="940" t="s">
        <v>3092</v>
      </c>
      <c r="E1489" t="s">
        <v>1282</v>
      </c>
      <c r="F1489">
        <v>1</v>
      </c>
      <c r="G1489" s="135"/>
    </row>
    <row r="1490" spans="1:7" x14ac:dyDescent="0.25">
      <c r="A1490" s="940">
        <v>657</v>
      </c>
      <c r="B1490" s="940">
        <v>371</v>
      </c>
      <c r="C1490" t="s">
        <v>1690</v>
      </c>
      <c r="D1490" s="940" t="s">
        <v>2634</v>
      </c>
      <c r="E1490" t="s">
        <v>1282</v>
      </c>
      <c r="F1490">
        <v>1</v>
      </c>
      <c r="G1490" s="135"/>
    </row>
    <row r="1491" spans="1:7" x14ac:dyDescent="0.25">
      <c r="A1491" s="940">
        <v>2016</v>
      </c>
      <c r="B1491" s="940">
        <v>54</v>
      </c>
      <c r="C1491" t="s">
        <v>823</v>
      </c>
      <c r="D1491" s="940" t="s">
        <v>3317</v>
      </c>
      <c r="E1491" t="s">
        <v>208</v>
      </c>
      <c r="F1491">
        <v>1</v>
      </c>
      <c r="G1491" s="135"/>
    </row>
    <row r="1492" spans="1:7" x14ac:dyDescent="0.25">
      <c r="A1492" s="940">
        <v>331</v>
      </c>
      <c r="B1492" s="940">
        <v>662</v>
      </c>
      <c r="C1492" t="s">
        <v>5277</v>
      </c>
      <c r="D1492" s="940" t="s">
        <v>5278</v>
      </c>
      <c r="E1492" t="s">
        <v>5279</v>
      </c>
      <c r="F1492">
        <v>1</v>
      </c>
      <c r="G1492" s="135"/>
    </row>
    <row r="1493" spans="1:7" x14ac:dyDescent="0.25">
      <c r="A1493" s="940">
        <v>1659</v>
      </c>
      <c r="B1493" s="940">
        <v>88</v>
      </c>
      <c r="C1493" t="s">
        <v>5280</v>
      </c>
      <c r="D1493" s="940" t="s">
        <v>3792</v>
      </c>
      <c r="E1493" t="s">
        <v>2928</v>
      </c>
      <c r="F1493">
        <v>1</v>
      </c>
      <c r="G1493" s="135"/>
    </row>
    <row r="1494" spans="1:7" x14ac:dyDescent="0.25">
      <c r="A1494" s="940">
        <v>2690</v>
      </c>
      <c r="B1494" s="940">
        <v>17</v>
      </c>
      <c r="C1494" t="s">
        <v>5281</v>
      </c>
      <c r="D1494" s="940" t="s">
        <v>3988</v>
      </c>
      <c r="E1494" t="s">
        <v>105</v>
      </c>
      <c r="F1494">
        <v>1</v>
      </c>
      <c r="G1494" s="135"/>
    </row>
    <row r="1495" spans="1:7" x14ac:dyDescent="0.25">
      <c r="A1495" s="940">
        <v>1749</v>
      </c>
      <c r="B1495" s="940">
        <v>79</v>
      </c>
      <c r="C1495" t="s">
        <v>5282</v>
      </c>
      <c r="D1495" s="940" t="s">
        <v>3303</v>
      </c>
      <c r="E1495" t="s">
        <v>127</v>
      </c>
      <c r="F1495">
        <v>1</v>
      </c>
      <c r="G1495" s="135"/>
    </row>
    <row r="1496" spans="1:7" x14ac:dyDescent="0.25">
      <c r="A1496" s="940">
        <v>3490</v>
      </c>
      <c r="B1496" s="940">
        <v>0</v>
      </c>
      <c r="C1496" t="s">
        <v>5283</v>
      </c>
      <c r="D1496" s="940" t="s">
        <v>5284</v>
      </c>
      <c r="E1496" t="s">
        <v>109</v>
      </c>
      <c r="F1496">
        <v>1</v>
      </c>
      <c r="G1496" s="135"/>
    </row>
    <row r="1497" spans="1:7" x14ac:dyDescent="0.25">
      <c r="A1497" s="940">
        <v>1121</v>
      </c>
      <c r="B1497" s="940">
        <v>175</v>
      </c>
      <c r="C1497" t="s">
        <v>2552</v>
      </c>
      <c r="D1497" s="940" t="s">
        <v>5285</v>
      </c>
      <c r="E1497" t="s">
        <v>109</v>
      </c>
      <c r="F1497">
        <v>1</v>
      </c>
      <c r="G1497" s="135"/>
    </row>
    <row r="1498" spans="1:7" x14ac:dyDescent="0.25">
      <c r="A1498" s="940">
        <v>3490</v>
      </c>
      <c r="B1498" s="940">
        <v>0</v>
      </c>
      <c r="C1498" t="s">
        <v>5286</v>
      </c>
      <c r="D1498" s="940" t="s">
        <v>3341</v>
      </c>
      <c r="E1498" t="s">
        <v>163</v>
      </c>
      <c r="F1498">
        <v>1</v>
      </c>
      <c r="G1498" s="135"/>
    </row>
    <row r="1499" spans="1:7" x14ac:dyDescent="0.25">
      <c r="A1499" s="940">
        <v>89</v>
      </c>
      <c r="B1499" s="940">
        <v>1150</v>
      </c>
      <c r="C1499" t="s">
        <v>5287</v>
      </c>
      <c r="D1499" s="940" t="s">
        <v>5288</v>
      </c>
      <c r="E1499" t="s">
        <v>2880</v>
      </c>
      <c r="F1499">
        <v>1</v>
      </c>
      <c r="G1499" s="135"/>
    </row>
    <row r="1500" spans="1:7" x14ac:dyDescent="0.25">
      <c r="A1500" s="940">
        <v>1730</v>
      </c>
      <c r="B1500" s="940">
        <v>80</v>
      </c>
      <c r="C1500" t="s">
        <v>5289</v>
      </c>
      <c r="D1500" s="940" t="s">
        <v>5290</v>
      </c>
      <c r="E1500" t="s">
        <v>2880</v>
      </c>
      <c r="F1500">
        <v>1</v>
      </c>
      <c r="G1500" s="135"/>
    </row>
    <row r="1501" spans="1:7" x14ac:dyDescent="0.25">
      <c r="A1501" s="940">
        <v>65</v>
      </c>
      <c r="B1501" s="940">
        <v>1228</v>
      </c>
      <c r="C1501" t="s">
        <v>1698</v>
      </c>
      <c r="D1501" s="940" t="s">
        <v>5291</v>
      </c>
      <c r="E1501" t="s">
        <v>166</v>
      </c>
      <c r="F1501">
        <v>1</v>
      </c>
      <c r="G1501" s="135"/>
    </row>
    <row r="1502" spans="1:7" x14ac:dyDescent="0.25">
      <c r="A1502" s="940">
        <v>715</v>
      </c>
      <c r="B1502" s="940">
        <v>340</v>
      </c>
      <c r="C1502" t="s">
        <v>5292</v>
      </c>
      <c r="D1502" s="940" t="s">
        <v>5293</v>
      </c>
      <c r="E1502" t="s">
        <v>2880</v>
      </c>
      <c r="F1502">
        <v>1</v>
      </c>
      <c r="G1502" s="135"/>
    </row>
    <row r="1503" spans="1:7" x14ac:dyDescent="0.25">
      <c r="A1503" s="940">
        <v>3490</v>
      </c>
      <c r="B1503" s="940">
        <v>0</v>
      </c>
      <c r="C1503" t="s">
        <v>5294</v>
      </c>
      <c r="D1503" s="940" t="s">
        <v>5295</v>
      </c>
      <c r="E1503" t="s">
        <v>165</v>
      </c>
      <c r="F1503">
        <v>1</v>
      </c>
      <c r="G1503" s="135"/>
    </row>
    <row r="1504" spans="1:7" x14ac:dyDescent="0.25">
      <c r="A1504" s="940">
        <v>3490</v>
      </c>
      <c r="B1504" s="940">
        <v>0</v>
      </c>
      <c r="C1504" t="s">
        <v>5296</v>
      </c>
      <c r="D1504" s="940" t="s">
        <v>5297</v>
      </c>
      <c r="E1504" t="s">
        <v>165</v>
      </c>
      <c r="F1504">
        <v>1</v>
      </c>
      <c r="G1504" s="135"/>
    </row>
    <row r="1505" spans="1:7" x14ac:dyDescent="0.25">
      <c r="A1505" s="940">
        <v>777</v>
      </c>
      <c r="B1505" s="940">
        <v>306</v>
      </c>
      <c r="C1505" t="s">
        <v>248</v>
      </c>
      <c r="D1505" s="940" t="s">
        <v>5298</v>
      </c>
      <c r="E1505" t="s">
        <v>120</v>
      </c>
      <c r="F1505">
        <v>1</v>
      </c>
      <c r="G1505" s="135"/>
    </row>
    <row r="1506" spans="1:7" x14ac:dyDescent="0.25">
      <c r="A1506" s="940">
        <v>3265</v>
      </c>
      <c r="B1506" s="940">
        <v>3</v>
      </c>
      <c r="C1506" t="s">
        <v>5299</v>
      </c>
      <c r="D1506" s="940" t="s">
        <v>5300</v>
      </c>
      <c r="E1506" t="s">
        <v>1638</v>
      </c>
      <c r="F1506">
        <v>1</v>
      </c>
      <c r="G1506" s="135"/>
    </row>
    <row r="1507" spans="1:7" x14ac:dyDescent="0.25">
      <c r="A1507" s="940">
        <v>2714</v>
      </c>
      <c r="B1507" s="940">
        <v>16</v>
      </c>
      <c r="C1507" t="s">
        <v>5301</v>
      </c>
      <c r="D1507" s="940" t="s">
        <v>5302</v>
      </c>
      <c r="E1507" t="s">
        <v>3951</v>
      </c>
      <c r="F1507">
        <v>1</v>
      </c>
      <c r="G1507" s="135"/>
    </row>
    <row r="1508" spans="1:7" x14ac:dyDescent="0.25">
      <c r="A1508" s="940">
        <v>1505</v>
      </c>
      <c r="B1508" s="940">
        <v>105</v>
      </c>
      <c r="C1508" t="s">
        <v>1701</v>
      </c>
      <c r="D1508" s="940" t="s">
        <v>5303</v>
      </c>
      <c r="E1508" t="s">
        <v>1702</v>
      </c>
      <c r="F1508">
        <v>1</v>
      </c>
      <c r="G1508" s="135"/>
    </row>
    <row r="1509" spans="1:7" x14ac:dyDescent="0.25">
      <c r="A1509" s="940">
        <v>2441</v>
      </c>
      <c r="B1509" s="940">
        <v>28</v>
      </c>
      <c r="C1509" t="s">
        <v>5304</v>
      </c>
      <c r="D1509" s="940" t="s">
        <v>5305</v>
      </c>
      <c r="E1509" t="s">
        <v>2735</v>
      </c>
      <c r="F1509">
        <v>1</v>
      </c>
      <c r="G1509" s="135"/>
    </row>
    <row r="1510" spans="1:7" x14ac:dyDescent="0.25">
      <c r="A1510" s="940">
        <v>3327</v>
      </c>
      <c r="B1510" s="940">
        <v>2</v>
      </c>
      <c r="C1510" t="s">
        <v>5306</v>
      </c>
      <c r="D1510" s="940" t="s">
        <v>5013</v>
      </c>
      <c r="E1510" t="s">
        <v>120</v>
      </c>
      <c r="F1510">
        <v>1</v>
      </c>
      <c r="G1510" s="135"/>
    </row>
    <row r="1511" spans="1:7" x14ac:dyDescent="0.25">
      <c r="A1511" s="940">
        <v>2206</v>
      </c>
      <c r="B1511" s="940">
        <v>42</v>
      </c>
      <c r="C1511" t="s">
        <v>5307</v>
      </c>
      <c r="D1511" s="940" t="s">
        <v>5308</v>
      </c>
      <c r="E1511" t="s">
        <v>175</v>
      </c>
      <c r="F1511">
        <v>1</v>
      </c>
      <c r="G1511" s="135"/>
    </row>
    <row r="1512" spans="1:7" x14ac:dyDescent="0.25">
      <c r="A1512" s="940">
        <v>2959</v>
      </c>
      <c r="B1512" s="940">
        <v>9</v>
      </c>
      <c r="C1512" t="s">
        <v>5309</v>
      </c>
      <c r="D1512" s="940" t="s">
        <v>3460</v>
      </c>
      <c r="E1512" t="s">
        <v>1493</v>
      </c>
      <c r="F1512">
        <v>1</v>
      </c>
      <c r="G1512" s="135"/>
    </row>
    <row r="1513" spans="1:7" x14ac:dyDescent="0.25">
      <c r="A1513" s="940">
        <v>3327</v>
      </c>
      <c r="B1513" s="940">
        <v>2</v>
      </c>
      <c r="C1513" t="s">
        <v>5310</v>
      </c>
      <c r="D1513" s="940" t="s">
        <v>5311</v>
      </c>
      <c r="E1513" t="s">
        <v>105</v>
      </c>
      <c r="F1513">
        <v>1</v>
      </c>
      <c r="G1513" s="135"/>
    </row>
    <row r="1514" spans="1:7" x14ac:dyDescent="0.25">
      <c r="A1514" s="940">
        <v>464</v>
      </c>
      <c r="B1514" s="940">
        <v>508</v>
      </c>
      <c r="C1514" t="s">
        <v>5312</v>
      </c>
      <c r="D1514" s="940" t="s">
        <v>5313</v>
      </c>
      <c r="E1514" t="s">
        <v>170</v>
      </c>
      <c r="F1514">
        <v>1</v>
      </c>
      <c r="G1514" s="135"/>
    </row>
    <row r="1515" spans="1:7" x14ac:dyDescent="0.25">
      <c r="A1515" s="940">
        <v>3327</v>
      </c>
      <c r="B1515" s="940">
        <v>2</v>
      </c>
      <c r="C1515" t="s">
        <v>5314</v>
      </c>
      <c r="D1515" s="940" t="s">
        <v>5315</v>
      </c>
      <c r="E1515" t="s">
        <v>1284</v>
      </c>
      <c r="F1515">
        <v>1</v>
      </c>
      <c r="G1515" s="135"/>
    </row>
    <row r="1516" spans="1:7" x14ac:dyDescent="0.25">
      <c r="A1516" s="940">
        <v>1994</v>
      </c>
      <c r="B1516" s="940">
        <v>56</v>
      </c>
      <c r="C1516" t="s">
        <v>5316</v>
      </c>
      <c r="D1516" s="940" t="s">
        <v>5317</v>
      </c>
      <c r="E1516" t="s">
        <v>5318</v>
      </c>
      <c r="F1516">
        <v>1</v>
      </c>
      <c r="G1516" s="135"/>
    </row>
    <row r="1517" spans="1:7" x14ac:dyDescent="0.25">
      <c r="A1517" s="940">
        <v>2782</v>
      </c>
      <c r="B1517" s="940">
        <v>14</v>
      </c>
      <c r="C1517" t="s">
        <v>5319</v>
      </c>
      <c r="D1517" s="940" t="s">
        <v>5320</v>
      </c>
      <c r="E1517" t="s">
        <v>105</v>
      </c>
      <c r="F1517">
        <v>1</v>
      </c>
      <c r="G1517" s="135"/>
    </row>
    <row r="1518" spans="1:7" x14ac:dyDescent="0.25">
      <c r="A1518" s="940">
        <v>2814</v>
      </c>
      <c r="B1518" s="940">
        <v>13</v>
      </c>
      <c r="C1518" t="s">
        <v>5321</v>
      </c>
      <c r="D1518" s="940" t="s">
        <v>3520</v>
      </c>
      <c r="E1518" t="s">
        <v>99</v>
      </c>
      <c r="F1518">
        <v>1</v>
      </c>
      <c r="G1518" s="135"/>
    </row>
    <row r="1519" spans="1:7" x14ac:dyDescent="0.25">
      <c r="A1519" s="940">
        <v>2152</v>
      </c>
      <c r="B1519" s="940">
        <v>45</v>
      </c>
      <c r="C1519" t="s">
        <v>5322</v>
      </c>
      <c r="D1519" s="940" t="s">
        <v>5323</v>
      </c>
      <c r="E1519" t="s">
        <v>1214</v>
      </c>
      <c r="F1519">
        <v>1</v>
      </c>
      <c r="G1519" s="135"/>
    </row>
    <row r="1520" spans="1:7" x14ac:dyDescent="0.25">
      <c r="A1520" s="940">
        <v>2312</v>
      </c>
      <c r="B1520" s="940">
        <v>36</v>
      </c>
      <c r="C1520" t="s">
        <v>5324</v>
      </c>
      <c r="D1520" s="940" t="s">
        <v>5325</v>
      </c>
      <c r="E1520" t="s">
        <v>5326</v>
      </c>
      <c r="F1520">
        <v>1</v>
      </c>
      <c r="G1520" s="135"/>
    </row>
    <row r="1521" spans="1:7" x14ac:dyDescent="0.25">
      <c r="A1521" s="940">
        <v>1811</v>
      </c>
      <c r="B1521" s="940">
        <v>72</v>
      </c>
      <c r="C1521" t="s">
        <v>5327</v>
      </c>
      <c r="D1521" s="940" t="s">
        <v>5328</v>
      </c>
      <c r="E1521" t="s">
        <v>1162</v>
      </c>
      <c r="F1521">
        <v>1</v>
      </c>
      <c r="G1521" s="135"/>
    </row>
    <row r="1522" spans="1:7" x14ac:dyDescent="0.25">
      <c r="A1522" s="940">
        <v>319</v>
      </c>
      <c r="B1522" s="940">
        <v>684</v>
      </c>
      <c r="C1522" t="s">
        <v>495</v>
      </c>
      <c r="D1522" s="940" t="s">
        <v>5329</v>
      </c>
      <c r="E1522" t="s">
        <v>1968</v>
      </c>
      <c r="F1522">
        <v>1</v>
      </c>
      <c r="G1522" s="135"/>
    </row>
    <row r="1523" spans="1:7" x14ac:dyDescent="0.25">
      <c r="A1523" s="940">
        <v>2539</v>
      </c>
      <c r="B1523" s="940">
        <v>23</v>
      </c>
      <c r="C1523" t="s">
        <v>5330</v>
      </c>
      <c r="D1523" s="940" t="s">
        <v>5331</v>
      </c>
      <c r="E1523" t="s">
        <v>1214</v>
      </c>
      <c r="F1523">
        <v>1</v>
      </c>
      <c r="G1523" s="135"/>
    </row>
    <row r="1524" spans="1:7" x14ac:dyDescent="0.25">
      <c r="A1524" s="940">
        <v>2079</v>
      </c>
      <c r="B1524" s="940">
        <v>50</v>
      </c>
      <c r="C1524" t="s">
        <v>5332</v>
      </c>
      <c r="D1524" s="940" t="s">
        <v>3667</v>
      </c>
      <c r="E1524" t="s">
        <v>1363</v>
      </c>
      <c r="F1524">
        <v>1</v>
      </c>
      <c r="G1524" s="135"/>
    </row>
    <row r="1525" spans="1:7" x14ac:dyDescent="0.25">
      <c r="A1525" s="940">
        <v>1711</v>
      </c>
      <c r="B1525" s="940">
        <v>82</v>
      </c>
      <c r="C1525" t="s">
        <v>5333</v>
      </c>
      <c r="D1525" s="940" t="s">
        <v>3315</v>
      </c>
      <c r="E1525" t="s">
        <v>120</v>
      </c>
      <c r="F1525">
        <v>1</v>
      </c>
      <c r="G1525" s="135"/>
    </row>
    <row r="1526" spans="1:7" x14ac:dyDescent="0.25">
      <c r="A1526" s="940">
        <v>3089</v>
      </c>
      <c r="B1526" s="940">
        <v>6</v>
      </c>
      <c r="C1526" t="s">
        <v>5334</v>
      </c>
      <c r="D1526" s="940" t="s">
        <v>2814</v>
      </c>
      <c r="E1526" t="s">
        <v>105</v>
      </c>
      <c r="F1526">
        <v>1</v>
      </c>
      <c r="G1526" s="135"/>
    </row>
    <row r="1527" spans="1:7" x14ac:dyDescent="0.25">
      <c r="A1527" s="940">
        <v>2441</v>
      </c>
      <c r="B1527" s="940">
        <v>28</v>
      </c>
      <c r="C1527" t="s">
        <v>1706</v>
      </c>
      <c r="D1527" s="940" t="s">
        <v>5335</v>
      </c>
      <c r="E1527" t="s">
        <v>122</v>
      </c>
      <c r="F1527">
        <v>1</v>
      </c>
      <c r="G1527" s="135"/>
    </row>
    <row r="1528" spans="1:7" x14ac:dyDescent="0.25">
      <c r="A1528" s="940">
        <v>1730</v>
      </c>
      <c r="B1528" s="940">
        <v>80</v>
      </c>
      <c r="C1528" t="s">
        <v>5336</v>
      </c>
      <c r="D1528" s="940" t="s">
        <v>5337</v>
      </c>
      <c r="E1528" t="s">
        <v>4660</v>
      </c>
      <c r="F1528">
        <v>1</v>
      </c>
      <c r="G1528" s="135"/>
    </row>
    <row r="1529" spans="1:7" x14ac:dyDescent="0.25">
      <c r="A1529" s="940">
        <v>2335</v>
      </c>
      <c r="B1529" s="940">
        <v>34</v>
      </c>
      <c r="C1529" t="s">
        <v>5338</v>
      </c>
      <c r="D1529" s="940" t="s">
        <v>5339</v>
      </c>
      <c r="E1529" t="s">
        <v>4667</v>
      </c>
      <c r="F1529">
        <v>1</v>
      </c>
      <c r="G1529" s="135"/>
    </row>
    <row r="1530" spans="1:7" x14ac:dyDescent="0.25">
      <c r="A1530" s="940">
        <v>1942</v>
      </c>
      <c r="B1530" s="940">
        <v>61</v>
      </c>
      <c r="C1530" t="s">
        <v>5340</v>
      </c>
      <c r="D1530" s="940" t="s">
        <v>5141</v>
      </c>
      <c r="E1530" t="s">
        <v>1182</v>
      </c>
      <c r="F1530">
        <v>1</v>
      </c>
      <c r="G1530" s="135"/>
    </row>
    <row r="1531" spans="1:7" x14ac:dyDescent="0.25">
      <c r="A1531" s="940">
        <v>991</v>
      </c>
      <c r="B1531" s="940">
        <v>220</v>
      </c>
      <c r="C1531" t="s">
        <v>5341</v>
      </c>
      <c r="D1531" s="940" t="s">
        <v>4966</v>
      </c>
      <c r="E1531" t="s">
        <v>1182</v>
      </c>
      <c r="F1531">
        <v>1</v>
      </c>
      <c r="G1531" s="135"/>
    </row>
    <row r="1532" spans="1:7" x14ac:dyDescent="0.25">
      <c r="A1532" s="940">
        <v>600</v>
      </c>
      <c r="B1532" s="940">
        <v>405</v>
      </c>
      <c r="C1532" t="s">
        <v>5342</v>
      </c>
      <c r="D1532" s="940" t="s">
        <v>5343</v>
      </c>
      <c r="E1532" t="s">
        <v>5344</v>
      </c>
      <c r="F1532">
        <v>1</v>
      </c>
      <c r="G1532" s="135"/>
    </row>
    <row r="1533" spans="1:7" x14ac:dyDescent="0.25">
      <c r="A1533" s="940">
        <v>2320</v>
      </c>
      <c r="B1533" s="940">
        <v>35</v>
      </c>
      <c r="C1533" t="s">
        <v>5345</v>
      </c>
      <c r="D1533" s="940" t="s">
        <v>3222</v>
      </c>
      <c r="E1533" t="s">
        <v>133</v>
      </c>
      <c r="F1533">
        <v>1</v>
      </c>
      <c r="G1533" s="135"/>
    </row>
    <row r="1534" spans="1:7" x14ac:dyDescent="0.25">
      <c r="A1534" s="940">
        <v>148</v>
      </c>
      <c r="B1534" s="940">
        <v>977</v>
      </c>
      <c r="C1534" t="s">
        <v>5346</v>
      </c>
      <c r="D1534" s="940" t="s">
        <v>5347</v>
      </c>
      <c r="E1534" t="s">
        <v>105</v>
      </c>
      <c r="F1534">
        <v>1</v>
      </c>
      <c r="G1534" s="135"/>
    </row>
    <row r="1535" spans="1:7" x14ac:dyDescent="0.25">
      <c r="A1535" s="940">
        <v>1478</v>
      </c>
      <c r="B1535" s="940">
        <v>109</v>
      </c>
      <c r="C1535" t="s">
        <v>5348</v>
      </c>
      <c r="D1535" s="940" t="s">
        <v>5349</v>
      </c>
      <c r="E1535" t="s">
        <v>1156</v>
      </c>
      <c r="F1535">
        <v>1</v>
      </c>
      <c r="G1535" s="135"/>
    </row>
    <row r="1536" spans="1:7" x14ac:dyDescent="0.25">
      <c r="A1536" s="940">
        <v>777</v>
      </c>
      <c r="B1536" s="940">
        <v>306</v>
      </c>
      <c r="C1536" t="s">
        <v>703</v>
      </c>
      <c r="D1536" s="940" t="s">
        <v>5350</v>
      </c>
      <c r="E1536" t="s">
        <v>83</v>
      </c>
      <c r="F1536">
        <v>1</v>
      </c>
      <c r="G1536" s="135"/>
    </row>
    <row r="1537" spans="1:7" x14ac:dyDescent="0.25">
      <c r="A1537" s="940">
        <v>3265</v>
      </c>
      <c r="B1537" s="940">
        <v>3</v>
      </c>
      <c r="C1537" t="s">
        <v>5351</v>
      </c>
      <c r="D1537" s="940" t="s">
        <v>5352</v>
      </c>
      <c r="E1537" t="s">
        <v>376</v>
      </c>
      <c r="F1537">
        <v>1</v>
      </c>
      <c r="G1537" s="135"/>
    </row>
    <row r="1538" spans="1:7" x14ac:dyDescent="0.25">
      <c r="A1538" s="940">
        <v>3490</v>
      </c>
      <c r="B1538" s="940">
        <v>0</v>
      </c>
      <c r="C1538" t="s">
        <v>5353</v>
      </c>
      <c r="D1538" s="940" t="s">
        <v>5354</v>
      </c>
      <c r="E1538" t="s">
        <v>120</v>
      </c>
      <c r="F1538">
        <v>1</v>
      </c>
      <c r="G1538" s="135"/>
    </row>
    <row r="1539" spans="1:7" x14ac:dyDescent="0.25">
      <c r="A1539" s="940">
        <v>3490</v>
      </c>
      <c r="B1539" s="940">
        <v>0</v>
      </c>
      <c r="C1539" t="s">
        <v>5355</v>
      </c>
      <c r="D1539" s="940" t="s">
        <v>5356</v>
      </c>
      <c r="E1539" t="s">
        <v>1435</v>
      </c>
      <c r="F1539">
        <v>1</v>
      </c>
      <c r="G1539" s="135"/>
    </row>
    <row r="1540" spans="1:7" x14ac:dyDescent="0.25">
      <c r="A1540" s="940">
        <v>664</v>
      </c>
      <c r="B1540" s="940">
        <v>368</v>
      </c>
      <c r="C1540" t="s">
        <v>5357</v>
      </c>
      <c r="D1540" s="940" t="s">
        <v>5358</v>
      </c>
      <c r="E1540" t="s">
        <v>120</v>
      </c>
      <c r="F1540">
        <v>1</v>
      </c>
      <c r="G1540" s="135"/>
    </row>
    <row r="1541" spans="1:7" x14ac:dyDescent="0.25">
      <c r="A1541" s="940">
        <v>219</v>
      </c>
      <c r="B1541" s="940">
        <v>870</v>
      </c>
      <c r="C1541" t="s">
        <v>5359</v>
      </c>
      <c r="D1541" s="940" t="s">
        <v>5360</v>
      </c>
      <c r="E1541" t="s">
        <v>105</v>
      </c>
      <c r="F1541">
        <v>1</v>
      </c>
      <c r="G1541" s="135"/>
    </row>
    <row r="1542" spans="1:7" x14ac:dyDescent="0.25">
      <c r="A1542" s="940">
        <v>478</v>
      </c>
      <c r="B1542" s="940">
        <v>495</v>
      </c>
      <c r="C1542" t="s">
        <v>5361</v>
      </c>
      <c r="D1542" s="940" t="s">
        <v>5362</v>
      </c>
      <c r="E1542" t="s">
        <v>119</v>
      </c>
      <c r="F1542">
        <v>1</v>
      </c>
      <c r="G1542" s="135"/>
    </row>
    <row r="1543" spans="1:7" x14ac:dyDescent="0.25">
      <c r="A1543" s="940">
        <v>243</v>
      </c>
      <c r="B1543" s="940">
        <v>829</v>
      </c>
      <c r="C1543" t="s">
        <v>5363</v>
      </c>
      <c r="D1543" s="940" t="s">
        <v>5364</v>
      </c>
      <c r="E1543" t="s">
        <v>1158</v>
      </c>
      <c r="F1543">
        <v>1</v>
      </c>
      <c r="G1543" s="135"/>
    </row>
    <row r="1544" spans="1:7" x14ac:dyDescent="0.25">
      <c r="A1544" s="940">
        <v>2381</v>
      </c>
      <c r="B1544" s="940">
        <v>31</v>
      </c>
      <c r="C1544" t="s">
        <v>5365</v>
      </c>
      <c r="D1544" s="940" t="s">
        <v>3346</v>
      </c>
      <c r="E1544" t="s">
        <v>2880</v>
      </c>
      <c r="F1544">
        <v>1</v>
      </c>
      <c r="G1544" s="135"/>
    </row>
    <row r="1545" spans="1:7" x14ac:dyDescent="0.25">
      <c r="A1545" s="940">
        <v>1672</v>
      </c>
      <c r="B1545" s="940">
        <v>86</v>
      </c>
      <c r="C1545" t="s">
        <v>5366</v>
      </c>
      <c r="D1545" s="940" t="s">
        <v>5367</v>
      </c>
      <c r="E1545" t="s">
        <v>1214</v>
      </c>
      <c r="F1545">
        <v>1</v>
      </c>
      <c r="G1545" s="135"/>
    </row>
    <row r="1546" spans="1:7" x14ac:dyDescent="0.25">
      <c r="A1546" s="940">
        <v>2106</v>
      </c>
      <c r="B1546" s="940">
        <v>48</v>
      </c>
      <c r="C1546" t="s">
        <v>5368</v>
      </c>
      <c r="D1546" s="940" t="s">
        <v>4048</v>
      </c>
      <c r="E1546" t="s">
        <v>107</v>
      </c>
      <c r="F1546">
        <v>1</v>
      </c>
      <c r="G1546" s="135"/>
    </row>
    <row r="1547" spans="1:7" x14ac:dyDescent="0.25">
      <c r="A1547" s="940">
        <v>1074</v>
      </c>
      <c r="B1547" s="940">
        <v>192</v>
      </c>
      <c r="C1547" t="s">
        <v>1712</v>
      </c>
      <c r="D1547" s="940" t="s">
        <v>5369</v>
      </c>
      <c r="E1547" t="s">
        <v>99</v>
      </c>
      <c r="F1547">
        <v>1</v>
      </c>
      <c r="G1547" s="135"/>
    </row>
    <row r="1548" spans="1:7" x14ac:dyDescent="0.25">
      <c r="A1548" s="940">
        <v>3265</v>
      </c>
      <c r="B1548" s="940">
        <v>3</v>
      </c>
      <c r="C1548" t="s">
        <v>5370</v>
      </c>
      <c r="D1548" s="940" t="s">
        <v>4037</v>
      </c>
      <c r="E1548" t="s">
        <v>1578</v>
      </c>
      <c r="F1548">
        <v>1</v>
      </c>
      <c r="G1548" s="135"/>
    </row>
    <row r="1549" spans="1:7" x14ac:dyDescent="0.25">
      <c r="A1549" s="940">
        <v>3490</v>
      </c>
      <c r="B1549" s="940">
        <v>0</v>
      </c>
      <c r="C1549" t="s">
        <v>5371</v>
      </c>
      <c r="D1549" s="940" t="s">
        <v>5372</v>
      </c>
      <c r="E1549" t="s">
        <v>1236</v>
      </c>
      <c r="F1549">
        <v>1</v>
      </c>
      <c r="G1549" s="135"/>
    </row>
    <row r="1550" spans="1:7" x14ac:dyDescent="0.25">
      <c r="A1550" s="940">
        <v>3490</v>
      </c>
      <c r="B1550" s="940">
        <v>0</v>
      </c>
      <c r="C1550" t="s">
        <v>1713</v>
      </c>
      <c r="D1550" s="940" t="s">
        <v>5373</v>
      </c>
      <c r="E1550" t="s">
        <v>99</v>
      </c>
      <c r="F1550">
        <v>1</v>
      </c>
      <c r="G1550" s="135"/>
    </row>
    <row r="1551" spans="1:7" x14ac:dyDescent="0.25">
      <c r="A1551" s="940">
        <v>49</v>
      </c>
      <c r="B1551" s="940">
        <v>1301</v>
      </c>
      <c r="C1551" t="s">
        <v>5374</v>
      </c>
      <c r="D1551" s="940" t="s">
        <v>5375</v>
      </c>
      <c r="E1551" t="s">
        <v>1171</v>
      </c>
      <c r="F1551">
        <v>1</v>
      </c>
      <c r="G1551" s="135"/>
    </row>
    <row r="1552" spans="1:7" x14ac:dyDescent="0.25">
      <c r="A1552" s="940">
        <v>296</v>
      </c>
      <c r="B1552" s="940">
        <v>719</v>
      </c>
      <c r="C1552" t="s">
        <v>5374</v>
      </c>
      <c r="D1552" s="940" t="s">
        <v>5376</v>
      </c>
      <c r="E1552" t="s">
        <v>1493</v>
      </c>
      <c r="F1552">
        <v>1</v>
      </c>
      <c r="G1552" s="135"/>
    </row>
    <row r="1553" spans="1:7" x14ac:dyDescent="0.25">
      <c r="A1553" s="940">
        <v>2291</v>
      </c>
      <c r="B1553" s="940">
        <v>37</v>
      </c>
      <c r="C1553" t="s">
        <v>5377</v>
      </c>
      <c r="D1553" s="940" t="s">
        <v>3315</v>
      </c>
      <c r="E1553" t="s">
        <v>164</v>
      </c>
      <c r="F1553">
        <v>1</v>
      </c>
      <c r="G1553" s="135"/>
    </row>
    <row r="1554" spans="1:7" x14ac:dyDescent="0.25">
      <c r="A1554" s="940">
        <v>1247</v>
      </c>
      <c r="B1554" s="940">
        <v>146</v>
      </c>
      <c r="C1554" t="s">
        <v>5378</v>
      </c>
      <c r="D1554" s="940" t="s">
        <v>5220</v>
      </c>
      <c r="E1554" t="s">
        <v>176</v>
      </c>
      <c r="F1554">
        <v>1</v>
      </c>
      <c r="G1554" s="135"/>
    </row>
    <row r="1555" spans="1:7" x14ac:dyDescent="0.25">
      <c r="A1555" s="940">
        <v>3045</v>
      </c>
      <c r="B1555" s="940">
        <v>7</v>
      </c>
      <c r="C1555" t="s">
        <v>5379</v>
      </c>
      <c r="D1555" s="940" t="s">
        <v>5380</v>
      </c>
      <c r="E1555" t="s">
        <v>4104</v>
      </c>
      <c r="F1555">
        <v>1</v>
      </c>
      <c r="G1555" s="135"/>
    </row>
    <row r="1556" spans="1:7" x14ac:dyDescent="0.25">
      <c r="A1556" s="940">
        <v>2381</v>
      </c>
      <c r="B1556" s="940">
        <v>31</v>
      </c>
      <c r="C1556" t="s">
        <v>5381</v>
      </c>
      <c r="D1556" s="940" t="s">
        <v>4802</v>
      </c>
      <c r="E1556" t="s">
        <v>2720</v>
      </c>
      <c r="F1556">
        <v>1</v>
      </c>
      <c r="G1556" s="135"/>
    </row>
    <row r="1557" spans="1:7" x14ac:dyDescent="0.25">
      <c r="A1557" s="940">
        <v>3327</v>
      </c>
      <c r="B1557" s="940">
        <v>2</v>
      </c>
      <c r="C1557" t="s">
        <v>5382</v>
      </c>
      <c r="D1557" s="940" t="s">
        <v>5383</v>
      </c>
      <c r="E1557" t="s">
        <v>1171</v>
      </c>
      <c r="F1557">
        <v>1</v>
      </c>
      <c r="G1557" s="135"/>
    </row>
    <row r="1558" spans="1:7" x14ac:dyDescent="0.25">
      <c r="A1558" s="940">
        <v>579</v>
      </c>
      <c r="B1558" s="940">
        <v>415</v>
      </c>
      <c r="C1558" t="s">
        <v>2554</v>
      </c>
      <c r="D1558" s="940" t="s">
        <v>5384</v>
      </c>
      <c r="E1558" t="s">
        <v>1332</v>
      </c>
      <c r="F1558">
        <v>1</v>
      </c>
      <c r="G1558" s="135"/>
    </row>
    <row r="1559" spans="1:7" x14ac:dyDescent="0.25">
      <c r="A1559" s="940">
        <v>390</v>
      </c>
      <c r="B1559" s="940">
        <v>580</v>
      </c>
      <c r="C1559" t="s">
        <v>5385</v>
      </c>
      <c r="D1559" s="940" t="s">
        <v>5386</v>
      </c>
      <c r="E1559" t="s">
        <v>120</v>
      </c>
      <c r="F1559">
        <v>1</v>
      </c>
      <c r="G1559" s="135"/>
    </row>
    <row r="1560" spans="1:7" x14ac:dyDescent="0.25">
      <c r="A1560" s="940">
        <v>3490</v>
      </c>
      <c r="B1560" s="940">
        <v>0</v>
      </c>
      <c r="C1560" t="s">
        <v>5387</v>
      </c>
      <c r="D1560" s="940" t="s">
        <v>5388</v>
      </c>
      <c r="E1560" t="s">
        <v>120</v>
      </c>
      <c r="F1560">
        <v>1</v>
      </c>
      <c r="G1560" s="135"/>
    </row>
    <row r="1561" spans="1:7" x14ac:dyDescent="0.25">
      <c r="A1561" s="940">
        <v>795</v>
      </c>
      <c r="B1561" s="940">
        <v>299</v>
      </c>
      <c r="C1561" t="s">
        <v>1715</v>
      </c>
      <c r="D1561" s="940" t="s">
        <v>5389</v>
      </c>
      <c r="E1561" t="s">
        <v>99</v>
      </c>
      <c r="F1561">
        <v>1</v>
      </c>
      <c r="G1561" s="135"/>
    </row>
    <row r="1562" spans="1:7" x14ac:dyDescent="0.25">
      <c r="A1562" s="940">
        <v>2626</v>
      </c>
      <c r="B1562" s="940">
        <v>19</v>
      </c>
      <c r="C1562" t="s">
        <v>5390</v>
      </c>
      <c r="D1562" s="940" t="s">
        <v>2927</v>
      </c>
      <c r="E1562" t="s">
        <v>105</v>
      </c>
      <c r="F1562">
        <v>1</v>
      </c>
      <c r="G1562" s="135"/>
    </row>
    <row r="1563" spans="1:7" x14ac:dyDescent="0.25">
      <c r="A1563" s="940">
        <v>1254</v>
      </c>
      <c r="B1563" s="940">
        <v>144</v>
      </c>
      <c r="C1563" t="s">
        <v>1716</v>
      </c>
      <c r="D1563" s="940" t="s">
        <v>5391</v>
      </c>
      <c r="E1563" t="s">
        <v>106</v>
      </c>
      <c r="F1563">
        <v>1</v>
      </c>
      <c r="G1563" s="135"/>
    </row>
    <row r="1564" spans="1:7" x14ac:dyDescent="0.25">
      <c r="A1564" s="940">
        <v>1148</v>
      </c>
      <c r="B1564" s="940">
        <v>168</v>
      </c>
      <c r="C1564" t="s">
        <v>5392</v>
      </c>
      <c r="D1564" s="940" t="s">
        <v>5393</v>
      </c>
      <c r="E1564" t="s">
        <v>2654</v>
      </c>
      <c r="F1564">
        <v>1</v>
      </c>
      <c r="G1564" s="135"/>
    </row>
    <row r="1565" spans="1:7" x14ac:dyDescent="0.25">
      <c r="A1565" s="940">
        <v>3490</v>
      </c>
      <c r="B1565" s="940">
        <v>0</v>
      </c>
      <c r="C1565" t="s">
        <v>5394</v>
      </c>
      <c r="D1565" s="940" t="s">
        <v>3109</v>
      </c>
      <c r="E1565" t="s">
        <v>2846</v>
      </c>
      <c r="F1565">
        <v>1</v>
      </c>
      <c r="G1565" s="135"/>
    </row>
    <row r="1566" spans="1:7" x14ac:dyDescent="0.25">
      <c r="A1566" s="940">
        <v>557</v>
      </c>
      <c r="B1566" s="940">
        <v>433</v>
      </c>
      <c r="C1566" t="s">
        <v>5395</v>
      </c>
      <c r="D1566" s="940" t="s">
        <v>5396</v>
      </c>
      <c r="E1566" t="s">
        <v>1236</v>
      </c>
      <c r="F1566">
        <v>1</v>
      </c>
      <c r="G1566" s="135"/>
    </row>
    <row r="1567" spans="1:7" x14ac:dyDescent="0.25">
      <c r="A1567" s="940">
        <v>2743</v>
      </c>
      <c r="B1567" s="940">
        <v>15</v>
      </c>
      <c r="C1567" t="s">
        <v>5397</v>
      </c>
      <c r="D1567" s="940" t="s">
        <v>4611</v>
      </c>
      <c r="E1567" t="s">
        <v>213</v>
      </c>
      <c r="F1567">
        <v>1</v>
      </c>
      <c r="G1567" s="135"/>
    </row>
    <row r="1568" spans="1:7" x14ac:dyDescent="0.25">
      <c r="A1568" s="940">
        <v>3490</v>
      </c>
      <c r="B1568" s="940">
        <v>0</v>
      </c>
      <c r="C1568" t="s">
        <v>5398</v>
      </c>
      <c r="D1568" s="940" t="s">
        <v>5399</v>
      </c>
      <c r="E1568" t="s">
        <v>376</v>
      </c>
      <c r="F1568">
        <v>1</v>
      </c>
      <c r="G1568" s="135"/>
    </row>
    <row r="1569" spans="1:7" x14ac:dyDescent="0.25">
      <c r="A1569" s="940">
        <v>3045</v>
      </c>
      <c r="B1569" s="940">
        <v>7</v>
      </c>
      <c r="C1569" t="s">
        <v>5400</v>
      </c>
      <c r="D1569" s="940" t="s">
        <v>5401</v>
      </c>
      <c r="E1569" t="s">
        <v>120</v>
      </c>
      <c r="F1569">
        <v>1</v>
      </c>
      <c r="G1569" s="135"/>
    </row>
    <row r="1570" spans="1:7" x14ac:dyDescent="0.25">
      <c r="A1570" s="940">
        <v>2416</v>
      </c>
      <c r="B1570" s="940">
        <v>29</v>
      </c>
      <c r="C1570" t="s">
        <v>5402</v>
      </c>
      <c r="D1570" s="940" t="s">
        <v>4494</v>
      </c>
      <c r="E1570" t="s">
        <v>111</v>
      </c>
      <c r="F1570">
        <v>1</v>
      </c>
      <c r="G1570" s="135"/>
    </row>
    <row r="1571" spans="1:7" x14ac:dyDescent="0.25">
      <c r="A1571" s="940">
        <v>1781</v>
      </c>
      <c r="B1571" s="940">
        <v>75</v>
      </c>
      <c r="C1571" t="s">
        <v>5403</v>
      </c>
      <c r="D1571" s="940" t="s">
        <v>3601</v>
      </c>
      <c r="E1571" t="s">
        <v>74</v>
      </c>
      <c r="F1571">
        <v>1</v>
      </c>
      <c r="G1571" s="135"/>
    </row>
    <row r="1572" spans="1:7" x14ac:dyDescent="0.25">
      <c r="A1572" s="940">
        <v>631</v>
      </c>
      <c r="B1572" s="940">
        <v>383</v>
      </c>
      <c r="C1572" t="s">
        <v>5404</v>
      </c>
      <c r="D1572" s="940" t="s">
        <v>5405</v>
      </c>
      <c r="E1572" t="s">
        <v>863</v>
      </c>
      <c r="F1572">
        <v>1</v>
      </c>
      <c r="G1572" s="135"/>
    </row>
    <row r="1573" spans="1:7" x14ac:dyDescent="0.25">
      <c r="A1573" s="940">
        <v>1054</v>
      </c>
      <c r="B1573" s="940">
        <v>199</v>
      </c>
      <c r="C1573" t="s">
        <v>5406</v>
      </c>
      <c r="D1573" s="940" t="s">
        <v>5407</v>
      </c>
      <c r="E1573" t="s">
        <v>3140</v>
      </c>
      <c r="F1573">
        <v>1</v>
      </c>
      <c r="G1573" s="135"/>
    </row>
    <row r="1574" spans="1:7" x14ac:dyDescent="0.25">
      <c r="A1574" s="940">
        <v>3490</v>
      </c>
      <c r="B1574" s="940">
        <v>0</v>
      </c>
      <c r="C1574" t="s">
        <v>5408</v>
      </c>
      <c r="D1574" s="940" t="s">
        <v>3301</v>
      </c>
      <c r="E1574" t="s">
        <v>120</v>
      </c>
      <c r="F1574">
        <v>1</v>
      </c>
      <c r="G1574" s="135"/>
    </row>
    <row r="1575" spans="1:7" x14ac:dyDescent="0.25">
      <c r="A1575" s="940">
        <v>1514</v>
      </c>
      <c r="B1575" s="940">
        <v>104</v>
      </c>
      <c r="C1575" t="s">
        <v>5409</v>
      </c>
      <c r="D1575" s="940" t="s">
        <v>3905</v>
      </c>
      <c r="E1575" t="s">
        <v>4574</v>
      </c>
      <c r="F1575">
        <v>1</v>
      </c>
      <c r="G1575" s="135"/>
    </row>
    <row r="1576" spans="1:7" x14ac:dyDescent="0.25">
      <c r="A1576" s="940">
        <v>3490</v>
      </c>
      <c r="B1576" s="940">
        <v>0</v>
      </c>
      <c r="C1576" t="s">
        <v>5410</v>
      </c>
      <c r="D1576" s="940" t="s">
        <v>3376</v>
      </c>
      <c r="E1576" t="s">
        <v>110</v>
      </c>
      <c r="F1576">
        <v>1</v>
      </c>
      <c r="G1576" s="135"/>
    </row>
    <row r="1577" spans="1:7" x14ac:dyDescent="0.25">
      <c r="A1577" s="940">
        <v>3490</v>
      </c>
      <c r="B1577" s="940">
        <v>0</v>
      </c>
      <c r="C1577" t="s">
        <v>5411</v>
      </c>
      <c r="D1577" s="940" t="s">
        <v>5412</v>
      </c>
      <c r="E1577" t="s">
        <v>105</v>
      </c>
      <c r="F1577">
        <v>1</v>
      </c>
      <c r="G1577" s="135"/>
    </row>
    <row r="1578" spans="1:7" x14ac:dyDescent="0.25">
      <c r="A1578" s="940">
        <v>2004</v>
      </c>
      <c r="B1578" s="940">
        <v>55</v>
      </c>
      <c r="C1578" t="s">
        <v>5413</v>
      </c>
      <c r="D1578" s="940" t="s">
        <v>3212</v>
      </c>
      <c r="E1578" t="s">
        <v>105</v>
      </c>
      <c r="F1578">
        <v>1</v>
      </c>
      <c r="G1578" s="135"/>
    </row>
    <row r="1579" spans="1:7" x14ac:dyDescent="0.25">
      <c r="A1579" s="940">
        <v>457</v>
      </c>
      <c r="B1579" s="940">
        <v>513</v>
      </c>
      <c r="C1579" t="s">
        <v>497</v>
      </c>
      <c r="D1579" s="940" t="s">
        <v>5414</v>
      </c>
      <c r="E1579" t="s">
        <v>120</v>
      </c>
      <c r="F1579">
        <v>1</v>
      </c>
      <c r="G1579" s="135"/>
    </row>
    <row r="1580" spans="1:7" x14ac:dyDescent="0.25">
      <c r="A1580" s="940">
        <v>1581</v>
      </c>
      <c r="B1580" s="940">
        <v>97</v>
      </c>
      <c r="C1580" t="s">
        <v>5415</v>
      </c>
      <c r="D1580" s="940" t="s">
        <v>5416</v>
      </c>
      <c r="E1580" t="s">
        <v>165</v>
      </c>
      <c r="F1580">
        <v>1</v>
      </c>
      <c r="G1580" s="135"/>
    </row>
    <row r="1581" spans="1:7" x14ac:dyDescent="0.25">
      <c r="A1581" s="940">
        <v>3490</v>
      </c>
      <c r="B1581" s="940">
        <v>0</v>
      </c>
      <c r="C1581" t="s">
        <v>5417</v>
      </c>
      <c r="D1581" s="940" t="s">
        <v>5418</v>
      </c>
      <c r="E1581" t="s">
        <v>163</v>
      </c>
      <c r="F1581">
        <v>1</v>
      </c>
      <c r="G1581" s="135"/>
    </row>
    <row r="1582" spans="1:7" x14ac:dyDescent="0.25">
      <c r="A1582" s="940">
        <v>1787</v>
      </c>
      <c r="B1582" s="940">
        <v>74</v>
      </c>
      <c r="C1582" t="s">
        <v>5419</v>
      </c>
      <c r="D1582" s="940" t="s">
        <v>5420</v>
      </c>
      <c r="E1582" t="s">
        <v>231</v>
      </c>
      <c r="F1582">
        <v>1</v>
      </c>
      <c r="G1582" s="135"/>
    </row>
    <row r="1583" spans="1:7" x14ac:dyDescent="0.25">
      <c r="A1583" s="940">
        <v>1313</v>
      </c>
      <c r="B1583" s="940">
        <v>133</v>
      </c>
      <c r="C1583" t="s">
        <v>5421</v>
      </c>
      <c r="D1583" s="940" t="s">
        <v>5422</v>
      </c>
      <c r="E1583" t="s">
        <v>120</v>
      </c>
      <c r="F1583">
        <v>1</v>
      </c>
      <c r="G1583" s="135"/>
    </row>
    <row r="1584" spans="1:7" x14ac:dyDescent="0.25">
      <c r="A1584" s="940">
        <v>3141</v>
      </c>
      <c r="B1584" s="940">
        <v>5</v>
      </c>
      <c r="C1584" t="s">
        <v>5423</v>
      </c>
      <c r="D1584" s="940" t="s">
        <v>2886</v>
      </c>
      <c r="E1584" t="s">
        <v>2654</v>
      </c>
      <c r="F1584">
        <v>1</v>
      </c>
      <c r="G1584" s="135"/>
    </row>
    <row r="1585" spans="1:7" x14ac:dyDescent="0.25">
      <c r="A1585" s="940">
        <v>1031</v>
      </c>
      <c r="B1585" s="940">
        <v>205</v>
      </c>
      <c r="C1585" t="s">
        <v>250</v>
      </c>
      <c r="D1585" s="940" t="s">
        <v>5424</v>
      </c>
      <c r="E1585" t="s">
        <v>120</v>
      </c>
      <c r="F1585">
        <v>1</v>
      </c>
      <c r="G1585" s="135"/>
    </row>
    <row r="1586" spans="1:7" x14ac:dyDescent="0.25">
      <c r="A1586" s="940">
        <v>1393</v>
      </c>
      <c r="B1586" s="940">
        <v>121</v>
      </c>
      <c r="C1586" t="s">
        <v>5425</v>
      </c>
      <c r="D1586" s="940" t="s">
        <v>4862</v>
      </c>
      <c r="E1586" t="s">
        <v>3487</v>
      </c>
      <c r="F1586">
        <v>1</v>
      </c>
      <c r="G1586" s="135"/>
    </row>
    <row r="1587" spans="1:7" x14ac:dyDescent="0.25">
      <c r="A1587" s="940">
        <v>2743</v>
      </c>
      <c r="B1587" s="940">
        <v>15</v>
      </c>
      <c r="C1587" t="s">
        <v>5426</v>
      </c>
      <c r="D1587" s="940" t="s">
        <v>5427</v>
      </c>
      <c r="E1587" t="s">
        <v>120</v>
      </c>
      <c r="F1587">
        <v>1</v>
      </c>
      <c r="G1587" s="135"/>
    </row>
    <row r="1588" spans="1:7" x14ac:dyDescent="0.25">
      <c r="A1588" s="940">
        <v>1627</v>
      </c>
      <c r="B1588" s="940">
        <v>92</v>
      </c>
      <c r="C1588" t="s">
        <v>5428</v>
      </c>
      <c r="D1588" s="940" t="s">
        <v>5429</v>
      </c>
      <c r="E1588" t="s">
        <v>112</v>
      </c>
      <c r="F1588">
        <v>1</v>
      </c>
      <c r="G1588" s="135"/>
    </row>
    <row r="1589" spans="1:7" x14ac:dyDescent="0.25">
      <c r="A1589" s="940">
        <v>2814</v>
      </c>
      <c r="B1589" s="940">
        <v>13</v>
      </c>
      <c r="C1589" t="s">
        <v>5430</v>
      </c>
      <c r="D1589" s="940" t="s">
        <v>5431</v>
      </c>
      <c r="E1589" t="s">
        <v>1248</v>
      </c>
      <c r="F1589">
        <v>1</v>
      </c>
      <c r="G1589" s="135"/>
    </row>
    <row r="1590" spans="1:7" x14ac:dyDescent="0.25">
      <c r="A1590" s="940">
        <v>1292</v>
      </c>
      <c r="B1590" s="940">
        <v>137</v>
      </c>
      <c r="C1590" t="s">
        <v>5432</v>
      </c>
      <c r="D1590" s="940" t="s">
        <v>3721</v>
      </c>
      <c r="E1590" t="s">
        <v>1214</v>
      </c>
      <c r="F1590">
        <v>1</v>
      </c>
      <c r="G1590" s="135"/>
    </row>
    <row r="1591" spans="1:7" x14ac:dyDescent="0.25">
      <c r="A1591" s="940">
        <v>2839</v>
      </c>
      <c r="B1591" s="940">
        <v>12</v>
      </c>
      <c r="C1591" t="s">
        <v>5433</v>
      </c>
      <c r="D1591" s="940" t="s">
        <v>5434</v>
      </c>
      <c r="E1591" t="s">
        <v>117</v>
      </c>
      <c r="F1591">
        <v>1</v>
      </c>
      <c r="G1591" s="135"/>
    </row>
    <row r="1592" spans="1:7" x14ac:dyDescent="0.25">
      <c r="A1592" s="940">
        <v>1581</v>
      </c>
      <c r="B1592" s="940">
        <v>97</v>
      </c>
      <c r="C1592" t="s">
        <v>5435</v>
      </c>
      <c r="D1592" s="940" t="s">
        <v>5436</v>
      </c>
      <c r="E1592" t="s">
        <v>132</v>
      </c>
      <c r="F1592">
        <v>1</v>
      </c>
      <c r="G1592" s="135"/>
    </row>
    <row r="1593" spans="1:7" x14ac:dyDescent="0.25">
      <c r="A1593" s="940">
        <v>2659</v>
      </c>
      <c r="B1593" s="940">
        <v>18</v>
      </c>
      <c r="C1593" t="s">
        <v>5435</v>
      </c>
      <c r="D1593" s="940" t="s">
        <v>5256</v>
      </c>
      <c r="E1593" t="s">
        <v>1700</v>
      </c>
      <c r="F1593">
        <v>1</v>
      </c>
      <c r="G1593" s="135"/>
    </row>
    <row r="1594" spans="1:7" x14ac:dyDescent="0.25">
      <c r="A1594" s="940">
        <v>3490</v>
      </c>
      <c r="B1594" s="940">
        <v>0</v>
      </c>
      <c r="C1594" t="s">
        <v>5437</v>
      </c>
      <c r="D1594" s="940" t="s">
        <v>5438</v>
      </c>
      <c r="E1594" t="s">
        <v>1968</v>
      </c>
      <c r="F1594">
        <v>1</v>
      </c>
      <c r="G1594" s="135"/>
    </row>
    <row r="1595" spans="1:7" x14ac:dyDescent="0.25">
      <c r="A1595" s="940">
        <v>3490</v>
      </c>
      <c r="B1595" s="940">
        <v>0</v>
      </c>
      <c r="C1595" t="s">
        <v>5439</v>
      </c>
      <c r="D1595" s="940" t="s">
        <v>2653</v>
      </c>
      <c r="E1595" t="s">
        <v>163</v>
      </c>
      <c r="F1595">
        <v>1</v>
      </c>
      <c r="G1595" s="135"/>
    </row>
    <row r="1596" spans="1:7" x14ac:dyDescent="0.25">
      <c r="A1596" s="940">
        <v>1627</v>
      </c>
      <c r="B1596" s="940">
        <v>92</v>
      </c>
      <c r="C1596" t="s">
        <v>2555</v>
      </c>
      <c r="D1596" s="940" t="s">
        <v>5440</v>
      </c>
      <c r="E1596" t="s">
        <v>128</v>
      </c>
      <c r="F1596">
        <v>1</v>
      </c>
      <c r="G1596" s="135"/>
    </row>
    <row r="1597" spans="1:7" x14ac:dyDescent="0.25">
      <c r="A1597" s="940">
        <v>2347</v>
      </c>
      <c r="B1597" s="940">
        <v>33</v>
      </c>
      <c r="C1597" t="s">
        <v>5441</v>
      </c>
      <c r="D1597" s="940" t="s">
        <v>5442</v>
      </c>
      <c r="E1597" t="s">
        <v>99</v>
      </c>
      <c r="F1597">
        <v>1</v>
      </c>
      <c r="G1597" s="135"/>
    </row>
    <row r="1598" spans="1:7" x14ac:dyDescent="0.25">
      <c r="A1598" s="940">
        <v>3490</v>
      </c>
      <c r="B1598" s="940">
        <v>0</v>
      </c>
      <c r="C1598" t="s">
        <v>5441</v>
      </c>
      <c r="D1598" s="940" t="s">
        <v>5443</v>
      </c>
      <c r="E1598" t="s">
        <v>105</v>
      </c>
      <c r="F1598">
        <v>1</v>
      </c>
      <c r="G1598" s="135"/>
    </row>
    <row r="1599" spans="1:7" x14ac:dyDescent="0.25">
      <c r="A1599" s="940">
        <v>1836</v>
      </c>
      <c r="B1599" s="940">
        <v>69</v>
      </c>
      <c r="C1599" t="s">
        <v>5444</v>
      </c>
      <c r="D1599" s="940" t="s">
        <v>5445</v>
      </c>
      <c r="E1599" t="s">
        <v>1261</v>
      </c>
      <c r="F1599">
        <v>1</v>
      </c>
      <c r="G1599" s="135"/>
    </row>
    <row r="1600" spans="1:7" x14ac:dyDescent="0.25">
      <c r="A1600" s="940">
        <v>1730</v>
      </c>
      <c r="B1600" s="940">
        <v>80</v>
      </c>
      <c r="C1600" t="s">
        <v>5446</v>
      </c>
      <c r="D1600" s="940" t="s">
        <v>5447</v>
      </c>
      <c r="E1600" t="s">
        <v>1754</v>
      </c>
      <c r="F1600">
        <v>1</v>
      </c>
      <c r="G1600" s="135"/>
    </row>
    <row r="1601" spans="1:7" x14ac:dyDescent="0.25">
      <c r="A1601" s="940">
        <v>2814</v>
      </c>
      <c r="B1601" s="940">
        <v>13</v>
      </c>
      <c r="C1601" t="s">
        <v>5446</v>
      </c>
      <c r="D1601" s="940" t="s">
        <v>5448</v>
      </c>
      <c r="E1601" t="s">
        <v>170</v>
      </c>
      <c r="F1601">
        <v>1</v>
      </c>
      <c r="G1601" s="135"/>
    </row>
    <row r="1602" spans="1:7" x14ac:dyDescent="0.25">
      <c r="A1602" s="940">
        <v>2032</v>
      </c>
      <c r="B1602" s="940">
        <v>53</v>
      </c>
      <c r="C1602" t="s">
        <v>5449</v>
      </c>
      <c r="D1602" s="940" t="s">
        <v>5450</v>
      </c>
      <c r="E1602" t="s">
        <v>112</v>
      </c>
      <c r="F1602">
        <v>1</v>
      </c>
      <c r="G1602" s="135"/>
    </row>
    <row r="1603" spans="1:7" x14ac:dyDescent="0.25">
      <c r="A1603" s="940">
        <v>3490</v>
      </c>
      <c r="B1603" s="940">
        <v>0</v>
      </c>
      <c r="C1603" t="s">
        <v>5451</v>
      </c>
      <c r="D1603" s="940" t="s">
        <v>5452</v>
      </c>
      <c r="E1603" t="s">
        <v>99</v>
      </c>
      <c r="F1603">
        <v>1</v>
      </c>
      <c r="G1603" s="135"/>
    </row>
    <row r="1604" spans="1:7" x14ac:dyDescent="0.25">
      <c r="A1604" s="940">
        <v>2335</v>
      </c>
      <c r="B1604" s="940">
        <v>34</v>
      </c>
      <c r="C1604" t="s">
        <v>1725</v>
      </c>
      <c r="D1604" s="940" t="s">
        <v>5453</v>
      </c>
      <c r="E1604" t="s">
        <v>115</v>
      </c>
      <c r="F1604">
        <v>1</v>
      </c>
      <c r="G1604" s="135"/>
    </row>
    <row r="1605" spans="1:7" x14ac:dyDescent="0.25">
      <c r="A1605" s="940">
        <v>3327</v>
      </c>
      <c r="B1605" s="940">
        <v>2</v>
      </c>
      <c r="C1605" t="s">
        <v>5454</v>
      </c>
      <c r="D1605" s="940" t="s">
        <v>5455</v>
      </c>
      <c r="E1605" t="s">
        <v>376</v>
      </c>
      <c r="F1605">
        <v>1</v>
      </c>
      <c r="G1605" s="135"/>
    </row>
    <row r="1606" spans="1:7" x14ac:dyDescent="0.25">
      <c r="A1606" s="940">
        <v>1514</v>
      </c>
      <c r="B1606" s="940">
        <v>104</v>
      </c>
      <c r="C1606" t="s">
        <v>5456</v>
      </c>
      <c r="D1606" s="940" t="s">
        <v>5457</v>
      </c>
      <c r="E1606" t="s">
        <v>170</v>
      </c>
      <c r="F1606">
        <v>1</v>
      </c>
      <c r="G1606" s="135"/>
    </row>
    <row r="1607" spans="1:7" x14ac:dyDescent="0.25">
      <c r="A1607" s="940">
        <v>3490</v>
      </c>
      <c r="B1607" s="940">
        <v>0</v>
      </c>
      <c r="C1607" t="s">
        <v>5458</v>
      </c>
      <c r="D1607" s="940" t="s">
        <v>3317</v>
      </c>
      <c r="E1607" t="s">
        <v>99</v>
      </c>
      <c r="F1607">
        <v>1</v>
      </c>
      <c r="G1607" s="135"/>
    </row>
    <row r="1608" spans="1:7" x14ac:dyDescent="0.25">
      <c r="A1608" s="940">
        <v>165</v>
      </c>
      <c r="B1608" s="940">
        <v>944</v>
      </c>
      <c r="C1608" t="s">
        <v>5459</v>
      </c>
      <c r="D1608" s="940" t="s">
        <v>5460</v>
      </c>
      <c r="E1608" t="s">
        <v>5461</v>
      </c>
      <c r="F1608">
        <v>1</v>
      </c>
      <c r="G1608" s="135"/>
    </row>
    <row r="1609" spans="1:7" x14ac:dyDescent="0.25">
      <c r="A1609" s="940">
        <v>2539</v>
      </c>
      <c r="B1609" s="940">
        <v>23</v>
      </c>
      <c r="C1609" t="s">
        <v>5462</v>
      </c>
      <c r="D1609" s="940" t="s">
        <v>2888</v>
      </c>
      <c r="E1609" t="s">
        <v>147</v>
      </c>
      <c r="F1609">
        <v>1</v>
      </c>
      <c r="G1609" s="135"/>
    </row>
    <row r="1610" spans="1:7" x14ac:dyDescent="0.25">
      <c r="A1610" s="940">
        <v>2959</v>
      </c>
      <c r="B1610" s="940">
        <v>9</v>
      </c>
      <c r="C1610" t="s">
        <v>5463</v>
      </c>
      <c r="D1610" s="940" t="s">
        <v>4280</v>
      </c>
      <c r="E1610" t="s">
        <v>1200</v>
      </c>
      <c r="F1610">
        <v>1</v>
      </c>
      <c r="G1610" s="135"/>
    </row>
    <row r="1611" spans="1:7" x14ac:dyDescent="0.25">
      <c r="A1611" s="940">
        <v>515</v>
      </c>
      <c r="B1611" s="940">
        <v>455</v>
      </c>
      <c r="C1611" t="s">
        <v>5464</v>
      </c>
      <c r="D1611" s="940" t="s">
        <v>5465</v>
      </c>
      <c r="E1611" t="s">
        <v>105</v>
      </c>
      <c r="F1611">
        <v>1</v>
      </c>
      <c r="G1611" s="135"/>
    </row>
    <row r="1612" spans="1:7" x14ac:dyDescent="0.25">
      <c r="A1612" s="940">
        <v>1484</v>
      </c>
      <c r="B1612" s="940">
        <v>108</v>
      </c>
      <c r="C1612" t="s">
        <v>5466</v>
      </c>
      <c r="D1612" s="940" t="s">
        <v>5467</v>
      </c>
      <c r="E1612" t="s">
        <v>105</v>
      </c>
      <c r="F1612">
        <v>1</v>
      </c>
      <c r="G1612" s="135"/>
    </row>
    <row r="1613" spans="1:7" x14ac:dyDescent="0.25">
      <c r="A1613" s="940">
        <v>3490</v>
      </c>
      <c r="B1613" s="940">
        <v>0</v>
      </c>
      <c r="C1613" t="s">
        <v>5468</v>
      </c>
      <c r="D1613" s="940" t="s">
        <v>5469</v>
      </c>
      <c r="E1613" t="s">
        <v>139</v>
      </c>
      <c r="F1613">
        <v>1</v>
      </c>
      <c r="G1613" s="135"/>
    </row>
    <row r="1614" spans="1:7" x14ac:dyDescent="0.25">
      <c r="A1614" s="940">
        <v>2714</v>
      </c>
      <c r="B1614" s="940">
        <v>16</v>
      </c>
      <c r="C1614" t="s">
        <v>5470</v>
      </c>
      <c r="D1614" s="940" t="s">
        <v>4780</v>
      </c>
      <c r="E1614" t="s">
        <v>105</v>
      </c>
      <c r="F1614">
        <v>1</v>
      </c>
      <c r="G1614" s="135"/>
    </row>
    <row r="1615" spans="1:7" x14ac:dyDescent="0.25">
      <c r="A1615" s="940">
        <v>390</v>
      </c>
      <c r="B1615" s="940">
        <v>580</v>
      </c>
      <c r="C1615" t="s">
        <v>5471</v>
      </c>
      <c r="D1615" s="940" t="s">
        <v>5472</v>
      </c>
      <c r="E1615" t="s">
        <v>126</v>
      </c>
      <c r="F1615">
        <v>1</v>
      </c>
      <c r="G1615" s="135"/>
    </row>
    <row r="1616" spans="1:7" x14ac:dyDescent="0.25">
      <c r="A1616" s="940">
        <v>2347</v>
      </c>
      <c r="B1616" s="940">
        <v>33</v>
      </c>
      <c r="C1616" t="s">
        <v>5473</v>
      </c>
      <c r="D1616" s="940" t="s">
        <v>5474</v>
      </c>
      <c r="E1616" t="s">
        <v>122</v>
      </c>
      <c r="F1616">
        <v>1</v>
      </c>
      <c r="G1616" s="135"/>
    </row>
    <row r="1617" spans="1:7" x14ac:dyDescent="0.25">
      <c r="A1617" s="940">
        <v>3490</v>
      </c>
      <c r="B1617" s="940">
        <v>0</v>
      </c>
      <c r="C1617" t="s">
        <v>5475</v>
      </c>
      <c r="D1617" s="940" t="s">
        <v>5476</v>
      </c>
      <c r="E1617" t="s">
        <v>1961</v>
      </c>
      <c r="F1617">
        <v>1</v>
      </c>
      <c r="G1617" s="135"/>
    </row>
    <row r="1618" spans="1:7" x14ac:dyDescent="0.25">
      <c r="A1618" s="940">
        <v>304</v>
      </c>
      <c r="B1618" s="940">
        <v>709</v>
      </c>
      <c r="C1618" t="s">
        <v>5477</v>
      </c>
      <c r="D1618" s="940" t="s">
        <v>5478</v>
      </c>
      <c r="E1618" t="s">
        <v>126</v>
      </c>
      <c r="F1618">
        <v>1</v>
      </c>
      <c r="G1618" s="135"/>
    </row>
    <row r="1619" spans="1:7" x14ac:dyDescent="0.25">
      <c r="A1619" s="940">
        <v>2659</v>
      </c>
      <c r="B1619" s="940">
        <v>18</v>
      </c>
      <c r="C1619" t="s">
        <v>1731</v>
      </c>
      <c r="D1619" s="940" t="s">
        <v>5479</v>
      </c>
      <c r="E1619" t="s">
        <v>84</v>
      </c>
      <c r="F1619">
        <v>1</v>
      </c>
      <c r="G1619" s="135"/>
    </row>
    <row r="1620" spans="1:7" x14ac:dyDescent="0.25">
      <c r="A1620" s="940">
        <v>3490</v>
      </c>
      <c r="B1620" s="940">
        <v>0</v>
      </c>
      <c r="C1620" t="s">
        <v>5480</v>
      </c>
      <c r="D1620" s="940" t="s">
        <v>5481</v>
      </c>
      <c r="E1620" t="s">
        <v>99</v>
      </c>
      <c r="F1620">
        <v>1</v>
      </c>
      <c r="G1620" s="135"/>
    </row>
    <row r="1621" spans="1:7" x14ac:dyDescent="0.25">
      <c r="A1621" s="940">
        <v>3490</v>
      </c>
      <c r="B1621" s="940">
        <v>0</v>
      </c>
      <c r="C1621" t="s">
        <v>5482</v>
      </c>
      <c r="D1621" s="940" t="s">
        <v>5483</v>
      </c>
      <c r="E1621" t="s">
        <v>105</v>
      </c>
      <c r="F1621">
        <v>1</v>
      </c>
      <c r="G1621" s="135"/>
    </row>
    <row r="1622" spans="1:7" x14ac:dyDescent="0.25">
      <c r="A1622" s="940">
        <v>455</v>
      </c>
      <c r="B1622" s="940">
        <v>516</v>
      </c>
      <c r="C1622" t="s">
        <v>5484</v>
      </c>
      <c r="D1622" s="940" t="s">
        <v>5485</v>
      </c>
      <c r="E1622" t="s">
        <v>132</v>
      </c>
      <c r="F1622">
        <v>1</v>
      </c>
      <c r="G1622" s="135"/>
    </row>
    <row r="1623" spans="1:7" x14ac:dyDescent="0.25">
      <c r="A1623" s="940">
        <v>3141</v>
      </c>
      <c r="B1623" s="940">
        <v>5</v>
      </c>
      <c r="C1623" t="s">
        <v>5484</v>
      </c>
      <c r="D1623" s="940" t="s">
        <v>5486</v>
      </c>
      <c r="E1623" t="s">
        <v>120</v>
      </c>
      <c r="F1623">
        <v>1</v>
      </c>
      <c r="G1623" s="135"/>
    </row>
    <row r="1624" spans="1:7" x14ac:dyDescent="0.25">
      <c r="A1624" s="940">
        <v>2416</v>
      </c>
      <c r="B1624" s="940">
        <v>29</v>
      </c>
      <c r="C1624" t="s">
        <v>5487</v>
      </c>
      <c r="D1624" s="940" t="s">
        <v>5488</v>
      </c>
      <c r="E1624" t="s">
        <v>105</v>
      </c>
      <c r="F1624">
        <v>1</v>
      </c>
      <c r="G1624" s="135"/>
    </row>
    <row r="1625" spans="1:7" x14ac:dyDescent="0.25">
      <c r="A1625" s="940">
        <v>124</v>
      </c>
      <c r="B1625" s="940">
        <v>1034</v>
      </c>
      <c r="C1625" t="s">
        <v>5489</v>
      </c>
      <c r="D1625" s="940" t="s">
        <v>5490</v>
      </c>
      <c r="E1625" t="s">
        <v>109</v>
      </c>
      <c r="F1625">
        <v>1</v>
      </c>
      <c r="G1625" s="135"/>
    </row>
    <row r="1626" spans="1:7" x14ac:dyDescent="0.25">
      <c r="A1626" s="940">
        <v>578</v>
      </c>
      <c r="B1626" s="940">
        <v>416</v>
      </c>
      <c r="C1626" t="s">
        <v>5491</v>
      </c>
      <c r="D1626" s="940" t="s">
        <v>5492</v>
      </c>
      <c r="E1626" t="s">
        <v>122</v>
      </c>
      <c r="F1626">
        <v>1</v>
      </c>
      <c r="G1626" s="135"/>
    </row>
    <row r="1627" spans="1:7" x14ac:dyDescent="0.25">
      <c r="A1627" s="940">
        <v>611</v>
      </c>
      <c r="B1627" s="940">
        <v>396</v>
      </c>
      <c r="C1627" t="s">
        <v>501</v>
      </c>
      <c r="D1627" s="940" t="s">
        <v>2786</v>
      </c>
      <c r="E1627" t="s">
        <v>164</v>
      </c>
      <c r="F1627">
        <v>1</v>
      </c>
      <c r="G1627" s="135"/>
    </row>
    <row r="1628" spans="1:7" x14ac:dyDescent="0.25">
      <c r="A1628" s="940">
        <v>2743</v>
      </c>
      <c r="B1628" s="940">
        <v>15</v>
      </c>
      <c r="C1628" t="s">
        <v>5493</v>
      </c>
      <c r="D1628" s="940" t="s">
        <v>5494</v>
      </c>
      <c r="E1628" t="s">
        <v>1358</v>
      </c>
      <c r="F1628">
        <v>1</v>
      </c>
      <c r="G1628" s="135"/>
    </row>
    <row r="1629" spans="1:7" x14ac:dyDescent="0.25">
      <c r="A1629" s="940">
        <v>1142</v>
      </c>
      <c r="B1629" s="940">
        <v>170</v>
      </c>
      <c r="C1629" t="s">
        <v>1734</v>
      </c>
      <c r="D1629" s="940" t="s">
        <v>5495</v>
      </c>
      <c r="E1629" t="s">
        <v>1460</v>
      </c>
      <c r="F1629">
        <v>1</v>
      </c>
      <c r="G1629" s="135"/>
    </row>
    <row r="1630" spans="1:7" x14ac:dyDescent="0.25">
      <c r="A1630" s="940">
        <v>2499</v>
      </c>
      <c r="B1630" s="940">
        <v>25</v>
      </c>
      <c r="C1630" t="s">
        <v>5496</v>
      </c>
      <c r="D1630" s="940" t="s">
        <v>5497</v>
      </c>
      <c r="E1630" t="s">
        <v>251</v>
      </c>
      <c r="F1630">
        <v>1</v>
      </c>
      <c r="G1630" s="135"/>
    </row>
    <row r="1631" spans="1:7" x14ac:dyDescent="0.25">
      <c r="A1631" s="940">
        <v>2405</v>
      </c>
      <c r="B1631" s="940">
        <v>30</v>
      </c>
      <c r="C1631" t="s">
        <v>5498</v>
      </c>
      <c r="D1631" s="940" t="s">
        <v>3691</v>
      </c>
      <c r="E1631" t="s">
        <v>165</v>
      </c>
      <c r="F1631">
        <v>1</v>
      </c>
      <c r="G1631" s="135"/>
    </row>
    <row r="1632" spans="1:7" x14ac:dyDescent="0.25">
      <c r="A1632" s="940">
        <v>1548</v>
      </c>
      <c r="B1632" s="940">
        <v>101</v>
      </c>
      <c r="C1632" t="s">
        <v>5499</v>
      </c>
      <c r="D1632" s="940" t="s">
        <v>5500</v>
      </c>
      <c r="E1632" t="s">
        <v>1162</v>
      </c>
      <c r="F1632">
        <v>1</v>
      </c>
      <c r="G1632" s="135"/>
    </row>
    <row r="1633" spans="1:7" x14ac:dyDescent="0.25">
      <c r="A1633" s="940">
        <v>2152</v>
      </c>
      <c r="B1633" s="940">
        <v>45</v>
      </c>
      <c r="C1633" t="s">
        <v>5501</v>
      </c>
      <c r="D1633" s="940" t="s">
        <v>5116</v>
      </c>
      <c r="E1633" t="s">
        <v>1236</v>
      </c>
      <c r="F1633">
        <v>1</v>
      </c>
      <c r="G1633" s="135"/>
    </row>
    <row r="1634" spans="1:7" x14ac:dyDescent="0.25">
      <c r="A1634" s="940">
        <v>3490</v>
      </c>
      <c r="B1634" s="940">
        <v>0</v>
      </c>
      <c r="C1634" t="s">
        <v>5502</v>
      </c>
      <c r="D1634" s="940" t="s">
        <v>5503</v>
      </c>
      <c r="E1634" t="s">
        <v>110</v>
      </c>
      <c r="F1634">
        <v>1</v>
      </c>
      <c r="G1634" s="135"/>
    </row>
    <row r="1635" spans="1:7" x14ac:dyDescent="0.25">
      <c r="A1635" s="940">
        <v>1049</v>
      </c>
      <c r="B1635" s="940">
        <v>200</v>
      </c>
      <c r="C1635" t="s">
        <v>5504</v>
      </c>
      <c r="D1635" s="940" t="s">
        <v>4206</v>
      </c>
      <c r="E1635" t="s">
        <v>147</v>
      </c>
      <c r="F1635">
        <v>1</v>
      </c>
      <c r="G1635" s="135"/>
    </row>
    <row r="1636" spans="1:7" x14ac:dyDescent="0.25">
      <c r="A1636" s="940">
        <v>1389</v>
      </c>
      <c r="B1636" s="940">
        <v>122</v>
      </c>
      <c r="C1636" t="s">
        <v>5504</v>
      </c>
      <c r="D1636" s="940" t="s">
        <v>5505</v>
      </c>
      <c r="E1636" t="s">
        <v>5506</v>
      </c>
      <c r="F1636">
        <v>1</v>
      </c>
      <c r="G1636" s="135"/>
    </row>
    <row r="1637" spans="1:7" x14ac:dyDescent="0.25">
      <c r="A1637" s="940">
        <v>2907</v>
      </c>
      <c r="B1637" s="940">
        <v>10</v>
      </c>
      <c r="C1637" t="s">
        <v>5507</v>
      </c>
      <c r="D1637" s="940" t="s">
        <v>2936</v>
      </c>
      <c r="E1637" t="s">
        <v>1460</v>
      </c>
      <c r="F1637">
        <v>1</v>
      </c>
      <c r="G1637" s="135"/>
    </row>
    <row r="1638" spans="1:7" x14ac:dyDescent="0.25">
      <c r="A1638" s="940">
        <v>606</v>
      </c>
      <c r="B1638" s="940">
        <v>399</v>
      </c>
      <c r="C1638" t="s">
        <v>503</v>
      </c>
      <c r="D1638" s="940" t="s">
        <v>3824</v>
      </c>
      <c r="E1638" t="s">
        <v>1162</v>
      </c>
      <c r="F1638">
        <v>1</v>
      </c>
      <c r="G1638" s="135"/>
    </row>
    <row r="1639" spans="1:7" x14ac:dyDescent="0.25">
      <c r="A1639" s="940">
        <v>2461</v>
      </c>
      <c r="B1639" s="940">
        <v>27</v>
      </c>
      <c r="C1639" t="s">
        <v>5508</v>
      </c>
      <c r="D1639" s="940" t="s">
        <v>2657</v>
      </c>
      <c r="E1639" t="s">
        <v>1214</v>
      </c>
      <c r="F1639">
        <v>1</v>
      </c>
      <c r="G1639" s="135"/>
    </row>
    <row r="1640" spans="1:7" x14ac:dyDescent="0.25">
      <c r="A1640" s="940">
        <v>705</v>
      </c>
      <c r="B1640" s="940">
        <v>346</v>
      </c>
      <c r="C1640" t="s">
        <v>5509</v>
      </c>
      <c r="D1640" s="940" t="s">
        <v>5510</v>
      </c>
      <c r="E1640" t="s">
        <v>1524</v>
      </c>
      <c r="F1640">
        <v>1</v>
      </c>
      <c r="G1640" s="135"/>
    </row>
    <row r="1641" spans="1:7" x14ac:dyDescent="0.25">
      <c r="A1641" s="940">
        <v>2714</v>
      </c>
      <c r="B1641" s="940">
        <v>16</v>
      </c>
      <c r="C1641" t="s">
        <v>5511</v>
      </c>
      <c r="D1641" s="940" t="s">
        <v>5512</v>
      </c>
      <c r="E1641" t="s">
        <v>1803</v>
      </c>
      <c r="F1641">
        <v>1</v>
      </c>
      <c r="G1641" s="135"/>
    </row>
    <row r="1642" spans="1:7" x14ac:dyDescent="0.25">
      <c r="A1642" s="940">
        <v>2032</v>
      </c>
      <c r="B1642" s="940">
        <v>53</v>
      </c>
      <c r="C1642" t="s">
        <v>5513</v>
      </c>
      <c r="D1642" s="940" t="s">
        <v>5514</v>
      </c>
      <c r="E1642" t="s">
        <v>1435</v>
      </c>
      <c r="F1642">
        <v>1</v>
      </c>
      <c r="G1642" s="135"/>
    </row>
    <row r="1643" spans="1:7" x14ac:dyDescent="0.25">
      <c r="A1643" s="940">
        <v>2499</v>
      </c>
      <c r="B1643" s="940">
        <v>25</v>
      </c>
      <c r="C1643" t="s">
        <v>5515</v>
      </c>
      <c r="D1643" s="940" t="s">
        <v>5512</v>
      </c>
      <c r="E1643" t="s">
        <v>1803</v>
      </c>
      <c r="F1643">
        <v>1</v>
      </c>
      <c r="G1643" s="135"/>
    </row>
    <row r="1644" spans="1:7" x14ac:dyDescent="0.25">
      <c r="A1644" s="940">
        <v>3395</v>
      </c>
      <c r="B1644" s="940">
        <v>1</v>
      </c>
      <c r="C1644" t="s">
        <v>5516</v>
      </c>
      <c r="D1644" s="940" t="s">
        <v>4223</v>
      </c>
      <c r="E1644" t="s">
        <v>186</v>
      </c>
      <c r="F1644">
        <v>1</v>
      </c>
      <c r="G1644" s="135"/>
    </row>
    <row r="1645" spans="1:7" x14ac:dyDescent="0.25">
      <c r="A1645" s="940">
        <v>616</v>
      </c>
      <c r="B1645" s="940">
        <v>393</v>
      </c>
      <c r="C1645" t="s">
        <v>5517</v>
      </c>
      <c r="D1645" s="940" t="s">
        <v>5518</v>
      </c>
      <c r="E1645" t="s">
        <v>120</v>
      </c>
      <c r="F1645">
        <v>1</v>
      </c>
      <c r="G1645" s="135"/>
    </row>
    <row r="1646" spans="1:7" x14ac:dyDescent="0.25">
      <c r="A1646" s="940">
        <v>3141</v>
      </c>
      <c r="B1646" s="940">
        <v>5</v>
      </c>
      <c r="C1646" t="s">
        <v>5519</v>
      </c>
      <c r="D1646" s="940" t="s">
        <v>5520</v>
      </c>
      <c r="E1646" t="s">
        <v>122</v>
      </c>
      <c r="F1646">
        <v>1</v>
      </c>
      <c r="G1646" s="135"/>
    </row>
    <row r="1647" spans="1:7" x14ac:dyDescent="0.25">
      <c r="A1647" s="940">
        <v>251</v>
      </c>
      <c r="B1647" s="940">
        <v>812</v>
      </c>
      <c r="C1647" t="s">
        <v>5521</v>
      </c>
      <c r="D1647" s="940" t="s">
        <v>5522</v>
      </c>
      <c r="E1647" t="s">
        <v>164</v>
      </c>
      <c r="F1647">
        <v>1</v>
      </c>
      <c r="G1647" s="135"/>
    </row>
    <row r="1648" spans="1:7" x14ac:dyDescent="0.25">
      <c r="A1648" s="940">
        <v>1691</v>
      </c>
      <c r="B1648" s="940">
        <v>84</v>
      </c>
      <c r="C1648" t="s">
        <v>5523</v>
      </c>
      <c r="D1648" s="940" t="s">
        <v>5524</v>
      </c>
      <c r="E1648" t="s">
        <v>1158</v>
      </c>
      <c r="F1648">
        <v>1</v>
      </c>
      <c r="G1648" s="135"/>
    </row>
    <row r="1649" spans="1:7" x14ac:dyDescent="0.25">
      <c r="A1649" s="940">
        <v>1367</v>
      </c>
      <c r="B1649" s="940">
        <v>124</v>
      </c>
      <c r="C1649" t="s">
        <v>5525</v>
      </c>
      <c r="D1649" s="940" t="s">
        <v>5526</v>
      </c>
      <c r="E1649" t="s">
        <v>5527</v>
      </c>
      <c r="F1649">
        <v>1</v>
      </c>
      <c r="G1649" s="135"/>
    </row>
    <row r="1650" spans="1:7" x14ac:dyDescent="0.25">
      <c r="A1650" s="940">
        <v>2959</v>
      </c>
      <c r="B1650" s="940">
        <v>9</v>
      </c>
      <c r="C1650" t="s">
        <v>5528</v>
      </c>
      <c r="D1650" s="940" t="s">
        <v>5529</v>
      </c>
      <c r="E1650" t="s">
        <v>1330</v>
      </c>
      <c r="F1650">
        <v>1</v>
      </c>
      <c r="G1650" s="135"/>
    </row>
    <row r="1651" spans="1:7" x14ac:dyDescent="0.25">
      <c r="A1651" s="940">
        <v>3490</v>
      </c>
      <c r="B1651" s="940">
        <v>0</v>
      </c>
      <c r="C1651" t="s">
        <v>5530</v>
      </c>
      <c r="D1651" s="940" t="s">
        <v>5531</v>
      </c>
      <c r="E1651" t="s">
        <v>103</v>
      </c>
      <c r="F1651">
        <v>1</v>
      </c>
      <c r="G1651" s="135"/>
    </row>
    <row r="1652" spans="1:7" x14ac:dyDescent="0.25">
      <c r="A1652" s="940">
        <v>3490</v>
      </c>
      <c r="B1652" s="940">
        <v>0</v>
      </c>
      <c r="C1652" t="s">
        <v>5532</v>
      </c>
      <c r="D1652" s="940" t="s">
        <v>3546</v>
      </c>
      <c r="E1652" t="s">
        <v>4583</v>
      </c>
      <c r="F1652">
        <v>1</v>
      </c>
      <c r="G1652" s="135"/>
    </row>
    <row r="1653" spans="1:7" x14ac:dyDescent="0.25">
      <c r="A1653" s="940">
        <v>2743</v>
      </c>
      <c r="B1653" s="940">
        <v>15</v>
      </c>
      <c r="C1653" t="s">
        <v>5533</v>
      </c>
      <c r="D1653" s="940" t="s">
        <v>3364</v>
      </c>
      <c r="E1653" t="s">
        <v>1246</v>
      </c>
      <c r="F1653">
        <v>1</v>
      </c>
      <c r="G1653" s="135"/>
    </row>
    <row r="1654" spans="1:7" x14ac:dyDescent="0.25">
      <c r="A1654" s="940">
        <v>3490</v>
      </c>
      <c r="B1654" s="940">
        <v>0</v>
      </c>
      <c r="C1654" t="s">
        <v>5534</v>
      </c>
      <c r="D1654" s="940" t="s">
        <v>5535</v>
      </c>
      <c r="E1654" t="s">
        <v>110</v>
      </c>
      <c r="F1654">
        <v>1</v>
      </c>
      <c r="G1654" s="135"/>
    </row>
    <row r="1655" spans="1:7" x14ac:dyDescent="0.25">
      <c r="A1655" s="940">
        <v>350</v>
      </c>
      <c r="B1655" s="940">
        <v>631</v>
      </c>
      <c r="C1655" t="s">
        <v>5536</v>
      </c>
      <c r="D1655" s="940" t="s">
        <v>5537</v>
      </c>
      <c r="E1655" t="s">
        <v>163</v>
      </c>
      <c r="F1655">
        <v>1</v>
      </c>
      <c r="G1655" s="135"/>
    </row>
    <row r="1656" spans="1:7" x14ac:dyDescent="0.25">
      <c r="A1656" s="940">
        <v>3490</v>
      </c>
      <c r="B1656" s="940">
        <v>0</v>
      </c>
      <c r="C1656" t="s">
        <v>5538</v>
      </c>
      <c r="D1656" s="940" t="s">
        <v>3077</v>
      </c>
      <c r="E1656" t="s">
        <v>120</v>
      </c>
      <c r="F1656">
        <v>1</v>
      </c>
      <c r="G1656" s="135"/>
    </row>
    <row r="1657" spans="1:7" x14ac:dyDescent="0.25">
      <c r="A1657" s="940">
        <v>2016</v>
      </c>
      <c r="B1657" s="940">
        <v>54</v>
      </c>
      <c r="C1657" t="s">
        <v>5539</v>
      </c>
      <c r="D1657" s="940" t="s">
        <v>3017</v>
      </c>
      <c r="E1657" t="s">
        <v>103</v>
      </c>
      <c r="F1657">
        <v>1</v>
      </c>
      <c r="G1657" s="135"/>
    </row>
    <row r="1658" spans="1:7" x14ac:dyDescent="0.25">
      <c r="A1658" s="940">
        <v>2241</v>
      </c>
      <c r="B1658" s="940">
        <v>40</v>
      </c>
      <c r="C1658" t="s">
        <v>5540</v>
      </c>
      <c r="D1658" s="940" t="s">
        <v>5541</v>
      </c>
      <c r="E1658" t="s">
        <v>118</v>
      </c>
      <c r="F1658">
        <v>1</v>
      </c>
      <c r="G1658" s="135"/>
    </row>
    <row r="1659" spans="1:7" x14ac:dyDescent="0.25">
      <c r="A1659" s="940">
        <v>2582</v>
      </c>
      <c r="B1659" s="940">
        <v>21</v>
      </c>
      <c r="C1659" t="s">
        <v>5542</v>
      </c>
      <c r="D1659" s="940" t="s">
        <v>5543</v>
      </c>
      <c r="E1659" t="s">
        <v>122</v>
      </c>
      <c r="F1659">
        <v>1</v>
      </c>
      <c r="G1659" s="135"/>
    </row>
    <row r="1660" spans="1:7" x14ac:dyDescent="0.25">
      <c r="A1660" s="940">
        <v>1132</v>
      </c>
      <c r="B1660" s="940">
        <v>172</v>
      </c>
      <c r="C1660" t="s">
        <v>5544</v>
      </c>
      <c r="D1660" s="940" t="s">
        <v>3173</v>
      </c>
      <c r="E1660" t="s">
        <v>105</v>
      </c>
      <c r="F1660">
        <v>1</v>
      </c>
      <c r="G1660" s="135"/>
    </row>
    <row r="1661" spans="1:7" x14ac:dyDescent="0.25">
      <c r="A1661" s="940">
        <v>1942</v>
      </c>
      <c r="B1661" s="940">
        <v>61</v>
      </c>
      <c r="C1661" t="s">
        <v>5545</v>
      </c>
      <c r="D1661" s="940" t="s">
        <v>5546</v>
      </c>
      <c r="E1661" t="s">
        <v>1700</v>
      </c>
      <c r="F1661">
        <v>1</v>
      </c>
      <c r="G1661" s="135"/>
    </row>
    <row r="1662" spans="1:7" x14ac:dyDescent="0.25">
      <c r="A1662" s="940">
        <v>2782</v>
      </c>
      <c r="B1662" s="940">
        <v>14</v>
      </c>
      <c r="C1662" t="s">
        <v>5547</v>
      </c>
      <c r="D1662" s="940" t="s">
        <v>5548</v>
      </c>
      <c r="E1662" t="s">
        <v>1612</v>
      </c>
      <c r="F1662">
        <v>1</v>
      </c>
      <c r="G1662" s="135"/>
    </row>
    <row r="1663" spans="1:7" x14ac:dyDescent="0.25">
      <c r="A1663" s="940">
        <v>184</v>
      </c>
      <c r="B1663" s="940">
        <v>920</v>
      </c>
      <c r="C1663" t="s">
        <v>5549</v>
      </c>
      <c r="D1663" s="940" t="s">
        <v>5550</v>
      </c>
      <c r="E1663" t="s">
        <v>1968</v>
      </c>
      <c r="F1663">
        <v>1</v>
      </c>
      <c r="G1663" s="135"/>
    </row>
    <row r="1664" spans="1:7" x14ac:dyDescent="0.25">
      <c r="A1664" s="940">
        <v>795</v>
      </c>
      <c r="B1664" s="940">
        <v>299</v>
      </c>
      <c r="C1664" t="s">
        <v>5551</v>
      </c>
      <c r="D1664" s="940" t="s">
        <v>5552</v>
      </c>
      <c r="E1664" t="s">
        <v>171</v>
      </c>
      <c r="F1664">
        <v>1</v>
      </c>
      <c r="G1664" s="135"/>
    </row>
    <row r="1665" spans="1:7" x14ac:dyDescent="0.25">
      <c r="A1665" s="940">
        <v>3196</v>
      </c>
      <c r="B1665" s="940">
        <v>4</v>
      </c>
      <c r="C1665" t="s">
        <v>5553</v>
      </c>
      <c r="D1665" s="940" t="s">
        <v>5554</v>
      </c>
      <c r="E1665" t="s">
        <v>5555</v>
      </c>
      <c r="F1665">
        <v>1</v>
      </c>
      <c r="G1665" s="135"/>
    </row>
    <row r="1666" spans="1:7" x14ac:dyDescent="0.25">
      <c r="A1666" s="940">
        <v>3327</v>
      </c>
      <c r="B1666" s="940">
        <v>2</v>
      </c>
      <c r="C1666" t="s">
        <v>5556</v>
      </c>
      <c r="D1666" s="940" t="s">
        <v>3250</v>
      </c>
      <c r="E1666" t="s">
        <v>4014</v>
      </c>
      <c r="F1666">
        <v>1</v>
      </c>
      <c r="G1666" s="135"/>
    </row>
    <row r="1667" spans="1:7" x14ac:dyDescent="0.25">
      <c r="A1667" s="940">
        <v>1292</v>
      </c>
      <c r="B1667" s="940">
        <v>137</v>
      </c>
      <c r="C1667" t="s">
        <v>1748</v>
      </c>
      <c r="D1667" s="940" t="s">
        <v>5557</v>
      </c>
      <c r="E1667" t="s">
        <v>171</v>
      </c>
      <c r="F1667">
        <v>1</v>
      </c>
      <c r="G1667" s="135"/>
    </row>
    <row r="1668" spans="1:7" x14ac:dyDescent="0.25">
      <c r="A1668" s="940">
        <v>803</v>
      </c>
      <c r="B1668" s="940">
        <v>296</v>
      </c>
      <c r="C1668" t="s">
        <v>5558</v>
      </c>
      <c r="D1668" s="940" t="s">
        <v>5559</v>
      </c>
      <c r="E1668" t="s">
        <v>183</v>
      </c>
      <c r="F1668">
        <v>1</v>
      </c>
      <c r="G1668" s="135"/>
    </row>
    <row r="1669" spans="1:7" x14ac:dyDescent="0.25">
      <c r="A1669" s="940">
        <v>849</v>
      </c>
      <c r="B1669" s="940">
        <v>273</v>
      </c>
      <c r="C1669" t="s">
        <v>5560</v>
      </c>
      <c r="D1669" s="940" t="s">
        <v>5561</v>
      </c>
      <c r="E1669" t="s">
        <v>120</v>
      </c>
      <c r="F1669">
        <v>1</v>
      </c>
      <c r="G1669" s="135"/>
    </row>
    <row r="1670" spans="1:7" x14ac:dyDescent="0.25">
      <c r="A1670" s="940">
        <v>3490</v>
      </c>
      <c r="B1670" s="940">
        <v>0</v>
      </c>
      <c r="C1670" t="s">
        <v>5562</v>
      </c>
      <c r="D1670" s="940" t="s">
        <v>5563</v>
      </c>
      <c r="E1670" t="s">
        <v>120</v>
      </c>
      <c r="F1670">
        <v>1</v>
      </c>
      <c r="G1670" s="135"/>
    </row>
    <row r="1671" spans="1:7" x14ac:dyDescent="0.25">
      <c r="A1671" s="940">
        <v>3327</v>
      </c>
      <c r="B1671" s="940">
        <v>2</v>
      </c>
      <c r="C1671" t="s">
        <v>5564</v>
      </c>
      <c r="D1671" s="940" t="s">
        <v>4489</v>
      </c>
      <c r="E1671" t="s">
        <v>128</v>
      </c>
      <c r="F1671">
        <v>1</v>
      </c>
      <c r="G1671" s="135"/>
    </row>
    <row r="1672" spans="1:7" x14ac:dyDescent="0.25">
      <c r="A1672" s="940">
        <v>2221</v>
      </c>
      <c r="B1672" s="940">
        <v>41</v>
      </c>
      <c r="C1672" t="s">
        <v>5565</v>
      </c>
      <c r="D1672" s="940" t="s">
        <v>5566</v>
      </c>
      <c r="E1672" t="s">
        <v>138</v>
      </c>
      <c r="F1672">
        <v>1</v>
      </c>
      <c r="G1672" s="135"/>
    </row>
    <row r="1673" spans="1:7" x14ac:dyDescent="0.25">
      <c r="A1673" s="940">
        <v>1036</v>
      </c>
      <c r="B1673" s="940">
        <v>204</v>
      </c>
      <c r="C1673" t="s">
        <v>5567</v>
      </c>
      <c r="D1673" s="940" t="s">
        <v>5568</v>
      </c>
      <c r="E1673" t="s">
        <v>128</v>
      </c>
      <c r="F1673">
        <v>1</v>
      </c>
      <c r="G1673" s="135"/>
    </row>
    <row r="1674" spans="1:7" x14ac:dyDescent="0.25">
      <c r="A1674" s="940">
        <v>473</v>
      </c>
      <c r="B1674" s="940">
        <v>501</v>
      </c>
      <c r="C1674" t="s">
        <v>1751</v>
      </c>
      <c r="D1674" s="940" t="s">
        <v>5569</v>
      </c>
      <c r="E1674" t="s">
        <v>137</v>
      </c>
      <c r="F1674">
        <v>1</v>
      </c>
      <c r="G1674" s="135"/>
    </row>
    <row r="1675" spans="1:7" x14ac:dyDescent="0.25">
      <c r="A1675" s="940">
        <v>2381</v>
      </c>
      <c r="B1675" s="940">
        <v>31</v>
      </c>
      <c r="C1675" t="s">
        <v>5570</v>
      </c>
      <c r="D1675" s="940" t="s">
        <v>5571</v>
      </c>
      <c r="E1675" t="s">
        <v>1507</v>
      </c>
      <c r="F1675">
        <v>1</v>
      </c>
      <c r="G1675" s="135"/>
    </row>
    <row r="1676" spans="1:7" x14ac:dyDescent="0.25">
      <c r="A1676" s="940">
        <v>2206</v>
      </c>
      <c r="B1676" s="940">
        <v>42</v>
      </c>
      <c r="C1676" t="s">
        <v>2557</v>
      </c>
      <c r="D1676" s="940" t="s">
        <v>5572</v>
      </c>
      <c r="E1676" t="s">
        <v>1343</v>
      </c>
      <c r="F1676">
        <v>1</v>
      </c>
      <c r="G1676" s="135"/>
    </row>
    <row r="1677" spans="1:7" x14ac:dyDescent="0.25">
      <c r="A1677" s="940">
        <v>2996</v>
      </c>
      <c r="B1677" s="940">
        <v>8</v>
      </c>
      <c r="C1677" t="s">
        <v>5573</v>
      </c>
      <c r="D1677" s="940" t="s">
        <v>5574</v>
      </c>
      <c r="E1677" t="s">
        <v>138</v>
      </c>
      <c r="F1677">
        <v>1</v>
      </c>
      <c r="G1677" s="135"/>
    </row>
    <row r="1678" spans="1:7" x14ac:dyDescent="0.25">
      <c r="A1678" s="940">
        <v>2079</v>
      </c>
      <c r="B1678" s="940">
        <v>50</v>
      </c>
      <c r="C1678" t="s">
        <v>5575</v>
      </c>
      <c r="D1678" s="940" t="s">
        <v>2870</v>
      </c>
      <c r="E1678" t="s">
        <v>290</v>
      </c>
      <c r="F1678">
        <v>1</v>
      </c>
      <c r="G1678" s="135"/>
    </row>
    <row r="1679" spans="1:7" x14ac:dyDescent="0.25">
      <c r="A1679" s="940">
        <v>2515</v>
      </c>
      <c r="B1679" s="940">
        <v>24</v>
      </c>
      <c r="C1679" t="s">
        <v>5576</v>
      </c>
      <c r="D1679" s="940" t="s">
        <v>5577</v>
      </c>
      <c r="E1679" t="s">
        <v>1200</v>
      </c>
      <c r="F1679">
        <v>1</v>
      </c>
      <c r="G1679" s="135"/>
    </row>
    <row r="1680" spans="1:7" x14ac:dyDescent="0.25">
      <c r="A1680" s="940">
        <v>3490</v>
      </c>
      <c r="B1680" s="940">
        <v>0</v>
      </c>
      <c r="C1680" t="s">
        <v>5578</v>
      </c>
      <c r="D1680" s="940" t="s">
        <v>5579</v>
      </c>
      <c r="E1680" t="s">
        <v>1590</v>
      </c>
      <c r="F1680">
        <v>1</v>
      </c>
      <c r="G1680" s="135"/>
    </row>
    <row r="1681" spans="1:7" x14ac:dyDescent="0.25">
      <c r="A1681" s="940">
        <v>1913</v>
      </c>
      <c r="B1681" s="940">
        <v>63</v>
      </c>
      <c r="C1681" t="s">
        <v>5580</v>
      </c>
      <c r="D1681" s="940" t="s">
        <v>5581</v>
      </c>
      <c r="E1681" t="s">
        <v>112</v>
      </c>
      <c r="F1681">
        <v>1</v>
      </c>
      <c r="G1681" s="135"/>
    </row>
    <row r="1682" spans="1:7" x14ac:dyDescent="0.25">
      <c r="A1682" s="940">
        <v>1666</v>
      </c>
      <c r="B1682" s="940">
        <v>87</v>
      </c>
      <c r="C1682" t="s">
        <v>5582</v>
      </c>
      <c r="D1682" s="940" t="s">
        <v>4348</v>
      </c>
      <c r="E1682" t="s">
        <v>132</v>
      </c>
      <c r="F1682">
        <v>1</v>
      </c>
      <c r="G1682" s="135"/>
    </row>
    <row r="1683" spans="1:7" x14ac:dyDescent="0.25">
      <c r="A1683" s="940">
        <v>1254</v>
      </c>
      <c r="B1683" s="940">
        <v>144</v>
      </c>
      <c r="C1683" t="s">
        <v>5583</v>
      </c>
      <c r="D1683" s="940" t="s">
        <v>5584</v>
      </c>
      <c r="E1683" t="s">
        <v>1251</v>
      </c>
      <c r="F1683">
        <v>1</v>
      </c>
      <c r="G1683" s="135"/>
    </row>
    <row r="1684" spans="1:7" x14ac:dyDescent="0.25">
      <c r="A1684" s="940">
        <v>1424</v>
      </c>
      <c r="B1684" s="940">
        <v>116</v>
      </c>
      <c r="C1684" t="s">
        <v>5585</v>
      </c>
      <c r="D1684" s="940" t="s">
        <v>5586</v>
      </c>
      <c r="E1684" t="s">
        <v>186</v>
      </c>
      <c r="F1684">
        <v>1</v>
      </c>
      <c r="G1684" s="135"/>
    </row>
    <row r="1685" spans="1:7" x14ac:dyDescent="0.25">
      <c r="A1685" s="940">
        <v>3490</v>
      </c>
      <c r="B1685" s="940">
        <v>0</v>
      </c>
      <c r="C1685" t="s">
        <v>5587</v>
      </c>
      <c r="D1685" s="940" t="s">
        <v>5588</v>
      </c>
      <c r="E1685" t="s">
        <v>144</v>
      </c>
      <c r="F1685">
        <v>1</v>
      </c>
      <c r="G1685" s="135"/>
    </row>
    <row r="1686" spans="1:7" x14ac:dyDescent="0.25">
      <c r="A1686" s="940">
        <v>555</v>
      </c>
      <c r="B1686" s="940">
        <v>435</v>
      </c>
      <c r="C1686" t="s">
        <v>5589</v>
      </c>
      <c r="D1686" s="940" t="s">
        <v>5590</v>
      </c>
      <c r="E1686" t="s">
        <v>5591</v>
      </c>
      <c r="F1686">
        <v>1</v>
      </c>
      <c r="G1686" s="135"/>
    </row>
    <row r="1687" spans="1:7" x14ac:dyDescent="0.25">
      <c r="A1687" s="940">
        <v>2814</v>
      </c>
      <c r="B1687" s="940">
        <v>13</v>
      </c>
      <c r="C1687" t="s">
        <v>5592</v>
      </c>
      <c r="D1687" s="940" t="s">
        <v>5593</v>
      </c>
      <c r="E1687" t="s">
        <v>105</v>
      </c>
      <c r="F1687">
        <v>1</v>
      </c>
      <c r="G1687" s="135"/>
    </row>
    <row r="1688" spans="1:7" x14ac:dyDescent="0.25">
      <c r="A1688" s="940">
        <v>543</v>
      </c>
      <c r="B1688" s="940">
        <v>439</v>
      </c>
      <c r="C1688" t="s">
        <v>5594</v>
      </c>
      <c r="D1688" s="940" t="s">
        <v>5595</v>
      </c>
      <c r="E1688" t="s">
        <v>115</v>
      </c>
      <c r="F1688">
        <v>1</v>
      </c>
      <c r="G1688" s="135"/>
    </row>
    <row r="1689" spans="1:7" x14ac:dyDescent="0.25">
      <c r="A1689" s="940">
        <v>1836</v>
      </c>
      <c r="B1689" s="940">
        <v>69</v>
      </c>
      <c r="C1689" t="s">
        <v>5596</v>
      </c>
      <c r="D1689" s="940" t="s">
        <v>3723</v>
      </c>
      <c r="E1689" t="s">
        <v>120</v>
      </c>
      <c r="F1689">
        <v>1</v>
      </c>
      <c r="G1689" s="135"/>
    </row>
    <row r="1690" spans="1:7" x14ac:dyDescent="0.25">
      <c r="A1690" s="940">
        <v>3395</v>
      </c>
      <c r="B1690" s="940">
        <v>1</v>
      </c>
      <c r="C1690" t="s">
        <v>5597</v>
      </c>
      <c r="D1690" s="940" t="s">
        <v>4611</v>
      </c>
      <c r="E1690" t="s">
        <v>1232</v>
      </c>
      <c r="F1690">
        <v>1</v>
      </c>
      <c r="G1690" s="135"/>
    </row>
    <row r="1691" spans="1:7" x14ac:dyDescent="0.25">
      <c r="A1691" s="940">
        <v>2060</v>
      </c>
      <c r="B1691" s="940">
        <v>51</v>
      </c>
      <c r="C1691" t="s">
        <v>5598</v>
      </c>
      <c r="D1691" s="940" t="s">
        <v>3554</v>
      </c>
      <c r="E1691" t="s">
        <v>112</v>
      </c>
      <c r="F1691">
        <v>1</v>
      </c>
      <c r="G1691" s="135"/>
    </row>
    <row r="1692" spans="1:7" x14ac:dyDescent="0.25">
      <c r="A1692" s="940">
        <v>2106</v>
      </c>
      <c r="B1692" s="940">
        <v>48</v>
      </c>
      <c r="C1692" t="s">
        <v>5599</v>
      </c>
      <c r="D1692" s="940" t="s">
        <v>5600</v>
      </c>
      <c r="E1692" t="s">
        <v>1214</v>
      </c>
      <c r="F1692">
        <v>1</v>
      </c>
      <c r="G1692" s="135"/>
    </row>
    <row r="1693" spans="1:7" x14ac:dyDescent="0.25">
      <c r="A1693" s="940">
        <v>697</v>
      </c>
      <c r="B1693" s="940">
        <v>348</v>
      </c>
      <c r="C1693" t="s">
        <v>5601</v>
      </c>
      <c r="D1693" s="940" t="s">
        <v>5602</v>
      </c>
      <c r="E1693" t="s">
        <v>120</v>
      </c>
      <c r="F1693">
        <v>1</v>
      </c>
      <c r="G1693" s="135"/>
    </row>
    <row r="1694" spans="1:7" x14ac:dyDescent="0.25">
      <c r="A1694" s="940">
        <v>1818</v>
      </c>
      <c r="B1694" s="940">
        <v>71</v>
      </c>
      <c r="C1694" t="s">
        <v>5603</v>
      </c>
      <c r="D1694" s="940" t="s">
        <v>3204</v>
      </c>
      <c r="E1694" t="s">
        <v>122</v>
      </c>
      <c r="F1694">
        <v>1</v>
      </c>
      <c r="G1694" s="135"/>
    </row>
    <row r="1695" spans="1:7" x14ac:dyDescent="0.25">
      <c r="A1695" s="940">
        <v>1417</v>
      </c>
      <c r="B1695" s="940">
        <v>117</v>
      </c>
      <c r="C1695" t="s">
        <v>5604</v>
      </c>
      <c r="D1695" s="940" t="s">
        <v>5605</v>
      </c>
      <c r="E1695" t="s">
        <v>1214</v>
      </c>
      <c r="F1695">
        <v>1</v>
      </c>
      <c r="G1695" s="135"/>
    </row>
    <row r="1696" spans="1:7" x14ac:dyDescent="0.25">
      <c r="A1696" s="940">
        <v>1317</v>
      </c>
      <c r="B1696" s="940">
        <v>132</v>
      </c>
      <c r="C1696" t="s">
        <v>5606</v>
      </c>
      <c r="D1696" s="940" t="s">
        <v>5607</v>
      </c>
      <c r="E1696" t="s">
        <v>122</v>
      </c>
      <c r="F1696">
        <v>1</v>
      </c>
      <c r="G1696" s="135"/>
    </row>
    <row r="1697" spans="1:7" x14ac:dyDescent="0.25">
      <c r="A1697" s="940">
        <v>1659</v>
      </c>
      <c r="B1697" s="940">
        <v>88</v>
      </c>
      <c r="C1697" t="s">
        <v>5608</v>
      </c>
      <c r="D1697" s="940" t="s">
        <v>2927</v>
      </c>
      <c r="E1697" t="s">
        <v>3098</v>
      </c>
      <c r="F1697">
        <v>1</v>
      </c>
      <c r="G1697" s="135"/>
    </row>
    <row r="1698" spans="1:7" x14ac:dyDescent="0.25">
      <c r="A1698" s="940">
        <v>3395</v>
      </c>
      <c r="B1698" s="940">
        <v>1</v>
      </c>
      <c r="C1698" t="s">
        <v>5609</v>
      </c>
      <c r="D1698" s="940" t="s">
        <v>3681</v>
      </c>
      <c r="E1698" t="s">
        <v>1467</v>
      </c>
      <c r="F1698">
        <v>1</v>
      </c>
      <c r="G1698" s="135"/>
    </row>
    <row r="1699" spans="1:7" x14ac:dyDescent="0.25">
      <c r="A1699" s="940">
        <v>1272</v>
      </c>
      <c r="B1699" s="940">
        <v>141</v>
      </c>
      <c r="C1699" t="s">
        <v>5610</v>
      </c>
      <c r="D1699" s="940" t="s">
        <v>5611</v>
      </c>
      <c r="E1699" t="s">
        <v>128</v>
      </c>
      <c r="F1699">
        <v>1</v>
      </c>
      <c r="G1699" s="135"/>
    </row>
    <row r="1700" spans="1:7" x14ac:dyDescent="0.25">
      <c r="A1700" s="940">
        <v>1701</v>
      </c>
      <c r="B1700" s="940">
        <v>83</v>
      </c>
      <c r="C1700" t="s">
        <v>5612</v>
      </c>
      <c r="D1700" s="940" t="s">
        <v>5613</v>
      </c>
      <c r="E1700" t="s">
        <v>164</v>
      </c>
      <c r="F1700">
        <v>1</v>
      </c>
      <c r="G1700" s="135"/>
    </row>
    <row r="1701" spans="1:7" x14ac:dyDescent="0.25">
      <c r="A1701" s="940">
        <v>2187</v>
      </c>
      <c r="B1701" s="940">
        <v>43</v>
      </c>
      <c r="C1701" t="s">
        <v>5614</v>
      </c>
      <c r="D1701" s="940" t="s">
        <v>5615</v>
      </c>
      <c r="E1701" t="s">
        <v>2880</v>
      </c>
      <c r="F1701">
        <v>1</v>
      </c>
      <c r="G1701" s="135"/>
    </row>
    <row r="1702" spans="1:7" x14ac:dyDescent="0.25">
      <c r="A1702" s="940">
        <v>1787</v>
      </c>
      <c r="B1702" s="940">
        <v>74</v>
      </c>
      <c r="C1702" t="s">
        <v>5616</v>
      </c>
      <c r="D1702" s="940" t="s">
        <v>5617</v>
      </c>
      <c r="E1702" t="s">
        <v>4395</v>
      </c>
      <c r="F1702">
        <v>1</v>
      </c>
      <c r="G1702" s="135"/>
    </row>
    <row r="1703" spans="1:7" x14ac:dyDescent="0.25">
      <c r="A1703" s="940">
        <v>1848</v>
      </c>
      <c r="B1703" s="940">
        <v>68</v>
      </c>
      <c r="C1703" t="s">
        <v>5618</v>
      </c>
      <c r="D1703" s="940" t="s">
        <v>5619</v>
      </c>
      <c r="E1703" t="s">
        <v>257</v>
      </c>
      <c r="F1703">
        <v>1</v>
      </c>
      <c r="G1703" s="135"/>
    </row>
    <row r="1704" spans="1:7" x14ac:dyDescent="0.25">
      <c r="A1704" s="940">
        <v>3490</v>
      </c>
      <c r="B1704" s="940">
        <v>0</v>
      </c>
      <c r="C1704" t="s">
        <v>5620</v>
      </c>
      <c r="D1704" s="940" t="s">
        <v>5621</v>
      </c>
      <c r="E1704" t="s">
        <v>257</v>
      </c>
      <c r="F1704">
        <v>1</v>
      </c>
      <c r="G1704" s="135"/>
    </row>
    <row r="1705" spans="1:7" x14ac:dyDescent="0.25">
      <c r="A1705" s="940">
        <v>2241</v>
      </c>
      <c r="B1705" s="940">
        <v>40</v>
      </c>
      <c r="C1705" t="s">
        <v>5622</v>
      </c>
      <c r="D1705" s="940" t="s">
        <v>3645</v>
      </c>
      <c r="E1705" t="s">
        <v>257</v>
      </c>
      <c r="F1705">
        <v>1</v>
      </c>
      <c r="G1705" s="135"/>
    </row>
    <row r="1706" spans="1:7" x14ac:dyDescent="0.25">
      <c r="A1706" s="940">
        <v>3490</v>
      </c>
      <c r="B1706" s="940">
        <v>0</v>
      </c>
      <c r="C1706" t="s">
        <v>5623</v>
      </c>
      <c r="D1706" s="940" t="s">
        <v>5624</v>
      </c>
      <c r="E1706" t="s">
        <v>3687</v>
      </c>
      <c r="F1706">
        <v>1</v>
      </c>
      <c r="G1706" s="135"/>
    </row>
    <row r="1707" spans="1:7" x14ac:dyDescent="0.25">
      <c r="A1707" s="940">
        <v>1827</v>
      </c>
      <c r="B1707" s="940">
        <v>70</v>
      </c>
      <c r="C1707" t="s">
        <v>5625</v>
      </c>
      <c r="D1707" s="940" t="s">
        <v>4288</v>
      </c>
      <c r="E1707" t="s">
        <v>110</v>
      </c>
      <c r="F1707">
        <v>1</v>
      </c>
      <c r="G1707" s="135"/>
    </row>
    <row r="1708" spans="1:7" x14ac:dyDescent="0.25">
      <c r="A1708" s="940">
        <v>2782</v>
      </c>
      <c r="B1708" s="940">
        <v>14</v>
      </c>
      <c r="C1708" t="s">
        <v>5626</v>
      </c>
      <c r="D1708" s="940" t="s">
        <v>5627</v>
      </c>
      <c r="E1708" t="s">
        <v>5628</v>
      </c>
      <c r="F1708">
        <v>1</v>
      </c>
      <c r="G1708" s="135"/>
    </row>
    <row r="1709" spans="1:7" x14ac:dyDescent="0.25">
      <c r="A1709" s="940">
        <v>3490</v>
      </c>
      <c r="B1709" s="940">
        <v>0</v>
      </c>
      <c r="C1709" t="s">
        <v>5629</v>
      </c>
      <c r="D1709" s="940" t="s">
        <v>2740</v>
      </c>
      <c r="E1709" t="s">
        <v>5630</v>
      </c>
      <c r="F1709">
        <v>1</v>
      </c>
      <c r="G1709" s="135"/>
    </row>
    <row r="1710" spans="1:7" x14ac:dyDescent="0.25">
      <c r="A1710" s="940">
        <v>1272</v>
      </c>
      <c r="B1710" s="940">
        <v>141</v>
      </c>
      <c r="C1710" t="s">
        <v>5631</v>
      </c>
      <c r="D1710" s="940" t="s">
        <v>5632</v>
      </c>
      <c r="E1710" t="s">
        <v>1156</v>
      </c>
      <c r="F1710">
        <v>1</v>
      </c>
      <c r="G1710" s="135"/>
    </row>
    <row r="1711" spans="1:7" x14ac:dyDescent="0.25">
      <c r="A1711" s="940">
        <v>767</v>
      </c>
      <c r="B1711" s="940">
        <v>309</v>
      </c>
      <c r="C1711" t="s">
        <v>5633</v>
      </c>
      <c r="D1711" s="940" t="s">
        <v>5634</v>
      </c>
      <c r="E1711" t="s">
        <v>122</v>
      </c>
      <c r="F1711">
        <v>1</v>
      </c>
      <c r="G1711" s="135"/>
    </row>
    <row r="1712" spans="1:7" x14ac:dyDescent="0.25">
      <c r="A1712" s="940">
        <v>2381</v>
      </c>
      <c r="B1712" s="940">
        <v>31</v>
      </c>
      <c r="C1712" t="s">
        <v>5635</v>
      </c>
      <c r="D1712" s="940" t="s">
        <v>4043</v>
      </c>
      <c r="E1712" t="s">
        <v>1638</v>
      </c>
      <c r="F1712">
        <v>1</v>
      </c>
      <c r="G1712" s="135"/>
    </row>
    <row r="1713" spans="1:7" x14ac:dyDescent="0.25">
      <c r="A1713" s="940">
        <v>3395</v>
      </c>
      <c r="B1713" s="940">
        <v>1</v>
      </c>
      <c r="C1713" t="s">
        <v>5636</v>
      </c>
      <c r="D1713" s="940" t="s">
        <v>4286</v>
      </c>
      <c r="E1713" t="s">
        <v>1156</v>
      </c>
      <c r="F1713">
        <v>1</v>
      </c>
      <c r="G1713" s="135"/>
    </row>
    <row r="1714" spans="1:7" x14ac:dyDescent="0.25">
      <c r="A1714" s="940">
        <v>2690</v>
      </c>
      <c r="B1714" s="940">
        <v>17</v>
      </c>
      <c r="C1714" t="s">
        <v>5637</v>
      </c>
      <c r="D1714" s="940" t="s">
        <v>5638</v>
      </c>
      <c r="E1714" t="s">
        <v>1275</v>
      </c>
      <c r="F1714">
        <v>1</v>
      </c>
      <c r="G1714" s="135"/>
    </row>
    <row r="1715" spans="1:7" x14ac:dyDescent="0.25">
      <c r="A1715" s="940">
        <v>1007</v>
      </c>
      <c r="B1715" s="940">
        <v>213</v>
      </c>
      <c r="C1715" t="s">
        <v>5639</v>
      </c>
      <c r="D1715" s="940" t="s">
        <v>5640</v>
      </c>
      <c r="E1715" t="s">
        <v>103</v>
      </c>
      <c r="F1715">
        <v>1</v>
      </c>
      <c r="G1715" s="135"/>
    </row>
    <row r="1716" spans="1:7" x14ac:dyDescent="0.25">
      <c r="A1716" s="940">
        <v>1424</v>
      </c>
      <c r="B1716" s="940">
        <v>116</v>
      </c>
      <c r="C1716" t="s">
        <v>5641</v>
      </c>
      <c r="D1716" s="940" t="s">
        <v>5118</v>
      </c>
      <c r="E1716" t="s">
        <v>120</v>
      </c>
      <c r="F1716">
        <v>1</v>
      </c>
      <c r="G1716" s="135"/>
    </row>
    <row r="1717" spans="1:7" x14ac:dyDescent="0.25">
      <c r="A1717" s="940">
        <v>1724</v>
      </c>
      <c r="B1717" s="940">
        <v>81</v>
      </c>
      <c r="C1717" t="s">
        <v>5642</v>
      </c>
      <c r="D1717" s="940" t="s">
        <v>5643</v>
      </c>
      <c r="E1717" t="s">
        <v>139</v>
      </c>
      <c r="F1717">
        <v>1</v>
      </c>
      <c r="G1717" s="135"/>
    </row>
    <row r="1718" spans="1:7" x14ac:dyDescent="0.25">
      <c r="A1718" s="940">
        <v>2499</v>
      </c>
      <c r="B1718" s="940">
        <v>25</v>
      </c>
      <c r="C1718" t="s">
        <v>5644</v>
      </c>
      <c r="D1718" s="940" t="s">
        <v>5297</v>
      </c>
      <c r="E1718" t="s">
        <v>1358</v>
      </c>
      <c r="F1718">
        <v>1</v>
      </c>
      <c r="G1718" s="135"/>
    </row>
    <row r="1719" spans="1:7" x14ac:dyDescent="0.25">
      <c r="A1719" s="940">
        <v>3141</v>
      </c>
      <c r="B1719" s="940">
        <v>5</v>
      </c>
      <c r="C1719" t="s">
        <v>5645</v>
      </c>
      <c r="D1719" s="940" t="s">
        <v>5646</v>
      </c>
      <c r="E1719" t="s">
        <v>136</v>
      </c>
      <c r="F1719">
        <v>1</v>
      </c>
      <c r="G1719" s="135"/>
    </row>
    <row r="1720" spans="1:7" x14ac:dyDescent="0.25">
      <c r="A1720" s="940">
        <v>2187</v>
      </c>
      <c r="B1720" s="940">
        <v>43</v>
      </c>
      <c r="C1720" t="s">
        <v>5647</v>
      </c>
      <c r="D1720" s="940" t="s">
        <v>5648</v>
      </c>
      <c r="E1720" t="s">
        <v>139</v>
      </c>
      <c r="F1720">
        <v>1</v>
      </c>
      <c r="G1720" s="135"/>
    </row>
    <row r="1721" spans="1:7" x14ac:dyDescent="0.25">
      <c r="A1721" s="940">
        <v>3395</v>
      </c>
      <c r="B1721" s="940">
        <v>1</v>
      </c>
      <c r="C1721" t="s">
        <v>5649</v>
      </c>
      <c r="D1721" s="940" t="s">
        <v>3513</v>
      </c>
      <c r="E1721" t="s">
        <v>120</v>
      </c>
      <c r="F1721">
        <v>1</v>
      </c>
      <c r="G1721" s="135"/>
    </row>
    <row r="1722" spans="1:7" x14ac:dyDescent="0.25">
      <c r="A1722" s="940">
        <v>593</v>
      </c>
      <c r="B1722" s="940">
        <v>408</v>
      </c>
      <c r="C1722" t="s">
        <v>5650</v>
      </c>
      <c r="D1722" s="940" t="s">
        <v>5651</v>
      </c>
      <c r="E1722" t="s">
        <v>105</v>
      </c>
      <c r="F1722">
        <v>1</v>
      </c>
      <c r="G1722" s="135"/>
    </row>
    <row r="1723" spans="1:7" x14ac:dyDescent="0.25">
      <c r="A1723" s="940">
        <v>441</v>
      </c>
      <c r="B1723" s="940">
        <v>532</v>
      </c>
      <c r="C1723" t="s">
        <v>5652</v>
      </c>
      <c r="D1723" s="940" t="s">
        <v>5653</v>
      </c>
      <c r="E1723" t="s">
        <v>138</v>
      </c>
      <c r="F1723">
        <v>1</v>
      </c>
      <c r="G1723" s="135"/>
    </row>
    <row r="1724" spans="1:7" x14ac:dyDescent="0.25">
      <c r="A1724" s="940">
        <v>1243</v>
      </c>
      <c r="B1724" s="940">
        <v>147</v>
      </c>
      <c r="C1724" t="s">
        <v>5654</v>
      </c>
      <c r="D1724" s="940" t="s">
        <v>5655</v>
      </c>
      <c r="E1724" t="s">
        <v>120</v>
      </c>
      <c r="F1724">
        <v>1</v>
      </c>
      <c r="G1724" s="135"/>
    </row>
    <row r="1725" spans="1:7" x14ac:dyDescent="0.25">
      <c r="A1725" s="940">
        <v>1730</v>
      </c>
      <c r="B1725" s="940">
        <v>80</v>
      </c>
      <c r="C1725" t="s">
        <v>5656</v>
      </c>
      <c r="D1725" s="940" t="s">
        <v>5657</v>
      </c>
      <c r="E1725" t="s">
        <v>105</v>
      </c>
      <c r="F1725">
        <v>1</v>
      </c>
      <c r="G1725" s="135"/>
    </row>
    <row r="1726" spans="1:7" x14ac:dyDescent="0.25">
      <c r="A1726" s="940">
        <v>1074</v>
      </c>
      <c r="B1726" s="940">
        <v>192</v>
      </c>
      <c r="C1726" t="s">
        <v>5658</v>
      </c>
      <c r="D1726" s="940" t="s">
        <v>3486</v>
      </c>
      <c r="E1726" t="s">
        <v>105</v>
      </c>
      <c r="F1726">
        <v>1</v>
      </c>
      <c r="G1726" s="135"/>
    </row>
    <row r="1727" spans="1:7" x14ac:dyDescent="0.25">
      <c r="A1727" s="940">
        <v>1090</v>
      </c>
      <c r="B1727" s="940">
        <v>185</v>
      </c>
      <c r="C1727" t="s">
        <v>5659</v>
      </c>
      <c r="D1727" s="940" t="s">
        <v>5660</v>
      </c>
      <c r="E1727" t="s">
        <v>5661</v>
      </c>
      <c r="F1727">
        <v>1</v>
      </c>
      <c r="G1727" s="135"/>
    </row>
    <row r="1728" spans="1:7" x14ac:dyDescent="0.25">
      <c r="A1728" s="940">
        <v>2743</v>
      </c>
      <c r="B1728" s="940">
        <v>15</v>
      </c>
      <c r="C1728" t="s">
        <v>5662</v>
      </c>
      <c r="D1728" s="940" t="s">
        <v>4177</v>
      </c>
      <c r="E1728" t="s">
        <v>105</v>
      </c>
      <c r="F1728">
        <v>1</v>
      </c>
      <c r="G1728" s="135"/>
    </row>
    <row r="1729" spans="1:7" x14ac:dyDescent="0.25">
      <c r="A1729" s="940">
        <v>3490</v>
      </c>
      <c r="B1729" s="940">
        <v>0</v>
      </c>
      <c r="C1729" t="s">
        <v>5663</v>
      </c>
      <c r="D1729" s="940" t="s">
        <v>5664</v>
      </c>
      <c r="E1729" t="s">
        <v>164</v>
      </c>
      <c r="F1729">
        <v>1</v>
      </c>
      <c r="G1729" s="135"/>
    </row>
    <row r="1730" spans="1:7" x14ac:dyDescent="0.25">
      <c r="A1730" s="940">
        <v>2515</v>
      </c>
      <c r="B1730" s="940">
        <v>24</v>
      </c>
      <c r="C1730" t="s">
        <v>5665</v>
      </c>
      <c r="D1730" s="940" t="s">
        <v>5666</v>
      </c>
      <c r="E1730" t="s">
        <v>1358</v>
      </c>
      <c r="F1730">
        <v>1</v>
      </c>
      <c r="G1730" s="135"/>
    </row>
    <row r="1731" spans="1:7" x14ac:dyDescent="0.25">
      <c r="A1731" s="940">
        <v>173</v>
      </c>
      <c r="B1731" s="940">
        <v>940</v>
      </c>
      <c r="C1731" t="s">
        <v>5667</v>
      </c>
      <c r="D1731" s="940" t="s">
        <v>5668</v>
      </c>
      <c r="E1731" t="s">
        <v>109</v>
      </c>
      <c r="F1731">
        <v>1</v>
      </c>
      <c r="G1731" s="135"/>
    </row>
    <row r="1732" spans="1:7" x14ac:dyDescent="0.25">
      <c r="A1732" s="940">
        <v>3490</v>
      </c>
      <c r="B1732" s="940">
        <v>0</v>
      </c>
      <c r="C1732" t="s">
        <v>5669</v>
      </c>
      <c r="D1732" s="940" t="s">
        <v>5670</v>
      </c>
      <c r="E1732" t="s">
        <v>105</v>
      </c>
      <c r="F1732">
        <v>1</v>
      </c>
      <c r="G1732" s="135"/>
    </row>
    <row r="1733" spans="1:7" x14ac:dyDescent="0.25">
      <c r="A1733" s="940">
        <v>1127</v>
      </c>
      <c r="B1733" s="940">
        <v>173</v>
      </c>
      <c r="C1733" t="s">
        <v>2559</v>
      </c>
      <c r="D1733" s="940" t="s">
        <v>5671</v>
      </c>
      <c r="E1733" t="s">
        <v>120</v>
      </c>
      <c r="F1733">
        <v>1</v>
      </c>
      <c r="G1733" s="135"/>
    </row>
    <row r="1734" spans="1:7" x14ac:dyDescent="0.25">
      <c r="A1734" s="940">
        <v>697</v>
      </c>
      <c r="B1734" s="940">
        <v>348</v>
      </c>
      <c r="C1734" t="s">
        <v>1768</v>
      </c>
      <c r="D1734" s="940" t="s">
        <v>5672</v>
      </c>
      <c r="E1734" t="s">
        <v>166</v>
      </c>
      <c r="F1734">
        <v>1</v>
      </c>
      <c r="G1734" s="135"/>
    </row>
    <row r="1735" spans="1:7" x14ac:dyDescent="0.25">
      <c r="A1735" s="940">
        <v>3490</v>
      </c>
      <c r="B1735" s="940">
        <v>0</v>
      </c>
      <c r="C1735" t="s">
        <v>5673</v>
      </c>
      <c r="D1735" s="940" t="s">
        <v>2860</v>
      </c>
      <c r="E1735" t="s">
        <v>113</v>
      </c>
      <c r="F1735">
        <v>1</v>
      </c>
      <c r="G1735" s="135"/>
    </row>
    <row r="1736" spans="1:7" x14ac:dyDescent="0.25">
      <c r="A1736" s="940">
        <v>1730</v>
      </c>
      <c r="B1736" s="940">
        <v>80</v>
      </c>
      <c r="C1736" t="s">
        <v>5674</v>
      </c>
      <c r="D1736" s="940" t="s">
        <v>5675</v>
      </c>
      <c r="E1736" t="s">
        <v>105</v>
      </c>
      <c r="F1736">
        <v>1</v>
      </c>
      <c r="G1736" s="135"/>
    </row>
    <row r="1737" spans="1:7" x14ac:dyDescent="0.25">
      <c r="A1737" s="940">
        <v>3490</v>
      </c>
      <c r="B1737" s="940">
        <v>0</v>
      </c>
      <c r="C1737" t="s">
        <v>5676</v>
      </c>
      <c r="D1737" s="940" t="s">
        <v>3341</v>
      </c>
      <c r="E1737" t="s">
        <v>120</v>
      </c>
      <c r="F1737">
        <v>1</v>
      </c>
      <c r="G1737" s="135"/>
    </row>
    <row r="1738" spans="1:7" x14ac:dyDescent="0.25">
      <c r="A1738" s="940">
        <v>1007</v>
      </c>
      <c r="B1738" s="940">
        <v>213</v>
      </c>
      <c r="C1738" t="s">
        <v>5677</v>
      </c>
      <c r="D1738" s="940" t="s">
        <v>5678</v>
      </c>
      <c r="E1738" t="s">
        <v>120</v>
      </c>
      <c r="F1738">
        <v>1</v>
      </c>
      <c r="G1738" s="135"/>
    </row>
    <row r="1739" spans="1:7" x14ac:dyDescent="0.25">
      <c r="A1739" s="940">
        <v>3490</v>
      </c>
      <c r="B1739" s="940">
        <v>0</v>
      </c>
      <c r="C1739" t="s">
        <v>5679</v>
      </c>
      <c r="D1739" s="940" t="s">
        <v>4137</v>
      </c>
      <c r="E1739" t="s">
        <v>121</v>
      </c>
      <c r="F1739">
        <v>1</v>
      </c>
      <c r="G1739" s="135"/>
    </row>
    <row r="1740" spans="1:7" x14ac:dyDescent="0.25">
      <c r="A1740" s="940">
        <v>2690</v>
      </c>
      <c r="B1740" s="940">
        <v>17</v>
      </c>
      <c r="C1740" t="s">
        <v>5680</v>
      </c>
      <c r="D1740" s="940" t="s">
        <v>3993</v>
      </c>
      <c r="E1740" t="s">
        <v>110</v>
      </c>
      <c r="F1740">
        <v>1</v>
      </c>
      <c r="G1740" s="135"/>
    </row>
    <row r="1741" spans="1:7" x14ac:dyDescent="0.25">
      <c r="A1741" s="940">
        <v>3490</v>
      </c>
      <c r="B1741" s="940">
        <v>0</v>
      </c>
      <c r="C1741" t="s">
        <v>5681</v>
      </c>
      <c r="D1741" s="940" t="s">
        <v>5682</v>
      </c>
      <c r="E1741" t="s">
        <v>5683</v>
      </c>
      <c r="F1741">
        <v>1</v>
      </c>
      <c r="G1741" s="135"/>
    </row>
    <row r="1742" spans="1:7" x14ac:dyDescent="0.25">
      <c r="A1742" s="940">
        <v>1555</v>
      </c>
      <c r="B1742" s="940">
        <v>100</v>
      </c>
      <c r="C1742" t="s">
        <v>5684</v>
      </c>
      <c r="D1742" s="940" t="s">
        <v>5685</v>
      </c>
      <c r="E1742" t="s">
        <v>72</v>
      </c>
      <c r="F1742">
        <v>1</v>
      </c>
      <c r="G1742" s="135"/>
    </row>
    <row r="1743" spans="1:7" x14ac:dyDescent="0.25">
      <c r="A1743" s="940">
        <v>3490</v>
      </c>
      <c r="B1743" s="940">
        <v>0</v>
      </c>
      <c r="C1743" t="s">
        <v>5686</v>
      </c>
      <c r="D1743" s="940" t="s">
        <v>4094</v>
      </c>
      <c r="E1743" t="s">
        <v>168</v>
      </c>
      <c r="F1743">
        <v>1</v>
      </c>
      <c r="G1743" s="135"/>
    </row>
    <row r="1744" spans="1:7" x14ac:dyDescent="0.25">
      <c r="A1744" s="940">
        <v>1898</v>
      </c>
      <c r="B1744" s="940">
        <v>64</v>
      </c>
      <c r="C1744" t="s">
        <v>5687</v>
      </c>
      <c r="D1744" s="940" t="s">
        <v>5688</v>
      </c>
      <c r="E1744" t="s">
        <v>72</v>
      </c>
      <c r="F1744">
        <v>1</v>
      </c>
      <c r="G1744" s="135"/>
    </row>
    <row r="1745" spans="1:7" x14ac:dyDescent="0.25">
      <c r="A1745" s="940">
        <v>2121</v>
      </c>
      <c r="B1745" s="940">
        <v>47</v>
      </c>
      <c r="C1745" t="s">
        <v>5689</v>
      </c>
      <c r="D1745" s="940" t="s">
        <v>2884</v>
      </c>
      <c r="E1745" t="s">
        <v>120</v>
      </c>
      <c r="F1745">
        <v>1</v>
      </c>
      <c r="G1745" s="135"/>
    </row>
    <row r="1746" spans="1:7" x14ac:dyDescent="0.25">
      <c r="A1746" s="940">
        <v>3490</v>
      </c>
      <c r="B1746" s="940">
        <v>0</v>
      </c>
      <c r="C1746" t="s">
        <v>5690</v>
      </c>
      <c r="D1746" s="940" t="s">
        <v>5691</v>
      </c>
      <c r="E1746" t="s">
        <v>1578</v>
      </c>
      <c r="F1746">
        <v>1</v>
      </c>
      <c r="G1746" s="135"/>
    </row>
    <row r="1747" spans="1:7" x14ac:dyDescent="0.25">
      <c r="A1747" s="940">
        <v>1898</v>
      </c>
      <c r="B1747" s="940">
        <v>64</v>
      </c>
      <c r="C1747" t="s">
        <v>5692</v>
      </c>
      <c r="D1747" s="940" t="s">
        <v>5693</v>
      </c>
      <c r="E1747" t="s">
        <v>2356</v>
      </c>
      <c r="F1747">
        <v>1</v>
      </c>
      <c r="G1747" s="135"/>
    </row>
    <row r="1748" spans="1:7" x14ac:dyDescent="0.25">
      <c r="A1748" s="940">
        <v>3490</v>
      </c>
      <c r="B1748" s="940">
        <v>0</v>
      </c>
      <c r="C1748" t="s">
        <v>5694</v>
      </c>
      <c r="D1748" s="940" t="s">
        <v>3895</v>
      </c>
      <c r="E1748" t="s">
        <v>120</v>
      </c>
      <c r="F1748">
        <v>1</v>
      </c>
      <c r="G1748" s="135"/>
    </row>
    <row r="1749" spans="1:7" x14ac:dyDescent="0.25">
      <c r="A1749" s="940">
        <v>2782</v>
      </c>
      <c r="B1749" s="940">
        <v>14</v>
      </c>
      <c r="C1749" t="s">
        <v>5695</v>
      </c>
      <c r="D1749" s="940" t="s">
        <v>5696</v>
      </c>
      <c r="E1749" t="s">
        <v>1524</v>
      </c>
      <c r="F1749">
        <v>1</v>
      </c>
      <c r="G1749" s="135"/>
    </row>
    <row r="1750" spans="1:7" x14ac:dyDescent="0.25">
      <c r="A1750" s="940">
        <v>3490</v>
      </c>
      <c r="B1750" s="940">
        <v>0</v>
      </c>
      <c r="C1750" t="s">
        <v>5697</v>
      </c>
      <c r="D1750" s="940" t="s">
        <v>5698</v>
      </c>
      <c r="E1750" t="s">
        <v>5699</v>
      </c>
      <c r="F1750">
        <v>1</v>
      </c>
      <c r="G1750" s="135"/>
    </row>
    <row r="1751" spans="1:7" x14ac:dyDescent="0.25">
      <c r="A1751" s="940">
        <v>1701</v>
      </c>
      <c r="B1751" s="940">
        <v>83</v>
      </c>
      <c r="C1751" t="s">
        <v>1772</v>
      </c>
      <c r="D1751" s="940" t="s">
        <v>3753</v>
      </c>
      <c r="E1751" t="s">
        <v>120</v>
      </c>
      <c r="F1751">
        <v>1</v>
      </c>
      <c r="G1751" s="135"/>
    </row>
    <row r="1752" spans="1:7" x14ac:dyDescent="0.25">
      <c r="A1752" s="940">
        <v>3490</v>
      </c>
      <c r="B1752" s="940">
        <v>0</v>
      </c>
      <c r="C1752" t="s">
        <v>5700</v>
      </c>
      <c r="D1752" s="940" t="s">
        <v>5701</v>
      </c>
      <c r="E1752" t="s">
        <v>103</v>
      </c>
      <c r="F1752">
        <v>1</v>
      </c>
      <c r="G1752" s="135"/>
    </row>
    <row r="1753" spans="1:7" x14ac:dyDescent="0.25">
      <c r="A1753" s="940">
        <v>3490</v>
      </c>
      <c r="B1753" s="940">
        <v>0</v>
      </c>
      <c r="C1753" t="s">
        <v>5702</v>
      </c>
      <c r="D1753" s="940" t="s">
        <v>5703</v>
      </c>
      <c r="E1753" t="s">
        <v>257</v>
      </c>
      <c r="F1753">
        <v>1</v>
      </c>
      <c r="G1753" s="135"/>
    </row>
    <row r="1754" spans="1:7" x14ac:dyDescent="0.25">
      <c r="A1754" s="940">
        <v>3089</v>
      </c>
      <c r="B1754" s="940">
        <v>6</v>
      </c>
      <c r="C1754" t="s">
        <v>5704</v>
      </c>
      <c r="D1754" s="940" t="s">
        <v>5705</v>
      </c>
      <c r="E1754" t="s">
        <v>2793</v>
      </c>
      <c r="F1754">
        <v>1</v>
      </c>
      <c r="G1754" s="135"/>
    </row>
    <row r="1755" spans="1:7" x14ac:dyDescent="0.25">
      <c r="A1755" s="940">
        <v>3490</v>
      </c>
      <c r="B1755" s="940">
        <v>0</v>
      </c>
      <c r="C1755" t="s">
        <v>5706</v>
      </c>
      <c r="D1755" s="940" t="s">
        <v>5707</v>
      </c>
      <c r="E1755" t="s">
        <v>142</v>
      </c>
      <c r="F1755">
        <v>1</v>
      </c>
      <c r="G1755" s="135"/>
    </row>
    <row r="1756" spans="1:7" x14ac:dyDescent="0.25">
      <c r="A1756" s="940">
        <v>3141</v>
      </c>
      <c r="B1756" s="940">
        <v>5</v>
      </c>
      <c r="C1756" t="s">
        <v>5708</v>
      </c>
      <c r="D1756" s="940" t="s">
        <v>5074</v>
      </c>
      <c r="E1756" t="s">
        <v>128</v>
      </c>
      <c r="F1756">
        <v>1</v>
      </c>
      <c r="G1756" s="135"/>
    </row>
    <row r="1757" spans="1:7" x14ac:dyDescent="0.25">
      <c r="A1757" s="940">
        <v>881</v>
      </c>
      <c r="B1757" s="940">
        <v>260</v>
      </c>
      <c r="C1757" t="s">
        <v>1773</v>
      </c>
      <c r="D1757" s="940" t="s">
        <v>5709</v>
      </c>
      <c r="E1757" t="s">
        <v>1170</v>
      </c>
      <c r="F1757">
        <v>1</v>
      </c>
      <c r="G1757" s="135"/>
    </row>
    <row r="1758" spans="1:7" x14ac:dyDescent="0.25">
      <c r="A1758" s="940">
        <v>491</v>
      </c>
      <c r="B1758" s="940">
        <v>480</v>
      </c>
      <c r="C1758" t="s">
        <v>5710</v>
      </c>
      <c r="D1758" s="940" t="s">
        <v>5711</v>
      </c>
      <c r="E1758" t="s">
        <v>120</v>
      </c>
      <c r="F1758">
        <v>1</v>
      </c>
      <c r="G1758" s="135"/>
    </row>
    <row r="1759" spans="1:7" x14ac:dyDescent="0.25">
      <c r="A1759" s="940">
        <v>1400</v>
      </c>
      <c r="B1759" s="940">
        <v>120</v>
      </c>
      <c r="C1759" t="s">
        <v>1774</v>
      </c>
      <c r="D1759" s="940" t="s">
        <v>5712</v>
      </c>
      <c r="E1759" t="s">
        <v>120</v>
      </c>
      <c r="F1759">
        <v>1</v>
      </c>
      <c r="G1759" s="135"/>
    </row>
    <row r="1760" spans="1:7" x14ac:dyDescent="0.25">
      <c r="A1760" s="940">
        <v>3490</v>
      </c>
      <c r="B1760" s="940">
        <v>0</v>
      </c>
      <c r="C1760" t="s">
        <v>5713</v>
      </c>
      <c r="D1760" s="940" t="s">
        <v>4817</v>
      </c>
      <c r="E1760" t="s">
        <v>1578</v>
      </c>
      <c r="F1760">
        <v>1</v>
      </c>
      <c r="G1760" s="135"/>
    </row>
    <row r="1761" spans="1:7" x14ac:dyDescent="0.25">
      <c r="A1761" s="940">
        <v>3490</v>
      </c>
      <c r="B1761" s="940">
        <v>0</v>
      </c>
      <c r="C1761" t="s">
        <v>5714</v>
      </c>
      <c r="D1761" s="940" t="s">
        <v>5715</v>
      </c>
      <c r="E1761" t="s">
        <v>170</v>
      </c>
      <c r="F1761">
        <v>1</v>
      </c>
      <c r="G1761" s="135"/>
    </row>
    <row r="1762" spans="1:7" x14ac:dyDescent="0.25">
      <c r="A1762" s="940">
        <v>275</v>
      </c>
      <c r="B1762" s="940">
        <v>753</v>
      </c>
      <c r="C1762" t="s">
        <v>5716</v>
      </c>
      <c r="D1762" s="940" t="s">
        <v>5717</v>
      </c>
      <c r="E1762" t="s">
        <v>3330</v>
      </c>
      <c r="F1762">
        <v>1</v>
      </c>
      <c r="G1762" s="135"/>
    </row>
    <row r="1763" spans="1:7" x14ac:dyDescent="0.25">
      <c r="A1763" s="940">
        <v>2959</v>
      </c>
      <c r="B1763" s="940">
        <v>9</v>
      </c>
      <c r="C1763" t="s">
        <v>5718</v>
      </c>
      <c r="D1763" s="940" t="s">
        <v>5719</v>
      </c>
      <c r="E1763" t="s">
        <v>120</v>
      </c>
      <c r="F1763">
        <v>1</v>
      </c>
      <c r="G1763" s="135"/>
    </row>
    <row r="1764" spans="1:7" x14ac:dyDescent="0.25">
      <c r="A1764" s="940">
        <v>1800</v>
      </c>
      <c r="B1764" s="940">
        <v>73</v>
      </c>
      <c r="C1764" t="s">
        <v>5720</v>
      </c>
      <c r="D1764" s="940" t="s">
        <v>5721</v>
      </c>
      <c r="E1764" t="s">
        <v>251</v>
      </c>
      <c r="F1764">
        <v>1</v>
      </c>
      <c r="G1764" s="135"/>
    </row>
    <row r="1765" spans="1:7" x14ac:dyDescent="0.25">
      <c r="A1765" s="940">
        <v>124</v>
      </c>
      <c r="B1765" s="940">
        <v>1034</v>
      </c>
      <c r="C1765" t="s">
        <v>5722</v>
      </c>
      <c r="D1765" s="940" t="s">
        <v>5723</v>
      </c>
      <c r="E1765" t="s">
        <v>120</v>
      </c>
      <c r="F1765">
        <v>1</v>
      </c>
      <c r="G1765" s="135"/>
    </row>
    <row r="1766" spans="1:7" x14ac:dyDescent="0.25">
      <c r="A1766" s="940">
        <v>2256</v>
      </c>
      <c r="B1766" s="940">
        <v>39</v>
      </c>
      <c r="C1766" t="s">
        <v>2521</v>
      </c>
      <c r="D1766" s="940" t="s">
        <v>5724</v>
      </c>
      <c r="E1766" t="s">
        <v>111</v>
      </c>
      <c r="F1766">
        <v>1</v>
      </c>
      <c r="G1766" s="135"/>
    </row>
    <row r="1767" spans="1:7" x14ac:dyDescent="0.25">
      <c r="A1767" s="940">
        <v>85</v>
      </c>
      <c r="B1767" s="940">
        <v>1154</v>
      </c>
      <c r="C1767" t="s">
        <v>258</v>
      </c>
      <c r="D1767" s="940" t="s">
        <v>5725</v>
      </c>
      <c r="E1767" t="s">
        <v>1171</v>
      </c>
      <c r="F1767">
        <v>1</v>
      </c>
      <c r="G1767" s="135"/>
    </row>
    <row r="1768" spans="1:7" x14ac:dyDescent="0.25">
      <c r="A1768" s="940">
        <v>3265</v>
      </c>
      <c r="B1768" s="940">
        <v>3</v>
      </c>
      <c r="C1768" t="s">
        <v>5726</v>
      </c>
      <c r="D1768" s="940" t="s">
        <v>5727</v>
      </c>
      <c r="E1768" t="s">
        <v>130</v>
      </c>
      <c r="F1768">
        <v>1</v>
      </c>
      <c r="G1768" s="135"/>
    </row>
    <row r="1769" spans="1:7" x14ac:dyDescent="0.25">
      <c r="A1769" s="940">
        <v>3490</v>
      </c>
      <c r="B1769" s="940">
        <v>0</v>
      </c>
      <c r="C1769" t="s">
        <v>5728</v>
      </c>
      <c r="D1769" s="940" t="s">
        <v>5434</v>
      </c>
      <c r="E1769" t="s">
        <v>5729</v>
      </c>
      <c r="F1769">
        <v>1</v>
      </c>
      <c r="G1769" s="135"/>
    </row>
    <row r="1770" spans="1:7" x14ac:dyDescent="0.25">
      <c r="A1770" s="940">
        <v>3327</v>
      </c>
      <c r="B1770" s="940">
        <v>2</v>
      </c>
      <c r="C1770" t="s">
        <v>5730</v>
      </c>
      <c r="D1770" s="940" t="s">
        <v>4308</v>
      </c>
      <c r="E1770" t="s">
        <v>1214</v>
      </c>
      <c r="F1770">
        <v>1</v>
      </c>
      <c r="G1770" s="135"/>
    </row>
    <row r="1771" spans="1:7" x14ac:dyDescent="0.25">
      <c r="A1771" s="940">
        <v>2048</v>
      </c>
      <c r="B1771" s="940">
        <v>52</v>
      </c>
      <c r="C1771" t="s">
        <v>5731</v>
      </c>
      <c r="D1771" s="940" t="s">
        <v>3438</v>
      </c>
      <c r="E1771" t="s">
        <v>1214</v>
      </c>
      <c r="F1771">
        <v>1</v>
      </c>
      <c r="G1771" s="135"/>
    </row>
    <row r="1772" spans="1:7" x14ac:dyDescent="0.25">
      <c r="A1772" s="940">
        <v>1885</v>
      </c>
      <c r="B1772" s="940">
        <v>65</v>
      </c>
      <c r="C1772" t="s">
        <v>5732</v>
      </c>
      <c r="D1772" s="940" t="s">
        <v>5733</v>
      </c>
      <c r="E1772" t="s">
        <v>120</v>
      </c>
      <c r="F1772">
        <v>1</v>
      </c>
      <c r="G1772" s="135"/>
    </row>
    <row r="1773" spans="1:7" x14ac:dyDescent="0.25">
      <c r="A1773" s="940">
        <v>2539</v>
      </c>
      <c r="B1773" s="940">
        <v>23</v>
      </c>
      <c r="C1773" t="s">
        <v>5734</v>
      </c>
      <c r="D1773" s="940" t="s">
        <v>4170</v>
      </c>
      <c r="E1773" t="s">
        <v>120</v>
      </c>
      <c r="F1773">
        <v>1</v>
      </c>
      <c r="G1773" s="135"/>
    </row>
    <row r="1774" spans="1:7" x14ac:dyDescent="0.25">
      <c r="A1774" s="940">
        <v>2626</v>
      </c>
      <c r="B1774" s="940">
        <v>19</v>
      </c>
      <c r="C1774" t="s">
        <v>5735</v>
      </c>
      <c r="D1774" s="940" t="s">
        <v>5736</v>
      </c>
      <c r="E1774" t="s">
        <v>1491</v>
      </c>
      <c r="F1774">
        <v>1</v>
      </c>
      <c r="G1774" s="135"/>
    </row>
    <row r="1775" spans="1:7" x14ac:dyDescent="0.25">
      <c r="A1775" s="940">
        <v>1304</v>
      </c>
      <c r="B1775" s="940">
        <v>135</v>
      </c>
      <c r="C1775" t="s">
        <v>510</v>
      </c>
      <c r="D1775" s="940" t="s">
        <v>5298</v>
      </c>
      <c r="E1775" t="s">
        <v>136</v>
      </c>
      <c r="F1775">
        <v>1</v>
      </c>
      <c r="G1775" s="135"/>
    </row>
    <row r="1776" spans="1:7" x14ac:dyDescent="0.25">
      <c r="A1776" s="940">
        <v>3490</v>
      </c>
      <c r="B1776" s="940">
        <v>0</v>
      </c>
      <c r="C1776" t="s">
        <v>5737</v>
      </c>
      <c r="D1776" s="940" t="s">
        <v>3540</v>
      </c>
      <c r="E1776" t="s">
        <v>1171</v>
      </c>
      <c r="F1776">
        <v>1</v>
      </c>
      <c r="G1776" s="135"/>
    </row>
    <row r="1777" spans="1:7" x14ac:dyDescent="0.25">
      <c r="A1777" s="940">
        <v>546</v>
      </c>
      <c r="B1777" s="940">
        <v>437</v>
      </c>
      <c r="C1777" t="s">
        <v>5738</v>
      </c>
      <c r="D1777" s="940" t="s">
        <v>5739</v>
      </c>
      <c r="E1777" t="s">
        <v>3098</v>
      </c>
      <c r="F1777">
        <v>1</v>
      </c>
      <c r="G1777" s="135"/>
    </row>
    <row r="1778" spans="1:7" x14ac:dyDescent="0.25">
      <c r="A1778" s="940">
        <v>951</v>
      </c>
      <c r="B1778" s="940">
        <v>235</v>
      </c>
      <c r="C1778" t="s">
        <v>5740</v>
      </c>
      <c r="D1778" s="940" t="s">
        <v>5741</v>
      </c>
      <c r="E1778" t="s">
        <v>5742</v>
      </c>
      <c r="F1778">
        <v>1</v>
      </c>
      <c r="G1778" s="135"/>
    </row>
    <row r="1779" spans="1:7" x14ac:dyDescent="0.25">
      <c r="A1779" s="940">
        <v>1406</v>
      </c>
      <c r="B1779" s="940">
        <v>119</v>
      </c>
      <c r="C1779" t="s">
        <v>5743</v>
      </c>
      <c r="D1779" s="940" t="s">
        <v>5135</v>
      </c>
      <c r="E1779" t="s">
        <v>117</v>
      </c>
      <c r="F1779">
        <v>1</v>
      </c>
      <c r="G1779" s="135"/>
    </row>
    <row r="1780" spans="1:7" x14ac:dyDescent="0.25">
      <c r="A1780" s="940">
        <v>901</v>
      </c>
      <c r="B1780" s="940">
        <v>254</v>
      </c>
      <c r="C1780" t="s">
        <v>1779</v>
      </c>
      <c r="D1780" s="940" t="s">
        <v>5744</v>
      </c>
      <c r="E1780" t="s">
        <v>99</v>
      </c>
      <c r="F1780">
        <v>1</v>
      </c>
      <c r="G1780" s="135"/>
    </row>
    <row r="1781" spans="1:7" x14ac:dyDescent="0.25">
      <c r="A1781" s="940">
        <v>2347</v>
      </c>
      <c r="B1781" s="940">
        <v>33</v>
      </c>
      <c r="C1781" t="s">
        <v>5745</v>
      </c>
      <c r="D1781" s="940" t="s">
        <v>5416</v>
      </c>
      <c r="E1781" t="s">
        <v>105</v>
      </c>
      <c r="F1781">
        <v>1</v>
      </c>
      <c r="G1781" s="135"/>
    </row>
    <row r="1782" spans="1:7" x14ac:dyDescent="0.25">
      <c r="A1782" s="940">
        <v>3141</v>
      </c>
      <c r="B1782" s="940">
        <v>5</v>
      </c>
      <c r="C1782" t="s">
        <v>5746</v>
      </c>
      <c r="D1782" s="940" t="s">
        <v>3681</v>
      </c>
      <c r="E1782" t="s">
        <v>99</v>
      </c>
      <c r="F1782">
        <v>1</v>
      </c>
      <c r="G1782" s="135"/>
    </row>
    <row r="1783" spans="1:7" x14ac:dyDescent="0.25">
      <c r="A1783" s="940">
        <v>3490</v>
      </c>
      <c r="B1783" s="940">
        <v>0</v>
      </c>
      <c r="C1783" t="s">
        <v>5747</v>
      </c>
      <c r="D1783" s="940" t="s">
        <v>5748</v>
      </c>
      <c r="E1783" t="s">
        <v>1221</v>
      </c>
      <c r="F1783">
        <v>1</v>
      </c>
      <c r="G1783" s="135"/>
    </row>
    <row r="1784" spans="1:7" x14ac:dyDescent="0.25">
      <c r="A1784" s="940">
        <v>3490</v>
      </c>
      <c r="B1784" s="940">
        <v>0</v>
      </c>
      <c r="C1784" t="s">
        <v>5749</v>
      </c>
      <c r="D1784" s="940" t="s">
        <v>5750</v>
      </c>
      <c r="E1784" t="s">
        <v>2846</v>
      </c>
      <c r="F1784">
        <v>1</v>
      </c>
      <c r="G1784" s="135"/>
    </row>
    <row r="1785" spans="1:7" x14ac:dyDescent="0.25">
      <c r="A1785" s="940">
        <v>2907</v>
      </c>
      <c r="B1785" s="940">
        <v>10</v>
      </c>
      <c r="C1785" t="s">
        <v>5751</v>
      </c>
      <c r="D1785" s="940" t="s">
        <v>5752</v>
      </c>
      <c r="E1785" t="s">
        <v>2735</v>
      </c>
      <c r="F1785">
        <v>1</v>
      </c>
      <c r="G1785" s="135"/>
    </row>
    <row r="1786" spans="1:7" x14ac:dyDescent="0.25">
      <c r="A1786" s="940">
        <v>1774</v>
      </c>
      <c r="B1786" s="940">
        <v>76</v>
      </c>
      <c r="C1786" t="s">
        <v>5753</v>
      </c>
      <c r="D1786" s="940" t="s">
        <v>4348</v>
      </c>
      <c r="E1786" t="s">
        <v>99</v>
      </c>
      <c r="F1786">
        <v>1</v>
      </c>
      <c r="G1786" s="135"/>
    </row>
    <row r="1787" spans="1:7" x14ac:dyDescent="0.25">
      <c r="A1787" s="940">
        <v>3196</v>
      </c>
      <c r="B1787" s="940">
        <v>4</v>
      </c>
      <c r="C1787" t="s">
        <v>5754</v>
      </c>
      <c r="D1787" s="940" t="s">
        <v>5755</v>
      </c>
      <c r="E1787" t="s">
        <v>5756</v>
      </c>
      <c r="F1787">
        <v>1</v>
      </c>
      <c r="G1787" s="135"/>
    </row>
    <row r="1788" spans="1:7" x14ac:dyDescent="0.25">
      <c r="A1788" s="940">
        <v>3490</v>
      </c>
      <c r="B1788" s="940">
        <v>0</v>
      </c>
      <c r="C1788" t="s">
        <v>5757</v>
      </c>
      <c r="D1788" s="940" t="s">
        <v>5758</v>
      </c>
      <c r="E1788" t="s">
        <v>1236</v>
      </c>
      <c r="F1788">
        <v>1</v>
      </c>
      <c r="G1788" s="135"/>
    </row>
    <row r="1789" spans="1:7" x14ac:dyDescent="0.25">
      <c r="A1789" s="940">
        <v>1197</v>
      </c>
      <c r="B1789" s="940">
        <v>157</v>
      </c>
      <c r="C1789" t="s">
        <v>5759</v>
      </c>
      <c r="D1789" s="940" t="s">
        <v>5495</v>
      </c>
      <c r="E1789" t="s">
        <v>145</v>
      </c>
      <c r="F1789">
        <v>1</v>
      </c>
      <c r="G1789" s="135"/>
    </row>
    <row r="1790" spans="1:7" x14ac:dyDescent="0.25">
      <c r="A1790" s="940">
        <v>1193</v>
      </c>
      <c r="B1790" s="940">
        <v>158</v>
      </c>
      <c r="C1790" t="s">
        <v>5760</v>
      </c>
      <c r="D1790" s="940" t="s">
        <v>4732</v>
      </c>
      <c r="E1790" t="s">
        <v>144</v>
      </c>
      <c r="F1790">
        <v>1</v>
      </c>
      <c r="G1790" s="135"/>
    </row>
    <row r="1791" spans="1:7" x14ac:dyDescent="0.25">
      <c r="A1791" s="940">
        <v>3490</v>
      </c>
      <c r="B1791" s="940">
        <v>0</v>
      </c>
      <c r="C1791" t="s">
        <v>5761</v>
      </c>
      <c r="D1791" s="940" t="s">
        <v>3818</v>
      </c>
      <c r="E1791" t="s">
        <v>1436</v>
      </c>
      <c r="F1791">
        <v>1</v>
      </c>
      <c r="G1791" s="135"/>
    </row>
    <row r="1792" spans="1:7" x14ac:dyDescent="0.25">
      <c r="A1792" s="940">
        <v>1167</v>
      </c>
      <c r="B1792" s="940">
        <v>164</v>
      </c>
      <c r="C1792" t="s">
        <v>1781</v>
      </c>
      <c r="D1792" s="940" t="s">
        <v>5762</v>
      </c>
      <c r="E1792" t="s">
        <v>103</v>
      </c>
      <c r="F1792">
        <v>1</v>
      </c>
      <c r="G1792" s="135"/>
    </row>
    <row r="1793" spans="1:7" x14ac:dyDescent="0.25">
      <c r="A1793" s="940">
        <v>2221</v>
      </c>
      <c r="B1793" s="940">
        <v>41</v>
      </c>
      <c r="C1793" t="s">
        <v>5763</v>
      </c>
      <c r="D1793" s="940" t="s">
        <v>5764</v>
      </c>
      <c r="E1793" t="s">
        <v>1236</v>
      </c>
      <c r="F1793">
        <v>1</v>
      </c>
      <c r="G1793" s="135"/>
    </row>
    <row r="1794" spans="1:7" x14ac:dyDescent="0.25">
      <c r="A1794" s="940">
        <v>2996</v>
      </c>
      <c r="B1794" s="940">
        <v>8</v>
      </c>
      <c r="C1794" t="s">
        <v>5765</v>
      </c>
      <c r="D1794" s="940" t="s">
        <v>5766</v>
      </c>
      <c r="E1794" t="s">
        <v>5767</v>
      </c>
      <c r="F1794">
        <v>1</v>
      </c>
      <c r="G1794" s="135"/>
    </row>
    <row r="1795" spans="1:7" x14ac:dyDescent="0.25">
      <c r="A1795" s="940">
        <v>3265</v>
      </c>
      <c r="B1795" s="940">
        <v>3</v>
      </c>
      <c r="C1795" t="s">
        <v>5768</v>
      </c>
      <c r="D1795" s="940" t="s">
        <v>5769</v>
      </c>
      <c r="E1795" t="s">
        <v>111</v>
      </c>
      <c r="F1795">
        <v>1</v>
      </c>
      <c r="G1795" s="135"/>
    </row>
    <row r="1796" spans="1:7" x14ac:dyDescent="0.25">
      <c r="A1796" s="940">
        <v>1924</v>
      </c>
      <c r="B1796" s="940">
        <v>62</v>
      </c>
      <c r="C1796" t="s">
        <v>2522</v>
      </c>
      <c r="D1796" s="940" t="s">
        <v>5770</v>
      </c>
      <c r="E1796" t="s">
        <v>1248</v>
      </c>
      <c r="F1796">
        <v>1</v>
      </c>
      <c r="G1796" s="135"/>
    </row>
    <row r="1797" spans="1:7" x14ac:dyDescent="0.25">
      <c r="A1797" s="940">
        <v>1489</v>
      </c>
      <c r="B1797" s="940">
        <v>107</v>
      </c>
      <c r="C1797" t="s">
        <v>1782</v>
      </c>
      <c r="D1797" s="940" t="s">
        <v>4784</v>
      </c>
      <c r="E1797" t="s">
        <v>1248</v>
      </c>
      <c r="F1797">
        <v>1</v>
      </c>
      <c r="G1797" s="135"/>
    </row>
    <row r="1798" spans="1:7" x14ac:dyDescent="0.25">
      <c r="A1798" s="940">
        <v>3490</v>
      </c>
      <c r="B1798" s="940">
        <v>0</v>
      </c>
      <c r="C1798" t="s">
        <v>5771</v>
      </c>
      <c r="D1798" s="940" t="s">
        <v>5772</v>
      </c>
      <c r="E1798" t="s">
        <v>139</v>
      </c>
      <c r="F1798">
        <v>1</v>
      </c>
      <c r="G1798" s="135"/>
    </row>
    <row r="1799" spans="1:7" x14ac:dyDescent="0.25">
      <c r="A1799" s="940">
        <v>974</v>
      </c>
      <c r="B1799" s="940">
        <v>226</v>
      </c>
      <c r="C1799" t="s">
        <v>5773</v>
      </c>
      <c r="D1799" s="940" t="s">
        <v>5774</v>
      </c>
      <c r="E1799" t="s">
        <v>3648</v>
      </c>
      <c r="F1799">
        <v>1</v>
      </c>
      <c r="G1799" s="135"/>
    </row>
    <row r="1800" spans="1:7" x14ac:dyDescent="0.25">
      <c r="A1800" s="940">
        <v>155</v>
      </c>
      <c r="B1800" s="940">
        <v>966</v>
      </c>
      <c r="C1800" t="s">
        <v>5775</v>
      </c>
      <c r="D1800" s="940" t="s">
        <v>5776</v>
      </c>
      <c r="E1800" t="s">
        <v>99</v>
      </c>
      <c r="F1800">
        <v>1</v>
      </c>
      <c r="G1800" s="135"/>
    </row>
    <row r="1801" spans="1:7" x14ac:dyDescent="0.25">
      <c r="A1801" s="940">
        <v>787</v>
      </c>
      <c r="B1801" s="940">
        <v>302</v>
      </c>
      <c r="C1801" t="s">
        <v>5777</v>
      </c>
      <c r="D1801" s="940" t="s">
        <v>5778</v>
      </c>
      <c r="E1801" t="s">
        <v>1236</v>
      </c>
      <c r="F1801">
        <v>1</v>
      </c>
      <c r="G1801" s="135"/>
    </row>
    <row r="1802" spans="1:7" x14ac:dyDescent="0.25">
      <c r="A1802" s="940">
        <v>618</v>
      </c>
      <c r="B1802" s="940">
        <v>391</v>
      </c>
      <c r="C1802" t="s">
        <v>261</v>
      </c>
      <c r="D1802" s="940" t="s">
        <v>4378</v>
      </c>
      <c r="E1802" t="s">
        <v>1214</v>
      </c>
      <c r="F1802">
        <v>1</v>
      </c>
      <c r="G1802" s="135"/>
    </row>
    <row r="1803" spans="1:7" x14ac:dyDescent="0.25">
      <c r="A1803" s="940">
        <v>1627</v>
      </c>
      <c r="B1803" s="940">
        <v>92</v>
      </c>
      <c r="C1803" t="s">
        <v>1789</v>
      </c>
      <c r="D1803" s="940" t="s">
        <v>5779</v>
      </c>
      <c r="E1803" t="s">
        <v>175</v>
      </c>
      <c r="F1803">
        <v>1</v>
      </c>
      <c r="G1803" s="135"/>
    </row>
    <row r="1804" spans="1:7" x14ac:dyDescent="0.25">
      <c r="A1804" s="940">
        <v>413</v>
      </c>
      <c r="B1804" s="940">
        <v>558</v>
      </c>
      <c r="C1804" t="s">
        <v>5780</v>
      </c>
      <c r="D1804" s="940" t="s">
        <v>5781</v>
      </c>
      <c r="E1804" t="s">
        <v>1311</v>
      </c>
      <c r="F1804">
        <v>1</v>
      </c>
      <c r="G1804" s="135"/>
    </row>
    <row r="1805" spans="1:7" x14ac:dyDescent="0.25">
      <c r="A1805" s="940">
        <v>2272</v>
      </c>
      <c r="B1805" s="940">
        <v>38</v>
      </c>
      <c r="C1805" t="s">
        <v>5782</v>
      </c>
      <c r="D1805" s="940" t="s">
        <v>4383</v>
      </c>
      <c r="E1805" t="s">
        <v>188</v>
      </c>
      <c r="F1805">
        <v>1</v>
      </c>
      <c r="G1805" s="135"/>
    </row>
    <row r="1806" spans="1:7" x14ac:dyDescent="0.25">
      <c r="A1806" s="940">
        <v>3490</v>
      </c>
      <c r="B1806" s="940">
        <v>0</v>
      </c>
      <c r="C1806" t="s">
        <v>5783</v>
      </c>
      <c r="D1806" s="940" t="s">
        <v>4808</v>
      </c>
      <c r="E1806" t="s">
        <v>1200</v>
      </c>
      <c r="F1806">
        <v>1</v>
      </c>
      <c r="G1806" s="135"/>
    </row>
    <row r="1807" spans="1:7" x14ac:dyDescent="0.25">
      <c r="A1807" s="940">
        <v>329</v>
      </c>
      <c r="B1807" s="940">
        <v>666</v>
      </c>
      <c r="C1807" t="s">
        <v>1790</v>
      </c>
      <c r="D1807" s="940" t="s">
        <v>5784</v>
      </c>
      <c r="E1807" t="s">
        <v>120</v>
      </c>
      <c r="F1807">
        <v>1</v>
      </c>
      <c r="G1807" s="135"/>
    </row>
    <row r="1808" spans="1:7" x14ac:dyDescent="0.25">
      <c r="A1808" s="940">
        <v>3395</v>
      </c>
      <c r="B1808" s="940">
        <v>1</v>
      </c>
      <c r="C1808" t="s">
        <v>5785</v>
      </c>
      <c r="D1808" s="940" t="s">
        <v>5786</v>
      </c>
      <c r="E1808" t="s">
        <v>120</v>
      </c>
      <c r="F1808">
        <v>1</v>
      </c>
      <c r="G1808" s="135"/>
    </row>
    <row r="1809" spans="1:7" x14ac:dyDescent="0.25">
      <c r="A1809" s="940">
        <v>3490</v>
      </c>
      <c r="B1809" s="940">
        <v>0</v>
      </c>
      <c r="C1809" t="s">
        <v>5787</v>
      </c>
      <c r="D1809" s="940" t="s">
        <v>2893</v>
      </c>
      <c r="E1809" t="s">
        <v>120</v>
      </c>
      <c r="F1809">
        <v>1</v>
      </c>
      <c r="G1809" s="135"/>
    </row>
    <row r="1810" spans="1:7" x14ac:dyDescent="0.25">
      <c r="A1810" s="940">
        <v>3141</v>
      </c>
      <c r="B1810" s="940">
        <v>5</v>
      </c>
      <c r="C1810" t="s">
        <v>5788</v>
      </c>
      <c r="D1810" s="940" t="s">
        <v>5529</v>
      </c>
      <c r="E1810" t="s">
        <v>222</v>
      </c>
      <c r="F1810">
        <v>1</v>
      </c>
      <c r="G1810" s="135"/>
    </row>
    <row r="1811" spans="1:7" x14ac:dyDescent="0.25">
      <c r="A1811" s="940">
        <v>2626</v>
      </c>
      <c r="B1811" s="940">
        <v>19</v>
      </c>
      <c r="C1811" t="s">
        <v>5789</v>
      </c>
      <c r="D1811" s="940" t="s">
        <v>3667</v>
      </c>
      <c r="E1811" t="s">
        <v>1169</v>
      </c>
      <c r="F1811">
        <v>1</v>
      </c>
      <c r="G1811" s="135"/>
    </row>
    <row r="1812" spans="1:7" x14ac:dyDescent="0.25">
      <c r="A1812" s="940">
        <v>973</v>
      </c>
      <c r="B1812" s="940">
        <v>227</v>
      </c>
      <c r="C1812" t="s">
        <v>5790</v>
      </c>
      <c r="D1812" s="940" t="s">
        <v>5791</v>
      </c>
      <c r="E1812" t="s">
        <v>1182</v>
      </c>
      <c r="F1812">
        <v>1</v>
      </c>
      <c r="G1812" s="135"/>
    </row>
    <row r="1813" spans="1:7" x14ac:dyDescent="0.25">
      <c r="A1813" s="940">
        <v>3490</v>
      </c>
      <c r="B1813" s="940">
        <v>0</v>
      </c>
      <c r="C1813" t="s">
        <v>5792</v>
      </c>
      <c r="D1813" s="940" t="s">
        <v>5793</v>
      </c>
      <c r="E1813" t="s">
        <v>1578</v>
      </c>
      <c r="F1813">
        <v>1</v>
      </c>
      <c r="G1813" s="135"/>
    </row>
    <row r="1814" spans="1:7" x14ac:dyDescent="0.25">
      <c r="A1814" s="940">
        <v>2659</v>
      </c>
      <c r="B1814" s="940">
        <v>18</v>
      </c>
      <c r="C1814" t="s">
        <v>5794</v>
      </c>
      <c r="D1814" s="940" t="s">
        <v>5795</v>
      </c>
      <c r="E1814" t="s">
        <v>145</v>
      </c>
      <c r="F1814">
        <v>1</v>
      </c>
      <c r="G1814" s="135"/>
    </row>
    <row r="1815" spans="1:7" x14ac:dyDescent="0.25">
      <c r="A1815" s="940">
        <v>2582</v>
      </c>
      <c r="B1815" s="940">
        <v>21</v>
      </c>
      <c r="C1815" t="s">
        <v>5796</v>
      </c>
      <c r="D1815" s="940" t="s">
        <v>3572</v>
      </c>
      <c r="E1815" t="s">
        <v>105</v>
      </c>
      <c r="F1815">
        <v>1</v>
      </c>
      <c r="G1815" s="135"/>
    </row>
    <row r="1816" spans="1:7" x14ac:dyDescent="0.25">
      <c r="A1816" s="940">
        <v>1872</v>
      </c>
      <c r="B1816" s="940">
        <v>66</v>
      </c>
      <c r="C1816" t="s">
        <v>5797</v>
      </c>
      <c r="D1816" s="940" t="s">
        <v>4891</v>
      </c>
      <c r="E1816" t="s">
        <v>170</v>
      </c>
      <c r="F1816">
        <v>1</v>
      </c>
      <c r="G1816" s="135"/>
    </row>
    <row r="1817" spans="1:7" x14ac:dyDescent="0.25">
      <c r="A1817" s="940">
        <v>326</v>
      </c>
      <c r="B1817" s="940">
        <v>670</v>
      </c>
      <c r="C1817" t="s">
        <v>5798</v>
      </c>
      <c r="D1817" s="940" t="s">
        <v>5799</v>
      </c>
      <c r="E1817" t="s">
        <v>1200</v>
      </c>
      <c r="F1817">
        <v>1</v>
      </c>
      <c r="G1817" s="135"/>
    </row>
    <row r="1818" spans="1:7" x14ac:dyDescent="0.25">
      <c r="A1818" s="940">
        <v>1304</v>
      </c>
      <c r="B1818" s="940">
        <v>135</v>
      </c>
      <c r="C1818" t="s">
        <v>5800</v>
      </c>
      <c r="D1818" s="940" t="s">
        <v>5801</v>
      </c>
      <c r="E1818" t="s">
        <v>1860</v>
      </c>
      <c r="F1818">
        <v>1</v>
      </c>
      <c r="G1818" s="135"/>
    </row>
    <row r="1819" spans="1:7" x14ac:dyDescent="0.25">
      <c r="A1819" s="940">
        <v>260</v>
      </c>
      <c r="B1819" s="940">
        <v>794</v>
      </c>
      <c r="C1819" t="s">
        <v>5802</v>
      </c>
      <c r="D1819" s="940" t="s">
        <v>5803</v>
      </c>
      <c r="E1819" t="s">
        <v>119</v>
      </c>
      <c r="F1819">
        <v>1</v>
      </c>
      <c r="G1819" s="135"/>
    </row>
    <row r="1820" spans="1:7" x14ac:dyDescent="0.25">
      <c r="A1820" s="940">
        <v>3490</v>
      </c>
      <c r="B1820" s="940">
        <v>0</v>
      </c>
      <c r="C1820" t="s">
        <v>5804</v>
      </c>
      <c r="D1820" s="940" t="s">
        <v>5805</v>
      </c>
      <c r="E1820" t="s">
        <v>128</v>
      </c>
      <c r="F1820">
        <v>1</v>
      </c>
      <c r="G1820" s="135"/>
    </row>
    <row r="1821" spans="1:7" x14ac:dyDescent="0.25">
      <c r="A1821" s="940">
        <v>1898</v>
      </c>
      <c r="B1821" s="940">
        <v>64</v>
      </c>
      <c r="C1821" t="s">
        <v>5806</v>
      </c>
      <c r="D1821" s="940" t="s">
        <v>5807</v>
      </c>
      <c r="E1821" t="s">
        <v>109</v>
      </c>
      <c r="F1821">
        <v>1</v>
      </c>
      <c r="G1821" s="135"/>
    </row>
    <row r="1822" spans="1:7" x14ac:dyDescent="0.25">
      <c r="A1822" s="940">
        <v>3490</v>
      </c>
      <c r="B1822" s="940">
        <v>0</v>
      </c>
      <c r="C1822" t="s">
        <v>5808</v>
      </c>
      <c r="D1822" s="940" t="s">
        <v>5809</v>
      </c>
      <c r="E1822" t="s">
        <v>120</v>
      </c>
      <c r="F1822">
        <v>1</v>
      </c>
    </row>
    <row r="1823" spans="1:7" x14ac:dyDescent="0.25">
      <c r="A1823" s="940">
        <v>2907</v>
      </c>
      <c r="B1823" s="940">
        <v>10</v>
      </c>
      <c r="C1823" t="s">
        <v>5810</v>
      </c>
      <c r="D1823" s="940" t="s">
        <v>5811</v>
      </c>
      <c r="E1823" t="s">
        <v>99</v>
      </c>
      <c r="F1823">
        <v>1</v>
      </c>
    </row>
    <row r="1824" spans="1:7" x14ac:dyDescent="0.25">
      <c r="A1824" s="940">
        <v>2659</v>
      </c>
      <c r="B1824" s="940">
        <v>18</v>
      </c>
      <c r="C1824" t="s">
        <v>5812</v>
      </c>
      <c r="D1824" s="940" t="s">
        <v>5772</v>
      </c>
      <c r="E1824" t="s">
        <v>186</v>
      </c>
      <c r="F1824">
        <v>1</v>
      </c>
    </row>
    <row r="1825" spans="1:6" x14ac:dyDescent="0.25">
      <c r="A1825" s="940">
        <v>2291</v>
      </c>
      <c r="B1825" s="940">
        <v>37</v>
      </c>
      <c r="C1825" t="s">
        <v>5813</v>
      </c>
      <c r="D1825" s="940" t="s">
        <v>4527</v>
      </c>
      <c r="E1825" t="s">
        <v>1236</v>
      </c>
      <c r="F1825">
        <v>1</v>
      </c>
    </row>
    <row r="1826" spans="1:6" x14ac:dyDescent="0.25">
      <c r="A1826" s="940">
        <v>1514</v>
      </c>
      <c r="B1826" s="940">
        <v>104</v>
      </c>
      <c r="C1826" t="s">
        <v>5814</v>
      </c>
      <c r="D1826" s="940" t="s">
        <v>5815</v>
      </c>
      <c r="E1826" t="s">
        <v>1236</v>
      </c>
      <c r="F1826">
        <v>1</v>
      </c>
    </row>
    <row r="1827" spans="1:6" x14ac:dyDescent="0.25">
      <c r="A1827" s="940">
        <v>901</v>
      </c>
      <c r="B1827" s="940">
        <v>254</v>
      </c>
      <c r="C1827" t="s">
        <v>5816</v>
      </c>
      <c r="D1827" s="940" t="s">
        <v>4254</v>
      </c>
      <c r="E1827" t="s">
        <v>120</v>
      </c>
      <c r="F1827">
        <v>1</v>
      </c>
    </row>
    <row r="1828" spans="1:6" x14ac:dyDescent="0.25">
      <c r="A1828" s="940">
        <v>524</v>
      </c>
      <c r="B1828" s="940">
        <v>447</v>
      </c>
      <c r="C1828" t="s">
        <v>5817</v>
      </c>
      <c r="D1828" s="940" t="s">
        <v>5818</v>
      </c>
      <c r="E1828" t="s">
        <v>120</v>
      </c>
      <c r="F1828">
        <v>1</v>
      </c>
    </row>
    <row r="1829" spans="1:6" x14ac:dyDescent="0.25">
      <c r="A1829" s="940">
        <v>2582</v>
      </c>
      <c r="B1829" s="940">
        <v>21</v>
      </c>
      <c r="C1829" t="s">
        <v>5819</v>
      </c>
      <c r="D1829" s="940" t="s">
        <v>5820</v>
      </c>
      <c r="E1829" t="s">
        <v>1156</v>
      </c>
      <c r="F1829">
        <v>1</v>
      </c>
    </row>
    <row r="1830" spans="1:6" x14ac:dyDescent="0.25">
      <c r="A1830" s="940">
        <v>1329</v>
      </c>
      <c r="B1830" s="940">
        <v>130</v>
      </c>
      <c r="C1830" t="s">
        <v>5821</v>
      </c>
      <c r="D1830" s="940" t="s">
        <v>5822</v>
      </c>
      <c r="E1830" t="s">
        <v>5823</v>
      </c>
      <c r="F1830">
        <v>1</v>
      </c>
    </row>
    <row r="1831" spans="1:6" x14ac:dyDescent="0.25">
      <c r="A1831" s="940">
        <v>3490</v>
      </c>
      <c r="B1831" s="940">
        <v>0</v>
      </c>
      <c r="C1831" t="s">
        <v>5824</v>
      </c>
      <c r="D1831" s="940" t="s">
        <v>5825</v>
      </c>
      <c r="E1831" t="s">
        <v>1211</v>
      </c>
      <c r="F1831">
        <v>1</v>
      </c>
    </row>
    <row r="1832" spans="1:6" x14ac:dyDescent="0.25">
      <c r="A1832" s="940">
        <v>12</v>
      </c>
      <c r="B1832" s="940">
        <v>1578</v>
      </c>
      <c r="C1832" t="s">
        <v>5826</v>
      </c>
      <c r="D1832" s="940" t="s">
        <v>5827</v>
      </c>
      <c r="E1832" t="s">
        <v>105</v>
      </c>
      <c r="F1832">
        <v>1</v>
      </c>
    </row>
    <row r="1833" spans="1:6" x14ac:dyDescent="0.25">
      <c r="A1833" s="940">
        <v>819</v>
      </c>
      <c r="B1833" s="940">
        <v>291</v>
      </c>
      <c r="C1833" t="s">
        <v>5828</v>
      </c>
      <c r="D1833" s="940" t="s">
        <v>5829</v>
      </c>
      <c r="E1833" t="s">
        <v>2542</v>
      </c>
      <c r="F1833">
        <v>1</v>
      </c>
    </row>
    <row r="1834" spans="1:6" x14ac:dyDescent="0.25">
      <c r="A1834" s="940">
        <v>2582</v>
      </c>
      <c r="B1834" s="940">
        <v>21</v>
      </c>
      <c r="C1834" t="s">
        <v>5830</v>
      </c>
      <c r="D1834" s="940" t="s">
        <v>5831</v>
      </c>
      <c r="E1834" t="s">
        <v>3114</v>
      </c>
      <c r="F1834">
        <v>1</v>
      </c>
    </row>
    <row r="1835" spans="1:6" x14ac:dyDescent="0.25">
      <c r="A1835" s="940">
        <v>3490</v>
      </c>
      <c r="B1835" s="940">
        <v>0</v>
      </c>
      <c r="C1835" t="s">
        <v>5832</v>
      </c>
      <c r="D1835" s="940" t="s">
        <v>3963</v>
      </c>
      <c r="E1835" t="s">
        <v>3114</v>
      </c>
      <c r="F1835">
        <v>1</v>
      </c>
    </row>
    <row r="1836" spans="1:6" x14ac:dyDescent="0.25">
      <c r="A1836" s="940">
        <v>2004</v>
      </c>
      <c r="B1836" s="940">
        <v>55</v>
      </c>
      <c r="C1836" t="s">
        <v>5833</v>
      </c>
      <c r="D1836" s="940" t="s">
        <v>3146</v>
      </c>
      <c r="E1836" t="s">
        <v>1493</v>
      </c>
      <c r="F1836">
        <v>1</v>
      </c>
    </row>
    <row r="1837" spans="1:6" x14ac:dyDescent="0.25">
      <c r="A1837" s="940">
        <v>2461</v>
      </c>
      <c r="B1837" s="940">
        <v>27</v>
      </c>
      <c r="C1837" t="s">
        <v>5834</v>
      </c>
      <c r="D1837" s="940" t="s">
        <v>4385</v>
      </c>
      <c r="E1837" t="s">
        <v>2237</v>
      </c>
      <c r="F1837">
        <v>1</v>
      </c>
    </row>
    <row r="1838" spans="1:6" x14ac:dyDescent="0.25">
      <c r="A1838" s="940">
        <v>3196</v>
      </c>
      <c r="B1838" s="940">
        <v>4</v>
      </c>
      <c r="C1838" t="s">
        <v>5835</v>
      </c>
      <c r="D1838" s="940" t="s">
        <v>4810</v>
      </c>
      <c r="E1838" t="s">
        <v>2558</v>
      </c>
      <c r="F1838">
        <v>1</v>
      </c>
    </row>
    <row r="1839" spans="1:6" x14ac:dyDescent="0.25">
      <c r="A1839" s="940">
        <v>2048</v>
      </c>
      <c r="B1839" s="940">
        <v>52</v>
      </c>
      <c r="C1839" t="s">
        <v>5836</v>
      </c>
      <c r="D1839" s="940" t="s">
        <v>5837</v>
      </c>
      <c r="E1839" t="s">
        <v>1158</v>
      </c>
      <c r="F1839">
        <v>1</v>
      </c>
    </row>
    <row r="1840" spans="1:6" x14ac:dyDescent="0.25">
      <c r="A1840" s="940">
        <v>3490</v>
      </c>
      <c r="B1840" s="940">
        <v>0</v>
      </c>
      <c r="C1840" t="s">
        <v>5838</v>
      </c>
      <c r="D1840" s="940" t="s">
        <v>4380</v>
      </c>
      <c r="E1840" t="s">
        <v>111</v>
      </c>
      <c r="F1840">
        <v>1</v>
      </c>
    </row>
    <row r="1841" spans="1:6" x14ac:dyDescent="0.25">
      <c r="A1841" s="940">
        <v>675</v>
      </c>
      <c r="B1841" s="940">
        <v>363</v>
      </c>
      <c r="C1841" t="s">
        <v>5839</v>
      </c>
      <c r="D1841" s="940" t="s">
        <v>3769</v>
      </c>
      <c r="E1841" t="s">
        <v>105</v>
      </c>
      <c r="F1841">
        <v>1</v>
      </c>
    </row>
    <row r="1842" spans="1:6" x14ac:dyDescent="0.25">
      <c r="A1842" s="940">
        <v>3089</v>
      </c>
      <c r="B1842" s="940">
        <v>6</v>
      </c>
      <c r="C1842" t="s">
        <v>5840</v>
      </c>
      <c r="D1842" s="940" t="s">
        <v>5841</v>
      </c>
      <c r="E1842" t="s">
        <v>1236</v>
      </c>
      <c r="F1842">
        <v>1</v>
      </c>
    </row>
    <row r="1843" spans="1:6" x14ac:dyDescent="0.25">
      <c r="A1843" s="940">
        <v>302</v>
      </c>
      <c r="B1843" s="940">
        <v>710</v>
      </c>
      <c r="C1843" t="s">
        <v>5842</v>
      </c>
      <c r="D1843" s="940" t="s">
        <v>5843</v>
      </c>
      <c r="E1843" t="s">
        <v>2880</v>
      </c>
      <c r="F1843">
        <v>1</v>
      </c>
    </row>
    <row r="1844" spans="1:6" x14ac:dyDescent="0.25">
      <c r="A1844" s="940">
        <v>986</v>
      </c>
      <c r="B1844" s="940">
        <v>222</v>
      </c>
      <c r="C1844" t="s">
        <v>5844</v>
      </c>
      <c r="D1844" s="940" t="s">
        <v>5845</v>
      </c>
      <c r="E1844" t="s">
        <v>5846</v>
      </c>
      <c r="F1844">
        <v>1</v>
      </c>
    </row>
    <row r="1845" spans="1:6" x14ac:dyDescent="0.25">
      <c r="A1845" s="940">
        <v>2221</v>
      </c>
      <c r="B1845" s="940">
        <v>41</v>
      </c>
      <c r="C1845" t="s">
        <v>5847</v>
      </c>
      <c r="D1845" s="940" t="s">
        <v>3388</v>
      </c>
      <c r="E1845" t="s">
        <v>133</v>
      </c>
      <c r="F1845">
        <v>1</v>
      </c>
    </row>
    <row r="1846" spans="1:6" x14ac:dyDescent="0.25">
      <c r="A1846" s="940">
        <v>2814</v>
      </c>
      <c r="B1846" s="940">
        <v>13</v>
      </c>
      <c r="C1846" t="s">
        <v>5848</v>
      </c>
      <c r="D1846" s="940" t="s">
        <v>4990</v>
      </c>
      <c r="E1846" t="s">
        <v>614</v>
      </c>
      <c r="F1846">
        <v>1</v>
      </c>
    </row>
    <row r="1847" spans="1:6" x14ac:dyDescent="0.25">
      <c r="A1847" s="940">
        <v>3490</v>
      </c>
      <c r="B1847" s="940">
        <v>0</v>
      </c>
      <c r="C1847" t="s">
        <v>5849</v>
      </c>
      <c r="D1847" s="940" t="s">
        <v>5850</v>
      </c>
      <c r="E1847" t="s">
        <v>1236</v>
      </c>
      <c r="F1847">
        <v>1</v>
      </c>
    </row>
    <row r="1848" spans="1:6" x14ac:dyDescent="0.25">
      <c r="A1848" s="940">
        <v>1080</v>
      </c>
      <c r="B1848" s="940">
        <v>188</v>
      </c>
      <c r="C1848" t="s">
        <v>1800</v>
      </c>
      <c r="D1848" s="940" t="s">
        <v>5851</v>
      </c>
      <c r="E1848" t="s">
        <v>1236</v>
      </c>
      <c r="F1848">
        <v>1</v>
      </c>
    </row>
    <row r="1849" spans="1:6" x14ac:dyDescent="0.25">
      <c r="A1849" s="940">
        <v>3327</v>
      </c>
      <c r="B1849" s="940">
        <v>2</v>
      </c>
      <c r="C1849" t="s">
        <v>5852</v>
      </c>
      <c r="D1849" s="940" t="s">
        <v>5467</v>
      </c>
      <c r="E1849" t="s">
        <v>1460</v>
      </c>
      <c r="F1849">
        <v>1</v>
      </c>
    </row>
    <row r="1850" spans="1:6" x14ac:dyDescent="0.25">
      <c r="A1850" s="940">
        <v>1924</v>
      </c>
      <c r="B1850" s="940">
        <v>62</v>
      </c>
      <c r="C1850" t="s">
        <v>5853</v>
      </c>
      <c r="D1850" s="940" t="s">
        <v>5854</v>
      </c>
      <c r="E1850" t="s">
        <v>5855</v>
      </c>
      <c r="F1850">
        <v>1</v>
      </c>
    </row>
    <row r="1851" spans="1:6" x14ac:dyDescent="0.25">
      <c r="A1851" s="940">
        <v>1201</v>
      </c>
      <c r="B1851" s="940">
        <v>156</v>
      </c>
      <c r="C1851" t="s">
        <v>5856</v>
      </c>
      <c r="D1851" s="940" t="s">
        <v>5857</v>
      </c>
      <c r="E1851" t="s">
        <v>83</v>
      </c>
      <c r="F1851">
        <v>1</v>
      </c>
    </row>
    <row r="1852" spans="1:6" x14ac:dyDescent="0.25">
      <c r="A1852" s="940">
        <v>898</v>
      </c>
      <c r="B1852" s="940">
        <v>255</v>
      </c>
      <c r="C1852" t="s">
        <v>5858</v>
      </c>
      <c r="D1852" s="940" t="s">
        <v>5859</v>
      </c>
      <c r="E1852" t="s">
        <v>4548</v>
      </c>
      <c r="F1852">
        <v>1</v>
      </c>
    </row>
    <row r="1853" spans="1:6" x14ac:dyDescent="0.25">
      <c r="A1853" s="940">
        <v>1787</v>
      </c>
      <c r="B1853" s="940">
        <v>74</v>
      </c>
      <c r="C1853" t="s">
        <v>5860</v>
      </c>
      <c r="D1853" s="940" t="s">
        <v>5861</v>
      </c>
      <c r="E1853" t="s">
        <v>147</v>
      </c>
      <c r="F1853">
        <v>1</v>
      </c>
    </row>
    <row r="1854" spans="1:6" x14ac:dyDescent="0.25">
      <c r="A1854" s="940">
        <v>3490</v>
      </c>
      <c r="B1854" s="940">
        <v>0</v>
      </c>
      <c r="C1854" t="s">
        <v>5862</v>
      </c>
      <c r="D1854" s="940" t="s">
        <v>3028</v>
      </c>
      <c r="E1854" t="s">
        <v>128</v>
      </c>
      <c r="F1854">
        <v>1</v>
      </c>
    </row>
    <row r="1855" spans="1:6" x14ac:dyDescent="0.25">
      <c r="A1855" s="940">
        <v>3045</v>
      </c>
      <c r="B1855" s="940">
        <v>7</v>
      </c>
      <c r="C1855" t="s">
        <v>5863</v>
      </c>
      <c r="D1855" s="940" t="s">
        <v>3741</v>
      </c>
      <c r="E1855" t="s">
        <v>1248</v>
      </c>
      <c r="F1855">
        <v>1</v>
      </c>
    </row>
    <row r="1856" spans="1:6" x14ac:dyDescent="0.25">
      <c r="A1856" s="940">
        <v>3490</v>
      </c>
      <c r="B1856" s="940">
        <v>0</v>
      </c>
      <c r="C1856" t="s">
        <v>5864</v>
      </c>
      <c r="D1856" s="940" t="s">
        <v>5865</v>
      </c>
      <c r="E1856" t="s">
        <v>614</v>
      </c>
      <c r="F1856">
        <v>1</v>
      </c>
    </row>
    <row r="1857" spans="1:6" x14ac:dyDescent="0.25">
      <c r="A1857" s="940">
        <v>360</v>
      </c>
      <c r="B1857" s="940">
        <v>621</v>
      </c>
      <c r="C1857" t="s">
        <v>5866</v>
      </c>
      <c r="D1857" s="940" t="s">
        <v>5867</v>
      </c>
      <c r="E1857" t="s">
        <v>74</v>
      </c>
      <c r="F1857">
        <v>1</v>
      </c>
    </row>
    <row r="1858" spans="1:6" x14ac:dyDescent="0.25">
      <c r="A1858" s="940">
        <v>3490</v>
      </c>
      <c r="B1858" s="940">
        <v>0</v>
      </c>
      <c r="C1858" t="s">
        <v>5868</v>
      </c>
      <c r="D1858" s="940" t="s">
        <v>5869</v>
      </c>
      <c r="E1858" t="s">
        <v>122</v>
      </c>
      <c r="F1858">
        <v>1</v>
      </c>
    </row>
    <row r="1859" spans="1:6" x14ac:dyDescent="0.25">
      <c r="A1859" s="940">
        <v>1581</v>
      </c>
      <c r="B1859" s="940">
        <v>97</v>
      </c>
      <c r="C1859" t="s">
        <v>5870</v>
      </c>
      <c r="D1859" s="940" t="s">
        <v>5153</v>
      </c>
      <c r="E1859" t="s">
        <v>282</v>
      </c>
      <c r="F1859">
        <v>1</v>
      </c>
    </row>
    <row r="1860" spans="1:6" x14ac:dyDescent="0.25">
      <c r="A1860" s="940">
        <v>2441</v>
      </c>
      <c r="B1860" s="940">
        <v>28</v>
      </c>
      <c r="C1860" t="s">
        <v>5871</v>
      </c>
      <c r="D1860" s="940" t="s">
        <v>4611</v>
      </c>
      <c r="E1860" t="s">
        <v>1507</v>
      </c>
      <c r="F1860">
        <v>1</v>
      </c>
    </row>
    <row r="1861" spans="1:6" x14ac:dyDescent="0.25">
      <c r="A1861" s="940">
        <v>948</v>
      </c>
      <c r="B1861" s="940">
        <v>237</v>
      </c>
      <c r="C1861" t="s">
        <v>5872</v>
      </c>
      <c r="D1861" s="940" t="s">
        <v>5873</v>
      </c>
      <c r="E1861" t="s">
        <v>112</v>
      </c>
      <c r="F1861">
        <v>1</v>
      </c>
    </row>
    <row r="1862" spans="1:6" x14ac:dyDescent="0.25">
      <c r="A1862" s="940">
        <v>1046</v>
      </c>
      <c r="B1862" s="940">
        <v>201</v>
      </c>
      <c r="C1862" t="s">
        <v>5874</v>
      </c>
      <c r="D1862" s="940" t="s">
        <v>2745</v>
      </c>
      <c r="E1862" t="s">
        <v>132</v>
      </c>
      <c r="F1862">
        <v>1</v>
      </c>
    </row>
    <row r="1863" spans="1:6" x14ac:dyDescent="0.25">
      <c r="A1863" s="940">
        <v>989</v>
      </c>
      <c r="B1863" s="940">
        <v>221</v>
      </c>
      <c r="C1863" t="s">
        <v>396</v>
      </c>
      <c r="D1863" s="940" t="s">
        <v>5875</v>
      </c>
      <c r="E1863" t="s">
        <v>1171</v>
      </c>
      <c r="F1863">
        <v>1</v>
      </c>
    </row>
    <row r="1864" spans="1:6" x14ac:dyDescent="0.25">
      <c r="A1864" s="940">
        <v>3265</v>
      </c>
      <c r="B1864" s="940">
        <v>3</v>
      </c>
      <c r="C1864" t="s">
        <v>5876</v>
      </c>
      <c r="D1864" s="940" t="s">
        <v>5877</v>
      </c>
      <c r="E1864" t="s">
        <v>1419</v>
      </c>
      <c r="F1864">
        <v>1</v>
      </c>
    </row>
    <row r="1865" spans="1:6" x14ac:dyDescent="0.25">
      <c r="A1865" s="940">
        <v>2241</v>
      </c>
      <c r="B1865" s="940">
        <v>40</v>
      </c>
      <c r="C1865" t="s">
        <v>835</v>
      </c>
      <c r="D1865" s="940" t="s">
        <v>5878</v>
      </c>
      <c r="E1865" t="s">
        <v>99</v>
      </c>
      <c r="F1865">
        <v>1</v>
      </c>
    </row>
    <row r="1866" spans="1:6" x14ac:dyDescent="0.25">
      <c r="A1866" s="940">
        <v>3490</v>
      </c>
      <c r="B1866" s="940">
        <v>0</v>
      </c>
      <c r="C1866" t="s">
        <v>835</v>
      </c>
      <c r="D1866" s="940" t="s">
        <v>5879</v>
      </c>
      <c r="E1866" t="s">
        <v>110</v>
      </c>
      <c r="F1866">
        <v>1</v>
      </c>
    </row>
    <row r="1867" spans="1:6" x14ac:dyDescent="0.25">
      <c r="A1867" s="940">
        <v>3490</v>
      </c>
      <c r="B1867" s="940">
        <v>0</v>
      </c>
      <c r="C1867" t="s">
        <v>5880</v>
      </c>
      <c r="D1867" s="940" t="s">
        <v>5881</v>
      </c>
      <c r="E1867" t="s">
        <v>112</v>
      </c>
      <c r="F1867">
        <v>1</v>
      </c>
    </row>
    <row r="1868" spans="1:6" x14ac:dyDescent="0.25">
      <c r="A1868" s="940">
        <v>3490</v>
      </c>
      <c r="B1868" s="940">
        <v>0</v>
      </c>
      <c r="C1868" t="s">
        <v>5882</v>
      </c>
      <c r="D1868" s="940" t="s">
        <v>2674</v>
      </c>
      <c r="E1868" t="s">
        <v>74</v>
      </c>
      <c r="F1868">
        <v>1</v>
      </c>
    </row>
    <row r="1869" spans="1:6" x14ac:dyDescent="0.25">
      <c r="A1869" s="940">
        <v>373</v>
      </c>
      <c r="B1869" s="940">
        <v>608</v>
      </c>
      <c r="C1869" t="s">
        <v>5883</v>
      </c>
      <c r="D1869" s="940" t="s">
        <v>5884</v>
      </c>
      <c r="E1869" t="s">
        <v>3200</v>
      </c>
      <c r="F1869">
        <v>1</v>
      </c>
    </row>
    <row r="1870" spans="1:6" x14ac:dyDescent="0.25">
      <c r="A1870" s="940">
        <v>957</v>
      </c>
      <c r="B1870" s="940">
        <v>232</v>
      </c>
      <c r="C1870" t="s">
        <v>836</v>
      </c>
      <c r="D1870" s="940" t="s">
        <v>5885</v>
      </c>
      <c r="E1870" t="s">
        <v>164</v>
      </c>
      <c r="F1870">
        <v>1</v>
      </c>
    </row>
    <row r="1871" spans="1:6" x14ac:dyDescent="0.25">
      <c r="A1871" s="940">
        <v>3490</v>
      </c>
      <c r="B1871" s="940">
        <v>0</v>
      </c>
      <c r="C1871" t="s">
        <v>836</v>
      </c>
      <c r="D1871" s="940" t="s">
        <v>3582</v>
      </c>
      <c r="E1871" t="s">
        <v>120</v>
      </c>
      <c r="F1871">
        <v>1</v>
      </c>
    </row>
    <row r="1872" spans="1:6" x14ac:dyDescent="0.25">
      <c r="A1872" s="940">
        <v>933</v>
      </c>
      <c r="B1872" s="940">
        <v>245</v>
      </c>
      <c r="C1872" t="s">
        <v>1813</v>
      </c>
      <c r="D1872" s="940" t="s">
        <v>5886</v>
      </c>
      <c r="E1872" t="s">
        <v>1214</v>
      </c>
      <c r="F1872">
        <v>1</v>
      </c>
    </row>
    <row r="1873" spans="1:6" x14ac:dyDescent="0.25">
      <c r="A1873" s="940">
        <v>1309</v>
      </c>
      <c r="B1873" s="940">
        <v>134</v>
      </c>
      <c r="C1873" t="s">
        <v>1813</v>
      </c>
      <c r="D1873" s="940" t="s">
        <v>3294</v>
      </c>
      <c r="E1873" t="s">
        <v>208</v>
      </c>
      <c r="F1873">
        <v>1</v>
      </c>
    </row>
    <row r="1874" spans="1:6" x14ac:dyDescent="0.25">
      <c r="A1874" s="940">
        <v>2320</v>
      </c>
      <c r="B1874" s="940">
        <v>35</v>
      </c>
      <c r="C1874" t="s">
        <v>5887</v>
      </c>
      <c r="D1874" s="940" t="s">
        <v>5034</v>
      </c>
      <c r="E1874" t="s">
        <v>227</v>
      </c>
      <c r="F1874">
        <v>1</v>
      </c>
    </row>
    <row r="1875" spans="1:6" x14ac:dyDescent="0.25">
      <c r="A1875" s="940">
        <v>3045</v>
      </c>
      <c r="B1875" s="940">
        <v>7</v>
      </c>
      <c r="C1875" t="s">
        <v>5888</v>
      </c>
      <c r="D1875" s="940" t="s">
        <v>5889</v>
      </c>
      <c r="E1875" t="s">
        <v>282</v>
      </c>
      <c r="F1875">
        <v>1</v>
      </c>
    </row>
    <row r="1876" spans="1:6" x14ac:dyDescent="0.25">
      <c r="A1876" s="940">
        <v>1379</v>
      </c>
      <c r="B1876" s="940">
        <v>123</v>
      </c>
      <c r="C1876" t="s">
        <v>1814</v>
      </c>
      <c r="D1876" s="940" t="s">
        <v>5026</v>
      </c>
      <c r="E1876" t="s">
        <v>1340</v>
      </c>
      <c r="F1876">
        <v>1</v>
      </c>
    </row>
    <row r="1877" spans="1:6" x14ac:dyDescent="0.25">
      <c r="A1877" s="940">
        <v>3490</v>
      </c>
      <c r="B1877" s="940">
        <v>0</v>
      </c>
      <c r="C1877" t="s">
        <v>1814</v>
      </c>
      <c r="D1877" s="940" t="s">
        <v>5890</v>
      </c>
      <c r="E1877" t="s">
        <v>246</v>
      </c>
      <c r="F1877">
        <v>1</v>
      </c>
    </row>
    <row r="1878" spans="1:6" x14ac:dyDescent="0.25">
      <c r="A1878" s="940">
        <v>330</v>
      </c>
      <c r="B1878" s="940">
        <v>665</v>
      </c>
      <c r="C1878" t="s">
        <v>5891</v>
      </c>
      <c r="D1878" s="940" t="s">
        <v>5892</v>
      </c>
      <c r="E1878" t="s">
        <v>74</v>
      </c>
      <c r="F1878">
        <v>1</v>
      </c>
    </row>
    <row r="1879" spans="1:6" x14ac:dyDescent="0.25">
      <c r="A1879" s="940">
        <v>16</v>
      </c>
      <c r="B1879" s="940">
        <v>1525</v>
      </c>
      <c r="C1879" t="s">
        <v>5893</v>
      </c>
      <c r="D1879" s="940" t="s">
        <v>5894</v>
      </c>
      <c r="E1879" t="s">
        <v>130</v>
      </c>
      <c r="F1879">
        <v>1</v>
      </c>
    </row>
    <row r="1880" spans="1:6" x14ac:dyDescent="0.25">
      <c r="A1880" s="940">
        <v>2558</v>
      </c>
      <c r="B1880" s="940">
        <v>22</v>
      </c>
      <c r="C1880" t="s">
        <v>5895</v>
      </c>
      <c r="D1880" s="940" t="s">
        <v>4230</v>
      </c>
      <c r="E1880" t="s">
        <v>119</v>
      </c>
      <c r="F1880">
        <v>1</v>
      </c>
    </row>
    <row r="1881" spans="1:6" x14ac:dyDescent="0.25">
      <c r="A1881" s="940">
        <v>3089</v>
      </c>
      <c r="B1881" s="940">
        <v>6</v>
      </c>
      <c r="C1881" t="s">
        <v>5896</v>
      </c>
      <c r="D1881" s="940" t="s">
        <v>5897</v>
      </c>
      <c r="E1881" t="s">
        <v>4014</v>
      </c>
      <c r="F1881">
        <v>1</v>
      </c>
    </row>
    <row r="1882" spans="1:6" x14ac:dyDescent="0.25">
      <c r="A1882" s="940">
        <v>3490</v>
      </c>
      <c r="B1882" s="940">
        <v>0</v>
      </c>
      <c r="C1882" t="s">
        <v>5898</v>
      </c>
      <c r="D1882" s="940" t="s">
        <v>5899</v>
      </c>
      <c r="E1882" t="s">
        <v>2654</v>
      </c>
      <c r="F1882">
        <v>1</v>
      </c>
    </row>
    <row r="1883" spans="1:6" x14ac:dyDescent="0.25">
      <c r="A1883" s="940">
        <v>47</v>
      </c>
      <c r="B1883" s="940">
        <v>1317</v>
      </c>
      <c r="C1883" t="s">
        <v>5900</v>
      </c>
      <c r="D1883" s="940" t="s">
        <v>5901</v>
      </c>
      <c r="E1883" t="s">
        <v>103</v>
      </c>
      <c r="F1883">
        <v>1</v>
      </c>
    </row>
    <row r="1884" spans="1:6" x14ac:dyDescent="0.25">
      <c r="A1884" s="940">
        <v>1105</v>
      </c>
      <c r="B1884" s="940">
        <v>179</v>
      </c>
      <c r="C1884" t="s">
        <v>5902</v>
      </c>
      <c r="D1884" s="940" t="s">
        <v>4547</v>
      </c>
      <c r="E1884" t="s">
        <v>113</v>
      </c>
      <c r="F1884">
        <v>1</v>
      </c>
    </row>
    <row r="1885" spans="1:6" x14ac:dyDescent="0.25">
      <c r="A1885" s="940">
        <v>660</v>
      </c>
      <c r="B1885" s="940">
        <v>370</v>
      </c>
      <c r="C1885" t="s">
        <v>5903</v>
      </c>
      <c r="D1885" s="940" t="s">
        <v>5904</v>
      </c>
      <c r="E1885" t="s">
        <v>5905</v>
      </c>
      <c r="F1885">
        <v>1</v>
      </c>
    </row>
    <row r="1886" spans="1:6" x14ac:dyDescent="0.25">
      <c r="A1886" s="940">
        <v>1272</v>
      </c>
      <c r="B1886" s="940">
        <v>141</v>
      </c>
      <c r="C1886" t="s">
        <v>1817</v>
      </c>
      <c r="D1886" s="940" t="s">
        <v>5696</v>
      </c>
      <c r="E1886" t="s">
        <v>1483</v>
      </c>
      <c r="F1886">
        <v>1</v>
      </c>
    </row>
    <row r="1887" spans="1:6" x14ac:dyDescent="0.25">
      <c r="A1887" s="940">
        <v>873</v>
      </c>
      <c r="B1887" s="940">
        <v>263</v>
      </c>
      <c r="C1887" t="s">
        <v>5906</v>
      </c>
      <c r="D1887" s="940" t="s">
        <v>5907</v>
      </c>
      <c r="E1887" t="s">
        <v>1311</v>
      </c>
      <c r="F1887">
        <v>1</v>
      </c>
    </row>
    <row r="1888" spans="1:6" x14ac:dyDescent="0.25">
      <c r="A1888" s="940">
        <v>2996</v>
      </c>
      <c r="B1888" s="940">
        <v>8</v>
      </c>
      <c r="C1888" t="s">
        <v>5908</v>
      </c>
      <c r="D1888" s="940" t="s">
        <v>5909</v>
      </c>
      <c r="E1888" t="s">
        <v>1311</v>
      </c>
      <c r="F1888">
        <v>1</v>
      </c>
    </row>
    <row r="1889" spans="1:6" x14ac:dyDescent="0.25">
      <c r="A1889" s="940">
        <v>296</v>
      </c>
      <c r="B1889" s="940">
        <v>719</v>
      </c>
      <c r="C1889" t="s">
        <v>267</v>
      </c>
      <c r="D1889" s="940" t="s">
        <v>5910</v>
      </c>
      <c r="E1889" t="s">
        <v>1171</v>
      </c>
      <c r="F1889">
        <v>1</v>
      </c>
    </row>
    <row r="1890" spans="1:6" x14ac:dyDescent="0.25">
      <c r="A1890" s="940">
        <v>2347</v>
      </c>
      <c r="B1890" s="940">
        <v>33</v>
      </c>
      <c r="C1890" t="s">
        <v>5911</v>
      </c>
      <c r="D1890" s="940" t="s">
        <v>5912</v>
      </c>
      <c r="E1890" t="s">
        <v>110</v>
      </c>
      <c r="F1890">
        <v>1</v>
      </c>
    </row>
    <row r="1891" spans="1:6" x14ac:dyDescent="0.25">
      <c r="A1891" s="940">
        <v>2187</v>
      </c>
      <c r="B1891" s="940">
        <v>43</v>
      </c>
      <c r="C1891" t="s">
        <v>5913</v>
      </c>
      <c r="D1891" s="940" t="s">
        <v>5914</v>
      </c>
      <c r="E1891" t="s">
        <v>1590</v>
      </c>
      <c r="F1891">
        <v>1</v>
      </c>
    </row>
    <row r="1892" spans="1:6" x14ac:dyDescent="0.25">
      <c r="A1892" s="940">
        <v>2626</v>
      </c>
      <c r="B1892" s="940">
        <v>19</v>
      </c>
      <c r="C1892" t="s">
        <v>5915</v>
      </c>
      <c r="D1892" s="940" t="s">
        <v>5030</v>
      </c>
      <c r="E1892" t="s">
        <v>128</v>
      </c>
      <c r="F1892">
        <v>1</v>
      </c>
    </row>
    <row r="1893" spans="1:6" x14ac:dyDescent="0.25">
      <c r="A1893" s="940">
        <v>3490</v>
      </c>
      <c r="B1893" s="940">
        <v>0</v>
      </c>
      <c r="C1893" t="s">
        <v>5916</v>
      </c>
      <c r="D1893" s="940" t="s">
        <v>5917</v>
      </c>
      <c r="E1893" t="s">
        <v>114</v>
      </c>
      <c r="F1893">
        <v>1</v>
      </c>
    </row>
    <row r="1894" spans="1:6" x14ac:dyDescent="0.25">
      <c r="A1894" s="940">
        <v>3490</v>
      </c>
      <c r="B1894" s="940">
        <v>0</v>
      </c>
      <c r="C1894" t="s">
        <v>5918</v>
      </c>
      <c r="D1894" s="940" t="s">
        <v>5919</v>
      </c>
      <c r="E1894" t="s">
        <v>3383</v>
      </c>
      <c r="F1894">
        <v>1</v>
      </c>
    </row>
    <row r="1895" spans="1:6" x14ac:dyDescent="0.25">
      <c r="A1895" s="940">
        <v>2839</v>
      </c>
      <c r="B1895" s="940">
        <v>12</v>
      </c>
      <c r="C1895" t="s">
        <v>5920</v>
      </c>
      <c r="D1895" s="940" t="s">
        <v>3834</v>
      </c>
      <c r="E1895" t="s">
        <v>2880</v>
      </c>
      <c r="F1895">
        <v>1</v>
      </c>
    </row>
    <row r="1896" spans="1:6" x14ac:dyDescent="0.25">
      <c r="A1896" s="940">
        <v>2996</v>
      </c>
      <c r="B1896" s="940">
        <v>8</v>
      </c>
      <c r="C1896" t="s">
        <v>5921</v>
      </c>
      <c r="D1896" s="940" t="s">
        <v>5922</v>
      </c>
      <c r="E1896" t="s">
        <v>1214</v>
      </c>
      <c r="F1896">
        <v>1</v>
      </c>
    </row>
    <row r="1897" spans="1:6" x14ac:dyDescent="0.25">
      <c r="A1897" s="940">
        <v>590</v>
      </c>
      <c r="B1897" s="940">
        <v>410</v>
      </c>
      <c r="C1897" t="s">
        <v>1819</v>
      </c>
      <c r="D1897" s="940" t="s">
        <v>5923</v>
      </c>
      <c r="E1897" t="s">
        <v>118</v>
      </c>
      <c r="F1897">
        <v>1</v>
      </c>
    </row>
    <row r="1898" spans="1:6" x14ac:dyDescent="0.25">
      <c r="A1898" s="940">
        <v>286</v>
      </c>
      <c r="B1898" s="940">
        <v>735</v>
      </c>
      <c r="C1898" t="s">
        <v>5924</v>
      </c>
      <c r="D1898" s="940" t="s">
        <v>5925</v>
      </c>
      <c r="E1898" t="s">
        <v>3200</v>
      </c>
      <c r="F1898">
        <v>1</v>
      </c>
    </row>
    <row r="1899" spans="1:6" x14ac:dyDescent="0.25">
      <c r="A1899" s="940">
        <v>2416</v>
      </c>
      <c r="B1899" s="940">
        <v>29</v>
      </c>
      <c r="C1899" t="s">
        <v>5926</v>
      </c>
      <c r="D1899" s="940" t="s">
        <v>3857</v>
      </c>
      <c r="E1899" t="s">
        <v>99</v>
      </c>
      <c r="F1899">
        <v>1</v>
      </c>
    </row>
    <row r="1900" spans="1:6" x14ac:dyDescent="0.25">
      <c r="A1900" s="940">
        <v>1444</v>
      </c>
      <c r="B1900" s="940">
        <v>114</v>
      </c>
      <c r="C1900" t="s">
        <v>5927</v>
      </c>
      <c r="D1900" s="940" t="s">
        <v>5928</v>
      </c>
      <c r="E1900" t="s">
        <v>160</v>
      </c>
      <c r="F1900">
        <v>1</v>
      </c>
    </row>
    <row r="1901" spans="1:6" x14ac:dyDescent="0.25">
      <c r="A1901" s="940">
        <v>3490</v>
      </c>
      <c r="B1901" s="940">
        <v>0</v>
      </c>
      <c r="C1901" t="s">
        <v>5929</v>
      </c>
      <c r="D1901" s="940" t="s">
        <v>5930</v>
      </c>
      <c r="E1901" t="s">
        <v>1284</v>
      </c>
      <c r="F1901">
        <v>1</v>
      </c>
    </row>
    <row r="1902" spans="1:6" x14ac:dyDescent="0.25">
      <c r="A1902" s="940">
        <v>3490</v>
      </c>
      <c r="B1902" s="940">
        <v>0</v>
      </c>
      <c r="C1902" t="s">
        <v>5931</v>
      </c>
      <c r="D1902" s="940" t="s">
        <v>5932</v>
      </c>
      <c r="E1902" t="s">
        <v>170</v>
      </c>
      <c r="F1902">
        <v>1</v>
      </c>
    </row>
    <row r="1903" spans="1:6" x14ac:dyDescent="0.25">
      <c r="A1903" s="940">
        <v>348</v>
      </c>
      <c r="B1903" s="940">
        <v>633</v>
      </c>
      <c r="C1903" t="s">
        <v>5933</v>
      </c>
      <c r="D1903" s="940" t="s">
        <v>5934</v>
      </c>
      <c r="E1903" t="s">
        <v>120</v>
      </c>
      <c r="F1903">
        <v>1</v>
      </c>
    </row>
    <row r="1904" spans="1:6" x14ac:dyDescent="0.25">
      <c r="A1904" s="940">
        <v>3141</v>
      </c>
      <c r="B1904" s="940">
        <v>5</v>
      </c>
      <c r="C1904" t="s">
        <v>5935</v>
      </c>
      <c r="D1904" s="940" t="s">
        <v>4625</v>
      </c>
      <c r="E1904" t="s">
        <v>128</v>
      </c>
      <c r="F1904">
        <v>1</v>
      </c>
    </row>
    <row r="1905" spans="1:6" x14ac:dyDescent="0.25">
      <c r="A1905" s="940">
        <v>3490</v>
      </c>
      <c r="B1905" s="940">
        <v>0</v>
      </c>
      <c r="C1905" t="s">
        <v>5936</v>
      </c>
      <c r="D1905" s="940" t="s">
        <v>3731</v>
      </c>
      <c r="E1905" t="s">
        <v>110</v>
      </c>
      <c r="F1905">
        <v>1</v>
      </c>
    </row>
    <row r="1906" spans="1:6" x14ac:dyDescent="0.25">
      <c r="A1906" s="940">
        <v>1848</v>
      </c>
      <c r="B1906" s="940">
        <v>68</v>
      </c>
      <c r="C1906" t="s">
        <v>5937</v>
      </c>
      <c r="D1906" s="940" t="s">
        <v>5938</v>
      </c>
      <c r="E1906" t="s">
        <v>128</v>
      </c>
      <c r="F1906">
        <v>1</v>
      </c>
    </row>
    <row r="1907" spans="1:6" x14ac:dyDescent="0.25">
      <c r="A1907" s="940">
        <v>1304</v>
      </c>
      <c r="B1907" s="940">
        <v>135</v>
      </c>
      <c r="C1907" t="s">
        <v>1829</v>
      </c>
      <c r="D1907" s="940" t="s">
        <v>5939</v>
      </c>
      <c r="E1907" t="s">
        <v>170</v>
      </c>
      <c r="F1907">
        <v>1</v>
      </c>
    </row>
    <row r="1908" spans="1:6" x14ac:dyDescent="0.25">
      <c r="A1908" s="940">
        <v>2256</v>
      </c>
      <c r="B1908" s="940">
        <v>39</v>
      </c>
      <c r="C1908" t="s">
        <v>5940</v>
      </c>
      <c r="D1908" s="940" t="s">
        <v>4669</v>
      </c>
      <c r="E1908" t="s">
        <v>105</v>
      </c>
      <c r="F1908">
        <v>1</v>
      </c>
    </row>
    <row r="1909" spans="1:6" x14ac:dyDescent="0.25">
      <c r="A1909" s="940">
        <v>970</v>
      </c>
      <c r="B1909" s="940">
        <v>228</v>
      </c>
      <c r="C1909" t="s">
        <v>5941</v>
      </c>
      <c r="D1909" s="940" t="s">
        <v>5942</v>
      </c>
      <c r="E1909" t="s">
        <v>1158</v>
      </c>
      <c r="F1909">
        <v>1</v>
      </c>
    </row>
    <row r="1910" spans="1:6" x14ac:dyDescent="0.25">
      <c r="A1910" s="940">
        <v>2335</v>
      </c>
      <c r="B1910" s="940">
        <v>34</v>
      </c>
      <c r="C1910" t="s">
        <v>5943</v>
      </c>
      <c r="D1910" s="940" t="s">
        <v>5944</v>
      </c>
      <c r="E1910" t="s">
        <v>1170</v>
      </c>
      <c r="F1910">
        <v>1</v>
      </c>
    </row>
    <row r="1911" spans="1:6" x14ac:dyDescent="0.25">
      <c r="A1911" s="940">
        <v>3265</v>
      </c>
      <c r="B1911" s="940">
        <v>3</v>
      </c>
      <c r="C1911" t="s">
        <v>5945</v>
      </c>
      <c r="D1911" s="940" t="s">
        <v>5946</v>
      </c>
      <c r="E1911" t="s">
        <v>120</v>
      </c>
      <c r="F1911">
        <v>1</v>
      </c>
    </row>
    <row r="1912" spans="1:6" x14ac:dyDescent="0.25">
      <c r="A1912" s="940">
        <v>3196</v>
      </c>
      <c r="B1912" s="940">
        <v>4</v>
      </c>
      <c r="C1912" t="s">
        <v>5947</v>
      </c>
      <c r="D1912" s="940" t="s">
        <v>5948</v>
      </c>
      <c r="E1912" t="s">
        <v>99</v>
      </c>
      <c r="F1912">
        <v>1</v>
      </c>
    </row>
    <row r="1913" spans="1:6" x14ac:dyDescent="0.25">
      <c r="A1913" s="940">
        <v>2907</v>
      </c>
      <c r="B1913" s="940">
        <v>10</v>
      </c>
      <c r="C1913" t="s">
        <v>5949</v>
      </c>
      <c r="D1913" s="940" t="s">
        <v>3133</v>
      </c>
      <c r="E1913" t="s">
        <v>1248</v>
      </c>
      <c r="F1913">
        <v>1</v>
      </c>
    </row>
    <row r="1914" spans="1:6" x14ac:dyDescent="0.25">
      <c r="A1914" s="940">
        <v>1800</v>
      </c>
      <c r="B1914" s="940">
        <v>73</v>
      </c>
      <c r="C1914" t="s">
        <v>5950</v>
      </c>
      <c r="D1914" s="940" t="s">
        <v>5429</v>
      </c>
      <c r="E1914" t="s">
        <v>1211</v>
      </c>
      <c r="F1914">
        <v>1</v>
      </c>
    </row>
    <row r="1915" spans="1:6" x14ac:dyDescent="0.25">
      <c r="A1915" s="940">
        <v>3141</v>
      </c>
      <c r="B1915" s="940">
        <v>5</v>
      </c>
      <c r="C1915" t="s">
        <v>5951</v>
      </c>
      <c r="D1915" s="940" t="s">
        <v>5952</v>
      </c>
      <c r="E1915" t="s">
        <v>99</v>
      </c>
      <c r="F1915">
        <v>1</v>
      </c>
    </row>
    <row r="1916" spans="1:6" x14ac:dyDescent="0.25">
      <c r="A1916" s="940">
        <v>266</v>
      </c>
      <c r="B1916" s="940">
        <v>778</v>
      </c>
      <c r="C1916" t="s">
        <v>5953</v>
      </c>
      <c r="D1916" s="940" t="s">
        <v>5954</v>
      </c>
      <c r="E1916" t="s">
        <v>2880</v>
      </c>
      <c r="F1916">
        <v>1</v>
      </c>
    </row>
    <row r="1917" spans="1:6" x14ac:dyDescent="0.25">
      <c r="A1917" s="940">
        <v>2060</v>
      </c>
      <c r="B1917" s="940">
        <v>51</v>
      </c>
      <c r="C1917" t="s">
        <v>5955</v>
      </c>
      <c r="D1917" s="940" t="s">
        <v>5956</v>
      </c>
      <c r="E1917" t="s">
        <v>105</v>
      </c>
      <c r="F1917">
        <v>1</v>
      </c>
    </row>
    <row r="1918" spans="1:6" x14ac:dyDescent="0.25">
      <c r="A1918" s="940">
        <v>3395</v>
      </c>
      <c r="B1918" s="940">
        <v>1</v>
      </c>
      <c r="C1918" t="s">
        <v>5957</v>
      </c>
      <c r="D1918" s="940" t="s">
        <v>3133</v>
      </c>
      <c r="E1918" t="s">
        <v>1248</v>
      </c>
      <c r="F1918">
        <v>1</v>
      </c>
    </row>
    <row r="1919" spans="1:6" x14ac:dyDescent="0.25">
      <c r="A1919" s="940">
        <v>2814</v>
      </c>
      <c r="B1919" s="940">
        <v>13</v>
      </c>
      <c r="C1919" t="s">
        <v>5958</v>
      </c>
      <c r="D1919" s="940" t="s">
        <v>4054</v>
      </c>
      <c r="E1919" t="s">
        <v>2549</v>
      </c>
      <c r="F1919">
        <v>1</v>
      </c>
    </row>
    <row r="1920" spans="1:6" x14ac:dyDescent="0.25">
      <c r="A1920" s="940">
        <v>212</v>
      </c>
      <c r="B1920" s="940">
        <v>877</v>
      </c>
      <c r="C1920" t="s">
        <v>5959</v>
      </c>
      <c r="D1920" s="940" t="s">
        <v>5960</v>
      </c>
      <c r="E1920" t="s">
        <v>109</v>
      </c>
      <c r="F1920">
        <v>1</v>
      </c>
    </row>
    <row r="1921" spans="1:6" x14ac:dyDescent="0.25">
      <c r="A1921" s="940">
        <v>2221</v>
      </c>
      <c r="B1921" s="940">
        <v>41</v>
      </c>
      <c r="C1921" t="s">
        <v>5961</v>
      </c>
      <c r="D1921" s="940" t="s">
        <v>5962</v>
      </c>
      <c r="E1921" t="s">
        <v>5318</v>
      </c>
      <c r="F1921">
        <v>1</v>
      </c>
    </row>
    <row r="1922" spans="1:6" x14ac:dyDescent="0.25">
      <c r="A1922" s="940">
        <v>3490</v>
      </c>
      <c r="B1922" s="940">
        <v>0</v>
      </c>
      <c r="C1922" t="s">
        <v>5963</v>
      </c>
      <c r="D1922" s="940" t="s">
        <v>5964</v>
      </c>
      <c r="E1922" t="s">
        <v>105</v>
      </c>
      <c r="F1922">
        <v>1</v>
      </c>
    </row>
    <row r="1923" spans="1:6" x14ac:dyDescent="0.25">
      <c r="A1923" s="940">
        <v>2907</v>
      </c>
      <c r="B1923" s="940">
        <v>10</v>
      </c>
      <c r="C1923" t="s">
        <v>5965</v>
      </c>
      <c r="D1923" s="940" t="s">
        <v>5966</v>
      </c>
      <c r="E1923" t="s">
        <v>1372</v>
      </c>
      <c r="F1923">
        <v>1</v>
      </c>
    </row>
    <row r="1924" spans="1:6" x14ac:dyDescent="0.25">
      <c r="A1924" s="940">
        <v>3196</v>
      </c>
      <c r="B1924" s="940">
        <v>4</v>
      </c>
      <c r="C1924" t="s">
        <v>5967</v>
      </c>
      <c r="D1924" s="940" t="s">
        <v>5968</v>
      </c>
      <c r="E1924" t="s">
        <v>1200</v>
      </c>
      <c r="F1924">
        <v>1</v>
      </c>
    </row>
    <row r="1925" spans="1:6" x14ac:dyDescent="0.25">
      <c r="A1925" s="940">
        <v>3265</v>
      </c>
      <c r="B1925" s="940">
        <v>3</v>
      </c>
      <c r="C1925" t="s">
        <v>5969</v>
      </c>
      <c r="D1925" s="940" t="s">
        <v>5133</v>
      </c>
      <c r="E1925" t="s">
        <v>1290</v>
      </c>
      <c r="F1925">
        <v>1</v>
      </c>
    </row>
    <row r="1926" spans="1:6" x14ac:dyDescent="0.25">
      <c r="A1926" s="940">
        <v>3490</v>
      </c>
      <c r="B1926" s="940">
        <v>0</v>
      </c>
      <c r="C1926" t="s">
        <v>5970</v>
      </c>
      <c r="D1926" s="940" t="s">
        <v>5442</v>
      </c>
      <c r="E1926" t="s">
        <v>105</v>
      </c>
      <c r="F1926">
        <v>1</v>
      </c>
    </row>
    <row r="1927" spans="1:6" x14ac:dyDescent="0.25">
      <c r="A1927" s="940">
        <v>3089</v>
      </c>
      <c r="B1927" s="940">
        <v>6</v>
      </c>
      <c r="C1927" t="s">
        <v>5971</v>
      </c>
      <c r="D1927" s="940" t="s">
        <v>4968</v>
      </c>
      <c r="E1927" t="s">
        <v>74</v>
      </c>
      <c r="F1927">
        <v>1</v>
      </c>
    </row>
    <row r="1928" spans="1:6" x14ac:dyDescent="0.25">
      <c r="A1928" s="940">
        <v>1292</v>
      </c>
      <c r="B1928" s="940">
        <v>137</v>
      </c>
      <c r="C1928" t="s">
        <v>1834</v>
      </c>
      <c r="D1928" s="940" t="s">
        <v>3233</v>
      </c>
      <c r="E1928" t="s">
        <v>105</v>
      </c>
      <c r="F1928">
        <v>1</v>
      </c>
    </row>
    <row r="1929" spans="1:6" x14ac:dyDescent="0.25">
      <c r="A1929" s="940">
        <v>2129</v>
      </c>
      <c r="B1929" s="940">
        <v>46</v>
      </c>
      <c r="C1929" t="s">
        <v>5972</v>
      </c>
      <c r="D1929" s="940" t="s">
        <v>5973</v>
      </c>
      <c r="E1929" t="s">
        <v>105</v>
      </c>
      <c r="F1929">
        <v>1</v>
      </c>
    </row>
    <row r="1930" spans="1:6" x14ac:dyDescent="0.25">
      <c r="A1930" s="940">
        <v>2582</v>
      </c>
      <c r="B1930" s="940">
        <v>21</v>
      </c>
      <c r="C1930" t="s">
        <v>5974</v>
      </c>
      <c r="D1930" s="940" t="s">
        <v>5975</v>
      </c>
      <c r="E1930" t="s">
        <v>99</v>
      </c>
      <c r="F1930">
        <v>1</v>
      </c>
    </row>
    <row r="1931" spans="1:6" x14ac:dyDescent="0.25">
      <c r="A1931" s="940">
        <v>3490</v>
      </c>
      <c r="B1931" s="940">
        <v>0</v>
      </c>
      <c r="C1931" t="s">
        <v>5976</v>
      </c>
      <c r="D1931" s="940" t="s">
        <v>5977</v>
      </c>
      <c r="E1931" t="s">
        <v>1214</v>
      </c>
      <c r="F1931">
        <v>1</v>
      </c>
    </row>
    <row r="1932" spans="1:6" x14ac:dyDescent="0.25">
      <c r="A1932" s="940">
        <v>317</v>
      </c>
      <c r="B1932" s="940">
        <v>687</v>
      </c>
      <c r="C1932" t="s">
        <v>5978</v>
      </c>
      <c r="D1932" s="940" t="s">
        <v>5979</v>
      </c>
      <c r="E1932" t="s">
        <v>1243</v>
      </c>
      <c r="F1932">
        <v>1</v>
      </c>
    </row>
    <row r="1933" spans="1:6" x14ac:dyDescent="0.25">
      <c r="A1933" s="940">
        <v>3490</v>
      </c>
      <c r="B1933" s="940">
        <v>0</v>
      </c>
      <c r="C1933" t="s">
        <v>5980</v>
      </c>
      <c r="D1933" s="940" t="s">
        <v>5981</v>
      </c>
      <c r="E1933" t="s">
        <v>120</v>
      </c>
      <c r="F1933">
        <v>1</v>
      </c>
    </row>
    <row r="1934" spans="1:6" x14ac:dyDescent="0.25">
      <c r="A1934" s="940">
        <v>1003</v>
      </c>
      <c r="B1934" s="940">
        <v>214</v>
      </c>
      <c r="C1934" t="s">
        <v>5982</v>
      </c>
      <c r="D1934" s="940" t="s">
        <v>5983</v>
      </c>
      <c r="E1934" t="s">
        <v>1968</v>
      </c>
      <c r="F1934">
        <v>1</v>
      </c>
    </row>
    <row r="1935" spans="1:6" x14ac:dyDescent="0.25">
      <c r="A1935" s="940">
        <v>3490</v>
      </c>
      <c r="B1935" s="940">
        <v>0</v>
      </c>
      <c r="C1935" t="s">
        <v>5984</v>
      </c>
      <c r="D1935" s="940" t="s">
        <v>5985</v>
      </c>
      <c r="E1935" t="s">
        <v>1460</v>
      </c>
      <c r="F1935">
        <v>1</v>
      </c>
    </row>
    <row r="1936" spans="1:6" x14ac:dyDescent="0.25">
      <c r="A1936" s="940">
        <v>2121</v>
      </c>
      <c r="B1936" s="940">
        <v>47</v>
      </c>
      <c r="C1936" t="s">
        <v>5986</v>
      </c>
      <c r="D1936" s="940" t="s">
        <v>4230</v>
      </c>
      <c r="E1936" t="s">
        <v>3687</v>
      </c>
      <c r="F1936">
        <v>1</v>
      </c>
    </row>
    <row r="1937" spans="1:6" x14ac:dyDescent="0.25">
      <c r="A1937" s="940">
        <v>1287</v>
      </c>
      <c r="B1937" s="940">
        <v>138</v>
      </c>
      <c r="C1937" t="s">
        <v>1841</v>
      </c>
      <c r="D1937" s="940" t="s">
        <v>5987</v>
      </c>
      <c r="E1937" t="s">
        <v>120</v>
      </c>
      <c r="F1937">
        <v>1</v>
      </c>
    </row>
    <row r="1938" spans="1:6" x14ac:dyDescent="0.25">
      <c r="A1938" s="940">
        <v>85</v>
      </c>
      <c r="B1938" s="940">
        <v>1154</v>
      </c>
      <c r="C1938" t="s">
        <v>5988</v>
      </c>
      <c r="D1938" s="940" t="s">
        <v>5989</v>
      </c>
      <c r="E1938" t="s">
        <v>105</v>
      </c>
      <c r="F1938">
        <v>1</v>
      </c>
    </row>
    <row r="1939" spans="1:6" x14ac:dyDescent="0.25">
      <c r="A1939" s="940">
        <v>2626</v>
      </c>
      <c r="B1939" s="940">
        <v>19</v>
      </c>
      <c r="C1939" t="s">
        <v>5990</v>
      </c>
      <c r="D1939" s="940" t="s">
        <v>5991</v>
      </c>
      <c r="E1939" t="s">
        <v>105</v>
      </c>
      <c r="F1939">
        <v>1</v>
      </c>
    </row>
    <row r="1940" spans="1:6" x14ac:dyDescent="0.25">
      <c r="A1940" s="940">
        <v>680</v>
      </c>
      <c r="B1940" s="940">
        <v>359</v>
      </c>
      <c r="C1940" t="s">
        <v>5992</v>
      </c>
      <c r="D1940" s="940" t="s">
        <v>5993</v>
      </c>
      <c r="E1940" t="s">
        <v>3098</v>
      </c>
      <c r="F1940">
        <v>1</v>
      </c>
    </row>
    <row r="1941" spans="1:6" x14ac:dyDescent="0.25">
      <c r="A1941" s="940">
        <v>1924</v>
      </c>
      <c r="B1941" s="940">
        <v>62</v>
      </c>
      <c r="C1941" t="s">
        <v>5994</v>
      </c>
      <c r="D1941" s="940" t="s">
        <v>5995</v>
      </c>
      <c r="E1941" t="s">
        <v>111</v>
      </c>
      <c r="F1941">
        <v>1</v>
      </c>
    </row>
    <row r="1942" spans="1:6" x14ac:dyDescent="0.25">
      <c r="A1942" s="940">
        <v>3490</v>
      </c>
      <c r="B1942" s="940">
        <v>0</v>
      </c>
      <c r="C1942" t="s">
        <v>5996</v>
      </c>
      <c r="D1942" s="940" t="s">
        <v>4810</v>
      </c>
      <c r="E1942" t="s">
        <v>1236</v>
      </c>
      <c r="F1942">
        <v>1</v>
      </c>
    </row>
    <row r="1943" spans="1:6" x14ac:dyDescent="0.25">
      <c r="A1943" s="940">
        <v>3490</v>
      </c>
      <c r="B1943" s="940">
        <v>0</v>
      </c>
      <c r="C1943" t="s">
        <v>5997</v>
      </c>
      <c r="D1943" s="940" t="s">
        <v>5126</v>
      </c>
      <c r="E1943" t="s">
        <v>427</v>
      </c>
      <c r="F1943">
        <v>1</v>
      </c>
    </row>
    <row r="1944" spans="1:6" x14ac:dyDescent="0.25">
      <c r="A1944" s="940">
        <v>566</v>
      </c>
      <c r="B1944" s="940">
        <v>424</v>
      </c>
      <c r="C1944" t="s">
        <v>5998</v>
      </c>
      <c r="D1944" s="940" t="s">
        <v>5999</v>
      </c>
      <c r="E1944" t="s">
        <v>6000</v>
      </c>
      <c r="F1944">
        <v>1</v>
      </c>
    </row>
    <row r="1945" spans="1:6" x14ac:dyDescent="0.25">
      <c r="A1945" s="940">
        <v>2782</v>
      </c>
      <c r="B1945" s="940">
        <v>14</v>
      </c>
      <c r="C1945" t="s">
        <v>6001</v>
      </c>
      <c r="D1945" s="940" t="s">
        <v>6002</v>
      </c>
      <c r="E1945" t="s">
        <v>6003</v>
      </c>
      <c r="F1945">
        <v>1</v>
      </c>
    </row>
    <row r="1946" spans="1:6" x14ac:dyDescent="0.25">
      <c r="A1946" s="940">
        <v>3196</v>
      </c>
      <c r="B1946" s="940">
        <v>4</v>
      </c>
      <c r="C1946" t="s">
        <v>6004</v>
      </c>
      <c r="D1946" s="940" t="s">
        <v>6005</v>
      </c>
      <c r="E1946" t="s">
        <v>128</v>
      </c>
      <c r="F1946">
        <v>1</v>
      </c>
    </row>
    <row r="1947" spans="1:6" x14ac:dyDescent="0.25">
      <c r="A1947" s="940">
        <v>625</v>
      </c>
      <c r="B1947" s="940">
        <v>385</v>
      </c>
      <c r="C1947" t="s">
        <v>6006</v>
      </c>
      <c r="D1947" s="940" t="s">
        <v>6007</v>
      </c>
      <c r="E1947" t="s">
        <v>1844</v>
      </c>
      <c r="F1947">
        <v>1</v>
      </c>
    </row>
    <row r="1948" spans="1:6" x14ac:dyDescent="0.25">
      <c r="A1948" s="940">
        <v>3490</v>
      </c>
      <c r="B1948" s="940">
        <v>0</v>
      </c>
      <c r="C1948" t="s">
        <v>6008</v>
      </c>
      <c r="D1948" s="940" t="s">
        <v>6009</v>
      </c>
      <c r="E1948" t="s">
        <v>105</v>
      </c>
      <c r="F1948">
        <v>1</v>
      </c>
    </row>
    <row r="1949" spans="1:6" x14ac:dyDescent="0.25">
      <c r="A1949" s="940">
        <v>3141</v>
      </c>
      <c r="B1949" s="940">
        <v>5</v>
      </c>
      <c r="C1949" t="s">
        <v>6010</v>
      </c>
      <c r="D1949" s="940" t="s">
        <v>6011</v>
      </c>
      <c r="E1949" t="s">
        <v>120</v>
      </c>
      <c r="F1949">
        <v>1</v>
      </c>
    </row>
    <row r="1950" spans="1:6" x14ac:dyDescent="0.25">
      <c r="A1950" s="940">
        <v>3490</v>
      </c>
      <c r="B1950" s="940">
        <v>0</v>
      </c>
      <c r="C1950" t="s">
        <v>6012</v>
      </c>
      <c r="D1950" s="940" t="s">
        <v>6013</v>
      </c>
      <c r="E1950" t="s">
        <v>74</v>
      </c>
      <c r="F1950">
        <v>1</v>
      </c>
    </row>
    <row r="1951" spans="1:6" x14ac:dyDescent="0.25">
      <c r="A1951" s="940">
        <v>1602</v>
      </c>
      <c r="B1951" s="940">
        <v>94</v>
      </c>
      <c r="C1951" t="s">
        <v>6014</v>
      </c>
      <c r="D1951" s="940" t="s">
        <v>5285</v>
      </c>
      <c r="E1951" t="s">
        <v>103</v>
      </c>
      <c r="F1951">
        <v>1</v>
      </c>
    </row>
    <row r="1952" spans="1:6" x14ac:dyDescent="0.25">
      <c r="A1952" s="940">
        <v>1043</v>
      </c>
      <c r="B1952" s="940">
        <v>202</v>
      </c>
      <c r="C1952" t="s">
        <v>2562</v>
      </c>
      <c r="D1952" s="940" t="s">
        <v>4191</v>
      </c>
      <c r="E1952" t="s">
        <v>1961</v>
      </c>
      <c r="F1952">
        <v>1</v>
      </c>
    </row>
    <row r="1953" spans="1:6" x14ac:dyDescent="0.25">
      <c r="A1953" s="940">
        <v>936</v>
      </c>
      <c r="B1953" s="940">
        <v>244</v>
      </c>
      <c r="C1953" t="s">
        <v>1847</v>
      </c>
      <c r="D1953" s="940" t="s">
        <v>6015</v>
      </c>
      <c r="E1953" t="s">
        <v>105</v>
      </c>
      <c r="F1953">
        <v>1</v>
      </c>
    </row>
    <row r="1954" spans="1:6" x14ac:dyDescent="0.25">
      <c r="A1954" s="940">
        <v>2381</v>
      </c>
      <c r="B1954" s="940">
        <v>31</v>
      </c>
      <c r="C1954" t="s">
        <v>6016</v>
      </c>
      <c r="D1954" s="940" t="s">
        <v>6017</v>
      </c>
      <c r="E1954" t="s">
        <v>1271</v>
      </c>
      <c r="F1954">
        <v>1</v>
      </c>
    </row>
    <row r="1955" spans="1:6" x14ac:dyDescent="0.25">
      <c r="A1955" s="940">
        <v>3490</v>
      </c>
      <c r="B1955" s="940">
        <v>0</v>
      </c>
      <c r="C1955" t="s">
        <v>6016</v>
      </c>
      <c r="D1955" s="940" t="s">
        <v>6018</v>
      </c>
      <c r="E1955" t="s">
        <v>73</v>
      </c>
      <c r="F1955">
        <v>1</v>
      </c>
    </row>
    <row r="1956" spans="1:6" x14ac:dyDescent="0.25">
      <c r="A1956" s="940">
        <v>3490</v>
      </c>
      <c r="B1956" s="940">
        <v>0</v>
      </c>
      <c r="C1956" t="s">
        <v>6019</v>
      </c>
      <c r="D1956" s="940" t="s">
        <v>4891</v>
      </c>
      <c r="E1956" t="s">
        <v>73</v>
      </c>
      <c r="F1956">
        <v>1</v>
      </c>
    </row>
    <row r="1957" spans="1:6" x14ac:dyDescent="0.25">
      <c r="A1957" s="940">
        <v>2004</v>
      </c>
      <c r="B1957" s="940">
        <v>55</v>
      </c>
      <c r="C1957" t="s">
        <v>6020</v>
      </c>
      <c r="D1957" s="940" t="s">
        <v>6021</v>
      </c>
      <c r="E1957" t="s">
        <v>105</v>
      </c>
      <c r="F1957">
        <v>1</v>
      </c>
    </row>
    <row r="1958" spans="1:6" x14ac:dyDescent="0.25">
      <c r="A1958" s="940">
        <v>557</v>
      </c>
      <c r="B1958" s="940">
        <v>433</v>
      </c>
      <c r="C1958" t="s">
        <v>6022</v>
      </c>
      <c r="D1958" s="940" t="s">
        <v>6023</v>
      </c>
      <c r="E1958" t="s">
        <v>105</v>
      </c>
      <c r="F1958">
        <v>1</v>
      </c>
    </row>
    <row r="1959" spans="1:6" x14ac:dyDescent="0.25">
      <c r="A1959" s="940">
        <v>3490</v>
      </c>
      <c r="B1959" s="940">
        <v>0</v>
      </c>
      <c r="C1959" t="s">
        <v>6024</v>
      </c>
      <c r="D1959" s="940" t="s">
        <v>6025</v>
      </c>
      <c r="E1959" t="s">
        <v>110</v>
      </c>
      <c r="F1959">
        <v>1</v>
      </c>
    </row>
    <row r="1960" spans="1:6" x14ac:dyDescent="0.25">
      <c r="A1960" s="940">
        <v>1266</v>
      </c>
      <c r="B1960" s="940">
        <v>142</v>
      </c>
      <c r="C1960" t="s">
        <v>1849</v>
      </c>
      <c r="D1960" s="940" t="s">
        <v>3824</v>
      </c>
      <c r="E1960" t="s">
        <v>105</v>
      </c>
      <c r="F1960">
        <v>1</v>
      </c>
    </row>
    <row r="1961" spans="1:6" x14ac:dyDescent="0.25">
      <c r="A1961" s="940">
        <v>2959</v>
      </c>
      <c r="B1961" s="940">
        <v>9</v>
      </c>
      <c r="C1961" t="s">
        <v>6026</v>
      </c>
      <c r="D1961" s="940" t="s">
        <v>6027</v>
      </c>
      <c r="E1961" t="s">
        <v>130</v>
      </c>
      <c r="F1961">
        <v>1</v>
      </c>
    </row>
    <row r="1962" spans="1:6" x14ac:dyDescent="0.25">
      <c r="A1962" s="940">
        <v>3045</v>
      </c>
      <c r="B1962" s="940">
        <v>7</v>
      </c>
      <c r="C1962" t="s">
        <v>6028</v>
      </c>
      <c r="D1962" s="940" t="s">
        <v>6029</v>
      </c>
      <c r="E1962" t="s">
        <v>120</v>
      </c>
      <c r="F1962">
        <v>1</v>
      </c>
    </row>
    <row r="1963" spans="1:6" x14ac:dyDescent="0.25">
      <c r="A1963" s="940">
        <v>14</v>
      </c>
      <c r="B1963" s="940">
        <v>1576</v>
      </c>
      <c r="C1963" t="s">
        <v>6030</v>
      </c>
      <c r="D1963" s="940" t="s">
        <v>6031</v>
      </c>
      <c r="E1963" t="s">
        <v>105</v>
      </c>
      <c r="F1963">
        <v>1</v>
      </c>
    </row>
    <row r="1964" spans="1:6" x14ac:dyDescent="0.25">
      <c r="A1964" s="940">
        <v>1827</v>
      </c>
      <c r="B1964" s="940">
        <v>70</v>
      </c>
      <c r="C1964" t="s">
        <v>6032</v>
      </c>
      <c r="D1964" s="940" t="s">
        <v>6033</v>
      </c>
      <c r="E1964" t="s">
        <v>170</v>
      </c>
      <c r="F1964">
        <v>1</v>
      </c>
    </row>
    <row r="1965" spans="1:6" x14ac:dyDescent="0.25">
      <c r="A1965" s="940">
        <v>2515</v>
      </c>
      <c r="B1965" s="940">
        <v>24</v>
      </c>
      <c r="C1965" t="s">
        <v>6034</v>
      </c>
      <c r="D1965" s="940" t="s">
        <v>6035</v>
      </c>
      <c r="E1965" t="s">
        <v>1221</v>
      </c>
      <c r="F1965">
        <v>1</v>
      </c>
    </row>
    <row r="1966" spans="1:6" x14ac:dyDescent="0.25">
      <c r="A1966" s="940">
        <v>2626</v>
      </c>
      <c r="B1966" s="940">
        <v>19</v>
      </c>
      <c r="C1966" t="s">
        <v>6036</v>
      </c>
      <c r="D1966" s="940" t="s">
        <v>6037</v>
      </c>
      <c r="E1966" t="s">
        <v>117</v>
      </c>
      <c r="F1966">
        <v>1</v>
      </c>
    </row>
    <row r="1967" spans="1:6" x14ac:dyDescent="0.25">
      <c r="A1967" s="940">
        <v>3490</v>
      </c>
      <c r="B1967" s="940">
        <v>0</v>
      </c>
      <c r="C1967" t="s">
        <v>6038</v>
      </c>
      <c r="D1967" s="940" t="s">
        <v>5671</v>
      </c>
      <c r="E1967" t="s">
        <v>1200</v>
      </c>
      <c r="F1967">
        <v>1</v>
      </c>
    </row>
    <row r="1968" spans="1:6" x14ac:dyDescent="0.25">
      <c r="A1968" s="940">
        <v>3265</v>
      </c>
      <c r="B1968" s="940">
        <v>3</v>
      </c>
      <c r="C1968" t="s">
        <v>6039</v>
      </c>
      <c r="D1968" s="940" t="s">
        <v>4091</v>
      </c>
      <c r="E1968" t="s">
        <v>1200</v>
      </c>
      <c r="F1968">
        <v>1</v>
      </c>
    </row>
    <row r="1969" spans="1:6" x14ac:dyDescent="0.25">
      <c r="A1969" s="940">
        <v>735</v>
      </c>
      <c r="B1969" s="940">
        <v>327</v>
      </c>
      <c r="C1969" t="s">
        <v>6040</v>
      </c>
      <c r="D1969" s="940" t="s">
        <v>6041</v>
      </c>
      <c r="E1969" t="s">
        <v>1493</v>
      </c>
      <c r="F1969">
        <v>1</v>
      </c>
    </row>
    <row r="1970" spans="1:6" x14ac:dyDescent="0.25">
      <c r="A1970" s="940">
        <v>2016</v>
      </c>
      <c r="B1970" s="940">
        <v>54</v>
      </c>
      <c r="C1970" t="s">
        <v>6042</v>
      </c>
      <c r="D1970" s="940" t="s">
        <v>3970</v>
      </c>
      <c r="E1970" t="s">
        <v>1214</v>
      </c>
      <c r="F1970">
        <v>1</v>
      </c>
    </row>
    <row r="1971" spans="1:6" x14ac:dyDescent="0.25">
      <c r="A1971" s="940">
        <v>2582</v>
      </c>
      <c r="B1971" s="940">
        <v>21</v>
      </c>
      <c r="C1971" t="s">
        <v>6043</v>
      </c>
      <c r="D1971" s="940" t="s">
        <v>4318</v>
      </c>
      <c r="E1971" t="s">
        <v>105</v>
      </c>
      <c r="F1971">
        <v>1</v>
      </c>
    </row>
    <row r="1972" spans="1:6" x14ac:dyDescent="0.25">
      <c r="A1972" s="940">
        <v>751</v>
      </c>
      <c r="B1972" s="940">
        <v>319</v>
      </c>
      <c r="C1972" t="s">
        <v>1851</v>
      </c>
      <c r="D1972" s="940" t="s">
        <v>6044</v>
      </c>
      <c r="E1972" t="s">
        <v>176</v>
      </c>
      <c r="F1972">
        <v>1</v>
      </c>
    </row>
    <row r="1973" spans="1:6" x14ac:dyDescent="0.25">
      <c r="A1973" s="940">
        <v>1872</v>
      </c>
      <c r="B1973" s="940">
        <v>66</v>
      </c>
      <c r="C1973" t="s">
        <v>6045</v>
      </c>
      <c r="D1973" s="940" t="s">
        <v>6046</v>
      </c>
      <c r="E1973" t="s">
        <v>83</v>
      </c>
      <c r="F1973">
        <v>1</v>
      </c>
    </row>
    <row r="1974" spans="1:6" x14ac:dyDescent="0.25">
      <c r="A1974" s="940">
        <v>2883</v>
      </c>
      <c r="B1974" s="940">
        <v>11</v>
      </c>
      <c r="C1974" t="s">
        <v>6047</v>
      </c>
      <c r="D1974" s="940" t="s">
        <v>6048</v>
      </c>
      <c r="E1974" t="s">
        <v>136</v>
      </c>
      <c r="F1974">
        <v>1</v>
      </c>
    </row>
    <row r="1975" spans="1:6" x14ac:dyDescent="0.25">
      <c r="A1975" s="940">
        <v>1240</v>
      </c>
      <c r="B1975" s="940">
        <v>148</v>
      </c>
      <c r="C1975" t="s">
        <v>6049</v>
      </c>
      <c r="D1975" s="940" t="s">
        <v>6050</v>
      </c>
      <c r="E1975" t="s">
        <v>241</v>
      </c>
      <c r="F1975">
        <v>1</v>
      </c>
    </row>
    <row r="1976" spans="1:6" x14ac:dyDescent="0.25">
      <c r="A1976" s="940">
        <v>2221</v>
      </c>
      <c r="B1976" s="940">
        <v>41</v>
      </c>
      <c r="C1976" t="s">
        <v>6051</v>
      </c>
      <c r="D1976" s="940" t="s">
        <v>3511</v>
      </c>
      <c r="E1976" t="s">
        <v>1221</v>
      </c>
      <c r="F1976">
        <v>1</v>
      </c>
    </row>
    <row r="1977" spans="1:6" x14ac:dyDescent="0.25">
      <c r="A1977" s="940">
        <v>3395</v>
      </c>
      <c r="B1977" s="940">
        <v>1</v>
      </c>
      <c r="C1977" t="s">
        <v>6052</v>
      </c>
      <c r="D1977" s="940" t="s">
        <v>6053</v>
      </c>
      <c r="E1977" t="s">
        <v>120</v>
      </c>
      <c r="F1977">
        <v>1</v>
      </c>
    </row>
    <row r="1978" spans="1:6" x14ac:dyDescent="0.25">
      <c r="A1978" s="940">
        <v>1643</v>
      </c>
      <c r="B1978" s="940">
        <v>90</v>
      </c>
      <c r="C1978" t="s">
        <v>1853</v>
      </c>
      <c r="D1978" s="940" t="s">
        <v>6054</v>
      </c>
      <c r="E1978" t="s">
        <v>74</v>
      </c>
      <c r="F1978">
        <v>1</v>
      </c>
    </row>
    <row r="1979" spans="1:6" x14ac:dyDescent="0.25">
      <c r="A1979" s="940">
        <v>1272</v>
      </c>
      <c r="B1979" s="940">
        <v>141</v>
      </c>
      <c r="C1979" t="s">
        <v>6055</v>
      </c>
      <c r="D1979" s="940" t="s">
        <v>3792</v>
      </c>
      <c r="E1979" t="s">
        <v>2928</v>
      </c>
      <c r="F1979">
        <v>1</v>
      </c>
    </row>
    <row r="1980" spans="1:6" x14ac:dyDescent="0.25">
      <c r="A1980" s="940">
        <v>912</v>
      </c>
      <c r="B1980" s="940">
        <v>250</v>
      </c>
      <c r="C1980" t="s">
        <v>839</v>
      </c>
      <c r="D1980" s="940" t="s">
        <v>3824</v>
      </c>
      <c r="E1980" t="s">
        <v>160</v>
      </c>
      <c r="F1980">
        <v>1</v>
      </c>
    </row>
    <row r="1981" spans="1:6" x14ac:dyDescent="0.25">
      <c r="A1981" s="940">
        <v>923</v>
      </c>
      <c r="B1981" s="940">
        <v>247</v>
      </c>
      <c r="C1981" t="s">
        <v>1854</v>
      </c>
      <c r="D1981" s="940" t="s">
        <v>6056</v>
      </c>
      <c r="E1981" t="s">
        <v>103</v>
      </c>
      <c r="F1981">
        <v>1</v>
      </c>
    </row>
    <row r="1982" spans="1:6" x14ac:dyDescent="0.25">
      <c r="A1982" s="940">
        <v>1393</v>
      </c>
      <c r="B1982" s="940">
        <v>121</v>
      </c>
      <c r="C1982" t="s">
        <v>6057</v>
      </c>
      <c r="D1982" s="940" t="s">
        <v>2792</v>
      </c>
      <c r="E1982" t="s">
        <v>111</v>
      </c>
      <c r="F1982">
        <v>1</v>
      </c>
    </row>
    <row r="1983" spans="1:6" x14ac:dyDescent="0.25">
      <c r="A1983" s="940">
        <v>3089</v>
      </c>
      <c r="B1983" s="940">
        <v>6</v>
      </c>
      <c r="C1983" t="s">
        <v>6058</v>
      </c>
      <c r="D1983" s="940" t="s">
        <v>5339</v>
      </c>
      <c r="E1983" t="s">
        <v>2549</v>
      </c>
      <c r="F1983">
        <v>1</v>
      </c>
    </row>
    <row r="1984" spans="1:6" x14ac:dyDescent="0.25">
      <c r="A1984" s="940">
        <v>144</v>
      </c>
      <c r="B1984" s="940">
        <v>989</v>
      </c>
      <c r="C1984" t="s">
        <v>6059</v>
      </c>
      <c r="D1984" s="940" t="s">
        <v>6060</v>
      </c>
      <c r="E1984" t="s">
        <v>1968</v>
      </c>
      <c r="F1984">
        <v>1</v>
      </c>
    </row>
    <row r="1985" spans="1:6" x14ac:dyDescent="0.25">
      <c r="A1985" s="940">
        <v>3141</v>
      </c>
      <c r="B1985" s="940">
        <v>5</v>
      </c>
      <c r="C1985" t="s">
        <v>6061</v>
      </c>
      <c r="D1985" s="940" t="s">
        <v>4629</v>
      </c>
      <c r="E1985" t="s">
        <v>118</v>
      </c>
      <c r="F1985">
        <v>1</v>
      </c>
    </row>
    <row r="1986" spans="1:6" x14ac:dyDescent="0.25">
      <c r="A1986" s="940">
        <v>523</v>
      </c>
      <c r="B1986" s="940">
        <v>449</v>
      </c>
      <c r="C1986" t="s">
        <v>712</v>
      </c>
      <c r="D1986" s="940" t="s">
        <v>6062</v>
      </c>
      <c r="E1986" t="s">
        <v>128</v>
      </c>
      <c r="F1986">
        <v>1</v>
      </c>
    </row>
    <row r="1987" spans="1:6" x14ac:dyDescent="0.25">
      <c r="A1987" s="940">
        <v>1001</v>
      </c>
      <c r="B1987" s="940">
        <v>215</v>
      </c>
      <c r="C1987" t="s">
        <v>6063</v>
      </c>
      <c r="D1987" s="940" t="s">
        <v>6064</v>
      </c>
      <c r="E1987" t="s">
        <v>118</v>
      </c>
      <c r="F1987">
        <v>1</v>
      </c>
    </row>
    <row r="1988" spans="1:6" x14ac:dyDescent="0.25">
      <c r="A1988" s="940">
        <v>3490</v>
      </c>
      <c r="B1988" s="940">
        <v>0</v>
      </c>
      <c r="C1988" t="s">
        <v>6065</v>
      </c>
      <c r="D1988" s="940" t="s">
        <v>4110</v>
      </c>
      <c r="E1988" t="s">
        <v>73</v>
      </c>
      <c r="F1988">
        <v>1</v>
      </c>
    </row>
    <row r="1989" spans="1:6" x14ac:dyDescent="0.25">
      <c r="A1989" s="940">
        <v>293</v>
      </c>
      <c r="B1989" s="940">
        <v>722</v>
      </c>
      <c r="C1989" t="s">
        <v>6066</v>
      </c>
      <c r="D1989" s="940" t="s">
        <v>3657</v>
      </c>
      <c r="E1989" t="s">
        <v>105</v>
      </c>
      <c r="F1989">
        <v>1</v>
      </c>
    </row>
    <row r="1990" spans="1:6" x14ac:dyDescent="0.25">
      <c r="A1990" s="940">
        <v>2187</v>
      </c>
      <c r="B1990" s="940">
        <v>43</v>
      </c>
      <c r="C1990" t="s">
        <v>6067</v>
      </c>
      <c r="D1990" s="940" t="s">
        <v>3745</v>
      </c>
      <c r="E1990" t="s">
        <v>170</v>
      </c>
      <c r="F1990">
        <v>1</v>
      </c>
    </row>
    <row r="1991" spans="1:6" x14ac:dyDescent="0.25">
      <c r="A1991" s="940">
        <v>1040</v>
      </c>
      <c r="B1991" s="940">
        <v>203</v>
      </c>
      <c r="C1991" t="s">
        <v>6068</v>
      </c>
      <c r="D1991" s="940" t="s">
        <v>6069</v>
      </c>
      <c r="E1991" t="s">
        <v>2735</v>
      </c>
      <c r="F1991">
        <v>1</v>
      </c>
    </row>
    <row r="1992" spans="1:6" x14ac:dyDescent="0.25">
      <c r="A1992" s="940">
        <v>3490</v>
      </c>
      <c r="B1992" s="940">
        <v>0</v>
      </c>
      <c r="C1992" t="s">
        <v>6070</v>
      </c>
      <c r="D1992" s="940" t="s">
        <v>6071</v>
      </c>
      <c r="E1992" t="s">
        <v>105</v>
      </c>
      <c r="F1992">
        <v>1</v>
      </c>
    </row>
    <row r="1993" spans="1:6" x14ac:dyDescent="0.25">
      <c r="A1993" s="940">
        <v>1787</v>
      </c>
      <c r="B1993" s="940">
        <v>74</v>
      </c>
      <c r="C1993" t="s">
        <v>6072</v>
      </c>
      <c r="D1993" s="940" t="s">
        <v>6073</v>
      </c>
      <c r="E1993" t="s">
        <v>115</v>
      </c>
      <c r="F1993">
        <v>1</v>
      </c>
    </row>
    <row r="1994" spans="1:6" x14ac:dyDescent="0.25">
      <c r="A1994" s="940">
        <v>155</v>
      </c>
      <c r="B1994" s="940">
        <v>966</v>
      </c>
      <c r="C1994" t="s">
        <v>6074</v>
      </c>
      <c r="D1994" s="940" t="s">
        <v>6075</v>
      </c>
      <c r="E1994" t="s">
        <v>110</v>
      </c>
      <c r="F1994">
        <v>1</v>
      </c>
    </row>
    <row r="1995" spans="1:6" x14ac:dyDescent="0.25">
      <c r="A1995" s="940">
        <v>3490</v>
      </c>
      <c r="B1995" s="940">
        <v>0</v>
      </c>
      <c r="C1995" t="s">
        <v>6076</v>
      </c>
      <c r="D1995" s="940" t="s">
        <v>2703</v>
      </c>
      <c r="E1995" t="s">
        <v>379</v>
      </c>
      <c r="F1995">
        <v>1</v>
      </c>
    </row>
    <row r="1996" spans="1:6" x14ac:dyDescent="0.25">
      <c r="A1996" s="940">
        <v>2129</v>
      </c>
      <c r="B1996" s="940">
        <v>46</v>
      </c>
      <c r="C1996" t="s">
        <v>6077</v>
      </c>
      <c r="D1996" s="940" t="s">
        <v>2813</v>
      </c>
      <c r="E1996" t="s">
        <v>105</v>
      </c>
      <c r="F1996">
        <v>1</v>
      </c>
    </row>
    <row r="1997" spans="1:6" x14ac:dyDescent="0.25">
      <c r="A1997" s="940">
        <v>165</v>
      </c>
      <c r="B1997" s="940">
        <v>944</v>
      </c>
      <c r="C1997" t="s">
        <v>6078</v>
      </c>
      <c r="D1997" s="940" t="s">
        <v>6079</v>
      </c>
      <c r="E1997" t="s">
        <v>133</v>
      </c>
      <c r="F1997">
        <v>1</v>
      </c>
    </row>
    <row r="1998" spans="1:6" x14ac:dyDescent="0.25">
      <c r="A1998" s="940">
        <v>837</v>
      </c>
      <c r="B1998" s="940">
        <v>280</v>
      </c>
      <c r="C1998" t="s">
        <v>6080</v>
      </c>
      <c r="D1998" s="940" t="s">
        <v>6081</v>
      </c>
      <c r="E1998" t="s">
        <v>129</v>
      </c>
      <c r="F1998">
        <v>1</v>
      </c>
    </row>
    <row r="1999" spans="1:6" x14ac:dyDescent="0.25">
      <c r="A1999" s="940">
        <v>1672</v>
      </c>
      <c r="B1999" s="940">
        <v>86</v>
      </c>
      <c r="C1999" t="s">
        <v>6082</v>
      </c>
      <c r="D1999" s="940" t="s">
        <v>6083</v>
      </c>
      <c r="E1999" t="s">
        <v>661</v>
      </c>
      <c r="F1999">
        <v>1</v>
      </c>
    </row>
    <row r="2000" spans="1:6" x14ac:dyDescent="0.25">
      <c r="A2000" s="940">
        <v>2187</v>
      </c>
      <c r="B2000" s="940">
        <v>43</v>
      </c>
      <c r="C2000" t="s">
        <v>6084</v>
      </c>
      <c r="D2000" s="940" t="s">
        <v>6085</v>
      </c>
      <c r="E2000" t="s">
        <v>129</v>
      </c>
      <c r="F2000">
        <v>1</v>
      </c>
    </row>
    <row r="2001" spans="1:6" x14ac:dyDescent="0.25">
      <c r="A2001" s="940">
        <v>2121</v>
      </c>
      <c r="B2001" s="940">
        <v>47</v>
      </c>
      <c r="C2001" t="s">
        <v>6086</v>
      </c>
      <c r="D2001" s="940" t="s">
        <v>2623</v>
      </c>
      <c r="E2001" t="s">
        <v>661</v>
      </c>
      <c r="F2001">
        <v>1</v>
      </c>
    </row>
    <row r="2002" spans="1:6" x14ac:dyDescent="0.25">
      <c r="A2002" s="940">
        <v>3196</v>
      </c>
      <c r="B2002" s="940">
        <v>4</v>
      </c>
      <c r="C2002" t="s">
        <v>6087</v>
      </c>
      <c r="D2002" s="940" t="s">
        <v>6017</v>
      </c>
      <c r="E2002" t="s">
        <v>111</v>
      </c>
      <c r="F2002">
        <v>1</v>
      </c>
    </row>
    <row r="2003" spans="1:6" x14ac:dyDescent="0.25">
      <c r="A2003" s="940">
        <v>2381</v>
      </c>
      <c r="B2003" s="940">
        <v>31</v>
      </c>
      <c r="C2003" t="s">
        <v>6088</v>
      </c>
      <c r="D2003" s="940" t="s">
        <v>6089</v>
      </c>
      <c r="E2003" t="s">
        <v>2916</v>
      </c>
      <c r="F2003">
        <v>1</v>
      </c>
    </row>
    <row r="2004" spans="1:6" x14ac:dyDescent="0.25">
      <c r="A2004" s="940">
        <v>2626</v>
      </c>
      <c r="B2004" s="940">
        <v>19</v>
      </c>
      <c r="C2004" t="s">
        <v>6090</v>
      </c>
      <c r="D2004" s="940" t="s">
        <v>6091</v>
      </c>
      <c r="E2004" t="s">
        <v>105</v>
      </c>
      <c r="F2004">
        <v>1</v>
      </c>
    </row>
    <row r="2005" spans="1:6" x14ac:dyDescent="0.25">
      <c r="A2005" s="940">
        <v>3490</v>
      </c>
      <c r="B2005" s="940">
        <v>0</v>
      </c>
      <c r="C2005" t="s">
        <v>518</v>
      </c>
      <c r="D2005" s="940" t="s">
        <v>6092</v>
      </c>
      <c r="E2005" t="s">
        <v>99</v>
      </c>
      <c r="F2005">
        <v>1</v>
      </c>
    </row>
    <row r="2006" spans="1:6" x14ac:dyDescent="0.25">
      <c r="A2006" s="940">
        <v>259</v>
      </c>
      <c r="B2006" s="940">
        <v>795</v>
      </c>
      <c r="C2006" t="s">
        <v>6093</v>
      </c>
      <c r="D2006" s="940" t="s">
        <v>6094</v>
      </c>
      <c r="E2006" t="s">
        <v>1860</v>
      </c>
      <c r="F2006">
        <v>1</v>
      </c>
    </row>
    <row r="2007" spans="1:6" x14ac:dyDescent="0.25">
      <c r="A2007" s="940">
        <v>974</v>
      </c>
      <c r="B2007" s="940">
        <v>226</v>
      </c>
      <c r="C2007" t="s">
        <v>6095</v>
      </c>
      <c r="D2007" s="940" t="s">
        <v>5044</v>
      </c>
      <c r="E2007" t="s">
        <v>1200</v>
      </c>
      <c r="F2007">
        <v>1</v>
      </c>
    </row>
    <row r="2008" spans="1:6" x14ac:dyDescent="0.25">
      <c r="A2008" s="940">
        <v>2079</v>
      </c>
      <c r="B2008" s="940">
        <v>50</v>
      </c>
      <c r="C2008" t="s">
        <v>6096</v>
      </c>
      <c r="D2008" s="940" t="s">
        <v>6097</v>
      </c>
      <c r="E2008" t="s">
        <v>111</v>
      </c>
      <c r="F2008">
        <v>1</v>
      </c>
    </row>
    <row r="2009" spans="1:6" x14ac:dyDescent="0.25">
      <c r="A2009" s="940">
        <v>3490</v>
      </c>
      <c r="B2009" s="940">
        <v>0</v>
      </c>
      <c r="C2009" t="s">
        <v>6098</v>
      </c>
      <c r="D2009" s="940" t="s">
        <v>6099</v>
      </c>
      <c r="E2009" t="s">
        <v>1460</v>
      </c>
      <c r="F2009">
        <v>1</v>
      </c>
    </row>
    <row r="2010" spans="1:6" x14ac:dyDescent="0.25">
      <c r="A2010" s="940">
        <v>206</v>
      </c>
      <c r="B2010" s="940">
        <v>884</v>
      </c>
      <c r="C2010" t="s">
        <v>6100</v>
      </c>
      <c r="D2010" s="940" t="s">
        <v>6101</v>
      </c>
      <c r="E2010" t="s">
        <v>3140</v>
      </c>
      <c r="F2010">
        <v>1</v>
      </c>
    </row>
    <row r="2011" spans="1:6" x14ac:dyDescent="0.25">
      <c r="A2011" s="940">
        <v>3490</v>
      </c>
      <c r="B2011" s="940">
        <v>0</v>
      </c>
      <c r="C2011" t="s">
        <v>6102</v>
      </c>
      <c r="D2011" s="940" t="s">
        <v>4751</v>
      </c>
      <c r="E2011" t="s">
        <v>136</v>
      </c>
      <c r="F2011">
        <v>1</v>
      </c>
    </row>
    <row r="2012" spans="1:6" x14ac:dyDescent="0.25">
      <c r="A2012" s="940">
        <v>3141</v>
      </c>
      <c r="B2012" s="940">
        <v>5</v>
      </c>
      <c r="C2012" t="s">
        <v>6103</v>
      </c>
      <c r="D2012" s="940" t="s">
        <v>6104</v>
      </c>
      <c r="E2012" t="s">
        <v>1638</v>
      </c>
      <c r="F2012">
        <v>1</v>
      </c>
    </row>
    <row r="2013" spans="1:6" x14ac:dyDescent="0.25">
      <c r="A2013" s="940">
        <v>3490</v>
      </c>
      <c r="B2013" s="940">
        <v>0</v>
      </c>
      <c r="C2013" t="s">
        <v>6105</v>
      </c>
      <c r="D2013" s="940" t="s">
        <v>6106</v>
      </c>
      <c r="E2013" t="s">
        <v>2880</v>
      </c>
      <c r="F2013">
        <v>1</v>
      </c>
    </row>
    <row r="2014" spans="1:6" x14ac:dyDescent="0.25">
      <c r="A2014" s="940">
        <v>3490</v>
      </c>
      <c r="B2014" s="940">
        <v>0</v>
      </c>
      <c r="C2014" t="s">
        <v>6107</v>
      </c>
      <c r="D2014" s="940" t="s">
        <v>6108</v>
      </c>
      <c r="E2014" t="s">
        <v>120</v>
      </c>
      <c r="F2014">
        <v>1</v>
      </c>
    </row>
    <row r="2015" spans="1:6" x14ac:dyDescent="0.25">
      <c r="A2015" s="940">
        <v>1015</v>
      </c>
      <c r="B2015" s="940">
        <v>211</v>
      </c>
      <c r="C2015" t="s">
        <v>1862</v>
      </c>
      <c r="D2015" s="940" t="s">
        <v>6109</v>
      </c>
      <c r="E2015" t="s">
        <v>1285</v>
      </c>
      <c r="F2015">
        <v>1</v>
      </c>
    </row>
    <row r="2016" spans="1:6" x14ac:dyDescent="0.25">
      <c r="A2016" s="940">
        <v>2743</v>
      </c>
      <c r="B2016" s="940">
        <v>15</v>
      </c>
      <c r="C2016" t="s">
        <v>6110</v>
      </c>
      <c r="D2016" s="940" t="s">
        <v>6111</v>
      </c>
      <c r="E2016" t="s">
        <v>110</v>
      </c>
      <c r="F2016">
        <v>1</v>
      </c>
    </row>
    <row r="2017" spans="1:6" x14ac:dyDescent="0.25">
      <c r="A2017" s="940">
        <v>904</v>
      </c>
      <c r="B2017" s="940">
        <v>253</v>
      </c>
      <c r="C2017" t="s">
        <v>1863</v>
      </c>
      <c r="D2017" s="940" t="s">
        <v>4177</v>
      </c>
      <c r="E2017" t="s">
        <v>1493</v>
      </c>
      <c r="F2017">
        <v>1</v>
      </c>
    </row>
    <row r="2018" spans="1:6" x14ac:dyDescent="0.25">
      <c r="A2018" s="940">
        <v>3141</v>
      </c>
      <c r="B2018" s="940">
        <v>5</v>
      </c>
      <c r="C2018" t="s">
        <v>6112</v>
      </c>
      <c r="D2018" s="940" t="s">
        <v>6113</v>
      </c>
      <c r="E2018" t="s">
        <v>121</v>
      </c>
      <c r="F2018">
        <v>1</v>
      </c>
    </row>
    <row r="2019" spans="1:6" x14ac:dyDescent="0.25">
      <c r="A2019" s="940">
        <v>942</v>
      </c>
      <c r="B2019" s="940">
        <v>241</v>
      </c>
      <c r="C2019" t="s">
        <v>1864</v>
      </c>
      <c r="D2019" s="940" t="s">
        <v>6114</v>
      </c>
      <c r="E2019" t="s">
        <v>1493</v>
      </c>
      <c r="F2019">
        <v>1</v>
      </c>
    </row>
    <row r="2020" spans="1:6" x14ac:dyDescent="0.25">
      <c r="A2020" s="940">
        <v>254</v>
      </c>
      <c r="B2020" s="940">
        <v>811</v>
      </c>
      <c r="C2020" t="s">
        <v>6115</v>
      </c>
      <c r="D2020" s="940" t="s">
        <v>6116</v>
      </c>
      <c r="E2020" t="s">
        <v>6117</v>
      </c>
      <c r="F2020">
        <v>1</v>
      </c>
    </row>
    <row r="2021" spans="1:6" x14ac:dyDescent="0.25">
      <c r="A2021" s="940">
        <v>271</v>
      </c>
      <c r="B2021" s="940">
        <v>766</v>
      </c>
      <c r="C2021" t="s">
        <v>6118</v>
      </c>
      <c r="D2021" s="940" t="s">
        <v>6119</v>
      </c>
      <c r="E2021" t="s">
        <v>6120</v>
      </c>
      <c r="F2021">
        <v>1</v>
      </c>
    </row>
    <row r="2022" spans="1:6" x14ac:dyDescent="0.25">
      <c r="A2022" s="940">
        <v>12</v>
      </c>
      <c r="B2022" s="940">
        <v>1578</v>
      </c>
      <c r="C2022" t="s">
        <v>6121</v>
      </c>
      <c r="D2022" s="940" t="s">
        <v>6122</v>
      </c>
      <c r="E2022" t="s">
        <v>105</v>
      </c>
      <c r="F2022">
        <v>1</v>
      </c>
    </row>
    <row r="2023" spans="1:6" x14ac:dyDescent="0.25">
      <c r="A2023" s="940">
        <v>1309</v>
      </c>
      <c r="B2023" s="940">
        <v>134</v>
      </c>
      <c r="C2023" t="s">
        <v>6123</v>
      </c>
      <c r="D2023" s="940" t="s">
        <v>6124</v>
      </c>
      <c r="E2023" t="s">
        <v>213</v>
      </c>
      <c r="F2023">
        <v>1</v>
      </c>
    </row>
    <row r="2024" spans="1:6" x14ac:dyDescent="0.25">
      <c r="A2024" s="940">
        <v>147</v>
      </c>
      <c r="B2024" s="940">
        <v>981</v>
      </c>
      <c r="C2024" t="s">
        <v>1870</v>
      </c>
      <c r="D2024" s="940" t="s">
        <v>6125</v>
      </c>
      <c r="E2024" t="s">
        <v>1171</v>
      </c>
      <c r="F2024">
        <v>1</v>
      </c>
    </row>
    <row r="2025" spans="1:6" x14ac:dyDescent="0.25">
      <c r="A2025" s="940">
        <v>3490</v>
      </c>
      <c r="B2025" s="940">
        <v>0</v>
      </c>
      <c r="C2025" t="s">
        <v>6126</v>
      </c>
      <c r="D2025" s="940" t="s">
        <v>4847</v>
      </c>
      <c r="E2025" t="s">
        <v>74</v>
      </c>
      <c r="F2025">
        <v>1</v>
      </c>
    </row>
    <row r="2026" spans="1:6" x14ac:dyDescent="0.25">
      <c r="A2026" s="940">
        <v>3490</v>
      </c>
      <c r="B2026" s="940">
        <v>0</v>
      </c>
      <c r="C2026" t="s">
        <v>6127</v>
      </c>
      <c r="D2026" s="940" t="s">
        <v>6128</v>
      </c>
      <c r="E2026" t="s">
        <v>1248</v>
      </c>
      <c r="F2026">
        <v>1</v>
      </c>
    </row>
    <row r="2027" spans="1:6" x14ac:dyDescent="0.25">
      <c r="A2027" s="940">
        <v>1054</v>
      </c>
      <c r="B2027" s="940">
        <v>199</v>
      </c>
      <c r="C2027" t="s">
        <v>274</v>
      </c>
      <c r="D2027" s="940" t="s">
        <v>6129</v>
      </c>
      <c r="E2027" t="s">
        <v>128</v>
      </c>
      <c r="F2027">
        <v>1</v>
      </c>
    </row>
    <row r="2028" spans="1:6" x14ac:dyDescent="0.25">
      <c r="A2028" s="940">
        <v>1046</v>
      </c>
      <c r="B2028" s="940">
        <v>201</v>
      </c>
      <c r="C2028" t="s">
        <v>1873</v>
      </c>
      <c r="D2028" s="940" t="s">
        <v>6130</v>
      </c>
      <c r="E2028" t="s">
        <v>120</v>
      </c>
      <c r="F2028">
        <v>1</v>
      </c>
    </row>
    <row r="2029" spans="1:6" x14ac:dyDescent="0.25">
      <c r="A2029" s="940">
        <v>3196</v>
      </c>
      <c r="B2029" s="940">
        <v>4</v>
      </c>
      <c r="C2029" t="s">
        <v>6131</v>
      </c>
      <c r="D2029" s="940" t="s">
        <v>3576</v>
      </c>
      <c r="E2029" t="s">
        <v>186</v>
      </c>
      <c r="F2029">
        <v>1</v>
      </c>
    </row>
    <row r="2030" spans="1:6" x14ac:dyDescent="0.25">
      <c r="A2030" s="940">
        <v>3490</v>
      </c>
      <c r="B2030" s="940">
        <v>0</v>
      </c>
      <c r="C2030" t="s">
        <v>6132</v>
      </c>
      <c r="D2030" s="940" t="s">
        <v>6133</v>
      </c>
      <c r="E2030" t="s">
        <v>84</v>
      </c>
      <c r="F2030">
        <v>1</v>
      </c>
    </row>
    <row r="2031" spans="1:6" x14ac:dyDescent="0.25">
      <c r="A2031" s="940">
        <v>3490</v>
      </c>
      <c r="B2031" s="940">
        <v>0</v>
      </c>
      <c r="C2031" t="s">
        <v>6134</v>
      </c>
      <c r="D2031" s="940" t="s">
        <v>6135</v>
      </c>
      <c r="E2031" t="s">
        <v>118</v>
      </c>
      <c r="F2031">
        <v>1</v>
      </c>
    </row>
    <row r="2032" spans="1:6" x14ac:dyDescent="0.25">
      <c r="A2032" s="940">
        <v>2405</v>
      </c>
      <c r="B2032" s="940">
        <v>30</v>
      </c>
      <c r="C2032" t="s">
        <v>6136</v>
      </c>
      <c r="D2032" s="940" t="s">
        <v>5664</v>
      </c>
      <c r="E2032" t="s">
        <v>1211</v>
      </c>
      <c r="F2032">
        <v>1</v>
      </c>
    </row>
    <row r="2033" spans="1:6" x14ac:dyDescent="0.25">
      <c r="A2033" s="940">
        <v>2907</v>
      </c>
      <c r="B2033" s="940">
        <v>10</v>
      </c>
      <c r="C2033" t="s">
        <v>6137</v>
      </c>
      <c r="D2033" s="940" t="s">
        <v>5664</v>
      </c>
      <c r="E2033" t="s">
        <v>171</v>
      </c>
      <c r="F2033">
        <v>1</v>
      </c>
    </row>
    <row r="2034" spans="1:6" x14ac:dyDescent="0.25">
      <c r="A2034" s="940">
        <v>1701</v>
      </c>
      <c r="B2034" s="940">
        <v>83</v>
      </c>
      <c r="C2034" t="s">
        <v>6138</v>
      </c>
      <c r="D2034" s="940" t="s">
        <v>6139</v>
      </c>
      <c r="E2034" t="s">
        <v>2542</v>
      </c>
      <c r="F2034">
        <v>1</v>
      </c>
    </row>
    <row r="2035" spans="1:6" x14ac:dyDescent="0.25">
      <c r="A2035" s="940">
        <v>3490</v>
      </c>
      <c r="B2035" s="940">
        <v>0</v>
      </c>
      <c r="C2035" t="s">
        <v>6140</v>
      </c>
      <c r="D2035" s="940" t="s">
        <v>6141</v>
      </c>
      <c r="E2035" t="s">
        <v>1248</v>
      </c>
      <c r="F2035">
        <v>1</v>
      </c>
    </row>
    <row r="2036" spans="1:6" x14ac:dyDescent="0.25">
      <c r="A2036" s="940">
        <v>637</v>
      </c>
      <c r="B2036" s="940">
        <v>381</v>
      </c>
      <c r="C2036" t="s">
        <v>6142</v>
      </c>
      <c r="D2036" s="940" t="s">
        <v>6143</v>
      </c>
      <c r="E2036" t="s">
        <v>1483</v>
      </c>
      <c r="F2036">
        <v>1</v>
      </c>
    </row>
    <row r="2037" spans="1:6" x14ac:dyDescent="0.25">
      <c r="A2037" s="940">
        <v>2416</v>
      </c>
      <c r="B2037" s="940">
        <v>29</v>
      </c>
      <c r="C2037" t="s">
        <v>6144</v>
      </c>
      <c r="D2037" s="940" t="s">
        <v>6145</v>
      </c>
      <c r="E2037" t="s">
        <v>2913</v>
      </c>
      <c r="F2037">
        <v>1</v>
      </c>
    </row>
    <row r="2038" spans="1:6" x14ac:dyDescent="0.25">
      <c r="A2038" s="940">
        <v>1333</v>
      </c>
      <c r="B2038" s="940">
        <v>129</v>
      </c>
      <c r="C2038" t="s">
        <v>6146</v>
      </c>
      <c r="D2038" s="940" t="s">
        <v>6147</v>
      </c>
      <c r="E2038" t="s">
        <v>1211</v>
      </c>
      <c r="F2038">
        <v>1</v>
      </c>
    </row>
    <row r="2039" spans="1:6" x14ac:dyDescent="0.25">
      <c r="A2039" s="940">
        <v>3141</v>
      </c>
      <c r="B2039" s="940">
        <v>5</v>
      </c>
      <c r="C2039" t="s">
        <v>6148</v>
      </c>
      <c r="D2039" s="940" t="s">
        <v>4489</v>
      </c>
      <c r="E2039" t="s">
        <v>105</v>
      </c>
      <c r="F2039">
        <v>1</v>
      </c>
    </row>
    <row r="2040" spans="1:6" x14ac:dyDescent="0.25">
      <c r="A2040" s="940">
        <v>1280</v>
      </c>
      <c r="B2040" s="940">
        <v>140</v>
      </c>
      <c r="C2040" t="s">
        <v>6149</v>
      </c>
      <c r="D2040" s="940" t="s">
        <v>6150</v>
      </c>
      <c r="E2040" t="s">
        <v>120</v>
      </c>
      <c r="F2040">
        <v>1</v>
      </c>
    </row>
    <row r="2041" spans="1:6" x14ac:dyDescent="0.25">
      <c r="A2041" s="940">
        <v>205</v>
      </c>
      <c r="B2041" s="940">
        <v>887</v>
      </c>
      <c r="C2041" t="s">
        <v>6151</v>
      </c>
      <c r="D2041" s="940" t="s">
        <v>6152</v>
      </c>
      <c r="E2041" t="s">
        <v>120</v>
      </c>
      <c r="F2041">
        <v>1</v>
      </c>
    </row>
    <row r="2042" spans="1:6" x14ac:dyDescent="0.25">
      <c r="A2042" s="940">
        <v>1142</v>
      </c>
      <c r="B2042" s="940">
        <v>170</v>
      </c>
      <c r="C2042" t="s">
        <v>6153</v>
      </c>
      <c r="D2042" s="940" t="s">
        <v>6154</v>
      </c>
      <c r="E2042" t="s">
        <v>99</v>
      </c>
      <c r="F2042">
        <v>1</v>
      </c>
    </row>
    <row r="2043" spans="1:6" x14ac:dyDescent="0.25">
      <c r="A2043" s="940">
        <v>3490</v>
      </c>
      <c r="B2043" s="940">
        <v>0</v>
      </c>
      <c r="C2043" t="s">
        <v>6155</v>
      </c>
      <c r="D2043" s="940" t="s">
        <v>6156</v>
      </c>
      <c r="E2043" t="s">
        <v>105</v>
      </c>
      <c r="F2043">
        <v>1</v>
      </c>
    </row>
    <row r="2044" spans="1:6" x14ac:dyDescent="0.25">
      <c r="A2044" s="940">
        <v>2539</v>
      </c>
      <c r="B2044" s="940">
        <v>23</v>
      </c>
      <c r="C2044" t="s">
        <v>6157</v>
      </c>
      <c r="D2044" s="940" t="s">
        <v>5311</v>
      </c>
      <c r="E2044" t="s">
        <v>2880</v>
      </c>
      <c r="F2044">
        <v>1</v>
      </c>
    </row>
    <row r="2045" spans="1:6" x14ac:dyDescent="0.25">
      <c r="A2045" s="940">
        <v>2174</v>
      </c>
      <c r="B2045" s="940">
        <v>44</v>
      </c>
      <c r="C2045" t="s">
        <v>6158</v>
      </c>
      <c r="D2045" s="940" t="s">
        <v>6159</v>
      </c>
      <c r="E2045" t="s">
        <v>3986</v>
      </c>
      <c r="F2045">
        <v>1</v>
      </c>
    </row>
    <row r="2046" spans="1:6" x14ac:dyDescent="0.25">
      <c r="A2046" s="940">
        <v>2121</v>
      </c>
      <c r="B2046" s="940">
        <v>47</v>
      </c>
      <c r="C2046" t="s">
        <v>6160</v>
      </c>
      <c r="D2046" s="940" t="s">
        <v>6161</v>
      </c>
      <c r="E2046" t="s">
        <v>120</v>
      </c>
      <c r="F2046">
        <v>1</v>
      </c>
    </row>
    <row r="2047" spans="1:6" x14ac:dyDescent="0.25">
      <c r="A2047" s="940">
        <v>2441</v>
      </c>
      <c r="B2047" s="940">
        <v>28</v>
      </c>
      <c r="C2047" t="s">
        <v>6162</v>
      </c>
      <c r="D2047" s="940" t="s">
        <v>6163</v>
      </c>
      <c r="E2047" t="s">
        <v>120</v>
      </c>
      <c r="F2047">
        <v>1</v>
      </c>
    </row>
    <row r="2048" spans="1:6" x14ac:dyDescent="0.25">
      <c r="A2048" s="940">
        <v>3490</v>
      </c>
      <c r="B2048" s="940">
        <v>0</v>
      </c>
      <c r="C2048" t="s">
        <v>6164</v>
      </c>
      <c r="D2048" s="940" t="s">
        <v>6163</v>
      </c>
      <c r="E2048" t="s">
        <v>120</v>
      </c>
      <c r="F2048">
        <v>1</v>
      </c>
    </row>
    <row r="2049" spans="1:6" x14ac:dyDescent="0.25">
      <c r="A2049" s="940">
        <v>3141</v>
      </c>
      <c r="B2049" s="940">
        <v>5</v>
      </c>
      <c r="C2049" t="s">
        <v>6165</v>
      </c>
      <c r="D2049" s="940" t="s">
        <v>6166</v>
      </c>
      <c r="E2049" t="s">
        <v>111</v>
      </c>
      <c r="F2049">
        <v>1</v>
      </c>
    </row>
    <row r="2050" spans="1:6" x14ac:dyDescent="0.25">
      <c r="A2050" s="940">
        <v>546</v>
      </c>
      <c r="B2050" s="940">
        <v>437</v>
      </c>
      <c r="C2050" t="s">
        <v>6167</v>
      </c>
      <c r="D2050" s="940" t="s">
        <v>6168</v>
      </c>
      <c r="E2050" t="s">
        <v>3098</v>
      </c>
      <c r="F2050">
        <v>1</v>
      </c>
    </row>
    <row r="2051" spans="1:6" x14ac:dyDescent="0.25">
      <c r="A2051" s="940">
        <v>1322</v>
      </c>
      <c r="B2051" s="940">
        <v>131</v>
      </c>
      <c r="C2051" t="s">
        <v>6169</v>
      </c>
      <c r="D2051" s="940" t="s">
        <v>6170</v>
      </c>
      <c r="E2051" t="s">
        <v>2624</v>
      </c>
      <c r="F2051">
        <v>1</v>
      </c>
    </row>
    <row r="2052" spans="1:6" x14ac:dyDescent="0.25">
      <c r="A2052" s="940">
        <v>3327</v>
      </c>
      <c r="B2052" s="940">
        <v>2</v>
      </c>
      <c r="C2052" t="s">
        <v>6171</v>
      </c>
      <c r="D2052" s="940" t="s">
        <v>4609</v>
      </c>
      <c r="E2052" t="s">
        <v>136</v>
      </c>
      <c r="F2052">
        <v>1</v>
      </c>
    </row>
    <row r="2053" spans="1:6" x14ac:dyDescent="0.25">
      <c r="A2053" s="940">
        <v>3490</v>
      </c>
      <c r="B2053" s="940">
        <v>0</v>
      </c>
      <c r="C2053" t="s">
        <v>6172</v>
      </c>
      <c r="D2053" s="940" t="s">
        <v>2951</v>
      </c>
      <c r="E2053" t="s">
        <v>2880</v>
      </c>
      <c r="F2053">
        <v>1</v>
      </c>
    </row>
    <row r="2054" spans="1:6" x14ac:dyDescent="0.25">
      <c r="A2054" s="940">
        <v>551</v>
      </c>
      <c r="B2054" s="940">
        <v>436</v>
      </c>
      <c r="C2054" t="s">
        <v>6173</v>
      </c>
      <c r="D2054" s="940" t="s">
        <v>6174</v>
      </c>
      <c r="E2054" t="s">
        <v>863</v>
      </c>
      <c r="F2054">
        <v>1</v>
      </c>
    </row>
    <row r="2055" spans="1:6" x14ac:dyDescent="0.25">
      <c r="A2055" s="940">
        <v>1774</v>
      </c>
      <c r="B2055" s="940">
        <v>76</v>
      </c>
      <c r="C2055" t="s">
        <v>6175</v>
      </c>
      <c r="D2055" s="940" t="s">
        <v>2662</v>
      </c>
      <c r="E2055" t="s">
        <v>105</v>
      </c>
      <c r="F2055">
        <v>1</v>
      </c>
    </row>
    <row r="2056" spans="1:6" x14ac:dyDescent="0.25">
      <c r="A2056" s="940">
        <v>437</v>
      </c>
      <c r="B2056" s="940">
        <v>534</v>
      </c>
      <c r="C2056" t="s">
        <v>521</v>
      </c>
      <c r="D2056" s="940" t="s">
        <v>6176</v>
      </c>
      <c r="E2056" t="s">
        <v>282</v>
      </c>
      <c r="F2056">
        <v>1</v>
      </c>
    </row>
    <row r="2057" spans="1:6" x14ac:dyDescent="0.25">
      <c r="A2057" s="940">
        <v>3141</v>
      </c>
      <c r="B2057" s="940">
        <v>5</v>
      </c>
      <c r="C2057" t="s">
        <v>6177</v>
      </c>
      <c r="D2057" s="940" t="s">
        <v>6178</v>
      </c>
      <c r="E2057" t="s">
        <v>5555</v>
      </c>
      <c r="F2057">
        <v>1</v>
      </c>
    </row>
    <row r="2058" spans="1:6" x14ac:dyDescent="0.25">
      <c r="A2058" s="940">
        <v>2996</v>
      </c>
      <c r="B2058" s="940">
        <v>8</v>
      </c>
      <c r="C2058" t="s">
        <v>6179</v>
      </c>
      <c r="D2058" s="940" t="s">
        <v>6180</v>
      </c>
      <c r="E2058" t="s">
        <v>120</v>
      </c>
      <c r="F2058">
        <v>1</v>
      </c>
    </row>
    <row r="2059" spans="1:6" x14ac:dyDescent="0.25">
      <c r="A2059" s="940">
        <v>1500</v>
      </c>
      <c r="B2059" s="940">
        <v>106</v>
      </c>
      <c r="C2059" t="s">
        <v>6181</v>
      </c>
      <c r="D2059" s="940" t="s">
        <v>6182</v>
      </c>
      <c r="E2059" t="s">
        <v>1584</v>
      </c>
      <c r="F2059">
        <v>1</v>
      </c>
    </row>
    <row r="2060" spans="1:6" x14ac:dyDescent="0.25">
      <c r="A2060" s="940">
        <v>3490</v>
      </c>
      <c r="B2060" s="940">
        <v>0</v>
      </c>
      <c r="C2060" t="s">
        <v>6183</v>
      </c>
      <c r="D2060" s="940" t="s">
        <v>3537</v>
      </c>
      <c r="E2060" t="s">
        <v>99</v>
      </c>
      <c r="F2060">
        <v>1</v>
      </c>
    </row>
    <row r="2061" spans="1:6" x14ac:dyDescent="0.25">
      <c r="A2061" s="940">
        <v>1533</v>
      </c>
      <c r="B2061" s="940">
        <v>102</v>
      </c>
      <c r="C2061" t="s">
        <v>6184</v>
      </c>
      <c r="D2061" s="940" t="s">
        <v>6182</v>
      </c>
      <c r="E2061" t="s">
        <v>1584</v>
      </c>
      <c r="F2061">
        <v>1</v>
      </c>
    </row>
    <row r="2062" spans="1:6" x14ac:dyDescent="0.25">
      <c r="A2062" s="940">
        <v>343</v>
      </c>
      <c r="B2062" s="940">
        <v>645</v>
      </c>
      <c r="C2062" t="s">
        <v>6185</v>
      </c>
      <c r="D2062" s="940" t="s">
        <v>6186</v>
      </c>
      <c r="E2062" t="s">
        <v>1200</v>
      </c>
      <c r="F2062">
        <v>1</v>
      </c>
    </row>
    <row r="2063" spans="1:6" x14ac:dyDescent="0.25">
      <c r="A2063" s="940">
        <v>3490</v>
      </c>
      <c r="B2063" s="940">
        <v>0</v>
      </c>
      <c r="C2063" t="s">
        <v>6187</v>
      </c>
      <c r="D2063" s="940" t="s">
        <v>3537</v>
      </c>
      <c r="E2063" t="s">
        <v>99</v>
      </c>
      <c r="F2063">
        <v>1</v>
      </c>
    </row>
    <row r="2064" spans="1:6" x14ac:dyDescent="0.25">
      <c r="A2064" s="940">
        <v>2814</v>
      </c>
      <c r="B2064" s="940">
        <v>13</v>
      </c>
      <c r="C2064" t="s">
        <v>6188</v>
      </c>
      <c r="D2064" s="940" t="s">
        <v>6189</v>
      </c>
      <c r="E2064" t="s">
        <v>83</v>
      </c>
      <c r="F2064">
        <v>1</v>
      </c>
    </row>
    <row r="2065" spans="1:6" x14ac:dyDescent="0.25">
      <c r="A2065" s="940">
        <v>1581</v>
      </c>
      <c r="B2065" s="940">
        <v>97</v>
      </c>
      <c r="C2065" t="s">
        <v>6190</v>
      </c>
      <c r="D2065" s="940" t="s">
        <v>6191</v>
      </c>
      <c r="E2065" t="s">
        <v>145</v>
      </c>
      <c r="F2065">
        <v>1</v>
      </c>
    </row>
    <row r="2066" spans="1:6" x14ac:dyDescent="0.25">
      <c r="A2066" s="940">
        <v>1986</v>
      </c>
      <c r="B2066" s="940">
        <v>57</v>
      </c>
      <c r="C2066" t="s">
        <v>6192</v>
      </c>
      <c r="D2066" s="940" t="s">
        <v>6193</v>
      </c>
      <c r="E2066" t="s">
        <v>105</v>
      </c>
      <c r="F2066">
        <v>1</v>
      </c>
    </row>
    <row r="2067" spans="1:6" x14ac:dyDescent="0.25">
      <c r="A2067" s="940">
        <v>2690</v>
      </c>
      <c r="B2067" s="940">
        <v>17</v>
      </c>
      <c r="C2067" t="s">
        <v>6194</v>
      </c>
      <c r="D2067" s="940" t="s">
        <v>6195</v>
      </c>
      <c r="E2067" t="s">
        <v>1182</v>
      </c>
      <c r="F2067">
        <v>1</v>
      </c>
    </row>
    <row r="2068" spans="1:6" x14ac:dyDescent="0.25">
      <c r="A2068" s="940">
        <v>510</v>
      </c>
      <c r="B2068" s="940">
        <v>458</v>
      </c>
      <c r="C2068" t="s">
        <v>6196</v>
      </c>
      <c r="D2068" s="940" t="s">
        <v>6197</v>
      </c>
      <c r="E2068" t="s">
        <v>6198</v>
      </c>
      <c r="F2068">
        <v>1</v>
      </c>
    </row>
    <row r="2069" spans="1:6" x14ac:dyDescent="0.25">
      <c r="A2069" s="940">
        <v>3395</v>
      </c>
      <c r="B2069" s="940">
        <v>1</v>
      </c>
      <c r="C2069" t="s">
        <v>6199</v>
      </c>
      <c r="D2069" s="940" t="s">
        <v>6200</v>
      </c>
      <c r="E2069" t="s">
        <v>1200</v>
      </c>
      <c r="F2069">
        <v>1</v>
      </c>
    </row>
    <row r="2070" spans="1:6" x14ac:dyDescent="0.25">
      <c r="A2070" s="940">
        <v>118</v>
      </c>
      <c r="B2070" s="940">
        <v>1047</v>
      </c>
      <c r="C2070" t="s">
        <v>6201</v>
      </c>
      <c r="D2070" s="940" t="s">
        <v>6202</v>
      </c>
      <c r="E2070" t="s">
        <v>105</v>
      </c>
      <c r="F2070">
        <v>1</v>
      </c>
    </row>
    <row r="2071" spans="1:6" x14ac:dyDescent="0.25">
      <c r="A2071" s="940">
        <v>2558</v>
      </c>
      <c r="B2071" s="940">
        <v>22</v>
      </c>
      <c r="C2071" t="s">
        <v>6203</v>
      </c>
      <c r="D2071" s="940" t="s">
        <v>4901</v>
      </c>
      <c r="E2071" t="s">
        <v>120</v>
      </c>
      <c r="F2071">
        <v>1</v>
      </c>
    </row>
    <row r="2072" spans="1:6" x14ac:dyDescent="0.25">
      <c r="A2072" s="940">
        <v>3045</v>
      </c>
      <c r="B2072" s="940">
        <v>7</v>
      </c>
      <c r="C2072" t="s">
        <v>6204</v>
      </c>
      <c r="D2072" s="940" t="s">
        <v>6205</v>
      </c>
      <c r="E2072" t="s">
        <v>120</v>
      </c>
      <c r="F2072">
        <v>1</v>
      </c>
    </row>
    <row r="2073" spans="1:6" x14ac:dyDescent="0.25">
      <c r="A2073" s="940">
        <v>1765</v>
      </c>
      <c r="B2073" s="940">
        <v>77</v>
      </c>
      <c r="C2073" t="s">
        <v>6206</v>
      </c>
      <c r="D2073" s="940" t="s">
        <v>6207</v>
      </c>
      <c r="E2073" t="s">
        <v>1156</v>
      </c>
      <c r="F2073">
        <v>1</v>
      </c>
    </row>
    <row r="2074" spans="1:6" x14ac:dyDescent="0.25">
      <c r="A2074" s="940">
        <v>162</v>
      </c>
      <c r="B2074" s="940">
        <v>950</v>
      </c>
      <c r="C2074" t="s">
        <v>6208</v>
      </c>
      <c r="D2074" s="940" t="s">
        <v>6209</v>
      </c>
      <c r="E2074" t="s">
        <v>4466</v>
      </c>
      <c r="F2074">
        <v>1</v>
      </c>
    </row>
    <row r="2075" spans="1:6" x14ac:dyDescent="0.25">
      <c r="A2075" s="940">
        <v>3490</v>
      </c>
      <c r="B2075" s="940">
        <v>0</v>
      </c>
      <c r="C2075" t="s">
        <v>6210</v>
      </c>
      <c r="D2075" s="940" t="s">
        <v>5494</v>
      </c>
      <c r="E2075" t="s">
        <v>120</v>
      </c>
      <c r="F2075">
        <v>1</v>
      </c>
    </row>
    <row r="2076" spans="1:6" x14ac:dyDescent="0.25">
      <c r="A2076" s="940">
        <v>2996</v>
      </c>
      <c r="B2076" s="940">
        <v>8</v>
      </c>
      <c r="C2076" t="s">
        <v>6211</v>
      </c>
      <c r="D2076" s="940" t="s">
        <v>6212</v>
      </c>
      <c r="E2076" t="s">
        <v>99</v>
      </c>
      <c r="F2076">
        <v>1</v>
      </c>
    </row>
    <row r="2077" spans="1:6" x14ac:dyDescent="0.25">
      <c r="A2077" s="940">
        <v>1137</v>
      </c>
      <c r="B2077" s="940">
        <v>171</v>
      </c>
      <c r="C2077" t="s">
        <v>1885</v>
      </c>
      <c r="D2077" s="940" t="s">
        <v>2740</v>
      </c>
      <c r="E2077" t="s">
        <v>133</v>
      </c>
      <c r="F2077">
        <v>1</v>
      </c>
    </row>
    <row r="2078" spans="1:6" x14ac:dyDescent="0.25">
      <c r="A2078" s="940">
        <v>2558</v>
      </c>
      <c r="B2078" s="940">
        <v>22</v>
      </c>
      <c r="C2078" t="s">
        <v>6213</v>
      </c>
      <c r="D2078" s="940" t="s">
        <v>5179</v>
      </c>
      <c r="E2078" t="s">
        <v>99</v>
      </c>
      <c r="F2078">
        <v>1</v>
      </c>
    </row>
    <row r="2079" spans="1:6" x14ac:dyDescent="0.25">
      <c r="A2079" s="940">
        <v>3490</v>
      </c>
      <c r="B2079" s="940">
        <v>0</v>
      </c>
      <c r="C2079" t="s">
        <v>6214</v>
      </c>
      <c r="D2079" s="940" t="s">
        <v>6215</v>
      </c>
      <c r="E2079" t="s">
        <v>1236</v>
      </c>
      <c r="F2079">
        <v>1</v>
      </c>
    </row>
    <row r="2080" spans="1:6" x14ac:dyDescent="0.25">
      <c r="A2080" s="940">
        <v>1525</v>
      </c>
      <c r="B2080" s="940">
        <v>103</v>
      </c>
      <c r="C2080" t="s">
        <v>6216</v>
      </c>
      <c r="D2080" s="940" t="s">
        <v>2753</v>
      </c>
      <c r="E2080" t="s">
        <v>469</v>
      </c>
      <c r="F2080">
        <v>1</v>
      </c>
    </row>
    <row r="2081" spans="1:6" x14ac:dyDescent="0.25">
      <c r="A2081" s="940">
        <v>3490</v>
      </c>
      <c r="B2081" s="940">
        <v>0</v>
      </c>
      <c r="C2081" t="s">
        <v>6217</v>
      </c>
      <c r="D2081" s="940" t="s">
        <v>5308</v>
      </c>
      <c r="E2081" t="s">
        <v>120</v>
      </c>
      <c r="F2081">
        <v>1</v>
      </c>
    </row>
    <row r="2082" spans="1:6" x14ac:dyDescent="0.25">
      <c r="A2082" s="940">
        <v>868</v>
      </c>
      <c r="B2082" s="940">
        <v>266</v>
      </c>
      <c r="C2082" t="s">
        <v>6218</v>
      </c>
      <c r="D2082" s="940" t="s">
        <v>6219</v>
      </c>
      <c r="E2082" t="s">
        <v>863</v>
      </c>
      <c r="F2082">
        <v>1</v>
      </c>
    </row>
    <row r="2083" spans="1:6" x14ac:dyDescent="0.25">
      <c r="A2083" s="940">
        <v>3490</v>
      </c>
      <c r="B2083" s="940">
        <v>0</v>
      </c>
      <c r="C2083" t="s">
        <v>6220</v>
      </c>
      <c r="D2083" s="940" t="s">
        <v>2731</v>
      </c>
      <c r="E2083" t="s">
        <v>5846</v>
      </c>
      <c r="F2083">
        <v>1</v>
      </c>
    </row>
    <row r="2084" spans="1:6" x14ac:dyDescent="0.25">
      <c r="A2084" s="940">
        <v>2714</v>
      </c>
      <c r="B2084" s="940">
        <v>16</v>
      </c>
      <c r="C2084" t="s">
        <v>6221</v>
      </c>
      <c r="D2084" s="940" t="s">
        <v>6222</v>
      </c>
      <c r="E2084" t="s">
        <v>1423</v>
      </c>
      <c r="F2084">
        <v>1</v>
      </c>
    </row>
    <row r="2085" spans="1:6" x14ac:dyDescent="0.25">
      <c r="A2085" s="940">
        <v>2659</v>
      </c>
      <c r="B2085" s="940">
        <v>18</v>
      </c>
      <c r="C2085" t="s">
        <v>6223</v>
      </c>
      <c r="D2085" s="940" t="s">
        <v>3358</v>
      </c>
      <c r="E2085" t="s">
        <v>6224</v>
      </c>
      <c r="F2085">
        <v>1</v>
      </c>
    </row>
    <row r="2086" spans="1:6" x14ac:dyDescent="0.25">
      <c r="A2086" s="940">
        <v>1121</v>
      </c>
      <c r="B2086" s="940">
        <v>175</v>
      </c>
      <c r="C2086" t="s">
        <v>6225</v>
      </c>
      <c r="D2086" s="940" t="s">
        <v>6226</v>
      </c>
      <c r="E2086" t="s">
        <v>4679</v>
      </c>
      <c r="F2086">
        <v>1</v>
      </c>
    </row>
    <row r="2087" spans="1:6" x14ac:dyDescent="0.25">
      <c r="A2087" s="940">
        <v>1562</v>
      </c>
      <c r="B2087" s="940">
        <v>99</v>
      </c>
      <c r="C2087" t="s">
        <v>6227</v>
      </c>
      <c r="D2087" s="940" t="s">
        <v>3623</v>
      </c>
      <c r="E2087" t="s">
        <v>6228</v>
      </c>
      <c r="F2087">
        <v>1</v>
      </c>
    </row>
    <row r="2088" spans="1:6" x14ac:dyDescent="0.25">
      <c r="A2088" s="940">
        <v>1885</v>
      </c>
      <c r="B2088" s="940">
        <v>65</v>
      </c>
      <c r="C2088" t="s">
        <v>6229</v>
      </c>
      <c r="D2088" s="940" t="s">
        <v>5841</v>
      </c>
      <c r="E2088" t="s">
        <v>128</v>
      </c>
      <c r="F2088">
        <v>1</v>
      </c>
    </row>
    <row r="2089" spans="1:6" x14ac:dyDescent="0.25">
      <c r="A2089" s="940">
        <v>566</v>
      </c>
      <c r="B2089" s="940">
        <v>424</v>
      </c>
      <c r="C2089" t="s">
        <v>6230</v>
      </c>
      <c r="D2089" s="940" t="s">
        <v>6231</v>
      </c>
      <c r="E2089" t="s">
        <v>128</v>
      </c>
      <c r="F2089">
        <v>1</v>
      </c>
    </row>
    <row r="2090" spans="1:6" x14ac:dyDescent="0.25">
      <c r="A2090" s="940">
        <v>2907</v>
      </c>
      <c r="B2090" s="940">
        <v>10</v>
      </c>
      <c r="C2090" t="s">
        <v>6232</v>
      </c>
      <c r="D2090" s="940" t="s">
        <v>2731</v>
      </c>
      <c r="E2090" t="s">
        <v>130</v>
      </c>
      <c r="F2090">
        <v>1</v>
      </c>
    </row>
    <row r="2091" spans="1:6" x14ac:dyDescent="0.25">
      <c r="A2091" s="940">
        <v>250</v>
      </c>
      <c r="B2091" s="940">
        <v>813</v>
      </c>
      <c r="C2091" t="s">
        <v>6233</v>
      </c>
      <c r="D2091" s="940" t="s">
        <v>6234</v>
      </c>
      <c r="E2091" t="s">
        <v>3913</v>
      </c>
      <c r="F2091">
        <v>1</v>
      </c>
    </row>
    <row r="2092" spans="1:6" x14ac:dyDescent="0.25">
      <c r="A2092" s="940">
        <v>2558</v>
      </c>
      <c r="B2092" s="940">
        <v>22</v>
      </c>
      <c r="C2092" t="s">
        <v>6235</v>
      </c>
      <c r="D2092" s="940" t="s">
        <v>6236</v>
      </c>
      <c r="E2092" t="s">
        <v>130</v>
      </c>
      <c r="F2092">
        <v>1</v>
      </c>
    </row>
    <row r="2093" spans="1:6" x14ac:dyDescent="0.25">
      <c r="A2093" s="940">
        <v>423</v>
      </c>
      <c r="B2093" s="940">
        <v>551</v>
      </c>
      <c r="C2093" t="s">
        <v>6237</v>
      </c>
      <c r="D2093" s="940" t="s">
        <v>6238</v>
      </c>
      <c r="E2093" t="s">
        <v>112</v>
      </c>
      <c r="F2093">
        <v>1</v>
      </c>
    </row>
    <row r="2094" spans="1:6" x14ac:dyDescent="0.25">
      <c r="A2094" s="940">
        <v>3196</v>
      </c>
      <c r="B2094" s="940">
        <v>4</v>
      </c>
      <c r="C2094" t="s">
        <v>6239</v>
      </c>
      <c r="D2094" s="940" t="s">
        <v>3403</v>
      </c>
      <c r="E2094" t="s">
        <v>5156</v>
      </c>
      <c r="F2094">
        <v>1</v>
      </c>
    </row>
    <row r="2095" spans="1:6" x14ac:dyDescent="0.25">
      <c r="A2095" s="940">
        <v>593</v>
      </c>
      <c r="B2095" s="940">
        <v>408</v>
      </c>
      <c r="C2095" t="s">
        <v>6240</v>
      </c>
      <c r="D2095" s="940" t="s">
        <v>6241</v>
      </c>
      <c r="E2095" t="s">
        <v>1493</v>
      </c>
      <c r="F2095">
        <v>1</v>
      </c>
    </row>
    <row r="2096" spans="1:6" x14ac:dyDescent="0.25">
      <c r="A2096" s="940">
        <v>2461</v>
      </c>
      <c r="B2096" s="940">
        <v>27</v>
      </c>
      <c r="C2096" t="s">
        <v>6242</v>
      </c>
      <c r="D2096" s="940" t="s">
        <v>4688</v>
      </c>
      <c r="E2096" t="s">
        <v>138</v>
      </c>
      <c r="F2096">
        <v>1</v>
      </c>
    </row>
    <row r="2097" spans="1:6" x14ac:dyDescent="0.25">
      <c r="A2097" s="940">
        <v>2079</v>
      </c>
      <c r="B2097" s="940">
        <v>50</v>
      </c>
      <c r="C2097" t="s">
        <v>6243</v>
      </c>
      <c r="D2097" s="940" t="s">
        <v>6244</v>
      </c>
      <c r="E2097" t="s">
        <v>6245</v>
      </c>
      <c r="F2097">
        <v>1</v>
      </c>
    </row>
    <row r="2098" spans="1:6" x14ac:dyDescent="0.25">
      <c r="A2098" s="940">
        <v>2907</v>
      </c>
      <c r="B2098" s="940">
        <v>10</v>
      </c>
      <c r="C2098" t="s">
        <v>6246</v>
      </c>
      <c r="D2098" s="940" t="s">
        <v>3667</v>
      </c>
      <c r="E2098" t="s">
        <v>120</v>
      </c>
      <c r="F2098">
        <v>1</v>
      </c>
    </row>
    <row r="2099" spans="1:6" x14ac:dyDescent="0.25">
      <c r="A2099" s="940">
        <v>3490</v>
      </c>
      <c r="B2099" s="940">
        <v>0</v>
      </c>
      <c r="C2099" t="s">
        <v>6247</v>
      </c>
      <c r="D2099" s="940" t="s">
        <v>4799</v>
      </c>
      <c r="E2099" t="s">
        <v>164</v>
      </c>
      <c r="F2099">
        <v>1</v>
      </c>
    </row>
    <row r="2100" spans="1:6" x14ac:dyDescent="0.25">
      <c r="A2100" s="940">
        <v>2626</v>
      </c>
      <c r="B2100" s="940">
        <v>19</v>
      </c>
      <c r="C2100" t="s">
        <v>6248</v>
      </c>
      <c r="D2100" s="940" t="s">
        <v>6249</v>
      </c>
      <c r="E2100" t="s">
        <v>105</v>
      </c>
      <c r="F2100">
        <v>1</v>
      </c>
    </row>
    <row r="2101" spans="1:6" x14ac:dyDescent="0.25">
      <c r="A2101" s="940">
        <v>3045</v>
      </c>
      <c r="B2101" s="940">
        <v>7</v>
      </c>
      <c r="C2101" t="s">
        <v>6250</v>
      </c>
      <c r="D2101" s="940" t="s">
        <v>6205</v>
      </c>
      <c r="E2101" t="s">
        <v>117</v>
      </c>
      <c r="F2101">
        <v>1</v>
      </c>
    </row>
    <row r="2102" spans="1:6" x14ac:dyDescent="0.25">
      <c r="A2102" s="940">
        <v>2335</v>
      </c>
      <c r="B2102" s="940">
        <v>34</v>
      </c>
      <c r="C2102" t="s">
        <v>6251</v>
      </c>
      <c r="D2102" s="940" t="s">
        <v>6252</v>
      </c>
      <c r="E2102" t="s">
        <v>114</v>
      </c>
      <c r="F2102">
        <v>1</v>
      </c>
    </row>
    <row r="2103" spans="1:6" x14ac:dyDescent="0.25">
      <c r="A2103" s="940">
        <v>982</v>
      </c>
      <c r="B2103" s="940">
        <v>225</v>
      </c>
      <c r="C2103" t="s">
        <v>6253</v>
      </c>
      <c r="D2103" s="940" t="s">
        <v>6254</v>
      </c>
      <c r="E2103" t="s">
        <v>6255</v>
      </c>
      <c r="F2103">
        <v>1</v>
      </c>
    </row>
    <row r="2104" spans="1:6" x14ac:dyDescent="0.25">
      <c r="A2104" s="940">
        <v>3490</v>
      </c>
      <c r="B2104" s="940">
        <v>0</v>
      </c>
      <c r="C2104" t="s">
        <v>6256</v>
      </c>
      <c r="D2104" s="940" t="s">
        <v>6257</v>
      </c>
      <c r="E2104" t="s">
        <v>2660</v>
      </c>
      <c r="F2104">
        <v>1</v>
      </c>
    </row>
    <row r="2105" spans="1:6" x14ac:dyDescent="0.25">
      <c r="A2105" s="940">
        <v>2814</v>
      </c>
      <c r="B2105" s="940">
        <v>13</v>
      </c>
      <c r="C2105" t="s">
        <v>6258</v>
      </c>
      <c r="D2105" s="940" t="s">
        <v>4151</v>
      </c>
      <c r="E2105" t="s">
        <v>105</v>
      </c>
      <c r="F2105">
        <v>1</v>
      </c>
    </row>
    <row r="2106" spans="1:6" x14ac:dyDescent="0.25">
      <c r="A2106" s="940">
        <v>2959</v>
      </c>
      <c r="B2106" s="940">
        <v>9</v>
      </c>
      <c r="C2106" t="s">
        <v>6259</v>
      </c>
      <c r="D2106" s="940" t="s">
        <v>6260</v>
      </c>
      <c r="E2106" t="s">
        <v>4005</v>
      </c>
      <c r="F2106">
        <v>1</v>
      </c>
    </row>
    <row r="2107" spans="1:6" x14ac:dyDescent="0.25">
      <c r="A2107" s="940">
        <v>3490</v>
      </c>
      <c r="B2107" s="940">
        <v>0</v>
      </c>
      <c r="C2107" t="s">
        <v>6261</v>
      </c>
      <c r="D2107" s="940" t="s">
        <v>2962</v>
      </c>
      <c r="E2107" t="s">
        <v>120</v>
      </c>
      <c r="F2107">
        <v>1</v>
      </c>
    </row>
    <row r="2108" spans="1:6" x14ac:dyDescent="0.25">
      <c r="A2108" s="940">
        <v>2060</v>
      </c>
      <c r="B2108" s="940">
        <v>51</v>
      </c>
      <c r="C2108" t="s">
        <v>6262</v>
      </c>
      <c r="D2108" s="940" t="s">
        <v>2908</v>
      </c>
      <c r="E2108" t="s">
        <v>290</v>
      </c>
      <c r="F2108">
        <v>1</v>
      </c>
    </row>
    <row r="2109" spans="1:6" x14ac:dyDescent="0.25">
      <c r="A2109" s="940">
        <v>3490</v>
      </c>
      <c r="B2109" s="940">
        <v>0</v>
      </c>
      <c r="C2109" t="s">
        <v>6263</v>
      </c>
      <c r="D2109" s="940" t="s">
        <v>6264</v>
      </c>
      <c r="E2109" t="s">
        <v>1221</v>
      </c>
      <c r="F2109">
        <v>1</v>
      </c>
    </row>
    <row r="2110" spans="1:6" x14ac:dyDescent="0.25">
      <c r="A2110" s="940">
        <v>3490</v>
      </c>
      <c r="B2110" s="940">
        <v>0</v>
      </c>
      <c r="C2110" t="s">
        <v>6265</v>
      </c>
      <c r="D2110" s="940" t="s">
        <v>6266</v>
      </c>
      <c r="E2110" t="s">
        <v>73</v>
      </c>
      <c r="F2110">
        <v>1</v>
      </c>
    </row>
    <row r="2111" spans="1:6" x14ac:dyDescent="0.25">
      <c r="A2111" s="940">
        <v>87</v>
      </c>
      <c r="B2111" s="940">
        <v>1153</v>
      </c>
      <c r="C2111" t="s">
        <v>6267</v>
      </c>
      <c r="D2111" s="940" t="s">
        <v>6268</v>
      </c>
      <c r="E2111" t="s">
        <v>74</v>
      </c>
      <c r="F2111">
        <v>1</v>
      </c>
    </row>
    <row r="2112" spans="1:6" x14ac:dyDescent="0.25">
      <c r="A2112" s="940">
        <v>3490</v>
      </c>
      <c r="B2112" s="940">
        <v>0</v>
      </c>
      <c r="C2112" t="s">
        <v>6267</v>
      </c>
      <c r="D2112" s="940" t="s">
        <v>4537</v>
      </c>
      <c r="E2112" t="s">
        <v>127</v>
      </c>
      <c r="F2112">
        <v>1</v>
      </c>
    </row>
    <row r="2113" spans="1:6" x14ac:dyDescent="0.25">
      <c r="A2113" s="940">
        <v>1691</v>
      </c>
      <c r="B2113" s="940">
        <v>84</v>
      </c>
      <c r="C2113" t="s">
        <v>6269</v>
      </c>
      <c r="D2113" s="940" t="s">
        <v>6270</v>
      </c>
      <c r="E2113" t="s">
        <v>469</v>
      </c>
      <c r="F2113">
        <v>1</v>
      </c>
    </row>
    <row r="2114" spans="1:6" x14ac:dyDescent="0.25">
      <c r="A2114" s="940">
        <v>338</v>
      </c>
      <c r="B2114" s="940">
        <v>651</v>
      </c>
      <c r="C2114" t="s">
        <v>1895</v>
      </c>
      <c r="D2114" s="940" t="s">
        <v>6271</v>
      </c>
      <c r="E2114" t="s">
        <v>105</v>
      </c>
      <c r="F2114">
        <v>1</v>
      </c>
    </row>
    <row r="2115" spans="1:6" x14ac:dyDescent="0.25">
      <c r="A2115" s="940">
        <v>1574</v>
      </c>
      <c r="B2115" s="940">
        <v>98</v>
      </c>
      <c r="C2115" t="s">
        <v>6272</v>
      </c>
      <c r="D2115" s="940" t="s">
        <v>3637</v>
      </c>
      <c r="E2115" t="s">
        <v>1171</v>
      </c>
      <c r="F2115">
        <v>1</v>
      </c>
    </row>
    <row r="2116" spans="1:6" x14ac:dyDescent="0.25">
      <c r="A2116" s="940">
        <v>3490</v>
      </c>
      <c r="B2116" s="940">
        <v>0</v>
      </c>
      <c r="C2116" t="s">
        <v>6273</v>
      </c>
      <c r="D2116" s="940" t="s">
        <v>6274</v>
      </c>
      <c r="E2116" t="s">
        <v>105</v>
      </c>
      <c r="F2116">
        <v>1</v>
      </c>
    </row>
    <row r="2117" spans="1:6" x14ac:dyDescent="0.25">
      <c r="A2117" s="940">
        <v>3490</v>
      </c>
      <c r="B2117" s="940">
        <v>0</v>
      </c>
      <c r="C2117" t="s">
        <v>6275</v>
      </c>
      <c r="D2117" s="940" t="s">
        <v>6276</v>
      </c>
      <c r="E2117" t="s">
        <v>76</v>
      </c>
      <c r="F2117">
        <v>1</v>
      </c>
    </row>
    <row r="2118" spans="1:6" x14ac:dyDescent="0.25">
      <c r="A2118" s="940">
        <v>1040</v>
      </c>
      <c r="B2118" s="940">
        <v>203</v>
      </c>
      <c r="C2118" t="s">
        <v>1899</v>
      </c>
      <c r="D2118" s="940" t="s">
        <v>4691</v>
      </c>
      <c r="E2118" t="s">
        <v>127</v>
      </c>
      <c r="F2118">
        <v>1</v>
      </c>
    </row>
    <row r="2119" spans="1:6" x14ac:dyDescent="0.25">
      <c r="A2119" s="940">
        <v>2320</v>
      </c>
      <c r="B2119" s="940">
        <v>35</v>
      </c>
      <c r="C2119" t="s">
        <v>1899</v>
      </c>
      <c r="D2119" s="940" t="s">
        <v>3558</v>
      </c>
      <c r="E2119" t="s">
        <v>105</v>
      </c>
      <c r="F2119">
        <v>1</v>
      </c>
    </row>
    <row r="2120" spans="1:6" x14ac:dyDescent="0.25">
      <c r="A2120" s="940">
        <v>2907</v>
      </c>
      <c r="B2120" s="940">
        <v>10</v>
      </c>
      <c r="C2120" t="s">
        <v>1899</v>
      </c>
      <c r="D2120" s="940" t="s">
        <v>3642</v>
      </c>
      <c r="E2120" t="s">
        <v>105</v>
      </c>
      <c r="F2120">
        <v>1</v>
      </c>
    </row>
    <row r="2121" spans="1:6" x14ac:dyDescent="0.25">
      <c r="A2121" s="940">
        <v>2907</v>
      </c>
      <c r="B2121" s="940">
        <v>10</v>
      </c>
      <c r="C2121" t="s">
        <v>6277</v>
      </c>
      <c r="D2121" s="940" t="s">
        <v>6278</v>
      </c>
      <c r="E2121" t="s">
        <v>120</v>
      </c>
      <c r="F2121">
        <v>1</v>
      </c>
    </row>
    <row r="2122" spans="1:6" x14ac:dyDescent="0.25">
      <c r="A2122" s="940">
        <v>551</v>
      </c>
      <c r="B2122" s="940">
        <v>436</v>
      </c>
      <c r="C2122" t="s">
        <v>6279</v>
      </c>
      <c r="D2122" s="940" t="s">
        <v>5198</v>
      </c>
      <c r="E2122" t="s">
        <v>171</v>
      </c>
      <c r="F2122">
        <v>1</v>
      </c>
    </row>
    <row r="2123" spans="1:6" x14ac:dyDescent="0.25">
      <c r="A2123" s="940">
        <v>2129</v>
      </c>
      <c r="B2123" s="940">
        <v>46</v>
      </c>
      <c r="C2123" t="s">
        <v>6280</v>
      </c>
      <c r="D2123" s="940" t="s">
        <v>2932</v>
      </c>
      <c r="E2123" t="s">
        <v>128</v>
      </c>
      <c r="F2123">
        <v>1</v>
      </c>
    </row>
    <row r="2124" spans="1:6" x14ac:dyDescent="0.25">
      <c r="A2124" s="940">
        <v>3490</v>
      </c>
      <c r="B2124" s="940">
        <v>0</v>
      </c>
      <c r="C2124" t="s">
        <v>6281</v>
      </c>
      <c r="D2124" s="940" t="s">
        <v>4839</v>
      </c>
      <c r="E2124" t="s">
        <v>74</v>
      </c>
      <c r="F2124">
        <v>1</v>
      </c>
    </row>
    <row r="2125" spans="1:6" x14ac:dyDescent="0.25">
      <c r="A2125" s="940">
        <v>200</v>
      </c>
      <c r="B2125" s="940">
        <v>892</v>
      </c>
      <c r="C2125" t="s">
        <v>6282</v>
      </c>
      <c r="D2125" s="940" t="s">
        <v>6283</v>
      </c>
      <c r="E2125" t="s">
        <v>1200</v>
      </c>
      <c r="F2125">
        <v>1</v>
      </c>
    </row>
    <row r="2126" spans="1:6" x14ac:dyDescent="0.25">
      <c r="A2126" s="940">
        <v>1424</v>
      </c>
      <c r="B2126" s="940">
        <v>116</v>
      </c>
      <c r="C2126" t="s">
        <v>6282</v>
      </c>
      <c r="D2126" s="940" t="s">
        <v>6284</v>
      </c>
      <c r="E2126" t="s">
        <v>105</v>
      </c>
      <c r="F2126">
        <v>1</v>
      </c>
    </row>
    <row r="2127" spans="1:6" x14ac:dyDescent="0.25">
      <c r="A2127" s="940">
        <v>3490</v>
      </c>
      <c r="B2127" s="940">
        <v>0</v>
      </c>
      <c r="C2127" t="s">
        <v>6285</v>
      </c>
      <c r="D2127" s="940" t="s">
        <v>6286</v>
      </c>
      <c r="E2127" t="s">
        <v>1284</v>
      </c>
      <c r="F2127">
        <v>1</v>
      </c>
    </row>
    <row r="2128" spans="1:6" x14ac:dyDescent="0.25">
      <c r="A2128" s="940">
        <v>1049</v>
      </c>
      <c r="B2128" s="940">
        <v>200</v>
      </c>
      <c r="C2128" t="s">
        <v>6287</v>
      </c>
      <c r="D2128" s="940" t="s">
        <v>6288</v>
      </c>
      <c r="E2128" t="s">
        <v>120</v>
      </c>
      <c r="F2128">
        <v>1</v>
      </c>
    </row>
    <row r="2129" spans="1:6" x14ac:dyDescent="0.25">
      <c r="A2129" s="940">
        <v>3490</v>
      </c>
      <c r="B2129" s="940">
        <v>0</v>
      </c>
      <c r="C2129" t="s">
        <v>6289</v>
      </c>
      <c r="D2129" s="940" t="s">
        <v>6290</v>
      </c>
      <c r="E2129" t="s">
        <v>130</v>
      </c>
      <c r="F2129">
        <v>1</v>
      </c>
    </row>
    <row r="2130" spans="1:6" x14ac:dyDescent="0.25">
      <c r="A2130" s="940">
        <v>2659</v>
      </c>
      <c r="B2130" s="940">
        <v>18</v>
      </c>
      <c r="C2130" t="s">
        <v>6291</v>
      </c>
      <c r="D2130" s="940" t="s">
        <v>6290</v>
      </c>
      <c r="E2130" t="s">
        <v>130</v>
      </c>
      <c r="F2130">
        <v>1</v>
      </c>
    </row>
    <row r="2131" spans="1:6" x14ac:dyDescent="0.25">
      <c r="A2131" s="940">
        <v>2782</v>
      </c>
      <c r="B2131" s="940">
        <v>14</v>
      </c>
      <c r="C2131" t="s">
        <v>6292</v>
      </c>
      <c r="D2131" s="940" t="s">
        <v>6293</v>
      </c>
      <c r="E2131" t="s">
        <v>1427</v>
      </c>
      <c r="F2131">
        <v>1</v>
      </c>
    </row>
    <row r="2132" spans="1:6" x14ac:dyDescent="0.25">
      <c r="A2132" s="940">
        <v>1885</v>
      </c>
      <c r="B2132" s="940">
        <v>65</v>
      </c>
      <c r="C2132" t="s">
        <v>6294</v>
      </c>
      <c r="D2132" s="940" t="s">
        <v>2927</v>
      </c>
      <c r="E2132" t="s">
        <v>2732</v>
      </c>
      <c r="F2132">
        <v>1</v>
      </c>
    </row>
    <row r="2133" spans="1:6" x14ac:dyDescent="0.25">
      <c r="A2133" s="940">
        <v>1412</v>
      </c>
      <c r="B2133" s="940">
        <v>118</v>
      </c>
      <c r="C2133" t="s">
        <v>6295</v>
      </c>
      <c r="D2133" s="940" t="s">
        <v>5071</v>
      </c>
      <c r="E2133" t="s">
        <v>105</v>
      </c>
      <c r="F2133">
        <v>1</v>
      </c>
    </row>
    <row r="2134" spans="1:6" x14ac:dyDescent="0.25">
      <c r="A2134" s="940">
        <v>3490</v>
      </c>
      <c r="B2134" s="940">
        <v>0</v>
      </c>
      <c r="C2134" t="s">
        <v>6296</v>
      </c>
      <c r="D2134" s="940" t="s">
        <v>3614</v>
      </c>
      <c r="E2134" t="s">
        <v>103</v>
      </c>
      <c r="F2134">
        <v>1</v>
      </c>
    </row>
    <row r="2135" spans="1:6" x14ac:dyDescent="0.25">
      <c r="A2135" s="940">
        <v>1167</v>
      </c>
      <c r="B2135" s="940">
        <v>164</v>
      </c>
      <c r="C2135" t="s">
        <v>6297</v>
      </c>
      <c r="D2135" s="940" t="s">
        <v>6298</v>
      </c>
      <c r="E2135" t="s">
        <v>6299</v>
      </c>
      <c r="F2135">
        <v>1</v>
      </c>
    </row>
    <row r="2136" spans="1:6" x14ac:dyDescent="0.25">
      <c r="A2136" s="940">
        <v>2609</v>
      </c>
      <c r="B2136" s="940">
        <v>20</v>
      </c>
      <c r="C2136" t="s">
        <v>6300</v>
      </c>
      <c r="D2136" s="940" t="s">
        <v>6301</v>
      </c>
      <c r="E2136" t="s">
        <v>130</v>
      </c>
      <c r="F2136">
        <v>1</v>
      </c>
    </row>
    <row r="2137" spans="1:6" x14ac:dyDescent="0.25">
      <c r="A2137" s="940">
        <v>1711</v>
      </c>
      <c r="B2137" s="940">
        <v>82</v>
      </c>
      <c r="C2137" t="s">
        <v>1903</v>
      </c>
      <c r="D2137" s="940" t="s">
        <v>6302</v>
      </c>
      <c r="E2137" t="s">
        <v>120</v>
      </c>
      <c r="F2137">
        <v>1</v>
      </c>
    </row>
    <row r="2138" spans="1:6" x14ac:dyDescent="0.25">
      <c r="A2138" s="940">
        <v>258</v>
      </c>
      <c r="B2138" s="940">
        <v>803</v>
      </c>
      <c r="C2138" t="s">
        <v>1905</v>
      </c>
      <c r="D2138" s="940" t="s">
        <v>6303</v>
      </c>
      <c r="E2138" t="s">
        <v>105</v>
      </c>
      <c r="F2138">
        <v>1</v>
      </c>
    </row>
    <row r="2139" spans="1:6" x14ac:dyDescent="0.25">
      <c r="A2139" s="940">
        <v>1924</v>
      </c>
      <c r="B2139" s="940">
        <v>62</v>
      </c>
      <c r="C2139" t="s">
        <v>6304</v>
      </c>
      <c r="D2139" s="940" t="s">
        <v>6305</v>
      </c>
      <c r="E2139" t="s">
        <v>1285</v>
      </c>
      <c r="F2139">
        <v>1</v>
      </c>
    </row>
    <row r="2140" spans="1:6" x14ac:dyDescent="0.25">
      <c r="A2140" s="940">
        <v>675</v>
      </c>
      <c r="B2140" s="940">
        <v>363</v>
      </c>
      <c r="C2140" t="s">
        <v>6306</v>
      </c>
      <c r="D2140" s="940" t="s">
        <v>6307</v>
      </c>
      <c r="E2140" t="s">
        <v>1493</v>
      </c>
      <c r="F2140">
        <v>1</v>
      </c>
    </row>
    <row r="2141" spans="1:6" x14ac:dyDescent="0.25">
      <c r="A2141" s="940">
        <v>456</v>
      </c>
      <c r="B2141" s="940">
        <v>515</v>
      </c>
      <c r="C2141" t="s">
        <v>1907</v>
      </c>
      <c r="D2141" s="940" t="s">
        <v>6308</v>
      </c>
      <c r="E2141" t="s">
        <v>1447</v>
      </c>
      <c r="F2141">
        <v>1</v>
      </c>
    </row>
    <row r="2142" spans="1:6" x14ac:dyDescent="0.25">
      <c r="A2142" s="940">
        <v>2839</v>
      </c>
      <c r="B2142" s="940">
        <v>12</v>
      </c>
      <c r="C2142" t="s">
        <v>6309</v>
      </c>
      <c r="D2142" s="940" t="s">
        <v>6128</v>
      </c>
      <c r="E2142" t="s">
        <v>1475</v>
      </c>
      <c r="F2142">
        <v>1</v>
      </c>
    </row>
    <row r="2143" spans="1:6" x14ac:dyDescent="0.25">
      <c r="A2143" s="940">
        <v>2626</v>
      </c>
      <c r="B2143" s="940">
        <v>19</v>
      </c>
      <c r="C2143" t="s">
        <v>6310</v>
      </c>
      <c r="D2143" s="940" t="s">
        <v>3572</v>
      </c>
      <c r="E2143" t="s">
        <v>110</v>
      </c>
      <c r="F2143">
        <v>1</v>
      </c>
    </row>
    <row r="2144" spans="1:6" x14ac:dyDescent="0.25">
      <c r="A2144" s="940">
        <v>1062</v>
      </c>
      <c r="B2144" s="940">
        <v>195</v>
      </c>
      <c r="C2144" t="s">
        <v>1909</v>
      </c>
      <c r="D2144" s="940" t="s">
        <v>6311</v>
      </c>
      <c r="E2144" t="s">
        <v>105</v>
      </c>
      <c r="F2144">
        <v>1</v>
      </c>
    </row>
    <row r="2145" spans="1:6" x14ac:dyDescent="0.25">
      <c r="A2145" s="940">
        <v>672</v>
      </c>
      <c r="B2145" s="940">
        <v>364</v>
      </c>
      <c r="C2145" t="s">
        <v>1910</v>
      </c>
      <c r="D2145" s="940" t="s">
        <v>5709</v>
      </c>
      <c r="E2145" t="s">
        <v>104</v>
      </c>
      <c r="F2145">
        <v>1</v>
      </c>
    </row>
    <row r="2146" spans="1:6" x14ac:dyDescent="0.25">
      <c r="A2146" s="940">
        <v>3490</v>
      </c>
      <c r="B2146" s="940">
        <v>0</v>
      </c>
      <c r="C2146" t="s">
        <v>6312</v>
      </c>
      <c r="D2146" s="940" t="s">
        <v>3127</v>
      </c>
      <c r="E2146" t="s">
        <v>120</v>
      </c>
      <c r="F2146">
        <v>1</v>
      </c>
    </row>
    <row r="2147" spans="1:6" x14ac:dyDescent="0.25">
      <c r="A2147" s="940">
        <v>2152</v>
      </c>
      <c r="B2147" s="940">
        <v>45</v>
      </c>
      <c r="C2147" t="s">
        <v>6313</v>
      </c>
      <c r="D2147" s="940" t="s">
        <v>6314</v>
      </c>
      <c r="E2147" t="s">
        <v>1524</v>
      </c>
      <c r="F2147">
        <v>1</v>
      </c>
    </row>
    <row r="2148" spans="1:6" x14ac:dyDescent="0.25">
      <c r="A2148" s="940">
        <v>3490</v>
      </c>
      <c r="B2148" s="940">
        <v>0</v>
      </c>
      <c r="C2148" t="s">
        <v>6315</v>
      </c>
      <c r="D2148" s="940" t="s">
        <v>4990</v>
      </c>
      <c r="E2148" t="s">
        <v>120</v>
      </c>
      <c r="F2148">
        <v>1</v>
      </c>
    </row>
    <row r="2149" spans="1:6" x14ac:dyDescent="0.25">
      <c r="A2149" s="940">
        <v>2907</v>
      </c>
      <c r="B2149" s="940">
        <v>10</v>
      </c>
      <c r="C2149" t="s">
        <v>6316</v>
      </c>
      <c r="D2149" s="940" t="s">
        <v>4306</v>
      </c>
      <c r="E2149" t="s">
        <v>105</v>
      </c>
      <c r="F2149">
        <v>1</v>
      </c>
    </row>
    <row r="2150" spans="1:6" x14ac:dyDescent="0.25">
      <c r="A2150" s="940">
        <v>2320</v>
      </c>
      <c r="B2150" s="940">
        <v>35</v>
      </c>
      <c r="C2150" t="s">
        <v>6317</v>
      </c>
      <c r="D2150" s="940" t="s">
        <v>4919</v>
      </c>
      <c r="E2150" t="s">
        <v>164</v>
      </c>
      <c r="F2150">
        <v>1</v>
      </c>
    </row>
    <row r="2151" spans="1:6" x14ac:dyDescent="0.25">
      <c r="A2151" s="940">
        <v>1977</v>
      </c>
      <c r="B2151" s="940">
        <v>58</v>
      </c>
      <c r="C2151" t="s">
        <v>6318</v>
      </c>
      <c r="D2151" s="940" t="s">
        <v>4494</v>
      </c>
      <c r="E2151" t="s">
        <v>164</v>
      </c>
      <c r="F2151">
        <v>1</v>
      </c>
    </row>
    <row r="2152" spans="1:6" x14ac:dyDescent="0.25">
      <c r="A2152" s="940">
        <v>2659</v>
      </c>
      <c r="B2152" s="940">
        <v>18</v>
      </c>
      <c r="C2152" t="s">
        <v>6319</v>
      </c>
      <c r="D2152" s="940" t="s">
        <v>6320</v>
      </c>
      <c r="E2152" t="s">
        <v>104</v>
      </c>
      <c r="F2152">
        <v>1</v>
      </c>
    </row>
    <row r="2153" spans="1:6" x14ac:dyDescent="0.25">
      <c r="A2153" s="940">
        <v>1054</v>
      </c>
      <c r="B2153" s="940">
        <v>199</v>
      </c>
      <c r="C2153" t="s">
        <v>6321</v>
      </c>
      <c r="D2153" s="940" t="s">
        <v>6322</v>
      </c>
      <c r="E2153" t="s">
        <v>142</v>
      </c>
      <c r="F2153">
        <v>1</v>
      </c>
    </row>
    <row r="2154" spans="1:6" x14ac:dyDescent="0.25">
      <c r="A2154" s="940">
        <v>3490</v>
      </c>
      <c r="B2154" s="940">
        <v>0</v>
      </c>
      <c r="C2154" t="s">
        <v>6323</v>
      </c>
      <c r="D2154" s="940" t="s">
        <v>6324</v>
      </c>
      <c r="E2154" t="s">
        <v>142</v>
      </c>
      <c r="F2154">
        <v>1</v>
      </c>
    </row>
    <row r="2155" spans="1:6" x14ac:dyDescent="0.25">
      <c r="A2155" s="940">
        <v>1913</v>
      </c>
      <c r="B2155" s="940">
        <v>63</v>
      </c>
      <c r="C2155" t="s">
        <v>6325</v>
      </c>
      <c r="D2155" s="940" t="s">
        <v>6326</v>
      </c>
      <c r="E2155" t="s">
        <v>257</v>
      </c>
      <c r="F2155">
        <v>1</v>
      </c>
    </row>
    <row r="2156" spans="1:6" x14ac:dyDescent="0.25">
      <c r="A2156" s="940">
        <v>2106</v>
      </c>
      <c r="B2156" s="940">
        <v>48</v>
      </c>
      <c r="C2156" t="s">
        <v>6327</v>
      </c>
      <c r="D2156" s="940" t="s">
        <v>4206</v>
      </c>
      <c r="E2156" t="s">
        <v>1200</v>
      </c>
      <c r="F2156">
        <v>1</v>
      </c>
    </row>
    <row r="2157" spans="1:6" x14ac:dyDescent="0.25">
      <c r="A2157" s="940">
        <v>3490</v>
      </c>
      <c r="B2157" s="940">
        <v>0</v>
      </c>
      <c r="C2157" t="s">
        <v>6328</v>
      </c>
      <c r="D2157" s="940" t="s">
        <v>2666</v>
      </c>
      <c r="E2157" t="s">
        <v>122</v>
      </c>
      <c r="F2157">
        <v>1</v>
      </c>
    </row>
    <row r="2158" spans="1:6" x14ac:dyDescent="0.25">
      <c r="A2158" s="940">
        <v>991</v>
      </c>
      <c r="B2158" s="940">
        <v>220</v>
      </c>
      <c r="C2158" t="s">
        <v>6329</v>
      </c>
      <c r="D2158" s="940" t="s">
        <v>4087</v>
      </c>
      <c r="E2158" t="s">
        <v>166</v>
      </c>
      <c r="F2158">
        <v>1</v>
      </c>
    </row>
    <row r="2159" spans="1:6" x14ac:dyDescent="0.25">
      <c r="A2159" s="940">
        <v>933</v>
      </c>
      <c r="B2159" s="940">
        <v>245</v>
      </c>
      <c r="C2159" t="s">
        <v>6330</v>
      </c>
      <c r="D2159" s="940" t="s">
        <v>6331</v>
      </c>
      <c r="E2159" t="s">
        <v>113</v>
      </c>
      <c r="F2159">
        <v>1</v>
      </c>
    </row>
    <row r="2160" spans="1:6" x14ac:dyDescent="0.25">
      <c r="A2160" s="940">
        <v>1913</v>
      </c>
      <c r="B2160" s="940">
        <v>63</v>
      </c>
      <c r="C2160" t="s">
        <v>6332</v>
      </c>
      <c r="D2160" s="940" t="s">
        <v>2753</v>
      </c>
      <c r="E2160" t="s">
        <v>103</v>
      </c>
      <c r="F2160">
        <v>1</v>
      </c>
    </row>
    <row r="2161" spans="1:6" x14ac:dyDescent="0.25">
      <c r="A2161" s="940">
        <v>2241</v>
      </c>
      <c r="B2161" s="940">
        <v>40</v>
      </c>
      <c r="C2161" t="s">
        <v>6333</v>
      </c>
      <c r="D2161" s="940" t="s">
        <v>6334</v>
      </c>
      <c r="E2161" t="s">
        <v>1162</v>
      </c>
      <c r="F2161">
        <v>1</v>
      </c>
    </row>
    <row r="2162" spans="1:6" x14ac:dyDescent="0.25">
      <c r="A2162" s="940">
        <v>1379</v>
      </c>
      <c r="B2162" s="940">
        <v>123</v>
      </c>
      <c r="C2162" t="s">
        <v>6335</v>
      </c>
      <c r="D2162" s="940" t="s">
        <v>6257</v>
      </c>
      <c r="E2162" t="s">
        <v>2672</v>
      </c>
      <c r="F2162">
        <v>1</v>
      </c>
    </row>
    <row r="2163" spans="1:6" x14ac:dyDescent="0.25">
      <c r="A2163" s="940">
        <v>307</v>
      </c>
      <c r="B2163" s="940">
        <v>704</v>
      </c>
      <c r="C2163" t="s">
        <v>6336</v>
      </c>
      <c r="D2163" s="940" t="s">
        <v>6337</v>
      </c>
      <c r="E2163" t="s">
        <v>163</v>
      </c>
      <c r="F2163">
        <v>1</v>
      </c>
    </row>
    <row r="2164" spans="1:6" x14ac:dyDescent="0.25">
      <c r="A2164" s="940">
        <v>3490</v>
      </c>
      <c r="B2164" s="940">
        <v>0</v>
      </c>
      <c r="C2164" t="s">
        <v>6338</v>
      </c>
      <c r="D2164" s="940" t="s">
        <v>6339</v>
      </c>
      <c r="E2164" t="s">
        <v>105</v>
      </c>
      <c r="F2164">
        <v>1</v>
      </c>
    </row>
    <row r="2165" spans="1:6" x14ac:dyDescent="0.25">
      <c r="A2165" s="940">
        <v>3395</v>
      </c>
      <c r="B2165" s="940">
        <v>1</v>
      </c>
      <c r="C2165" t="s">
        <v>6340</v>
      </c>
      <c r="D2165" s="940" t="s">
        <v>3468</v>
      </c>
      <c r="E2165" t="s">
        <v>1170</v>
      </c>
      <c r="F2165">
        <v>1</v>
      </c>
    </row>
    <row r="2166" spans="1:6" x14ac:dyDescent="0.25">
      <c r="A2166" s="940">
        <v>1533</v>
      </c>
      <c r="B2166" s="940">
        <v>102</v>
      </c>
      <c r="C2166" t="s">
        <v>6341</v>
      </c>
      <c r="D2166" s="940" t="s">
        <v>4041</v>
      </c>
      <c r="E2166" t="s">
        <v>165</v>
      </c>
      <c r="F2166">
        <v>1</v>
      </c>
    </row>
    <row r="2167" spans="1:6" x14ac:dyDescent="0.25">
      <c r="A2167" s="940">
        <v>2405</v>
      </c>
      <c r="B2167" s="940">
        <v>30</v>
      </c>
      <c r="C2167" t="s">
        <v>6342</v>
      </c>
      <c r="D2167" s="940" t="s">
        <v>4423</v>
      </c>
      <c r="E2167" t="s">
        <v>120</v>
      </c>
      <c r="F2167">
        <v>1</v>
      </c>
    </row>
    <row r="2168" spans="1:6" x14ac:dyDescent="0.25">
      <c r="A2168" s="940">
        <v>1076</v>
      </c>
      <c r="B2168" s="940">
        <v>190</v>
      </c>
      <c r="C2168" t="s">
        <v>6343</v>
      </c>
      <c r="D2168" s="940" t="s">
        <v>3004</v>
      </c>
      <c r="E2168" t="s">
        <v>3140</v>
      </c>
      <c r="F2168">
        <v>1</v>
      </c>
    </row>
    <row r="2169" spans="1:6" x14ac:dyDescent="0.25">
      <c r="A2169" s="940">
        <v>2883</v>
      </c>
      <c r="B2169" s="940">
        <v>11</v>
      </c>
      <c r="C2169" t="s">
        <v>6344</v>
      </c>
      <c r="D2169" s="940" t="s">
        <v>6345</v>
      </c>
      <c r="E2169" t="s">
        <v>183</v>
      </c>
      <c r="F2169">
        <v>1</v>
      </c>
    </row>
    <row r="2170" spans="1:6" x14ac:dyDescent="0.25">
      <c r="A2170" s="940">
        <v>3490</v>
      </c>
      <c r="B2170" s="940">
        <v>0</v>
      </c>
      <c r="C2170" t="s">
        <v>6346</v>
      </c>
      <c r="D2170" s="940" t="s">
        <v>6347</v>
      </c>
      <c r="E2170" t="s">
        <v>2744</v>
      </c>
      <c r="F2170">
        <v>1</v>
      </c>
    </row>
    <row r="2171" spans="1:6" x14ac:dyDescent="0.25">
      <c r="A2171" s="940">
        <v>1164</v>
      </c>
      <c r="B2171" s="940">
        <v>165</v>
      </c>
      <c r="C2171" t="s">
        <v>6348</v>
      </c>
      <c r="D2171" s="940" t="s">
        <v>6349</v>
      </c>
      <c r="E2171" t="s">
        <v>3200</v>
      </c>
      <c r="F2171">
        <v>1</v>
      </c>
    </row>
    <row r="2172" spans="1:6" x14ac:dyDescent="0.25">
      <c r="A2172" s="940">
        <v>562</v>
      </c>
      <c r="B2172" s="940">
        <v>425</v>
      </c>
      <c r="C2172" t="s">
        <v>6350</v>
      </c>
      <c r="D2172" s="940" t="s">
        <v>6351</v>
      </c>
      <c r="E2172" t="s">
        <v>1363</v>
      </c>
      <c r="F2172">
        <v>1</v>
      </c>
    </row>
    <row r="2173" spans="1:6" x14ac:dyDescent="0.25">
      <c r="A2173" s="940">
        <v>3089</v>
      </c>
      <c r="B2173" s="940">
        <v>6</v>
      </c>
      <c r="C2173" t="s">
        <v>6352</v>
      </c>
      <c r="D2173" s="940" t="s">
        <v>6353</v>
      </c>
      <c r="E2173" t="s">
        <v>4548</v>
      </c>
      <c r="F2173">
        <v>1</v>
      </c>
    </row>
    <row r="2174" spans="1:6" x14ac:dyDescent="0.25">
      <c r="A2174" s="940">
        <v>2782</v>
      </c>
      <c r="B2174" s="940">
        <v>14</v>
      </c>
      <c r="C2174" t="s">
        <v>6354</v>
      </c>
      <c r="D2174" s="940" t="s">
        <v>6355</v>
      </c>
      <c r="E2174" t="s">
        <v>176</v>
      </c>
      <c r="F2174">
        <v>1</v>
      </c>
    </row>
    <row r="2175" spans="1:6" x14ac:dyDescent="0.25">
      <c r="A2175" s="940">
        <v>140</v>
      </c>
      <c r="B2175" s="940">
        <v>997</v>
      </c>
      <c r="C2175" t="s">
        <v>6356</v>
      </c>
      <c r="D2175" s="940" t="s">
        <v>6357</v>
      </c>
      <c r="E2175" t="s">
        <v>120</v>
      </c>
      <c r="F2175">
        <v>1</v>
      </c>
    </row>
    <row r="2176" spans="1:6" x14ac:dyDescent="0.25">
      <c r="A2176" s="940">
        <v>1167</v>
      </c>
      <c r="B2176" s="940">
        <v>164</v>
      </c>
      <c r="C2176" t="s">
        <v>6358</v>
      </c>
      <c r="D2176" s="940" t="s">
        <v>6359</v>
      </c>
      <c r="E2176" t="s">
        <v>139</v>
      </c>
      <c r="F2176">
        <v>1</v>
      </c>
    </row>
    <row r="2177" spans="1:6" x14ac:dyDescent="0.25">
      <c r="A2177" s="940">
        <v>1986</v>
      </c>
      <c r="B2177" s="940">
        <v>57</v>
      </c>
      <c r="C2177" t="s">
        <v>6360</v>
      </c>
      <c r="D2177" s="940" t="s">
        <v>4514</v>
      </c>
      <c r="E2177" t="s">
        <v>6361</v>
      </c>
      <c r="F2177">
        <v>1</v>
      </c>
    </row>
    <row r="2178" spans="1:6" x14ac:dyDescent="0.25">
      <c r="A2178" s="940">
        <v>2907</v>
      </c>
      <c r="B2178" s="940">
        <v>10</v>
      </c>
      <c r="C2178" t="s">
        <v>6362</v>
      </c>
      <c r="D2178" s="940" t="s">
        <v>6363</v>
      </c>
      <c r="E2178" t="s">
        <v>128</v>
      </c>
      <c r="F2178">
        <v>1</v>
      </c>
    </row>
    <row r="2179" spans="1:6" x14ac:dyDescent="0.25">
      <c r="A2179" s="940">
        <v>3196</v>
      </c>
      <c r="B2179" s="940">
        <v>4</v>
      </c>
      <c r="C2179" t="s">
        <v>6364</v>
      </c>
      <c r="D2179" s="940" t="s">
        <v>5548</v>
      </c>
      <c r="E2179" t="s">
        <v>2720</v>
      </c>
      <c r="F2179">
        <v>1</v>
      </c>
    </row>
    <row r="2180" spans="1:6" x14ac:dyDescent="0.25">
      <c r="A2180" s="940">
        <v>2690</v>
      </c>
      <c r="B2180" s="940">
        <v>17</v>
      </c>
      <c r="C2180" t="s">
        <v>6365</v>
      </c>
      <c r="D2180" s="940" t="s">
        <v>6366</v>
      </c>
      <c r="E2180" t="s">
        <v>111</v>
      </c>
      <c r="F2180">
        <v>1</v>
      </c>
    </row>
    <row r="2181" spans="1:6" x14ac:dyDescent="0.25">
      <c r="A2181" s="940">
        <v>2743</v>
      </c>
      <c r="B2181" s="940">
        <v>15</v>
      </c>
      <c r="C2181" t="s">
        <v>6367</v>
      </c>
      <c r="D2181" s="940" t="s">
        <v>6368</v>
      </c>
      <c r="E2181" t="s">
        <v>73</v>
      </c>
      <c r="F2181">
        <v>1</v>
      </c>
    </row>
    <row r="2182" spans="1:6" x14ac:dyDescent="0.25">
      <c r="A2182" s="940">
        <v>3490</v>
      </c>
      <c r="B2182" s="940">
        <v>0</v>
      </c>
      <c r="C2182" t="s">
        <v>6369</v>
      </c>
      <c r="D2182" s="940" t="s">
        <v>5272</v>
      </c>
      <c r="E2182" t="s">
        <v>5156</v>
      </c>
      <c r="F2182">
        <v>1</v>
      </c>
    </row>
    <row r="2183" spans="1:6" x14ac:dyDescent="0.25">
      <c r="A2183" s="940">
        <v>3490</v>
      </c>
      <c r="B2183" s="940">
        <v>0</v>
      </c>
      <c r="C2183" t="s">
        <v>6370</v>
      </c>
      <c r="D2183" s="940" t="s">
        <v>6371</v>
      </c>
      <c r="E2183" t="s">
        <v>120</v>
      </c>
      <c r="F2183">
        <v>1</v>
      </c>
    </row>
    <row r="2184" spans="1:6" x14ac:dyDescent="0.25">
      <c r="A2184" s="940">
        <v>506</v>
      </c>
      <c r="B2184" s="940">
        <v>461</v>
      </c>
      <c r="C2184" t="s">
        <v>6372</v>
      </c>
      <c r="D2184" s="940" t="s">
        <v>6373</v>
      </c>
      <c r="E2184" t="s">
        <v>84</v>
      </c>
      <c r="F2184">
        <v>1</v>
      </c>
    </row>
    <row r="2185" spans="1:6" x14ac:dyDescent="0.25">
      <c r="A2185" s="940">
        <v>3045</v>
      </c>
      <c r="B2185" s="940">
        <v>7</v>
      </c>
      <c r="C2185" t="s">
        <v>6374</v>
      </c>
      <c r="D2185" s="940" t="s">
        <v>6375</v>
      </c>
      <c r="E2185" t="s">
        <v>661</v>
      </c>
      <c r="F2185">
        <v>1</v>
      </c>
    </row>
    <row r="2186" spans="1:6" x14ac:dyDescent="0.25">
      <c r="A2186" s="940">
        <v>1254</v>
      </c>
      <c r="B2186" s="940">
        <v>144</v>
      </c>
      <c r="C2186" t="s">
        <v>6376</v>
      </c>
      <c r="D2186" s="940" t="s">
        <v>6377</v>
      </c>
      <c r="E2186" t="s">
        <v>105</v>
      </c>
      <c r="F2186">
        <v>1</v>
      </c>
    </row>
    <row r="2187" spans="1:6" x14ac:dyDescent="0.25">
      <c r="A2187" s="940">
        <v>2743</v>
      </c>
      <c r="B2187" s="940">
        <v>15</v>
      </c>
      <c r="C2187" t="s">
        <v>6378</v>
      </c>
      <c r="D2187" s="940" t="s">
        <v>6379</v>
      </c>
      <c r="E2187" t="s">
        <v>1170</v>
      </c>
      <c r="F2187">
        <v>1</v>
      </c>
    </row>
    <row r="2188" spans="1:6" x14ac:dyDescent="0.25">
      <c r="A2188" s="940">
        <v>936</v>
      </c>
      <c r="B2188" s="940">
        <v>244</v>
      </c>
      <c r="C2188" t="s">
        <v>6380</v>
      </c>
      <c r="D2188" s="940" t="s">
        <v>6381</v>
      </c>
      <c r="E2188" t="s">
        <v>2542</v>
      </c>
      <c r="F2188">
        <v>1</v>
      </c>
    </row>
    <row r="2189" spans="1:6" x14ac:dyDescent="0.25">
      <c r="A2189" s="940">
        <v>3490</v>
      </c>
      <c r="B2189" s="940">
        <v>0</v>
      </c>
      <c r="C2189" t="s">
        <v>6382</v>
      </c>
      <c r="D2189" s="940" t="s">
        <v>6383</v>
      </c>
      <c r="E2189" t="s">
        <v>186</v>
      </c>
      <c r="F2189">
        <v>1</v>
      </c>
    </row>
    <row r="2190" spans="1:6" x14ac:dyDescent="0.25">
      <c r="A2190" s="940">
        <v>3490</v>
      </c>
      <c r="B2190" s="940">
        <v>0</v>
      </c>
      <c r="C2190" t="s">
        <v>6384</v>
      </c>
      <c r="D2190" s="940" t="s">
        <v>6385</v>
      </c>
      <c r="E2190" t="s">
        <v>4923</v>
      </c>
      <c r="F2190">
        <v>1</v>
      </c>
    </row>
    <row r="2191" spans="1:6" x14ac:dyDescent="0.25">
      <c r="A2191" s="940">
        <v>876</v>
      </c>
      <c r="B2191" s="940">
        <v>262</v>
      </c>
      <c r="C2191" t="s">
        <v>6386</v>
      </c>
      <c r="D2191" s="940" t="s">
        <v>6387</v>
      </c>
      <c r="E2191" t="s">
        <v>120</v>
      </c>
      <c r="F2191">
        <v>1</v>
      </c>
    </row>
    <row r="2192" spans="1:6" x14ac:dyDescent="0.25">
      <c r="A2192" s="940">
        <v>3327</v>
      </c>
      <c r="B2192" s="940">
        <v>2</v>
      </c>
      <c r="C2192" t="s">
        <v>6388</v>
      </c>
      <c r="D2192" s="940" t="s">
        <v>6389</v>
      </c>
      <c r="E2192" t="s">
        <v>1236</v>
      </c>
      <c r="F2192">
        <v>1</v>
      </c>
    </row>
    <row r="2193" spans="1:6" x14ac:dyDescent="0.25">
      <c r="A2193" s="940">
        <v>3490</v>
      </c>
      <c r="B2193" s="940">
        <v>0</v>
      </c>
      <c r="C2193" t="s">
        <v>6390</v>
      </c>
      <c r="D2193" s="940" t="s">
        <v>6391</v>
      </c>
      <c r="E2193" t="s">
        <v>170</v>
      </c>
      <c r="F2193">
        <v>1</v>
      </c>
    </row>
    <row r="2194" spans="1:6" x14ac:dyDescent="0.25">
      <c r="A2194" s="940">
        <v>3490</v>
      </c>
      <c r="B2194" s="940">
        <v>0</v>
      </c>
      <c r="C2194" t="s">
        <v>6392</v>
      </c>
      <c r="D2194" s="940" t="s">
        <v>3558</v>
      </c>
      <c r="E2194" t="s">
        <v>614</v>
      </c>
      <c r="F2194">
        <v>1</v>
      </c>
    </row>
    <row r="2195" spans="1:6" x14ac:dyDescent="0.25">
      <c r="A2195" s="940">
        <v>2370</v>
      </c>
      <c r="B2195" s="940">
        <v>32</v>
      </c>
      <c r="C2195" t="s">
        <v>6393</v>
      </c>
      <c r="D2195" s="940" t="s">
        <v>6394</v>
      </c>
      <c r="E2195" t="s">
        <v>179</v>
      </c>
      <c r="F2195">
        <v>1</v>
      </c>
    </row>
    <row r="2196" spans="1:6" x14ac:dyDescent="0.25">
      <c r="A2196" s="940">
        <v>509</v>
      </c>
      <c r="B2196" s="940">
        <v>460</v>
      </c>
      <c r="C2196" t="s">
        <v>6395</v>
      </c>
      <c r="D2196" s="940" t="s">
        <v>6308</v>
      </c>
      <c r="E2196" t="s">
        <v>2928</v>
      </c>
      <c r="F2196">
        <v>1</v>
      </c>
    </row>
    <row r="2197" spans="1:6" x14ac:dyDescent="0.25">
      <c r="A2197" s="940">
        <v>2907</v>
      </c>
      <c r="B2197" s="940">
        <v>10</v>
      </c>
      <c r="C2197" t="s">
        <v>6396</v>
      </c>
      <c r="D2197" s="940" t="s">
        <v>2904</v>
      </c>
      <c r="E2197" t="s">
        <v>1961</v>
      </c>
      <c r="F2197">
        <v>1</v>
      </c>
    </row>
    <row r="2198" spans="1:6" x14ac:dyDescent="0.25">
      <c r="A2198" s="940">
        <v>81</v>
      </c>
      <c r="B2198" s="940">
        <v>1165</v>
      </c>
      <c r="C2198" t="s">
        <v>6397</v>
      </c>
      <c r="D2198" s="940" t="s">
        <v>6398</v>
      </c>
      <c r="E2198" t="s">
        <v>863</v>
      </c>
      <c r="F2198">
        <v>1</v>
      </c>
    </row>
    <row r="2199" spans="1:6" x14ac:dyDescent="0.25">
      <c r="A2199" s="940">
        <v>901</v>
      </c>
      <c r="B2199" s="940">
        <v>254</v>
      </c>
      <c r="C2199" t="s">
        <v>6399</v>
      </c>
      <c r="D2199" s="940" t="s">
        <v>6400</v>
      </c>
      <c r="E2199" t="s">
        <v>6401</v>
      </c>
      <c r="F2199">
        <v>1</v>
      </c>
    </row>
    <row r="2200" spans="1:6" x14ac:dyDescent="0.25">
      <c r="A2200" s="940">
        <v>449</v>
      </c>
      <c r="B2200" s="940">
        <v>522</v>
      </c>
      <c r="C2200" t="s">
        <v>6402</v>
      </c>
      <c r="D2200" s="940" t="s">
        <v>6403</v>
      </c>
      <c r="E2200" t="s">
        <v>121</v>
      </c>
      <c r="F2200">
        <v>1</v>
      </c>
    </row>
    <row r="2201" spans="1:6" x14ac:dyDescent="0.25">
      <c r="A2201" s="940">
        <v>2347</v>
      </c>
      <c r="B2201" s="940">
        <v>33</v>
      </c>
      <c r="C2201" t="s">
        <v>6404</v>
      </c>
      <c r="D2201" s="940" t="s">
        <v>5605</v>
      </c>
      <c r="E2201" t="s">
        <v>213</v>
      </c>
      <c r="F2201">
        <v>1</v>
      </c>
    </row>
    <row r="2202" spans="1:6" x14ac:dyDescent="0.25">
      <c r="A2202" s="940">
        <v>3490</v>
      </c>
      <c r="B2202" s="940">
        <v>0</v>
      </c>
      <c r="C2202" t="s">
        <v>6405</v>
      </c>
      <c r="D2202" s="940" t="s">
        <v>3840</v>
      </c>
      <c r="E2202" t="s">
        <v>120</v>
      </c>
      <c r="F2202">
        <v>1</v>
      </c>
    </row>
    <row r="2203" spans="1:6" x14ac:dyDescent="0.25">
      <c r="A2203" s="940">
        <v>1424</v>
      </c>
      <c r="B2203" s="940">
        <v>116</v>
      </c>
      <c r="C2203" t="s">
        <v>6406</v>
      </c>
      <c r="D2203" s="940" t="s">
        <v>6407</v>
      </c>
      <c r="E2203" t="s">
        <v>3090</v>
      </c>
      <c r="F2203">
        <v>1</v>
      </c>
    </row>
    <row r="2204" spans="1:6" x14ac:dyDescent="0.25">
      <c r="A2204" s="940">
        <v>1602</v>
      </c>
      <c r="B2204" s="940">
        <v>94</v>
      </c>
      <c r="C2204" t="s">
        <v>6408</v>
      </c>
      <c r="D2204" s="940" t="s">
        <v>6409</v>
      </c>
      <c r="E2204" t="s">
        <v>3098</v>
      </c>
      <c r="F2204">
        <v>1</v>
      </c>
    </row>
    <row r="2205" spans="1:6" x14ac:dyDescent="0.25">
      <c r="A2205" s="940">
        <v>436</v>
      </c>
      <c r="B2205" s="940">
        <v>535</v>
      </c>
      <c r="C2205" t="s">
        <v>6410</v>
      </c>
      <c r="D2205" s="940" t="s">
        <v>6411</v>
      </c>
      <c r="E2205" t="s">
        <v>3098</v>
      </c>
      <c r="F2205">
        <v>1</v>
      </c>
    </row>
    <row r="2206" spans="1:6" x14ac:dyDescent="0.25">
      <c r="A2206" s="940">
        <v>282</v>
      </c>
      <c r="B2206" s="940">
        <v>741</v>
      </c>
      <c r="C2206" t="s">
        <v>281</v>
      </c>
      <c r="D2206" s="940" t="s">
        <v>3199</v>
      </c>
      <c r="E2206" t="s">
        <v>105</v>
      </c>
      <c r="F2206">
        <v>1</v>
      </c>
    </row>
    <row r="2207" spans="1:6" x14ac:dyDescent="0.25">
      <c r="A2207" s="940">
        <v>1555</v>
      </c>
      <c r="B2207" s="940">
        <v>100</v>
      </c>
      <c r="C2207" t="s">
        <v>281</v>
      </c>
      <c r="D2207" s="940" t="s">
        <v>6412</v>
      </c>
      <c r="E2207" t="s">
        <v>2720</v>
      </c>
      <c r="F2207">
        <v>1</v>
      </c>
    </row>
    <row r="2208" spans="1:6" x14ac:dyDescent="0.25">
      <c r="A2208" s="940">
        <v>3141</v>
      </c>
      <c r="B2208" s="940">
        <v>5</v>
      </c>
      <c r="C2208" t="s">
        <v>281</v>
      </c>
      <c r="D2208" s="940" t="s">
        <v>4286</v>
      </c>
      <c r="E2208" t="s">
        <v>246</v>
      </c>
    </row>
    <row r="2209" spans="1:5" x14ac:dyDescent="0.25">
      <c r="A2209" s="940">
        <v>595</v>
      </c>
      <c r="B2209" s="940">
        <v>407</v>
      </c>
      <c r="C2209" t="s">
        <v>6413</v>
      </c>
      <c r="D2209" s="940" t="s">
        <v>6414</v>
      </c>
      <c r="E2209" t="s">
        <v>427</v>
      </c>
    </row>
    <row r="2210" spans="1:5" x14ac:dyDescent="0.25">
      <c r="A2210" s="940">
        <v>3327</v>
      </c>
      <c r="B2210" s="940">
        <v>2</v>
      </c>
      <c r="C2210" t="s">
        <v>6415</v>
      </c>
      <c r="D2210" s="940" t="s">
        <v>6416</v>
      </c>
      <c r="E2210" t="s">
        <v>6417</v>
      </c>
    </row>
    <row r="2211" spans="1:5" x14ac:dyDescent="0.25">
      <c r="A2211" s="940">
        <v>3327</v>
      </c>
      <c r="B2211" s="940">
        <v>2</v>
      </c>
      <c r="C2211" t="s">
        <v>6418</v>
      </c>
      <c r="D2211" s="940" t="s">
        <v>5474</v>
      </c>
      <c r="E2211" t="s">
        <v>1457</v>
      </c>
    </row>
    <row r="2212" spans="1:5" x14ac:dyDescent="0.25">
      <c r="A2212" s="940">
        <v>1533</v>
      </c>
      <c r="B2212" s="940">
        <v>102</v>
      </c>
      <c r="C2212" t="s">
        <v>6419</v>
      </c>
      <c r="D2212" s="940" t="s">
        <v>6420</v>
      </c>
      <c r="E2212" t="s">
        <v>1282</v>
      </c>
    </row>
    <row r="2213" spans="1:5" x14ac:dyDescent="0.25">
      <c r="A2213" s="940">
        <v>1452</v>
      </c>
      <c r="B2213" s="940">
        <v>113</v>
      </c>
      <c r="C2213" t="s">
        <v>715</v>
      </c>
      <c r="D2213" s="940" t="s">
        <v>6421</v>
      </c>
      <c r="E2213" t="s">
        <v>716</v>
      </c>
    </row>
    <row r="2214" spans="1:5" x14ac:dyDescent="0.25">
      <c r="A2214" s="940">
        <v>1711</v>
      </c>
      <c r="B2214" s="940">
        <v>82</v>
      </c>
      <c r="C2214" t="s">
        <v>6422</v>
      </c>
      <c r="D2214" s="940" t="s">
        <v>6423</v>
      </c>
      <c r="E2214" t="s">
        <v>75</v>
      </c>
    </row>
    <row r="2215" spans="1:5" x14ac:dyDescent="0.25">
      <c r="A2215" s="940">
        <v>607</v>
      </c>
      <c r="B2215" s="940">
        <v>398</v>
      </c>
      <c r="C2215" t="s">
        <v>6424</v>
      </c>
      <c r="D2215" s="940" t="s">
        <v>6425</v>
      </c>
      <c r="E2215" t="s">
        <v>1222</v>
      </c>
    </row>
    <row r="2216" spans="1:5" x14ac:dyDescent="0.25">
      <c r="A2216" s="940">
        <v>3490</v>
      </c>
      <c r="B2216" s="940">
        <v>0</v>
      </c>
      <c r="C2216" t="s">
        <v>6426</v>
      </c>
      <c r="D2216" s="940" t="s">
        <v>3652</v>
      </c>
      <c r="E2216" t="s">
        <v>1211</v>
      </c>
    </row>
    <row r="2217" spans="1:5" x14ac:dyDescent="0.25">
      <c r="A2217" s="940">
        <v>1110</v>
      </c>
      <c r="B2217" s="940">
        <v>177</v>
      </c>
      <c r="C2217" t="s">
        <v>6427</v>
      </c>
      <c r="D2217" s="940" t="s">
        <v>2820</v>
      </c>
      <c r="E2217" t="s">
        <v>118</v>
      </c>
    </row>
    <row r="2218" spans="1:5" x14ac:dyDescent="0.25">
      <c r="A2218" s="940">
        <v>3265</v>
      </c>
      <c r="B2218" s="940">
        <v>3</v>
      </c>
      <c r="C2218" t="s">
        <v>6428</v>
      </c>
      <c r="D2218" s="940" t="s">
        <v>6429</v>
      </c>
      <c r="E2218" t="s">
        <v>6430</v>
      </c>
    </row>
    <row r="2219" spans="1:5" x14ac:dyDescent="0.25">
      <c r="A2219" s="940">
        <v>1730</v>
      </c>
      <c r="B2219" s="940">
        <v>80</v>
      </c>
      <c r="C2219" t="s">
        <v>6431</v>
      </c>
      <c r="D2219" s="940" t="s">
        <v>6432</v>
      </c>
      <c r="E2219" t="s">
        <v>1507</v>
      </c>
    </row>
    <row r="2220" spans="1:5" x14ac:dyDescent="0.25">
      <c r="A2220" s="940">
        <v>3490</v>
      </c>
      <c r="B2220" s="940">
        <v>0</v>
      </c>
      <c r="C2220" t="s">
        <v>6433</v>
      </c>
      <c r="D2220" s="940" t="s">
        <v>4048</v>
      </c>
      <c r="E2220" t="s">
        <v>1578</v>
      </c>
    </row>
    <row r="2221" spans="1:5" x14ac:dyDescent="0.25">
      <c r="A2221" s="940">
        <v>766</v>
      </c>
      <c r="B2221" s="940">
        <v>310</v>
      </c>
      <c r="C2221" t="s">
        <v>6434</v>
      </c>
      <c r="D2221" s="940" t="s">
        <v>6435</v>
      </c>
      <c r="E2221" t="s">
        <v>3098</v>
      </c>
    </row>
    <row r="2222" spans="1:5" x14ac:dyDescent="0.25">
      <c r="A2222" s="940">
        <v>3490</v>
      </c>
      <c r="B2222" s="940">
        <v>0</v>
      </c>
      <c r="C2222" t="s">
        <v>6436</v>
      </c>
      <c r="D2222" s="940" t="s">
        <v>3888</v>
      </c>
      <c r="E2222" t="s">
        <v>74</v>
      </c>
    </row>
    <row r="2223" spans="1:5" x14ac:dyDescent="0.25">
      <c r="A2223" s="940">
        <v>2121</v>
      </c>
      <c r="B2223" s="940">
        <v>47</v>
      </c>
      <c r="C2223" t="s">
        <v>6437</v>
      </c>
      <c r="D2223" s="940" t="s">
        <v>6438</v>
      </c>
      <c r="E2223" t="s">
        <v>1307</v>
      </c>
    </row>
    <row r="2224" spans="1:5" x14ac:dyDescent="0.25">
      <c r="A2224" s="940">
        <v>3490</v>
      </c>
      <c r="B2224" s="940">
        <v>0</v>
      </c>
      <c r="C2224" t="s">
        <v>6439</v>
      </c>
      <c r="D2224" s="940" t="s">
        <v>4839</v>
      </c>
      <c r="E2224" t="s">
        <v>1182</v>
      </c>
    </row>
    <row r="2225" spans="1:5" x14ac:dyDescent="0.25">
      <c r="A2225" s="940">
        <v>3141</v>
      </c>
      <c r="B2225" s="940">
        <v>5</v>
      </c>
      <c r="C2225" t="s">
        <v>6440</v>
      </c>
      <c r="D2225" s="940" t="s">
        <v>5373</v>
      </c>
      <c r="E2225" t="s">
        <v>2654</v>
      </c>
    </row>
    <row r="2226" spans="1:5" x14ac:dyDescent="0.25">
      <c r="A2226" s="940">
        <v>3490</v>
      </c>
      <c r="B2226" s="940">
        <v>0</v>
      </c>
      <c r="C2226" t="s">
        <v>6441</v>
      </c>
      <c r="D2226" s="940" t="s">
        <v>6442</v>
      </c>
      <c r="E2226" t="s">
        <v>6443</v>
      </c>
    </row>
    <row r="2227" spans="1:5" x14ac:dyDescent="0.25">
      <c r="A2227" s="940">
        <v>1781</v>
      </c>
      <c r="B2227" s="940">
        <v>75</v>
      </c>
      <c r="C2227" t="s">
        <v>6444</v>
      </c>
      <c r="D2227" s="940" t="s">
        <v>2854</v>
      </c>
      <c r="E2227" t="s">
        <v>1493</v>
      </c>
    </row>
    <row r="2228" spans="1:5" x14ac:dyDescent="0.25">
      <c r="A2228" s="940">
        <v>3490</v>
      </c>
      <c r="B2228" s="940">
        <v>0</v>
      </c>
      <c r="C2228" t="s">
        <v>6445</v>
      </c>
      <c r="D2228" s="940" t="s">
        <v>6446</v>
      </c>
      <c r="E2228" t="s">
        <v>137</v>
      </c>
    </row>
    <row r="2229" spans="1:5" x14ac:dyDescent="0.25">
      <c r="A2229" s="940">
        <v>2291</v>
      </c>
      <c r="B2229" s="940">
        <v>37</v>
      </c>
      <c r="C2229" t="s">
        <v>6447</v>
      </c>
      <c r="D2229" s="940" t="s">
        <v>6448</v>
      </c>
      <c r="E2229" t="s">
        <v>137</v>
      </c>
    </row>
    <row r="2230" spans="1:5" x14ac:dyDescent="0.25">
      <c r="A2230" s="940">
        <v>206</v>
      </c>
      <c r="B2230" s="940">
        <v>884</v>
      </c>
      <c r="C2230" t="s">
        <v>6449</v>
      </c>
      <c r="D2230" s="940" t="s">
        <v>6450</v>
      </c>
      <c r="E2230" t="s">
        <v>84</v>
      </c>
    </row>
    <row r="2231" spans="1:5" x14ac:dyDescent="0.25">
      <c r="A2231" s="940">
        <v>1533</v>
      </c>
      <c r="B2231" s="940">
        <v>102</v>
      </c>
      <c r="C2231" t="s">
        <v>2564</v>
      </c>
      <c r="D2231" s="940" t="s">
        <v>3464</v>
      </c>
      <c r="E2231" t="s">
        <v>120</v>
      </c>
    </row>
    <row r="2232" spans="1:5" x14ac:dyDescent="0.25">
      <c r="A2232" s="940">
        <v>3490</v>
      </c>
      <c r="B2232" s="940">
        <v>0</v>
      </c>
      <c r="C2232" t="s">
        <v>6451</v>
      </c>
      <c r="D2232" s="940" t="s">
        <v>4889</v>
      </c>
      <c r="E2232" t="s">
        <v>103</v>
      </c>
    </row>
    <row r="2233" spans="1:5" x14ac:dyDescent="0.25">
      <c r="A2233" s="940">
        <v>3490</v>
      </c>
      <c r="B2233" s="940">
        <v>0</v>
      </c>
      <c r="C2233" t="s">
        <v>6452</v>
      </c>
      <c r="D2233" s="940" t="s">
        <v>3808</v>
      </c>
      <c r="E2233" t="s">
        <v>171</v>
      </c>
    </row>
    <row r="2234" spans="1:5" x14ac:dyDescent="0.25">
      <c r="A2234" s="940">
        <v>41</v>
      </c>
      <c r="B2234" s="940">
        <v>1346</v>
      </c>
      <c r="C2234" t="s">
        <v>6453</v>
      </c>
      <c r="D2234" s="940" t="s">
        <v>6454</v>
      </c>
      <c r="E2234" t="s">
        <v>4735</v>
      </c>
    </row>
    <row r="2235" spans="1:5" x14ac:dyDescent="0.25">
      <c r="A2235" s="940">
        <v>3265</v>
      </c>
      <c r="B2235" s="940">
        <v>3</v>
      </c>
      <c r="C2235" t="s">
        <v>6455</v>
      </c>
      <c r="D2235" s="940" t="s">
        <v>6456</v>
      </c>
      <c r="E2235" t="s">
        <v>163</v>
      </c>
    </row>
    <row r="2236" spans="1:5" x14ac:dyDescent="0.25">
      <c r="A2236" s="940">
        <v>898</v>
      </c>
      <c r="B2236" s="940">
        <v>255</v>
      </c>
      <c r="C2236" t="s">
        <v>1934</v>
      </c>
      <c r="D2236" s="940" t="s">
        <v>6457</v>
      </c>
      <c r="E2236" t="s">
        <v>120</v>
      </c>
    </row>
    <row r="2237" spans="1:5" x14ac:dyDescent="0.25">
      <c r="A2237" s="940">
        <v>2996</v>
      </c>
      <c r="B2237" s="940">
        <v>8</v>
      </c>
      <c r="C2237" t="s">
        <v>6458</v>
      </c>
      <c r="D2237" s="940" t="s">
        <v>6459</v>
      </c>
      <c r="E2237" t="s">
        <v>105</v>
      </c>
    </row>
    <row r="2238" spans="1:5" x14ac:dyDescent="0.25">
      <c r="A2238" s="940">
        <v>3395</v>
      </c>
      <c r="B2238" s="940">
        <v>1</v>
      </c>
      <c r="C2238" t="s">
        <v>6460</v>
      </c>
      <c r="D2238" s="940" t="s">
        <v>6461</v>
      </c>
      <c r="E2238" t="s">
        <v>120</v>
      </c>
    </row>
    <row r="2239" spans="1:5" x14ac:dyDescent="0.25">
      <c r="A2239" s="940">
        <v>1333</v>
      </c>
      <c r="B2239" s="940">
        <v>129</v>
      </c>
      <c r="C2239" t="s">
        <v>6462</v>
      </c>
      <c r="D2239" s="940" t="s">
        <v>6463</v>
      </c>
      <c r="E2239" t="s">
        <v>170</v>
      </c>
    </row>
    <row r="2240" spans="1:5" x14ac:dyDescent="0.25">
      <c r="A2240" s="940">
        <v>3490</v>
      </c>
      <c r="B2240" s="940">
        <v>0</v>
      </c>
      <c r="C2240" t="s">
        <v>6464</v>
      </c>
      <c r="D2240" s="940" t="s">
        <v>3486</v>
      </c>
      <c r="E2240" t="s">
        <v>2846</v>
      </c>
    </row>
    <row r="2241" spans="1:5" x14ac:dyDescent="0.25">
      <c r="A2241" s="940">
        <v>1968</v>
      </c>
      <c r="B2241" s="940">
        <v>59</v>
      </c>
      <c r="C2241" t="s">
        <v>2565</v>
      </c>
      <c r="D2241" s="940" t="s">
        <v>6465</v>
      </c>
      <c r="E2241" t="s">
        <v>120</v>
      </c>
    </row>
    <row r="2242" spans="1:5" x14ac:dyDescent="0.25">
      <c r="A2242" s="940">
        <v>631</v>
      </c>
      <c r="B2242" s="940">
        <v>383</v>
      </c>
      <c r="C2242" t="s">
        <v>6466</v>
      </c>
      <c r="D2242" s="940" t="s">
        <v>6467</v>
      </c>
      <c r="E2242" t="s">
        <v>120</v>
      </c>
    </row>
    <row r="2243" spans="1:5" x14ac:dyDescent="0.25">
      <c r="A2243" s="940">
        <v>406</v>
      </c>
      <c r="B2243" s="940">
        <v>564</v>
      </c>
      <c r="C2243" t="s">
        <v>6468</v>
      </c>
      <c r="D2243" s="940" t="s">
        <v>6469</v>
      </c>
      <c r="E2243" t="s">
        <v>1939</v>
      </c>
    </row>
    <row r="2244" spans="1:5" x14ac:dyDescent="0.25">
      <c r="A2244" s="940">
        <v>2582</v>
      </c>
      <c r="B2244" s="940">
        <v>21</v>
      </c>
      <c r="C2244" t="s">
        <v>6470</v>
      </c>
      <c r="D2244" s="940" t="s">
        <v>5476</v>
      </c>
      <c r="E2244" t="s">
        <v>6471</v>
      </c>
    </row>
    <row r="2245" spans="1:5" x14ac:dyDescent="0.25">
      <c r="A2245" s="940">
        <v>2714</v>
      </c>
      <c r="B2245" s="940">
        <v>16</v>
      </c>
      <c r="C2245" t="s">
        <v>6472</v>
      </c>
      <c r="D2245" s="940" t="s">
        <v>6473</v>
      </c>
      <c r="E2245" t="s">
        <v>99</v>
      </c>
    </row>
    <row r="2246" spans="1:5" x14ac:dyDescent="0.25">
      <c r="A2246" s="940">
        <v>2416</v>
      </c>
      <c r="B2246" s="940">
        <v>29</v>
      </c>
      <c r="C2246" t="s">
        <v>6474</v>
      </c>
      <c r="D2246" s="940" t="s">
        <v>3621</v>
      </c>
      <c r="E2246" t="s">
        <v>1236</v>
      </c>
    </row>
    <row r="2247" spans="1:5" x14ac:dyDescent="0.25">
      <c r="A2247" s="940">
        <v>1389</v>
      </c>
      <c r="B2247" s="940">
        <v>122</v>
      </c>
      <c r="C2247" t="s">
        <v>6475</v>
      </c>
      <c r="D2247" s="940" t="s">
        <v>6476</v>
      </c>
      <c r="E2247" t="s">
        <v>109</v>
      </c>
    </row>
    <row r="2248" spans="1:5" x14ac:dyDescent="0.25">
      <c r="A2248" s="940">
        <v>371</v>
      </c>
      <c r="B2248" s="940">
        <v>609</v>
      </c>
      <c r="C2248" t="s">
        <v>6477</v>
      </c>
      <c r="D2248" s="940" t="s">
        <v>6478</v>
      </c>
      <c r="E2248" t="s">
        <v>120</v>
      </c>
    </row>
    <row r="2249" spans="1:5" x14ac:dyDescent="0.25">
      <c r="A2249" s="940">
        <v>612</v>
      </c>
      <c r="B2249" s="940">
        <v>395</v>
      </c>
      <c r="C2249" t="s">
        <v>531</v>
      </c>
      <c r="D2249" s="940" t="s">
        <v>6479</v>
      </c>
      <c r="E2249" t="s">
        <v>72</v>
      </c>
    </row>
    <row r="2250" spans="1:5" x14ac:dyDescent="0.25">
      <c r="A2250" s="940">
        <v>2221</v>
      </c>
      <c r="B2250" s="940">
        <v>41</v>
      </c>
      <c r="C2250" t="s">
        <v>6480</v>
      </c>
      <c r="D2250" s="940" t="s">
        <v>5300</v>
      </c>
      <c r="E2250" t="s">
        <v>6481</v>
      </c>
    </row>
    <row r="2251" spans="1:5" x14ac:dyDescent="0.25">
      <c r="A2251" s="940">
        <v>1848</v>
      </c>
      <c r="B2251" s="940">
        <v>68</v>
      </c>
      <c r="C2251" t="s">
        <v>6482</v>
      </c>
      <c r="D2251" s="940" t="s">
        <v>3166</v>
      </c>
      <c r="E2251" t="s">
        <v>1507</v>
      </c>
    </row>
    <row r="2252" spans="1:5" x14ac:dyDescent="0.25">
      <c r="A2252" s="940">
        <v>2558</v>
      </c>
      <c r="B2252" s="940">
        <v>22</v>
      </c>
      <c r="C2252" t="s">
        <v>6483</v>
      </c>
      <c r="D2252" s="940" t="s">
        <v>3792</v>
      </c>
      <c r="E2252" t="s">
        <v>3098</v>
      </c>
    </row>
    <row r="2253" spans="1:5" x14ac:dyDescent="0.25">
      <c r="A2253" s="940">
        <v>2032</v>
      </c>
      <c r="B2253" s="940">
        <v>53</v>
      </c>
      <c r="C2253" t="s">
        <v>6484</v>
      </c>
      <c r="D2253" s="940" t="s">
        <v>6485</v>
      </c>
      <c r="E2253" t="s">
        <v>3098</v>
      </c>
    </row>
    <row r="2254" spans="1:5" x14ac:dyDescent="0.25">
      <c r="A2254" s="940">
        <v>2405</v>
      </c>
      <c r="B2254" s="940">
        <v>30</v>
      </c>
      <c r="C2254" t="s">
        <v>6486</v>
      </c>
      <c r="D2254" s="940" t="s">
        <v>6487</v>
      </c>
      <c r="E2254" t="s">
        <v>2263</v>
      </c>
    </row>
    <row r="2255" spans="1:5" x14ac:dyDescent="0.25">
      <c r="A2255" s="940">
        <v>18</v>
      </c>
      <c r="B2255" s="940">
        <v>1458</v>
      </c>
      <c r="C2255" t="s">
        <v>6488</v>
      </c>
      <c r="D2255" s="940" t="s">
        <v>6489</v>
      </c>
      <c r="E2255" t="s">
        <v>105</v>
      </c>
    </row>
    <row r="2256" spans="1:5" x14ac:dyDescent="0.25">
      <c r="A2256" s="940">
        <v>380</v>
      </c>
      <c r="B2256" s="940">
        <v>596</v>
      </c>
      <c r="C2256" t="s">
        <v>6490</v>
      </c>
      <c r="D2256" s="940" t="s">
        <v>6491</v>
      </c>
      <c r="E2256" t="s">
        <v>119</v>
      </c>
    </row>
    <row r="2257" spans="1:5" x14ac:dyDescent="0.25">
      <c r="A2257" s="940">
        <v>190</v>
      </c>
      <c r="B2257" s="940">
        <v>915</v>
      </c>
      <c r="C2257" t="s">
        <v>6492</v>
      </c>
      <c r="D2257" s="940" t="s">
        <v>6493</v>
      </c>
      <c r="E2257" t="s">
        <v>105</v>
      </c>
    </row>
    <row r="2258" spans="1:5" x14ac:dyDescent="0.25">
      <c r="A2258" s="940">
        <v>1206</v>
      </c>
      <c r="B2258" s="940">
        <v>155</v>
      </c>
      <c r="C2258" t="s">
        <v>1941</v>
      </c>
      <c r="D2258" s="940" t="s">
        <v>6494</v>
      </c>
      <c r="E2258" t="s">
        <v>1214</v>
      </c>
    </row>
    <row r="2259" spans="1:5" x14ac:dyDescent="0.25">
      <c r="A2259" s="940">
        <v>2996</v>
      </c>
      <c r="B2259" s="940">
        <v>8</v>
      </c>
      <c r="C2259" t="s">
        <v>6495</v>
      </c>
      <c r="D2259" s="940" t="s">
        <v>6496</v>
      </c>
      <c r="E2259" t="s">
        <v>3396</v>
      </c>
    </row>
    <row r="2260" spans="1:5" x14ac:dyDescent="0.25">
      <c r="A2260" s="940">
        <v>3490</v>
      </c>
      <c r="B2260" s="940">
        <v>0</v>
      </c>
      <c r="C2260" t="s">
        <v>6497</v>
      </c>
      <c r="D2260" s="940" t="s">
        <v>5467</v>
      </c>
      <c r="E2260" t="s">
        <v>1221</v>
      </c>
    </row>
    <row r="2261" spans="1:5" x14ac:dyDescent="0.25">
      <c r="A2261" s="940">
        <v>1412</v>
      </c>
      <c r="B2261" s="940">
        <v>118</v>
      </c>
      <c r="C2261" t="s">
        <v>6498</v>
      </c>
      <c r="D2261" s="940" t="s">
        <v>6499</v>
      </c>
      <c r="E2261" t="s">
        <v>104</v>
      </c>
    </row>
    <row r="2262" spans="1:5" x14ac:dyDescent="0.25">
      <c r="A2262" s="940">
        <v>2129</v>
      </c>
      <c r="B2262" s="940">
        <v>46</v>
      </c>
      <c r="C2262" t="s">
        <v>6500</v>
      </c>
      <c r="D2262" s="940" t="s">
        <v>2858</v>
      </c>
      <c r="E2262" t="s">
        <v>1162</v>
      </c>
    </row>
    <row r="2263" spans="1:5" x14ac:dyDescent="0.25">
      <c r="A2263" s="940">
        <v>2690</v>
      </c>
      <c r="B2263" s="940">
        <v>17</v>
      </c>
      <c r="C2263" t="s">
        <v>6501</v>
      </c>
      <c r="D2263" s="940" t="s">
        <v>6502</v>
      </c>
      <c r="E2263" t="s">
        <v>1248</v>
      </c>
    </row>
    <row r="2264" spans="1:5" x14ac:dyDescent="0.25">
      <c r="A2264" s="940">
        <v>3490</v>
      </c>
      <c r="B2264" s="940">
        <v>0</v>
      </c>
      <c r="C2264" t="s">
        <v>6503</v>
      </c>
      <c r="D2264" s="940" t="s">
        <v>4048</v>
      </c>
      <c r="E2264" t="s">
        <v>1460</v>
      </c>
    </row>
    <row r="2265" spans="1:5" x14ac:dyDescent="0.25">
      <c r="A2265" s="940">
        <v>3490</v>
      </c>
      <c r="B2265" s="940">
        <v>0</v>
      </c>
      <c r="C2265" t="s">
        <v>6504</v>
      </c>
      <c r="D2265" s="940" t="s">
        <v>3185</v>
      </c>
      <c r="E2265" t="s">
        <v>1182</v>
      </c>
    </row>
    <row r="2266" spans="1:5" x14ac:dyDescent="0.25">
      <c r="A2266" s="940">
        <v>3490</v>
      </c>
      <c r="B2266" s="940">
        <v>0</v>
      </c>
      <c r="C2266" t="s">
        <v>6505</v>
      </c>
      <c r="D2266" s="940" t="s">
        <v>6506</v>
      </c>
      <c r="E2266" t="s">
        <v>83</v>
      </c>
    </row>
    <row r="2267" spans="1:5" x14ac:dyDescent="0.25">
      <c r="A2267" s="940">
        <v>2484</v>
      </c>
      <c r="B2267" s="940">
        <v>26</v>
      </c>
      <c r="C2267" t="s">
        <v>6507</v>
      </c>
      <c r="D2267" s="940" t="s">
        <v>6508</v>
      </c>
      <c r="E2267" t="s">
        <v>170</v>
      </c>
    </row>
    <row r="2268" spans="1:5" x14ac:dyDescent="0.25">
      <c r="A2268" s="940">
        <v>1581</v>
      </c>
      <c r="B2268" s="940">
        <v>97</v>
      </c>
      <c r="C2268" t="s">
        <v>6509</v>
      </c>
      <c r="D2268" s="940" t="s">
        <v>6510</v>
      </c>
      <c r="E2268" t="s">
        <v>128</v>
      </c>
    </row>
    <row r="2269" spans="1:5" x14ac:dyDescent="0.25">
      <c r="A2269" s="940">
        <v>3490</v>
      </c>
      <c r="B2269" s="940">
        <v>0</v>
      </c>
      <c r="C2269" t="s">
        <v>6511</v>
      </c>
      <c r="D2269" s="940" t="s">
        <v>4948</v>
      </c>
      <c r="E2269" t="s">
        <v>105</v>
      </c>
    </row>
    <row r="2270" spans="1:5" x14ac:dyDescent="0.25">
      <c r="A2270" s="940">
        <v>6</v>
      </c>
      <c r="B2270" s="940">
        <v>1660</v>
      </c>
      <c r="C2270" t="s">
        <v>6512</v>
      </c>
      <c r="D2270" s="940" t="s">
        <v>6513</v>
      </c>
      <c r="E2270" t="s">
        <v>6514</v>
      </c>
    </row>
    <row r="2271" spans="1:5" x14ac:dyDescent="0.25">
      <c r="A2271" s="940">
        <v>1555</v>
      </c>
      <c r="B2271" s="940">
        <v>100</v>
      </c>
      <c r="C2271" t="s">
        <v>6515</v>
      </c>
      <c r="D2271" s="940" t="s">
        <v>6516</v>
      </c>
      <c r="E2271" t="s">
        <v>2880</v>
      </c>
    </row>
    <row r="2272" spans="1:5" x14ac:dyDescent="0.25">
      <c r="A2272" s="940">
        <v>385</v>
      </c>
      <c r="B2272" s="940">
        <v>589</v>
      </c>
      <c r="C2272" t="s">
        <v>6517</v>
      </c>
      <c r="D2272" s="940" t="s">
        <v>6518</v>
      </c>
      <c r="E2272" t="s">
        <v>208</v>
      </c>
    </row>
    <row r="2273" spans="1:5" x14ac:dyDescent="0.25">
      <c r="A2273" s="940">
        <v>479</v>
      </c>
      <c r="B2273" s="940">
        <v>493</v>
      </c>
      <c r="C2273" t="s">
        <v>6519</v>
      </c>
      <c r="D2273" s="940" t="s">
        <v>6520</v>
      </c>
      <c r="E2273" t="s">
        <v>183</v>
      </c>
    </row>
    <row r="2274" spans="1:5" x14ac:dyDescent="0.25">
      <c r="A2274" s="940">
        <v>2335</v>
      </c>
      <c r="B2274" s="940">
        <v>34</v>
      </c>
      <c r="C2274" t="s">
        <v>6521</v>
      </c>
      <c r="D2274" s="940" t="s">
        <v>6522</v>
      </c>
      <c r="E2274" t="s">
        <v>2793</v>
      </c>
    </row>
    <row r="2275" spans="1:5" x14ac:dyDescent="0.25">
      <c r="A2275" s="940">
        <v>2743</v>
      </c>
      <c r="B2275" s="940">
        <v>15</v>
      </c>
      <c r="C2275" t="s">
        <v>6523</v>
      </c>
      <c r="D2275" s="940" t="s">
        <v>6524</v>
      </c>
      <c r="E2275" t="s">
        <v>120</v>
      </c>
    </row>
    <row r="2276" spans="1:5" x14ac:dyDescent="0.25">
      <c r="A2276" s="940">
        <v>3490</v>
      </c>
      <c r="B2276" s="940">
        <v>0</v>
      </c>
      <c r="C2276" t="s">
        <v>6525</v>
      </c>
      <c r="D2276" s="940" t="s">
        <v>6526</v>
      </c>
      <c r="E2276" t="s">
        <v>1156</v>
      </c>
    </row>
    <row r="2277" spans="1:5" x14ac:dyDescent="0.25">
      <c r="A2277" s="940">
        <v>3490</v>
      </c>
      <c r="B2277" s="940">
        <v>0</v>
      </c>
      <c r="C2277" t="s">
        <v>6527</v>
      </c>
      <c r="D2277" s="940" t="s">
        <v>6200</v>
      </c>
      <c r="E2277" t="s">
        <v>164</v>
      </c>
    </row>
    <row r="2278" spans="1:5" x14ac:dyDescent="0.25">
      <c r="A2278" s="940">
        <v>1458</v>
      </c>
      <c r="B2278" s="940">
        <v>112</v>
      </c>
      <c r="C2278" t="s">
        <v>6528</v>
      </c>
      <c r="D2278" s="940" t="s">
        <v>5514</v>
      </c>
      <c r="E2278" t="s">
        <v>2561</v>
      </c>
    </row>
    <row r="2279" spans="1:5" x14ac:dyDescent="0.25">
      <c r="A2279" s="940">
        <v>2743</v>
      </c>
      <c r="B2279" s="940">
        <v>15</v>
      </c>
      <c r="C2279" t="s">
        <v>6529</v>
      </c>
      <c r="D2279" s="940" t="s">
        <v>6442</v>
      </c>
      <c r="E2279" t="s">
        <v>6530</v>
      </c>
    </row>
    <row r="2280" spans="1:5" x14ac:dyDescent="0.25">
      <c r="A2280" s="940">
        <v>928</v>
      </c>
      <c r="B2280" s="940">
        <v>246</v>
      </c>
      <c r="C2280" t="s">
        <v>2526</v>
      </c>
      <c r="D2280" s="940" t="s">
        <v>6531</v>
      </c>
      <c r="E2280" t="s">
        <v>1243</v>
      </c>
    </row>
    <row r="2281" spans="1:5" x14ac:dyDescent="0.25">
      <c r="A2281" s="940">
        <v>512</v>
      </c>
      <c r="B2281" s="940">
        <v>457</v>
      </c>
      <c r="C2281" t="s">
        <v>6532</v>
      </c>
      <c r="D2281" s="940" t="s">
        <v>6533</v>
      </c>
      <c r="E2281" t="s">
        <v>74</v>
      </c>
    </row>
    <row r="2282" spans="1:5" x14ac:dyDescent="0.25">
      <c r="A2282" s="940">
        <v>1424</v>
      </c>
      <c r="B2282" s="940">
        <v>116</v>
      </c>
      <c r="C2282" t="s">
        <v>6534</v>
      </c>
      <c r="D2282" s="940" t="s">
        <v>6535</v>
      </c>
      <c r="E2282" t="s">
        <v>99</v>
      </c>
    </row>
    <row r="2283" spans="1:5" x14ac:dyDescent="0.25">
      <c r="A2283" s="940">
        <v>745</v>
      </c>
      <c r="B2283" s="940">
        <v>324</v>
      </c>
      <c r="C2283" t="s">
        <v>1945</v>
      </c>
      <c r="D2283" s="940" t="s">
        <v>6536</v>
      </c>
      <c r="E2283" t="s">
        <v>1251</v>
      </c>
    </row>
    <row r="2284" spans="1:5" x14ac:dyDescent="0.25">
      <c r="A2284" s="940">
        <v>3490</v>
      </c>
      <c r="B2284" s="940">
        <v>0</v>
      </c>
      <c r="C2284" t="s">
        <v>6537</v>
      </c>
      <c r="D2284" s="940" t="s">
        <v>6538</v>
      </c>
      <c r="E2284" t="s">
        <v>661</v>
      </c>
    </row>
    <row r="2285" spans="1:5" x14ac:dyDescent="0.25">
      <c r="A2285" s="940">
        <v>3490</v>
      </c>
      <c r="B2285" s="940">
        <v>0</v>
      </c>
      <c r="C2285" t="s">
        <v>6539</v>
      </c>
      <c r="D2285" s="940" t="s">
        <v>4862</v>
      </c>
      <c r="E2285" t="s">
        <v>661</v>
      </c>
    </row>
    <row r="2286" spans="1:5" x14ac:dyDescent="0.25">
      <c r="A2286" s="940">
        <v>3196</v>
      </c>
      <c r="B2286" s="940">
        <v>4</v>
      </c>
      <c r="C2286" t="s">
        <v>6540</v>
      </c>
      <c r="D2286" s="940" t="s">
        <v>6541</v>
      </c>
      <c r="E2286" t="s">
        <v>222</v>
      </c>
    </row>
    <row r="2287" spans="1:5" x14ac:dyDescent="0.25">
      <c r="A2287" s="940">
        <v>3490</v>
      </c>
      <c r="B2287" s="940">
        <v>0</v>
      </c>
      <c r="C2287" t="s">
        <v>6542</v>
      </c>
      <c r="D2287" s="940" t="s">
        <v>6543</v>
      </c>
      <c r="E2287" t="s">
        <v>137</v>
      </c>
    </row>
    <row r="2288" spans="1:5" x14ac:dyDescent="0.25">
      <c r="A2288" s="940">
        <v>595</v>
      </c>
      <c r="B2288" s="940">
        <v>407</v>
      </c>
      <c r="C2288" t="s">
        <v>6544</v>
      </c>
      <c r="D2288" s="940" t="s">
        <v>4442</v>
      </c>
      <c r="E2288" t="s">
        <v>130</v>
      </c>
    </row>
    <row r="2289" spans="1:5" x14ac:dyDescent="0.25">
      <c r="A2289" s="940">
        <v>657</v>
      </c>
      <c r="B2289" s="940">
        <v>371</v>
      </c>
      <c r="C2289" t="s">
        <v>6545</v>
      </c>
      <c r="D2289" s="940" t="s">
        <v>6546</v>
      </c>
      <c r="E2289" t="s">
        <v>109</v>
      </c>
    </row>
    <row r="2290" spans="1:5" x14ac:dyDescent="0.25">
      <c r="A2290" s="940">
        <v>1346</v>
      </c>
      <c r="B2290" s="940">
        <v>127</v>
      </c>
      <c r="C2290" t="s">
        <v>6545</v>
      </c>
      <c r="D2290" s="940" t="s">
        <v>6547</v>
      </c>
      <c r="E2290" t="s">
        <v>105</v>
      </c>
    </row>
    <row r="2291" spans="1:5" x14ac:dyDescent="0.25">
      <c r="A2291" s="940">
        <v>1322</v>
      </c>
      <c r="B2291" s="940">
        <v>131</v>
      </c>
      <c r="C2291" t="s">
        <v>6548</v>
      </c>
      <c r="D2291" s="940" t="s">
        <v>6549</v>
      </c>
      <c r="E2291" t="s">
        <v>115</v>
      </c>
    </row>
    <row r="2292" spans="1:5" x14ac:dyDescent="0.25">
      <c r="A2292" s="940">
        <v>471</v>
      </c>
      <c r="B2292" s="940">
        <v>504</v>
      </c>
      <c r="C2292" t="s">
        <v>6550</v>
      </c>
      <c r="D2292" s="940" t="s">
        <v>6551</v>
      </c>
      <c r="E2292" t="s">
        <v>3098</v>
      </c>
    </row>
    <row r="2293" spans="1:5" x14ac:dyDescent="0.25">
      <c r="A2293" s="940">
        <v>717</v>
      </c>
      <c r="B2293" s="940">
        <v>338</v>
      </c>
      <c r="C2293" t="s">
        <v>1948</v>
      </c>
      <c r="D2293" s="940" t="s">
        <v>6552</v>
      </c>
      <c r="E2293" t="s">
        <v>105</v>
      </c>
    </row>
    <row r="2294" spans="1:5" x14ac:dyDescent="0.25">
      <c r="A2294" s="940">
        <v>1161</v>
      </c>
      <c r="B2294" s="940">
        <v>166</v>
      </c>
      <c r="C2294" t="s">
        <v>6553</v>
      </c>
      <c r="D2294" s="940" t="s">
        <v>4527</v>
      </c>
      <c r="E2294" t="s">
        <v>4667</v>
      </c>
    </row>
    <row r="2295" spans="1:5" x14ac:dyDescent="0.25">
      <c r="A2295" s="940">
        <v>2441</v>
      </c>
      <c r="B2295" s="940">
        <v>28</v>
      </c>
      <c r="C2295" t="s">
        <v>6554</v>
      </c>
      <c r="D2295" s="940" t="s">
        <v>4355</v>
      </c>
      <c r="E2295" t="s">
        <v>6555</v>
      </c>
    </row>
    <row r="2296" spans="1:5" x14ac:dyDescent="0.25">
      <c r="A2296" s="940">
        <v>2714</v>
      </c>
      <c r="B2296" s="940">
        <v>16</v>
      </c>
      <c r="C2296" t="s">
        <v>6556</v>
      </c>
      <c r="D2296" s="940" t="s">
        <v>4533</v>
      </c>
      <c r="E2296" t="s">
        <v>4722</v>
      </c>
    </row>
    <row r="2297" spans="1:5" x14ac:dyDescent="0.25">
      <c r="A2297" s="940">
        <v>1424</v>
      </c>
      <c r="B2297" s="940">
        <v>116</v>
      </c>
      <c r="C2297" t="s">
        <v>6557</v>
      </c>
      <c r="D2297" s="940" t="s">
        <v>6558</v>
      </c>
      <c r="E2297" t="s">
        <v>2723</v>
      </c>
    </row>
    <row r="2298" spans="1:5" x14ac:dyDescent="0.25">
      <c r="A2298" s="940">
        <v>1489</v>
      </c>
      <c r="B2298" s="940">
        <v>107</v>
      </c>
      <c r="C2298" t="s">
        <v>6559</v>
      </c>
      <c r="D2298" s="940" t="s">
        <v>6560</v>
      </c>
      <c r="E2298" t="s">
        <v>1372</v>
      </c>
    </row>
    <row r="2299" spans="1:5" x14ac:dyDescent="0.25">
      <c r="A2299" s="940">
        <v>3490</v>
      </c>
      <c r="B2299" s="940">
        <v>0</v>
      </c>
      <c r="C2299" t="s">
        <v>6561</v>
      </c>
      <c r="D2299" s="940" t="s">
        <v>6562</v>
      </c>
      <c r="E2299" t="s">
        <v>1236</v>
      </c>
    </row>
    <row r="2300" spans="1:5" x14ac:dyDescent="0.25">
      <c r="A2300" s="940">
        <v>2347</v>
      </c>
      <c r="B2300" s="940">
        <v>33</v>
      </c>
      <c r="C2300" t="s">
        <v>6563</v>
      </c>
      <c r="D2300" s="940" t="s">
        <v>3220</v>
      </c>
      <c r="E2300" t="s">
        <v>1236</v>
      </c>
    </row>
    <row r="2301" spans="1:5" x14ac:dyDescent="0.25">
      <c r="A2301" s="940">
        <v>3327</v>
      </c>
      <c r="B2301" s="940">
        <v>2</v>
      </c>
      <c r="C2301" t="s">
        <v>6564</v>
      </c>
      <c r="D2301" s="940" t="s">
        <v>4072</v>
      </c>
      <c r="E2301" t="s">
        <v>1156</v>
      </c>
    </row>
    <row r="2302" spans="1:5" x14ac:dyDescent="0.25">
      <c r="A2302" s="940">
        <v>751</v>
      </c>
      <c r="B2302" s="940">
        <v>319</v>
      </c>
      <c r="C2302" t="s">
        <v>6565</v>
      </c>
      <c r="D2302" s="940" t="s">
        <v>6566</v>
      </c>
      <c r="E2302" t="s">
        <v>3098</v>
      </c>
    </row>
    <row r="2303" spans="1:5" x14ac:dyDescent="0.25">
      <c r="A2303" s="940">
        <v>3141</v>
      </c>
      <c r="B2303" s="940">
        <v>5</v>
      </c>
      <c r="C2303" t="s">
        <v>6567</v>
      </c>
      <c r="D2303" s="940" t="s">
        <v>4688</v>
      </c>
      <c r="E2303" t="s">
        <v>105</v>
      </c>
    </row>
    <row r="2304" spans="1:5" x14ac:dyDescent="0.25">
      <c r="A2304" s="940">
        <v>585</v>
      </c>
      <c r="B2304" s="940">
        <v>412</v>
      </c>
      <c r="C2304" t="s">
        <v>6568</v>
      </c>
      <c r="D2304" s="940" t="s">
        <v>6569</v>
      </c>
      <c r="E2304" t="s">
        <v>3098</v>
      </c>
    </row>
    <row r="2305" spans="1:5" x14ac:dyDescent="0.25">
      <c r="A2305" s="940">
        <v>2335</v>
      </c>
      <c r="B2305" s="940">
        <v>34</v>
      </c>
      <c r="C2305" t="s">
        <v>6570</v>
      </c>
      <c r="D2305" s="940" t="s">
        <v>2643</v>
      </c>
      <c r="E2305" t="s">
        <v>1906</v>
      </c>
    </row>
    <row r="2306" spans="1:5" x14ac:dyDescent="0.25">
      <c r="A2306" s="940">
        <v>2883</v>
      </c>
      <c r="B2306" s="940">
        <v>11</v>
      </c>
      <c r="C2306" t="s">
        <v>6571</v>
      </c>
      <c r="D2306" s="940" t="s">
        <v>6572</v>
      </c>
      <c r="E2306" t="s">
        <v>120</v>
      </c>
    </row>
    <row r="2307" spans="1:5" x14ac:dyDescent="0.25">
      <c r="A2307" s="940">
        <v>1067</v>
      </c>
      <c r="B2307" s="940">
        <v>194</v>
      </c>
      <c r="C2307" t="s">
        <v>1950</v>
      </c>
      <c r="D2307" s="940" t="s">
        <v>6573</v>
      </c>
      <c r="E2307" t="s">
        <v>120</v>
      </c>
    </row>
    <row r="2308" spans="1:5" x14ac:dyDescent="0.25">
      <c r="A2308" s="940">
        <v>2291</v>
      </c>
      <c r="B2308" s="940">
        <v>37</v>
      </c>
      <c r="C2308" t="s">
        <v>6574</v>
      </c>
      <c r="D2308" s="940" t="s">
        <v>6575</v>
      </c>
      <c r="E2308" t="s">
        <v>105</v>
      </c>
    </row>
    <row r="2309" spans="1:5" x14ac:dyDescent="0.25">
      <c r="A2309" s="940">
        <v>3490</v>
      </c>
      <c r="B2309" s="940">
        <v>0</v>
      </c>
      <c r="C2309" t="s">
        <v>6576</v>
      </c>
      <c r="D2309" s="940" t="s">
        <v>6577</v>
      </c>
      <c r="E2309" t="s">
        <v>105</v>
      </c>
    </row>
    <row r="2310" spans="1:5" x14ac:dyDescent="0.25">
      <c r="A2310" s="940">
        <v>201</v>
      </c>
      <c r="B2310" s="940">
        <v>889</v>
      </c>
      <c r="C2310" t="s">
        <v>6578</v>
      </c>
      <c r="D2310" s="940" t="s">
        <v>6579</v>
      </c>
      <c r="E2310" t="s">
        <v>105</v>
      </c>
    </row>
    <row r="2311" spans="1:5" x14ac:dyDescent="0.25">
      <c r="A2311" s="940">
        <v>2256</v>
      </c>
      <c r="B2311" s="940">
        <v>39</v>
      </c>
      <c r="C2311" t="s">
        <v>6580</v>
      </c>
      <c r="D2311" s="940" t="s">
        <v>6581</v>
      </c>
      <c r="E2311" t="s">
        <v>99</v>
      </c>
    </row>
    <row r="2312" spans="1:5" x14ac:dyDescent="0.25">
      <c r="A2312" s="940">
        <v>158</v>
      </c>
      <c r="B2312" s="940">
        <v>962</v>
      </c>
      <c r="C2312" t="s">
        <v>6582</v>
      </c>
      <c r="D2312" s="940" t="s">
        <v>6583</v>
      </c>
      <c r="E2312" t="s">
        <v>122</v>
      </c>
    </row>
    <row r="2313" spans="1:5" x14ac:dyDescent="0.25">
      <c r="A2313" s="940">
        <v>2291</v>
      </c>
      <c r="B2313" s="940">
        <v>37</v>
      </c>
      <c r="C2313" t="s">
        <v>6584</v>
      </c>
      <c r="D2313" s="940" t="s">
        <v>6585</v>
      </c>
      <c r="E2313" t="s">
        <v>1214</v>
      </c>
    </row>
    <row r="2314" spans="1:5" x14ac:dyDescent="0.25">
      <c r="A2314" s="940">
        <v>3265</v>
      </c>
      <c r="B2314" s="940">
        <v>3</v>
      </c>
      <c r="C2314" t="s">
        <v>6586</v>
      </c>
      <c r="D2314" s="940" t="s">
        <v>6587</v>
      </c>
      <c r="E2314" t="s">
        <v>2880</v>
      </c>
    </row>
    <row r="2315" spans="1:5" x14ac:dyDescent="0.25">
      <c r="A2315" s="940">
        <v>2515</v>
      </c>
      <c r="B2315" s="940">
        <v>24</v>
      </c>
      <c r="C2315" t="s">
        <v>6588</v>
      </c>
      <c r="D2315" s="940" t="s">
        <v>5026</v>
      </c>
      <c r="E2315" t="s">
        <v>1327</v>
      </c>
    </row>
    <row r="2316" spans="1:5" x14ac:dyDescent="0.25">
      <c r="A2316" s="940">
        <v>1653</v>
      </c>
      <c r="B2316" s="940">
        <v>89</v>
      </c>
      <c r="C2316" t="s">
        <v>6589</v>
      </c>
      <c r="D2316" s="940" t="s">
        <v>3741</v>
      </c>
      <c r="E2316" t="s">
        <v>3098</v>
      </c>
    </row>
    <row r="2317" spans="1:5" x14ac:dyDescent="0.25">
      <c r="A2317" s="940">
        <v>637</v>
      </c>
      <c r="B2317" s="940">
        <v>381</v>
      </c>
      <c r="C2317" t="s">
        <v>6590</v>
      </c>
      <c r="D2317" s="940" t="s">
        <v>6591</v>
      </c>
      <c r="E2317" t="s">
        <v>1246</v>
      </c>
    </row>
    <row r="2318" spans="1:5" x14ac:dyDescent="0.25">
      <c r="A2318" s="940">
        <v>3490</v>
      </c>
      <c r="B2318" s="940">
        <v>0</v>
      </c>
      <c r="C2318" t="s">
        <v>6592</v>
      </c>
      <c r="D2318" s="940" t="s">
        <v>6270</v>
      </c>
      <c r="E2318" t="s">
        <v>120</v>
      </c>
    </row>
    <row r="2319" spans="1:5" x14ac:dyDescent="0.25">
      <c r="A2319" s="940">
        <v>1247</v>
      </c>
      <c r="B2319" s="940">
        <v>146</v>
      </c>
      <c r="C2319" t="s">
        <v>2566</v>
      </c>
      <c r="D2319" s="940" t="s">
        <v>4927</v>
      </c>
      <c r="E2319" t="s">
        <v>127</v>
      </c>
    </row>
    <row r="2320" spans="1:5" x14ac:dyDescent="0.25">
      <c r="A2320" s="940">
        <v>1017</v>
      </c>
      <c r="B2320" s="940">
        <v>210</v>
      </c>
      <c r="C2320" t="s">
        <v>2527</v>
      </c>
      <c r="D2320" s="940" t="s">
        <v>6593</v>
      </c>
      <c r="E2320" t="s">
        <v>5344</v>
      </c>
    </row>
    <row r="2321" spans="1:5" x14ac:dyDescent="0.25">
      <c r="A2321" s="940">
        <v>919</v>
      </c>
      <c r="B2321" s="940">
        <v>248</v>
      </c>
      <c r="C2321" t="s">
        <v>6594</v>
      </c>
      <c r="D2321" s="940" t="s">
        <v>3021</v>
      </c>
      <c r="E2321" t="s">
        <v>113</v>
      </c>
    </row>
    <row r="2322" spans="1:5" x14ac:dyDescent="0.25">
      <c r="A2322" s="940">
        <v>2129</v>
      </c>
      <c r="B2322" s="940">
        <v>46</v>
      </c>
      <c r="C2322" t="s">
        <v>6594</v>
      </c>
      <c r="D2322" s="940" t="s">
        <v>6595</v>
      </c>
      <c r="E2322" t="s">
        <v>1587</v>
      </c>
    </row>
    <row r="2323" spans="1:5" x14ac:dyDescent="0.25">
      <c r="A2323" s="940">
        <v>3490</v>
      </c>
      <c r="B2323" s="940">
        <v>0</v>
      </c>
      <c r="C2323" t="s">
        <v>6596</v>
      </c>
      <c r="D2323" s="940" t="s">
        <v>6597</v>
      </c>
      <c r="E2323" t="s">
        <v>1363</v>
      </c>
    </row>
    <row r="2324" spans="1:5" x14ac:dyDescent="0.25">
      <c r="A2324" s="940">
        <v>907</v>
      </c>
      <c r="B2324" s="940">
        <v>252</v>
      </c>
      <c r="C2324" t="s">
        <v>1953</v>
      </c>
      <c r="D2324" s="940" t="s">
        <v>6598</v>
      </c>
      <c r="E2324" t="s">
        <v>176</v>
      </c>
    </row>
    <row r="2325" spans="1:5" x14ac:dyDescent="0.25">
      <c r="A2325" s="940">
        <v>3490</v>
      </c>
      <c r="B2325" s="940">
        <v>0</v>
      </c>
      <c r="C2325" t="s">
        <v>6599</v>
      </c>
      <c r="D2325" s="940" t="s">
        <v>6600</v>
      </c>
      <c r="E2325" t="s">
        <v>120</v>
      </c>
    </row>
    <row r="2326" spans="1:5" x14ac:dyDescent="0.25">
      <c r="A2326" s="940">
        <v>3490</v>
      </c>
      <c r="B2326" s="940">
        <v>0</v>
      </c>
      <c r="C2326" t="s">
        <v>6601</v>
      </c>
      <c r="D2326" s="940" t="s">
        <v>4039</v>
      </c>
      <c r="E2326" t="s">
        <v>120</v>
      </c>
    </row>
    <row r="2327" spans="1:5" x14ac:dyDescent="0.25">
      <c r="A2327" s="940">
        <v>1026</v>
      </c>
      <c r="B2327" s="940">
        <v>206</v>
      </c>
      <c r="C2327" t="s">
        <v>6602</v>
      </c>
      <c r="D2327" s="940" t="s">
        <v>6603</v>
      </c>
      <c r="E2327" t="s">
        <v>164</v>
      </c>
    </row>
    <row r="2328" spans="1:5" x14ac:dyDescent="0.25">
      <c r="A2328" s="940">
        <v>857</v>
      </c>
      <c r="B2328" s="940">
        <v>270</v>
      </c>
      <c r="C2328" t="s">
        <v>6604</v>
      </c>
      <c r="D2328" s="940" t="s">
        <v>2809</v>
      </c>
      <c r="E2328" t="s">
        <v>112</v>
      </c>
    </row>
    <row r="2329" spans="1:5" x14ac:dyDescent="0.25">
      <c r="A2329" s="940">
        <v>3490</v>
      </c>
      <c r="B2329" s="940">
        <v>0</v>
      </c>
      <c r="C2329" t="s">
        <v>6605</v>
      </c>
      <c r="D2329" s="940" t="s">
        <v>6606</v>
      </c>
      <c r="E2329" t="s">
        <v>112</v>
      </c>
    </row>
    <row r="2330" spans="1:5" x14ac:dyDescent="0.25">
      <c r="A2330" s="940">
        <v>1942</v>
      </c>
      <c r="B2330" s="940">
        <v>61</v>
      </c>
      <c r="C2330" t="s">
        <v>6607</v>
      </c>
      <c r="D2330" s="940" t="s">
        <v>6608</v>
      </c>
      <c r="E2330" t="s">
        <v>117</v>
      </c>
    </row>
    <row r="2331" spans="1:5" x14ac:dyDescent="0.25">
      <c r="A2331" s="940">
        <v>1627</v>
      </c>
      <c r="B2331" s="940">
        <v>92</v>
      </c>
      <c r="C2331" t="s">
        <v>1956</v>
      </c>
      <c r="D2331" s="940" t="s">
        <v>6609</v>
      </c>
      <c r="E2331" t="s">
        <v>171</v>
      </c>
    </row>
    <row r="2332" spans="1:5" x14ac:dyDescent="0.25">
      <c r="A2332" s="940">
        <v>2959</v>
      </c>
      <c r="B2332" s="940">
        <v>9</v>
      </c>
      <c r="C2332" t="s">
        <v>6610</v>
      </c>
      <c r="D2332" s="940" t="s">
        <v>6200</v>
      </c>
      <c r="E2332" t="s">
        <v>222</v>
      </c>
    </row>
    <row r="2333" spans="1:5" x14ac:dyDescent="0.25">
      <c r="A2333" s="940">
        <v>1227</v>
      </c>
      <c r="B2333" s="940">
        <v>150</v>
      </c>
      <c r="C2333" t="s">
        <v>6611</v>
      </c>
      <c r="D2333" s="940" t="s">
        <v>6612</v>
      </c>
      <c r="E2333" t="s">
        <v>122</v>
      </c>
    </row>
    <row r="2334" spans="1:5" x14ac:dyDescent="0.25">
      <c r="A2334" s="940">
        <v>3490</v>
      </c>
      <c r="B2334" s="940">
        <v>0</v>
      </c>
      <c r="C2334" t="s">
        <v>6613</v>
      </c>
      <c r="D2334" s="940" t="s">
        <v>6614</v>
      </c>
      <c r="E2334" t="s">
        <v>128</v>
      </c>
    </row>
    <row r="2335" spans="1:5" x14ac:dyDescent="0.25">
      <c r="A2335" s="940">
        <v>2659</v>
      </c>
      <c r="B2335" s="940">
        <v>18</v>
      </c>
      <c r="C2335" t="s">
        <v>6615</v>
      </c>
      <c r="D2335" s="940" t="s">
        <v>4566</v>
      </c>
      <c r="E2335" t="s">
        <v>120</v>
      </c>
    </row>
    <row r="2336" spans="1:5" x14ac:dyDescent="0.25">
      <c r="A2336" s="940">
        <v>2907</v>
      </c>
      <c r="B2336" s="940">
        <v>10</v>
      </c>
      <c r="C2336" t="s">
        <v>6615</v>
      </c>
      <c r="D2336" s="940" t="s">
        <v>3654</v>
      </c>
      <c r="E2336" t="s">
        <v>105</v>
      </c>
    </row>
    <row r="2337" spans="1:5" x14ac:dyDescent="0.25">
      <c r="A2337" s="940">
        <v>2907</v>
      </c>
      <c r="B2337" s="940">
        <v>10</v>
      </c>
      <c r="C2337" t="s">
        <v>6616</v>
      </c>
      <c r="D2337" s="940" t="s">
        <v>6617</v>
      </c>
      <c r="E2337" t="s">
        <v>105</v>
      </c>
    </row>
    <row r="2338" spans="1:5" x14ac:dyDescent="0.25">
      <c r="A2338" s="940">
        <v>2004</v>
      </c>
      <c r="B2338" s="940">
        <v>55</v>
      </c>
      <c r="C2338" t="s">
        <v>6618</v>
      </c>
      <c r="D2338" s="940" t="s">
        <v>3741</v>
      </c>
      <c r="E2338" t="s">
        <v>3098</v>
      </c>
    </row>
    <row r="2339" spans="1:5" x14ac:dyDescent="0.25">
      <c r="A2339" s="940">
        <v>3327</v>
      </c>
      <c r="B2339" s="940">
        <v>2</v>
      </c>
      <c r="C2339" t="s">
        <v>6619</v>
      </c>
      <c r="D2339" s="940" t="s">
        <v>6572</v>
      </c>
      <c r="E2339" t="s">
        <v>1290</v>
      </c>
    </row>
    <row r="2340" spans="1:5" x14ac:dyDescent="0.25">
      <c r="A2340" s="940">
        <v>1003</v>
      </c>
      <c r="B2340" s="940">
        <v>214</v>
      </c>
      <c r="C2340" t="s">
        <v>1958</v>
      </c>
      <c r="D2340" s="940" t="s">
        <v>4494</v>
      </c>
      <c r="E2340" t="s">
        <v>105</v>
      </c>
    </row>
    <row r="2341" spans="1:5" x14ac:dyDescent="0.25">
      <c r="A2341" s="940">
        <v>3490</v>
      </c>
      <c r="B2341" s="940">
        <v>0</v>
      </c>
      <c r="C2341" t="s">
        <v>6620</v>
      </c>
      <c r="D2341" s="940" t="s">
        <v>6621</v>
      </c>
      <c r="E2341" t="s">
        <v>105</v>
      </c>
    </row>
    <row r="2342" spans="1:5" x14ac:dyDescent="0.25">
      <c r="A2342" s="940">
        <v>3196</v>
      </c>
      <c r="B2342" s="940">
        <v>4</v>
      </c>
      <c r="C2342" t="s">
        <v>6622</v>
      </c>
      <c r="D2342" s="940" t="s">
        <v>6623</v>
      </c>
      <c r="E2342" t="s">
        <v>6624</v>
      </c>
    </row>
    <row r="2343" spans="1:5" x14ac:dyDescent="0.25">
      <c r="A2343" s="940">
        <v>3045</v>
      </c>
      <c r="B2343" s="940">
        <v>7</v>
      </c>
      <c r="C2343" t="s">
        <v>6625</v>
      </c>
      <c r="D2343" s="940" t="s">
        <v>4543</v>
      </c>
      <c r="E2343" t="s">
        <v>130</v>
      </c>
    </row>
    <row r="2344" spans="1:5" x14ac:dyDescent="0.25">
      <c r="A2344" s="940">
        <v>2515</v>
      </c>
      <c r="B2344" s="940">
        <v>24</v>
      </c>
      <c r="C2344" t="s">
        <v>6626</v>
      </c>
      <c r="D2344" s="940" t="s">
        <v>6627</v>
      </c>
      <c r="E2344" t="s">
        <v>105</v>
      </c>
    </row>
    <row r="2345" spans="1:5" x14ac:dyDescent="0.25">
      <c r="A2345" s="940">
        <v>1562</v>
      </c>
      <c r="B2345" s="940">
        <v>99</v>
      </c>
      <c r="C2345" t="s">
        <v>6628</v>
      </c>
      <c r="D2345" s="940" t="s">
        <v>6629</v>
      </c>
      <c r="E2345" t="s">
        <v>4572</v>
      </c>
    </row>
    <row r="2346" spans="1:5" x14ac:dyDescent="0.25">
      <c r="A2346" s="940">
        <v>3490</v>
      </c>
      <c r="B2346" s="940">
        <v>0</v>
      </c>
      <c r="C2346" t="s">
        <v>6630</v>
      </c>
      <c r="D2346" s="940" t="s">
        <v>4519</v>
      </c>
      <c r="E2346" t="s">
        <v>136</v>
      </c>
    </row>
    <row r="2347" spans="1:5" x14ac:dyDescent="0.25">
      <c r="A2347" s="940">
        <v>3490</v>
      </c>
      <c r="B2347" s="940">
        <v>0</v>
      </c>
      <c r="C2347" t="s">
        <v>6631</v>
      </c>
      <c r="D2347" s="940" t="s">
        <v>6632</v>
      </c>
      <c r="E2347" t="s">
        <v>105</v>
      </c>
    </row>
    <row r="2348" spans="1:5" x14ac:dyDescent="0.25">
      <c r="A2348" s="940">
        <v>3490</v>
      </c>
      <c r="B2348" s="940">
        <v>0</v>
      </c>
      <c r="C2348" t="s">
        <v>6633</v>
      </c>
      <c r="D2348" s="940" t="s">
        <v>4013</v>
      </c>
      <c r="E2348" t="s">
        <v>1285</v>
      </c>
    </row>
    <row r="2349" spans="1:5" x14ac:dyDescent="0.25">
      <c r="A2349" s="940">
        <v>1400</v>
      </c>
      <c r="B2349" s="940">
        <v>120</v>
      </c>
      <c r="C2349" t="s">
        <v>6634</v>
      </c>
      <c r="D2349" s="940" t="s">
        <v>6635</v>
      </c>
      <c r="E2349" t="s">
        <v>2880</v>
      </c>
    </row>
    <row r="2350" spans="1:5" x14ac:dyDescent="0.25">
      <c r="A2350" s="940">
        <v>126</v>
      </c>
      <c r="B2350" s="940">
        <v>1033</v>
      </c>
      <c r="C2350" t="s">
        <v>6636</v>
      </c>
      <c r="D2350" s="940" t="s">
        <v>6637</v>
      </c>
      <c r="E2350" t="s">
        <v>120</v>
      </c>
    </row>
    <row r="2351" spans="1:5" x14ac:dyDescent="0.25">
      <c r="A2351" s="940">
        <v>3490</v>
      </c>
      <c r="B2351" s="940">
        <v>0</v>
      </c>
      <c r="C2351" t="s">
        <v>6638</v>
      </c>
      <c r="D2351" s="940" t="s">
        <v>6639</v>
      </c>
      <c r="E2351" t="s">
        <v>3687</v>
      </c>
    </row>
    <row r="2352" spans="1:5" x14ac:dyDescent="0.25">
      <c r="A2352" s="940">
        <v>95</v>
      </c>
      <c r="B2352" s="940">
        <v>1126</v>
      </c>
      <c r="C2352" t="s">
        <v>6640</v>
      </c>
      <c r="D2352" s="940" t="s">
        <v>6641</v>
      </c>
      <c r="E2352" t="s">
        <v>120</v>
      </c>
    </row>
    <row r="2353" spans="1:5" x14ac:dyDescent="0.25">
      <c r="A2353" s="940">
        <v>3490</v>
      </c>
      <c r="B2353" s="940">
        <v>0</v>
      </c>
      <c r="C2353" t="s">
        <v>6642</v>
      </c>
      <c r="D2353" s="940" t="s">
        <v>6643</v>
      </c>
      <c r="E2353" t="s">
        <v>120</v>
      </c>
    </row>
    <row r="2354" spans="1:5" x14ac:dyDescent="0.25">
      <c r="A2354" s="940">
        <v>3395</v>
      </c>
      <c r="B2354" s="940">
        <v>1</v>
      </c>
      <c r="C2354" t="s">
        <v>6644</v>
      </c>
      <c r="D2354" s="940" t="s">
        <v>6429</v>
      </c>
      <c r="E2354" t="s">
        <v>1256</v>
      </c>
    </row>
    <row r="2355" spans="1:5" x14ac:dyDescent="0.25">
      <c r="A2355" s="940">
        <v>2582</v>
      </c>
      <c r="B2355" s="940">
        <v>21</v>
      </c>
      <c r="C2355" t="s">
        <v>6645</v>
      </c>
      <c r="D2355" s="940" t="s">
        <v>6646</v>
      </c>
      <c r="E2355" t="s">
        <v>99</v>
      </c>
    </row>
    <row r="2356" spans="1:5" x14ac:dyDescent="0.25">
      <c r="A2356" s="940">
        <v>479</v>
      </c>
      <c r="B2356" s="940">
        <v>493</v>
      </c>
      <c r="C2356" t="s">
        <v>6647</v>
      </c>
      <c r="D2356" s="940" t="s">
        <v>6648</v>
      </c>
      <c r="E2356" t="s">
        <v>2928</v>
      </c>
    </row>
    <row r="2357" spans="1:5" x14ac:dyDescent="0.25">
      <c r="A2357" s="940">
        <v>2839</v>
      </c>
      <c r="B2357" s="940">
        <v>12</v>
      </c>
      <c r="C2357" t="s">
        <v>6649</v>
      </c>
      <c r="D2357" s="940" t="s">
        <v>6650</v>
      </c>
      <c r="E2357" t="s">
        <v>2913</v>
      </c>
    </row>
    <row r="2358" spans="1:5" x14ac:dyDescent="0.25">
      <c r="A2358" s="940">
        <v>1505</v>
      </c>
      <c r="B2358" s="940">
        <v>105</v>
      </c>
      <c r="C2358" t="s">
        <v>6651</v>
      </c>
      <c r="D2358" s="940" t="s">
        <v>3790</v>
      </c>
      <c r="E2358" t="s">
        <v>103</v>
      </c>
    </row>
    <row r="2359" spans="1:5" x14ac:dyDescent="0.25">
      <c r="A2359" s="940">
        <v>3490</v>
      </c>
      <c r="B2359" s="940">
        <v>0</v>
      </c>
      <c r="C2359" t="s">
        <v>6652</v>
      </c>
      <c r="D2359" s="940" t="s">
        <v>3537</v>
      </c>
      <c r="E2359" t="s">
        <v>163</v>
      </c>
    </row>
    <row r="2360" spans="1:5" x14ac:dyDescent="0.25">
      <c r="A2360" s="940">
        <v>2499</v>
      </c>
      <c r="B2360" s="940">
        <v>25</v>
      </c>
      <c r="C2360" t="s">
        <v>6653</v>
      </c>
      <c r="D2360" s="940" t="s">
        <v>3981</v>
      </c>
      <c r="E2360" t="s">
        <v>106</v>
      </c>
    </row>
    <row r="2361" spans="1:5" x14ac:dyDescent="0.25">
      <c r="A2361" s="940">
        <v>3089</v>
      </c>
      <c r="B2361" s="940">
        <v>6</v>
      </c>
      <c r="C2361" t="s">
        <v>6654</v>
      </c>
      <c r="D2361" s="940" t="s">
        <v>6547</v>
      </c>
      <c r="E2361" t="s">
        <v>140</v>
      </c>
    </row>
    <row r="2362" spans="1:5" x14ac:dyDescent="0.25">
      <c r="A2362" s="940">
        <v>2814</v>
      </c>
      <c r="B2362" s="940">
        <v>13</v>
      </c>
      <c r="C2362" t="s">
        <v>6655</v>
      </c>
      <c r="D2362" s="940" t="s">
        <v>6018</v>
      </c>
      <c r="E2362" t="s">
        <v>2237</v>
      </c>
    </row>
    <row r="2363" spans="1:5" x14ac:dyDescent="0.25">
      <c r="A2363" s="940">
        <v>3490</v>
      </c>
      <c r="B2363" s="940">
        <v>0</v>
      </c>
      <c r="C2363" t="s">
        <v>6656</v>
      </c>
      <c r="D2363" s="940" t="s">
        <v>5877</v>
      </c>
      <c r="E2363" t="s">
        <v>3951</v>
      </c>
    </row>
    <row r="2364" spans="1:5" x14ac:dyDescent="0.25">
      <c r="A2364" s="940">
        <v>3490</v>
      </c>
      <c r="B2364" s="940">
        <v>0</v>
      </c>
      <c r="C2364" t="s">
        <v>6657</v>
      </c>
      <c r="D2364" s="940" t="s">
        <v>3127</v>
      </c>
      <c r="E2364" t="s">
        <v>120</v>
      </c>
    </row>
    <row r="2365" spans="1:5" x14ac:dyDescent="0.25">
      <c r="A2365" s="940">
        <v>3490</v>
      </c>
      <c r="B2365" s="940">
        <v>0</v>
      </c>
      <c r="C2365" t="s">
        <v>6658</v>
      </c>
      <c r="D2365" s="940" t="s">
        <v>5297</v>
      </c>
      <c r="E2365" t="s">
        <v>105</v>
      </c>
    </row>
    <row r="2366" spans="1:5" x14ac:dyDescent="0.25">
      <c r="A2366" s="940">
        <v>366</v>
      </c>
      <c r="B2366" s="940">
        <v>616</v>
      </c>
      <c r="C2366" t="s">
        <v>6659</v>
      </c>
      <c r="D2366" s="940" t="s">
        <v>6660</v>
      </c>
      <c r="E2366" t="s">
        <v>1961</v>
      </c>
    </row>
    <row r="2367" spans="1:5" x14ac:dyDescent="0.25">
      <c r="A2367" s="940">
        <v>433</v>
      </c>
      <c r="B2367" s="940">
        <v>539</v>
      </c>
      <c r="C2367" t="s">
        <v>6661</v>
      </c>
      <c r="D2367" s="940" t="s">
        <v>6662</v>
      </c>
      <c r="E2367" t="s">
        <v>144</v>
      </c>
    </row>
    <row r="2368" spans="1:5" x14ac:dyDescent="0.25">
      <c r="A2368" s="940">
        <v>506</v>
      </c>
      <c r="B2368" s="940">
        <v>461</v>
      </c>
      <c r="C2368" t="s">
        <v>6663</v>
      </c>
      <c r="D2368" s="940" t="s">
        <v>4046</v>
      </c>
      <c r="E2368" t="s">
        <v>144</v>
      </c>
    </row>
    <row r="2369" spans="1:5" x14ac:dyDescent="0.25">
      <c r="A2369" s="940">
        <v>3490</v>
      </c>
      <c r="B2369" s="940">
        <v>0</v>
      </c>
      <c r="C2369" t="s">
        <v>6664</v>
      </c>
      <c r="D2369" s="940" t="s">
        <v>6665</v>
      </c>
      <c r="E2369" t="s">
        <v>1507</v>
      </c>
    </row>
    <row r="2370" spans="1:5" x14ac:dyDescent="0.25">
      <c r="A2370" s="940">
        <v>1730</v>
      </c>
      <c r="B2370" s="940">
        <v>80</v>
      </c>
      <c r="C2370" t="s">
        <v>6666</v>
      </c>
      <c r="D2370" s="940" t="s">
        <v>3210</v>
      </c>
      <c r="E2370" t="s">
        <v>6667</v>
      </c>
    </row>
    <row r="2371" spans="1:5" x14ac:dyDescent="0.25">
      <c r="A2371" s="940">
        <v>411</v>
      </c>
      <c r="B2371" s="940">
        <v>561</v>
      </c>
      <c r="C2371" t="s">
        <v>6668</v>
      </c>
      <c r="D2371" s="940" t="s">
        <v>3974</v>
      </c>
      <c r="E2371" t="s">
        <v>1267</v>
      </c>
    </row>
    <row r="2372" spans="1:5" x14ac:dyDescent="0.25">
      <c r="A2372" s="940">
        <v>1284</v>
      </c>
      <c r="B2372" s="940">
        <v>139</v>
      </c>
      <c r="C2372" t="s">
        <v>6668</v>
      </c>
      <c r="D2372" s="940" t="s">
        <v>5524</v>
      </c>
      <c r="E2372" t="s">
        <v>105</v>
      </c>
    </row>
    <row r="2373" spans="1:5" x14ac:dyDescent="0.25">
      <c r="A2373" s="940">
        <v>2839</v>
      </c>
      <c r="B2373" s="940">
        <v>12</v>
      </c>
      <c r="C2373" t="s">
        <v>6669</v>
      </c>
      <c r="D2373" s="940" t="s">
        <v>6670</v>
      </c>
      <c r="E2373" t="s">
        <v>138</v>
      </c>
    </row>
    <row r="2374" spans="1:5" x14ac:dyDescent="0.25">
      <c r="A2374" s="940">
        <v>898</v>
      </c>
      <c r="B2374" s="940">
        <v>255</v>
      </c>
      <c r="C2374" t="s">
        <v>6671</v>
      </c>
      <c r="D2374" s="940" t="s">
        <v>6672</v>
      </c>
      <c r="E2374" t="s">
        <v>2549</v>
      </c>
    </row>
    <row r="2375" spans="1:5" x14ac:dyDescent="0.25">
      <c r="A2375" s="940">
        <v>3490</v>
      </c>
      <c r="B2375" s="940">
        <v>0</v>
      </c>
      <c r="C2375" t="s">
        <v>6673</v>
      </c>
      <c r="D2375" s="940" t="s">
        <v>3301</v>
      </c>
      <c r="E2375" t="s">
        <v>127</v>
      </c>
    </row>
    <row r="2376" spans="1:5" x14ac:dyDescent="0.25">
      <c r="A2376" s="940">
        <v>2907</v>
      </c>
      <c r="B2376" s="940">
        <v>10</v>
      </c>
      <c r="C2376" t="s">
        <v>6674</v>
      </c>
      <c r="D2376" s="940" t="s">
        <v>6675</v>
      </c>
      <c r="E2376" t="s">
        <v>119</v>
      </c>
    </row>
    <row r="2377" spans="1:5" x14ac:dyDescent="0.25">
      <c r="A2377" s="940">
        <v>3395</v>
      </c>
      <c r="B2377" s="940">
        <v>1</v>
      </c>
      <c r="C2377" t="s">
        <v>6676</v>
      </c>
      <c r="D2377" s="940" t="s">
        <v>6677</v>
      </c>
      <c r="E2377" t="s">
        <v>1192</v>
      </c>
    </row>
    <row r="2378" spans="1:5" x14ac:dyDescent="0.25">
      <c r="A2378" s="940">
        <v>2743</v>
      </c>
      <c r="B2378" s="940">
        <v>15</v>
      </c>
      <c r="C2378" t="s">
        <v>6678</v>
      </c>
      <c r="D2378" s="940" t="s">
        <v>6679</v>
      </c>
      <c r="E2378" t="s">
        <v>1236</v>
      </c>
    </row>
    <row r="2379" spans="1:5" x14ac:dyDescent="0.25">
      <c r="A2379" s="940">
        <v>833</v>
      </c>
      <c r="B2379" s="940">
        <v>284</v>
      </c>
      <c r="C2379" t="s">
        <v>6680</v>
      </c>
      <c r="D2379" s="940" t="s">
        <v>6681</v>
      </c>
      <c r="E2379" t="s">
        <v>120</v>
      </c>
    </row>
    <row r="2380" spans="1:5" x14ac:dyDescent="0.25">
      <c r="A2380" s="940">
        <v>459</v>
      </c>
      <c r="B2380" s="940">
        <v>511</v>
      </c>
      <c r="C2380" t="s">
        <v>6682</v>
      </c>
      <c r="D2380" s="940" t="s">
        <v>6683</v>
      </c>
      <c r="E2380" t="s">
        <v>107</v>
      </c>
    </row>
    <row r="2381" spans="1:5" x14ac:dyDescent="0.25">
      <c r="A2381" s="940">
        <v>3490</v>
      </c>
      <c r="B2381" s="940">
        <v>0</v>
      </c>
      <c r="C2381" t="s">
        <v>6684</v>
      </c>
      <c r="D2381" s="940" t="s">
        <v>3256</v>
      </c>
      <c r="E2381" t="s">
        <v>1939</v>
      </c>
    </row>
    <row r="2382" spans="1:5" x14ac:dyDescent="0.25">
      <c r="A2382" s="940">
        <v>492</v>
      </c>
      <c r="B2382" s="940">
        <v>479</v>
      </c>
      <c r="C2382" t="s">
        <v>6685</v>
      </c>
      <c r="D2382" s="940" t="s">
        <v>5023</v>
      </c>
      <c r="E2382" t="s">
        <v>120</v>
      </c>
    </row>
    <row r="2383" spans="1:5" x14ac:dyDescent="0.25">
      <c r="A2383" s="940">
        <v>1968</v>
      </c>
      <c r="B2383" s="940">
        <v>59</v>
      </c>
      <c r="C2383" t="s">
        <v>6686</v>
      </c>
      <c r="D2383" s="940" t="s">
        <v>4151</v>
      </c>
      <c r="E2383" t="s">
        <v>105</v>
      </c>
    </row>
    <row r="2384" spans="1:5" x14ac:dyDescent="0.25">
      <c r="A2384" s="940">
        <v>3490</v>
      </c>
      <c r="B2384" s="940">
        <v>0</v>
      </c>
      <c r="C2384" t="s">
        <v>6687</v>
      </c>
      <c r="D2384" s="940" t="s">
        <v>4407</v>
      </c>
      <c r="E2384" t="s">
        <v>3383</v>
      </c>
    </row>
    <row r="2385" spans="1:5" x14ac:dyDescent="0.25">
      <c r="A2385" s="940">
        <v>1942</v>
      </c>
      <c r="B2385" s="940">
        <v>61</v>
      </c>
      <c r="C2385" t="s">
        <v>6688</v>
      </c>
      <c r="D2385" s="940" t="s">
        <v>3372</v>
      </c>
      <c r="E2385" t="s">
        <v>1236</v>
      </c>
    </row>
    <row r="2386" spans="1:5" x14ac:dyDescent="0.25">
      <c r="A2386" s="940">
        <v>966</v>
      </c>
      <c r="B2386" s="940">
        <v>230</v>
      </c>
      <c r="C2386" t="s">
        <v>6689</v>
      </c>
      <c r="D2386" s="940" t="s">
        <v>6690</v>
      </c>
      <c r="E2386" t="s">
        <v>246</v>
      </c>
    </row>
    <row r="2387" spans="1:5" x14ac:dyDescent="0.25">
      <c r="A2387" s="940">
        <v>2996</v>
      </c>
      <c r="B2387" s="940">
        <v>8</v>
      </c>
      <c r="C2387" t="s">
        <v>6691</v>
      </c>
      <c r="D2387" s="940" t="s">
        <v>3670</v>
      </c>
      <c r="E2387" t="s">
        <v>1158</v>
      </c>
    </row>
    <row r="2388" spans="1:5" x14ac:dyDescent="0.25">
      <c r="A2388" s="940">
        <v>1220</v>
      </c>
      <c r="B2388" s="940">
        <v>151</v>
      </c>
      <c r="C2388" t="s">
        <v>6692</v>
      </c>
      <c r="D2388" s="940" t="s">
        <v>6693</v>
      </c>
      <c r="E2388" t="s">
        <v>99</v>
      </c>
    </row>
    <row r="2389" spans="1:5" x14ac:dyDescent="0.25">
      <c r="A2389" s="940">
        <v>2714</v>
      </c>
      <c r="B2389" s="940">
        <v>16</v>
      </c>
      <c r="C2389" t="s">
        <v>289</v>
      </c>
      <c r="D2389" s="940" t="s">
        <v>6334</v>
      </c>
      <c r="E2389" t="s">
        <v>243</v>
      </c>
    </row>
    <row r="2390" spans="1:5" x14ac:dyDescent="0.25">
      <c r="A2390" s="940">
        <v>2312</v>
      </c>
      <c r="B2390" s="940">
        <v>36</v>
      </c>
      <c r="C2390" t="s">
        <v>6694</v>
      </c>
      <c r="D2390" s="940" t="s">
        <v>6368</v>
      </c>
      <c r="E2390" t="s">
        <v>2793</v>
      </c>
    </row>
    <row r="2391" spans="1:5" x14ac:dyDescent="0.25">
      <c r="A2391" s="940">
        <v>3490</v>
      </c>
      <c r="B2391" s="940">
        <v>0</v>
      </c>
      <c r="C2391" t="s">
        <v>6695</v>
      </c>
      <c r="D2391" s="940" t="s">
        <v>2684</v>
      </c>
      <c r="E2391" t="s">
        <v>3218</v>
      </c>
    </row>
    <row r="2392" spans="1:5" x14ac:dyDescent="0.25">
      <c r="A2392" s="940">
        <v>1672</v>
      </c>
      <c r="B2392" s="940">
        <v>86</v>
      </c>
      <c r="C2392" t="s">
        <v>6696</v>
      </c>
      <c r="D2392" s="940" t="s">
        <v>6697</v>
      </c>
      <c r="E2392" t="s">
        <v>99</v>
      </c>
    </row>
    <row r="2393" spans="1:5" x14ac:dyDescent="0.25">
      <c r="A2393" s="940">
        <v>3490</v>
      </c>
      <c r="B2393" s="940">
        <v>0</v>
      </c>
      <c r="C2393" t="s">
        <v>6698</v>
      </c>
      <c r="D2393" s="940" t="s">
        <v>6699</v>
      </c>
      <c r="E2393" t="s">
        <v>120</v>
      </c>
    </row>
    <row r="2394" spans="1:5" x14ac:dyDescent="0.25">
      <c r="A2394" s="940">
        <v>3089</v>
      </c>
      <c r="B2394" s="940">
        <v>6</v>
      </c>
      <c r="C2394" t="s">
        <v>6700</v>
      </c>
      <c r="D2394" s="940" t="s">
        <v>6701</v>
      </c>
      <c r="E2394" t="s">
        <v>120</v>
      </c>
    </row>
    <row r="2395" spans="1:5" x14ac:dyDescent="0.25">
      <c r="A2395" s="940">
        <v>1148</v>
      </c>
      <c r="B2395" s="940">
        <v>168</v>
      </c>
      <c r="C2395" t="s">
        <v>1967</v>
      </c>
      <c r="D2395" s="940" t="s">
        <v>6702</v>
      </c>
      <c r="E2395" t="s">
        <v>1968</v>
      </c>
    </row>
    <row r="2396" spans="1:5" x14ac:dyDescent="0.25">
      <c r="A2396" s="940">
        <v>344</v>
      </c>
      <c r="B2396" s="940">
        <v>644</v>
      </c>
      <c r="C2396" t="s">
        <v>6703</v>
      </c>
      <c r="D2396" s="940" t="s">
        <v>6704</v>
      </c>
      <c r="E2396" t="s">
        <v>120</v>
      </c>
    </row>
    <row r="2397" spans="1:5" x14ac:dyDescent="0.25">
      <c r="A2397" s="940">
        <v>3490</v>
      </c>
      <c r="B2397" s="940">
        <v>0</v>
      </c>
      <c r="C2397" t="s">
        <v>6705</v>
      </c>
      <c r="D2397" s="940" t="s">
        <v>4318</v>
      </c>
      <c r="E2397" t="s">
        <v>3114</v>
      </c>
    </row>
    <row r="2398" spans="1:5" x14ac:dyDescent="0.25">
      <c r="A2398" s="940">
        <v>2106</v>
      </c>
      <c r="B2398" s="940">
        <v>48</v>
      </c>
      <c r="C2398" t="s">
        <v>6706</v>
      </c>
      <c r="D2398" s="940" t="s">
        <v>6707</v>
      </c>
      <c r="E2398" t="s">
        <v>3383</v>
      </c>
    </row>
    <row r="2399" spans="1:5" x14ac:dyDescent="0.25">
      <c r="A2399" s="940">
        <v>2907</v>
      </c>
      <c r="B2399" s="940">
        <v>10</v>
      </c>
      <c r="C2399" t="s">
        <v>6708</v>
      </c>
      <c r="D2399" s="940" t="s">
        <v>3637</v>
      </c>
      <c r="E2399" t="s">
        <v>1460</v>
      </c>
    </row>
    <row r="2400" spans="1:5" x14ac:dyDescent="0.25">
      <c r="A2400" s="940">
        <v>1220</v>
      </c>
      <c r="B2400" s="940">
        <v>151</v>
      </c>
      <c r="C2400" t="s">
        <v>6709</v>
      </c>
      <c r="D2400" s="940" t="s">
        <v>6710</v>
      </c>
      <c r="E2400" t="s">
        <v>105</v>
      </c>
    </row>
    <row r="2401" spans="1:5" x14ac:dyDescent="0.25">
      <c r="A2401" s="940">
        <v>3490</v>
      </c>
      <c r="B2401" s="940">
        <v>0</v>
      </c>
      <c r="C2401" t="s">
        <v>6711</v>
      </c>
      <c r="D2401" s="940" t="s">
        <v>6353</v>
      </c>
      <c r="E2401" t="s">
        <v>6712</v>
      </c>
    </row>
    <row r="2402" spans="1:5" x14ac:dyDescent="0.25">
      <c r="A2402" s="940">
        <v>2106</v>
      </c>
      <c r="B2402" s="940">
        <v>48</v>
      </c>
      <c r="C2402" t="s">
        <v>6713</v>
      </c>
      <c r="D2402" s="940" t="s">
        <v>6714</v>
      </c>
      <c r="E2402" t="s">
        <v>105</v>
      </c>
    </row>
    <row r="2403" spans="1:5" x14ac:dyDescent="0.25">
      <c r="A2403" s="940">
        <v>3490</v>
      </c>
      <c r="B2403" s="940">
        <v>0</v>
      </c>
      <c r="C2403" t="s">
        <v>6715</v>
      </c>
      <c r="D2403" s="940" t="s">
        <v>6716</v>
      </c>
      <c r="E2403" t="s">
        <v>163</v>
      </c>
    </row>
    <row r="2404" spans="1:5" x14ac:dyDescent="0.25">
      <c r="A2404" s="940">
        <v>892</v>
      </c>
      <c r="B2404" s="940">
        <v>257</v>
      </c>
      <c r="C2404" t="s">
        <v>1973</v>
      </c>
      <c r="D2404" s="940" t="s">
        <v>6591</v>
      </c>
      <c r="E2404" t="s">
        <v>163</v>
      </c>
    </row>
    <row r="2405" spans="1:5" x14ac:dyDescent="0.25">
      <c r="A2405" s="940">
        <v>154</v>
      </c>
      <c r="B2405" s="940">
        <v>967</v>
      </c>
      <c r="C2405" t="s">
        <v>1974</v>
      </c>
      <c r="D2405" s="940" t="s">
        <v>6717</v>
      </c>
      <c r="E2405" t="s">
        <v>105</v>
      </c>
    </row>
    <row r="2406" spans="1:5" x14ac:dyDescent="0.25">
      <c r="A2406" s="940">
        <v>1227</v>
      </c>
      <c r="B2406" s="940">
        <v>150</v>
      </c>
      <c r="C2406" t="s">
        <v>1974</v>
      </c>
      <c r="D2406" s="940" t="s">
        <v>6718</v>
      </c>
      <c r="E2406" t="s">
        <v>132</v>
      </c>
    </row>
    <row r="2407" spans="1:5" x14ac:dyDescent="0.25">
      <c r="A2407" s="940">
        <v>1309</v>
      </c>
      <c r="B2407" s="940">
        <v>134</v>
      </c>
      <c r="C2407" t="s">
        <v>6719</v>
      </c>
      <c r="D2407" s="940" t="s">
        <v>6720</v>
      </c>
      <c r="E2407" t="s">
        <v>3098</v>
      </c>
    </row>
    <row r="2408" spans="1:5" x14ac:dyDescent="0.25">
      <c r="A2408" s="940">
        <v>3141</v>
      </c>
      <c r="B2408" s="940">
        <v>5</v>
      </c>
      <c r="C2408" t="s">
        <v>6721</v>
      </c>
      <c r="D2408" s="940" t="s">
        <v>5968</v>
      </c>
      <c r="E2408" t="s">
        <v>83</v>
      </c>
    </row>
    <row r="2409" spans="1:5" x14ac:dyDescent="0.25">
      <c r="A2409" s="940">
        <v>2370</v>
      </c>
      <c r="B2409" s="940">
        <v>32</v>
      </c>
      <c r="C2409" t="s">
        <v>6722</v>
      </c>
      <c r="D2409" s="940" t="s">
        <v>5457</v>
      </c>
      <c r="E2409" t="s">
        <v>6417</v>
      </c>
    </row>
    <row r="2410" spans="1:5" x14ac:dyDescent="0.25">
      <c r="A2410" s="940">
        <v>1672</v>
      </c>
      <c r="B2410" s="940">
        <v>86</v>
      </c>
      <c r="C2410" t="s">
        <v>6723</v>
      </c>
      <c r="D2410" s="940" t="s">
        <v>3006</v>
      </c>
      <c r="E2410" t="s">
        <v>1285</v>
      </c>
    </row>
    <row r="2411" spans="1:5" x14ac:dyDescent="0.25">
      <c r="A2411" s="940">
        <v>2996</v>
      </c>
      <c r="B2411" s="940">
        <v>8</v>
      </c>
      <c r="C2411" t="s">
        <v>6724</v>
      </c>
      <c r="D2411" s="940" t="s">
        <v>5052</v>
      </c>
      <c r="E2411" t="s">
        <v>72</v>
      </c>
    </row>
    <row r="2412" spans="1:5" x14ac:dyDescent="0.25">
      <c r="A2412" s="940">
        <v>2839</v>
      </c>
      <c r="B2412" s="940">
        <v>12</v>
      </c>
      <c r="C2412" t="s">
        <v>6725</v>
      </c>
      <c r="D2412" s="940" t="s">
        <v>6726</v>
      </c>
      <c r="E2412" t="s">
        <v>1158</v>
      </c>
    </row>
    <row r="2413" spans="1:5" x14ac:dyDescent="0.25">
      <c r="A2413" s="940">
        <v>150</v>
      </c>
      <c r="B2413" s="940">
        <v>975</v>
      </c>
      <c r="C2413" t="s">
        <v>6727</v>
      </c>
      <c r="D2413" s="940" t="s">
        <v>6728</v>
      </c>
      <c r="E2413" t="s">
        <v>1158</v>
      </c>
    </row>
    <row r="2414" spans="1:5" x14ac:dyDescent="0.25">
      <c r="A2414" s="940">
        <v>829</v>
      </c>
      <c r="B2414" s="940">
        <v>286</v>
      </c>
      <c r="C2414" t="s">
        <v>2528</v>
      </c>
      <c r="D2414" s="940" t="s">
        <v>6729</v>
      </c>
      <c r="E2414" t="s">
        <v>165</v>
      </c>
    </row>
    <row r="2415" spans="1:5" x14ac:dyDescent="0.25">
      <c r="A2415" s="940">
        <v>1433</v>
      </c>
      <c r="B2415" s="940">
        <v>115</v>
      </c>
      <c r="C2415" t="s">
        <v>6730</v>
      </c>
      <c r="D2415" s="940" t="s">
        <v>6731</v>
      </c>
      <c r="E2415" t="s">
        <v>105</v>
      </c>
    </row>
    <row r="2416" spans="1:5" x14ac:dyDescent="0.25">
      <c r="A2416" s="940">
        <v>2129</v>
      </c>
      <c r="B2416" s="940">
        <v>46</v>
      </c>
      <c r="C2416" t="s">
        <v>6732</v>
      </c>
      <c r="D2416" s="940" t="s">
        <v>3028</v>
      </c>
      <c r="E2416" t="s">
        <v>130</v>
      </c>
    </row>
    <row r="2417" spans="1:5" x14ac:dyDescent="0.25">
      <c r="A2417" s="940">
        <v>995</v>
      </c>
      <c r="B2417" s="940">
        <v>218</v>
      </c>
      <c r="C2417" t="s">
        <v>6733</v>
      </c>
      <c r="D2417" s="940" t="s">
        <v>6734</v>
      </c>
      <c r="E2417" t="s">
        <v>120</v>
      </c>
    </row>
    <row r="2418" spans="1:5" x14ac:dyDescent="0.25">
      <c r="A2418" s="940">
        <v>2016</v>
      </c>
      <c r="B2418" s="940">
        <v>54</v>
      </c>
      <c r="C2418" t="s">
        <v>6735</v>
      </c>
      <c r="D2418" s="940" t="s">
        <v>2922</v>
      </c>
      <c r="E2418" t="s">
        <v>1171</v>
      </c>
    </row>
    <row r="2419" spans="1:5" x14ac:dyDescent="0.25">
      <c r="A2419" s="940">
        <v>2996</v>
      </c>
      <c r="B2419" s="940">
        <v>8</v>
      </c>
      <c r="C2419" t="s">
        <v>6736</v>
      </c>
      <c r="D2419" s="940" t="s">
        <v>5772</v>
      </c>
      <c r="E2419" t="s">
        <v>120</v>
      </c>
    </row>
    <row r="2420" spans="1:5" x14ac:dyDescent="0.25">
      <c r="A2420" s="940">
        <v>3490</v>
      </c>
      <c r="B2420" s="940">
        <v>0</v>
      </c>
      <c r="C2420" t="s">
        <v>6737</v>
      </c>
      <c r="D2420" s="940" t="s">
        <v>4799</v>
      </c>
      <c r="E2420" t="s">
        <v>99</v>
      </c>
    </row>
    <row r="2421" spans="1:5" x14ac:dyDescent="0.25">
      <c r="A2421" s="940">
        <v>25</v>
      </c>
      <c r="B2421" s="940">
        <v>1425</v>
      </c>
      <c r="C2421" t="s">
        <v>6738</v>
      </c>
      <c r="D2421" s="940" t="s">
        <v>6739</v>
      </c>
      <c r="E2421" t="s">
        <v>74</v>
      </c>
    </row>
    <row r="2422" spans="1:5" x14ac:dyDescent="0.25">
      <c r="A2422" s="940">
        <v>940</v>
      </c>
      <c r="B2422" s="940">
        <v>242</v>
      </c>
      <c r="C2422" t="s">
        <v>6740</v>
      </c>
      <c r="D2422" s="940" t="s">
        <v>6741</v>
      </c>
      <c r="E2422" t="s">
        <v>1483</v>
      </c>
    </row>
    <row r="2423" spans="1:5" x14ac:dyDescent="0.25">
      <c r="A2423" s="940">
        <v>997</v>
      </c>
      <c r="B2423" s="940">
        <v>217</v>
      </c>
      <c r="C2423" t="s">
        <v>6742</v>
      </c>
      <c r="D2423" s="940" t="s">
        <v>6743</v>
      </c>
      <c r="E2423" t="s">
        <v>3218</v>
      </c>
    </row>
    <row r="2424" spans="1:5" x14ac:dyDescent="0.25">
      <c r="A2424" s="940">
        <v>2221</v>
      </c>
      <c r="B2424" s="940">
        <v>41</v>
      </c>
      <c r="C2424" t="s">
        <v>6744</v>
      </c>
      <c r="D2424" s="940" t="s">
        <v>6745</v>
      </c>
      <c r="E2424" t="s">
        <v>106</v>
      </c>
    </row>
    <row r="2425" spans="1:5" x14ac:dyDescent="0.25">
      <c r="A2425" s="940">
        <v>2206</v>
      </c>
      <c r="B2425" s="940">
        <v>42</v>
      </c>
      <c r="C2425" t="s">
        <v>6746</v>
      </c>
      <c r="D2425" s="940" t="s">
        <v>6747</v>
      </c>
      <c r="E2425" t="s">
        <v>1968</v>
      </c>
    </row>
    <row r="2426" spans="1:5" x14ac:dyDescent="0.25">
      <c r="A2426" s="940">
        <v>2558</v>
      </c>
      <c r="B2426" s="940">
        <v>22</v>
      </c>
      <c r="C2426" t="s">
        <v>6748</v>
      </c>
      <c r="D2426" s="940" t="s">
        <v>6749</v>
      </c>
      <c r="E2426" t="s">
        <v>130</v>
      </c>
    </row>
    <row r="2427" spans="1:5" x14ac:dyDescent="0.25">
      <c r="A2427" s="940">
        <v>19</v>
      </c>
      <c r="B2427" s="940">
        <v>1455</v>
      </c>
      <c r="C2427" t="s">
        <v>6750</v>
      </c>
      <c r="D2427" s="940" t="s">
        <v>6751</v>
      </c>
      <c r="E2427" t="s">
        <v>74</v>
      </c>
    </row>
    <row r="2428" spans="1:5" x14ac:dyDescent="0.25">
      <c r="A2428" s="940">
        <v>3395</v>
      </c>
      <c r="B2428" s="940">
        <v>1</v>
      </c>
      <c r="C2428" t="s">
        <v>6752</v>
      </c>
      <c r="D2428" s="940" t="s">
        <v>6753</v>
      </c>
      <c r="E2428" t="s">
        <v>2970</v>
      </c>
    </row>
    <row r="2429" spans="1:5" x14ac:dyDescent="0.25">
      <c r="A2429" s="940">
        <v>3490</v>
      </c>
      <c r="B2429" s="940">
        <v>0</v>
      </c>
      <c r="C2429" t="s">
        <v>6754</v>
      </c>
      <c r="D2429" s="940" t="s">
        <v>5981</v>
      </c>
      <c r="E2429" t="s">
        <v>74</v>
      </c>
    </row>
    <row r="2430" spans="1:5" x14ac:dyDescent="0.25">
      <c r="A2430" s="940">
        <v>1562</v>
      </c>
      <c r="B2430" s="940">
        <v>99</v>
      </c>
      <c r="C2430" t="s">
        <v>1980</v>
      </c>
      <c r="D2430" s="940" t="s">
        <v>6755</v>
      </c>
      <c r="E2430" t="s">
        <v>115</v>
      </c>
    </row>
    <row r="2431" spans="1:5" x14ac:dyDescent="0.25">
      <c r="A2431" s="940">
        <v>3490</v>
      </c>
      <c r="B2431" s="940">
        <v>0</v>
      </c>
      <c r="C2431" t="s">
        <v>6756</v>
      </c>
      <c r="D2431" s="940" t="s">
        <v>6757</v>
      </c>
      <c r="E2431" t="s">
        <v>6758</v>
      </c>
    </row>
    <row r="2432" spans="1:5" x14ac:dyDescent="0.25">
      <c r="A2432" s="940">
        <v>3490</v>
      </c>
      <c r="B2432" s="940">
        <v>0</v>
      </c>
      <c r="C2432" t="s">
        <v>6756</v>
      </c>
      <c r="D2432" s="940" t="s">
        <v>5399</v>
      </c>
      <c r="E2432" t="s">
        <v>231</v>
      </c>
    </row>
    <row r="2433" spans="1:5" x14ac:dyDescent="0.25">
      <c r="A2433" s="940">
        <v>3490</v>
      </c>
      <c r="B2433" s="940">
        <v>0</v>
      </c>
      <c r="C2433" t="s">
        <v>6756</v>
      </c>
      <c r="D2433" s="940" t="s">
        <v>6759</v>
      </c>
      <c r="E2433" t="s">
        <v>120</v>
      </c>
    </row>
    <row r="2434" spans="1:5" x14ac:dyDescent="0.25">
      <c r="A2434" s="940">
        <v>2959</v>
      </c>
      <c r="B2434" s="940">
        <v>9</v>
      </c>
      <c r="C2434" t="s">
        <v>6760</v>
      </c>
      <c r="D2434" s="940" t="s">
        <v>5060</v>
      </c>
      <c r="E2434" t="s">
        <v>213</v>
      </c>
    </row>
    <row r="2435" spans="1:5" x14ac:dyDescent="0.25">
      <c r="A2435" s="940">
        <v>3490</v>
      </c>
      <c r="B2435" s="940">
        <v>0</v>
      </c>
      <c r="C2435" t="s">
        <v>6761</v>
      </c>
      <c r="D2435" s="940" t="s">
        <v>4048</v>
      </c>
      <c r="E2435" t="s">
        <v>1578</v>
      </c>
    </row>
    <row r="2436" spans="1:5" x14ac:dyDescent="0.25">
      <c r="A2436" s="940">
        <v>1164</v>
      </c>
      <c r="B2436" s="940">
        <v>165</v>
      </c>
      <c r="C2436" t="s">
        <v>6762</v>
      </c>
      <c r="D2436" s="940" t="s">
        <v>6763</v>
      </c>
      <c r="E2436" t="s">
        <v>2880</v>
      </c>
    </row>
    <row r="2437" spans="1:5" x14ac:dyDescent="0.25">
      <c r="A2437" s="940">
        <v>2714</v>
      </c>
      <c r="B2437" s="940">
        <v>16</v>
      </c>
      <c r="C2437" t="s">
        <v>6764</v>
      </c>
      <c r="D2437" s="940" t="s">
        <v>2760</v>
      </c>
      <c r="E2437" t="s">
        <v>1261</v>
      </c>
    </row>
    <row r="2438" spans="1:5" x14ac:dyDescent="0.25">
      <c r="A2438" s="940">
        <v>2335</v>
      </c>
      <c r="B2438" s="940">
        <v>34</v>
      </c>
      <c r="C2438" t="s">
        <v>6765</v>
      </c>
      <c r="D2438" s="940" t="s">
        <v>6766</v>
      </c>
      <c r="E2438" t="s">
        <v>1261</v>
      </c>
    </row>
    <row r="2439" spans="1:5" x14ac:dyDescent="0.25">
      <c r="A2439" s="940">
        <v>1393</v>
      </c>
      <c r="B2439" s="940">
        <v>121</v>
      </c>
      <c r="C2439" t="s">
        <v>6767</v>
      </c>
      <c r="D2439" s="940" t="s">
        <v>6768</v>
      </c>
      <c r="E2439" t="s">
        <v>128</v>
      </c>
    </row>
    <row r="2440" spans="1:5" x14ac:dyDescent="0.25">
      <c r="A2440" s="940">
        <v>2320</v>
      </c>
      <c r="B2440" s="940">
        <v>35</v>
      </c>
      <c r="C2440" t="s">
        <v>6769</v>
      </c>
      <c r="D2440" s="940" t="s">
        <v>6389</v>
      </c>
      <c r="E2440" t="s">
        <v>3421</v>
      </c>
    </row>
    <row r="2441" spans="1:5" x14ac:dyDescent="0.25">
      <c r="A2441" s="940">
        <v>179</v>
      </c>
      <c r="B2441" s="940">
        <v>925</v>
      </c>
      <c r="C2441" t="s">
        <v>291</v>
      </c>
      <c r="D2441" s="940" t="s">
        <v>6770</v>
      </c>
      <c r="E2441" t="s">
        <v>1609</v>
      </c>
    </row>
    <row r="2442" spans="1:5" x14ac:dyDescent="0.25">
      <c r="A2442" s="940">
        <v>3089</v>
      </c>
      <c r="B2442" s="940">
        <v>6</v>
      </c>
      <c r="C2442" t="s">
        <v>6771</v>
      </c>
      <c r="D2442" s="940" t="s">
        <v>6355</v>
      </c>
      <c r="E2442" t="s">
        <v>3200</v>
      </c>
    </row>
    <row r="2443" spans="1:5" x14ac:dyDescent="0.25">
      <c r="A2443" s="940">
        <v>869</v>
      </c>
      <c r="B2443" s="940">
        <v>264</v>
      </c>
      <c r="C2443" t="s">
        <v>6772</v>
      </c>
      <c r="D2443" s="940" t="s">
        <v>6773</v>
      </c>
      <c r="E2443" t="s">
        <v>113</v>
      </c>
    </row>
    <row r="2444" spans="1:5" x14ac:dyDescent="0.25">
      <c r="A2444" s="940">
        <v>787</v>
      </c>
      <c r="B2444" s="940">
        <v>302</v>
      </c>
      <c r="C2444" t="s">
        <v>403</v>
      </c>
      <c r="D2444" s="940" t="s">
        <v>2785</v>
      </c>
      <c r="E2444" t="s">
        <v>128</v>
      </c>
    </row>
    <row r="2445" spans="1:5" x14ac:dyDescent="0.25">
      <c r="A2445" s="940">
        <v>334</v>
      </c>
      <c r="B2445" s="940">
        <v>654</v>
      </c>
      <c r="C2445" t="s">
        <v>6774</v>
      </c>
      <c r="D2445" s="940" t="s">
        <v>6775</v>
      </c>
      <c r="E2445" t="s">
        <v>132</v>
      </c>
    </row>
    <row r="2446" spans="1:5" x14ac:dyDescent="0.25">
      <c r="A2446" s="940">
        <v>3490</v>
      </c>
      <c r="B2446" s="940">
        <v>0</v>
      </c>
      <c r="C2446" t="s">
        <v>6776</v>
      </c>
      <c r="D2446" s="940" t="s">
        <v>6777</v>
      </c>
      <c r="E2446" t="s">
        <v>133</v>
      </c>
    </row>
    <row r="2447" spans="1:5" x14ac:dyDescent="0.25">
      <c r="A2447" s="940">
        <v>1379</v>
      </c>
      <c r="B2447" s="940">
        <v>123</v>
      </c>
      <c r="C2447" t="s">
        <v>6778</v>
      </c>
      <c r="D2447" s="940" t="s">
        <v>5769</v>
      </c>
      <c r="E2447" t="s">
        <v>163</v>
      </c>
    </row>
    <row r="2448" spans="1:5" x14ac:dyDescent="0.25">
      <c r="A2448" s="940">
        <v>741</v>
      </c>
      <c r="B2448" s="940">
        <v>325</v>
      </c>
      <c r="C2448" t="s">
        <v>1984</v>
      </c>
      <c r="D2448" s="940" t="s">
        <v>6779</v>
      </c>
      <c r="E2448" t="s">
        <v>1171</v>
      </c>
    </row>
    <row r="2449" spans="1:5" x14ac:dyDescent="0.25">
      <c r="A2449" s="940">
        <v>3490</v>
      </c>
      <c r="B2449" s="940">
        <v>0</v>
      </c>
      <c r="C2449" t="s">
        <v>6780</v>
      </c>
      <c r="D2449" s="940" t="s">
        <v>2623</v>
      </c>
      <c r="E2449" t="s">
        <v>1578</v>
      </c>
    </row>
    <row r="2450" spans="1:5" x14ac:dyDescent="0.25">
      <c r="A2450" s="940">
        <v>2558</v>
      </c>
      <c r="B2450" s="940">
        <v>22</v>
      </c>
      <c r="C2450" t="s">
        <v>6781</v>
      </c>
      <c r="D2450" s="940" t="s">
        <v>3505</v>
      </c>
      <c r="E2450" t="s">
        <v>1214</v>
      </c>
    </row>
    <row r="2451" spans="1:5" x14ac:dyDescent="0.25">
      <c r="A2451" s="940">
        <v>295</v>
      </c>
      <c r="B2451" s="940">
        <v>720</v>
      </c>
      <c r="C2451" t="s">
        <v>6782</v>
      </c>
      <c r="D2451" s="940" t="s">
        <v>6783</v>
      </c>
      <c r="E2451" t="s">
        <v>113</v>
      </c>
    </row>
    <row r="2452" spans="1:5" x14ac:dyDescent="0.25">
      <c r="A2452" s="940">
        <v>777</v>
      </c>
      <c r="B2452" s="940">
        <v>306</v>
      </c>
      <c r="C2452" t="s">
        <v>6784</v>
      </c>
      <c r="D2452" s="940" t="s">
        <v>6785</v>
      </c>
      <c r="E2452" t="s">
        <v>120</v>
      </c>
    </row>
    <row r="2453" spans="1:5" x14ac:dyDescent="0.25">
      <c r="A2453" s="940">
        <v>2347</v>
      </c>
      <c r="B2453" s="940">
        <v>33</v>
      </c>
      <c r="C2453" t="s">
        <v>6786</v>
      </c>
      <c r="D2453" s="940" t="s">
        <v>6337</v>
      </c>
      <c r="E2453" t="s">
        <v>114</v>
      </c>
    </row>
    <row r="2454" spans="1:5" x14ac:dyDescent="0.25">
      <c r="A2454" s="940">
        <v>1363</v>
      </c>
      <c r="B2454" s="940">
        <v>125</v>
      </c>
      <c r="C2454" t="s">
        <v>2529</v>
      </c>
      <c r="D2454" s="940" t="s">
        <v>3584</v>
      </c>
      <c r="E2454" t="s">
        <v>114</v>
      </c>
    </row>
    <row r="2455" spans="1:5" x14ac:dyDescent="0.25">
      <c r="A2455" s="940">
        <v>3490</v>
      </c>
      <c r="B2455" s="940">
        <v>0</v>
      </c>
      <c r="C2455" t="s">
        <v>6787</v>
      </c>
      <c r="D2455" s="940" t="s">
        <v>6788</v>
      </c>
      <c r="E2455" t="s">
        <v>111</v>
      </c>
    </row>
    <row r="2456" spans="1:5" x14ac:dyDescent="0.25">
      <c r="A2456" s="940">
        <v>2839</v>
      </c>
      <c r="B2456" s="940">
        <v>12</v>
      </c>
      <c r="C2456" t="s">
        <v>6789</v>
      </c>
      <c r="D2456" s="940" t="s">
        <v>3043</v>
      </c>
      <c r="E2456" t="s">
        <v>1236</v>
      </c>
    </row>
    <row r="2457" spans="1:5" x14ac:dyDescent="0.25">
      <c r="A2457" s="940">
        <v>543</v>
      </c>
      <c r="B2457" s="940">
        <v>439</v>
      </c>
      <c r="C2457" t="s">
        <v>6790</v>
      </c>
      <c r="D2457" s="940" t="s">
        <v>6791</v>
      </c>
      <c r="E2457" t="s">
        <v>3090</v>
      </c>
    </row>
    <row r="2458" spans="1:5" x14ac:dyDescent="0.25">
      <c r="A2458" s="940">
        <v>1615</v>
      </c>
      <c r="B2458" s="940">
        <v>93</v>
      </c>
      <c r="C2458" t="s">
        <v>6792</v>
      </c>
      <c r="D2458" s="940" t="s">
        <v>6793</v>
      </c>
      <c r="E2458" t="s">
        <v>105</v>
      </c>
    </row>
    <row r="2459" spans="1:5" x14ac:dyDescent="0.25">
      <c r="A2459" s="940">
        <v>1214</v>
      </c>
      <c r="B2459" s="940">
        <v>153</v>
      </c>
      <c r="C2459" t="s">
        <v>6794</v>
      </c>
      <c r="D2459" s="940" t="s">
        <v>6795</v>
      </c>
      <c r="E2459" t="s">
        <v>6758</v>
      </c>
    </row>
    <row r="2460" spans="1:5" x14ac:dyDescent="0.25">
      <c r="A2460" s="940">
        <v>3490</v>
      </c>
      <c r="B2460" s="940">
        <v>0</v>
      </c>
      <c r="C2460" t="s">
        <v>6796</v>
      </c>
      <c r="D2460" s="940" t="s">
        <v>6461</v>
      </c>
      <c r="E2460" t="s">
        <v>120</v>
      </c>
    </row>
    <row r="2461" spans="1:5" x14ac:dyDescent="0.25">
      <c r="A2461" s="940">
        <v>3490</v>
      </c>
      <c r="B2461" s="940">
        <v>0</v>
      </c>
      <c r="C2461" t="s">
        <v>6797</v>
      </c>
      <c r="D2461" s="940" t="s">
        <v>6798</v>
      </c>
      <c r="E2461" t="s">
        <v>120</v>
      </c>
    </row>
    <row r="2462" spans="1:5" x14ac:dyDescent="0.25">
      <c r="A2462" s="940">
        <v>449</v>
      </c>
      <c r="B2462" s="940">
        <v>522</v>
      </c>
      <c r="C2462" t="s">
        <v>2567</v>
      </c>
      <c r="D2462" s="940" t="s">
        <v>3970</v>
      </c>
      <c r="E2462" t="s">
        <v>109</v>
      </c>
    </row>
    <row r="2463" spans="1:5" x14ac:dyDescent="0.25">
      <c r="A2463" s="940">
        <v>2782</v>
      </c>
      <c r="B2463" s="940">
        <v>14</v>
      </c>
      <c r="C2463" t="s">
        <v>6799</v>
      </c>
      <c r="D2463" s="940" t="s">
        <v>6800</v>
      </c>
      <c r="E2463" t="s">
        <v>99</v>
      </c>
    </row>
    <row r="2464" spans="1:5" x14ac:dyDescent="0.25">
      <c r="A2464" s="940">
        <v>1090</v>
      </c>
      <c r="B2464" s="940">
        <v>185</v>
      </c>
      <c r="C2464" t="s">
        <v>6801</v>
      </c>
      <c r="D2464" s="940" t="s">
        <v>6802</v>
      </c>
      <c r="E2464" t="s">
        <v>99</v>
      </c>
    </row>
    <row r="2465" spans="1:5" x14ac:dyDescent="0.25">
      <c r="A2465" s="940">
        <v>1827</v>
      </c>
      <c r="B2465" s="940">
        <v>70</v>
      </c>
      <c r="C2465" t="s">
        <v>6803</v>
      </c>
      <c r="D2465" s="940" t="s">
        <v>6802</v>
      </c>
      <c r="E2465" t="s">
        <v>120</v>
      </c>
    </row>
    <row r="2466" spans="1:5" x14ac:dyDescent="0.25">
      <c r="A2466" s="940">
        <v>804</v>
      </c>
      <c r="B2466" s="940">
        <v>295</v>
      </c>
      <c r="C2466" t="s">
        <v>542</v>
      </c>
      <c r="D2466" s="940" t="s">
        <v>6804</v>
      </c>
      <c r="E2466" t="s">
        <v>103</v>
      </c>
    </row>
    <row r="2467" spans="1:5" x14ac:dyDescent="0.25">
      <c r="A2467" s="940">
        <v>3490</v>
      </c>
      <c r="B2467" s="940">
        <v>0</v>
      </c>
      <c r="C2467" t="s">
        <v>6805</v>
      </c>
      <c r="D2467" s="940" t="s">
        <v>6806</v>
      </c>
      <c r="E2467" t="s">
        <v>163</v>
      </c>
    </row>
    <row r="2468" spans="1:5" x14ac:dyDescent="0.25">
      <c r="A2468" s="940">
        <v>3490</v>
      </c>
      <c r="B2468" s="940">
        <v>0</v>
      </c>
      <c r="C2468" t="s">
        <v>6807</v>
      </c>
      <c r="D2468" s="940" t="s">
        <v>6808</v>
      </c>
      <c r="E2468" t="s">
        <v>6809</v>
      </c>
    </row>
    <row r="2469" spans="1:5" x14ac:dyDescent="0.25">
      <c r="A2469" s="940">
        <v>3490</v>
      </c>
      <c r="B2469" s="940">
        <v>0</v>
      </c>
      <c r="C2469" t="s">
        <v>6810</v>
      </c>
      <c r="D2469" s="940" t="s">
        <v>6811</v>
      </c>
      <c r="E2469" t="s">
        <v>213</v>
      </c>
    </row>
    <row r="2470" spans="1:5" x14ac:dyDescent="0.25">
      <c r="A2470" s="940">
        <v>2221</v>
      </c>
      <c r="B2470" s="940">
        <v>41</v>
      </c>
      <c r="C2470" t="s">
        <v>6812</v>
      </c>
      <c r="D2470" s="940" t="s">
        <v>4877</v>
      </c>
      <c r="E2470" t="s">
        <v>5756</v>
      </c>
    </row>
    <row r="2471" spans="1:5" x14ac:dyDescent="0.25">
      <c r="A2471" s="940">
        <v>1329</v>
      </c>
      <c r="B2471" s="940">
        <v>130</v>
      </c>
      <c r="C2471" t="s">
        <v>6813</v>
      </c>
      <c r="D2471" s="940" t="s">
        <v>6814</v>
      </c>
      <c r="E2471" t="s">
        <v>3098</v>
      </c>
    </row>
    <row r="2472" spans="1:5" x14ac:dyDescent="0.25">
      <c r="A2472" s="940">
        <v>1787</v>
      </c>
      <c r="B2472" s="940">
        <v>74</v>
      </c>
      <c r="C2472" t="s">
        <v>6815</v>
      </c>
      <c r="D2472" s="940" t="s">
        <v>6816</v>
      </c>
      <c r="E2472" t="s">
        <v>120</v>
      </c>
    </row>
    <row r="2473" spans="1:5" x14ac:dyDescent="0.25">
      <c r="A2473" s="940">
        <v>618</v>
      </c>
      <c r="B2473" s="940">
        <v>391</v>
      </c>
      <c r="C2473" t="s">
        <v>6817</v>
      </c>
      <c r="D2473" s="940" t="s">
        <v>6818</v>
      </c>
      <c r="E2473" t="s">
        <v>120</v>
      </c>
    </row>
    <row r="2474" spans="1:5" x14ac:dyDescent="0.25">
      <c r="A2474" s="940">
        <v>3141</v>
      </c>
      <c r="B2474" s="940">
        <v>5</v>
      </c>
      <c r="C2474" t="s">
        <v>6819</v>
      </c>
      <c r="D2474" s="940" t="s">
        <v>6820</v>
      </c>
      <c r="E2474" t="s">
        <v>120</v>
      </c>
    </row>
    <row r="2475" spans="1:5" x14ac:dyDescent="0.25">
      <c r="A2475" s="940">
        <v>2320</v>
      </c>
      <c r="B2475" s="940">
        <v>35</v>
      </c>
      <c r="C2475" t="s">
        <v>6821</v>
      </c>
      <c r="D2475" s="940" t="s">
        <v>4426</v>
      </c>
      <c r="E2475" t="s">
        <v>165</v>
      </c>
    </row>
    <row r="2476" spans="1:5" x14ac:dyDescent="0.25">
      <c r="A2476" s="940">
        <v>1379</v>
      </c>
      <c r="B2476" s="940">
        <v>123</v>
      </c>
      <c r="C2476" t="s">
        <v>1995</v>
      </c>
      <c r="D2476" s="940" t="s">
        <v>6129</v>
      </c>
      <c r="E2476" t="s">
        <v>105</v>
      </c>
    </row>
    <row r="2477" spans="1:5" x14ac:dyDescent="0.25">
      <c r="A2477" s="940">
        <v>1462</v>
      </c>
      <c r="B2477" s="940">
        <v>111</v>
      </c>
      <c r="C2477" t="s">
        <v>6822</v>
      </c>
      <c r="D2477" s="940" t="s">
        <v>6823</v>
      </c>
      <c r="E2477" t="s">
        <v>213</v>
      </c>
    </row>
    <row r="2478" spans="1:5" x14ac:dyDescent="0.25">
      <c r="A2478" s="940">
        <v>1060</v>
      </c>
      <c r="B2478" s="940">
        <v>198</v>
      </c>
      <c r="C2478" t="s">
        <v>6824</v>
      </c>
      <c r="D2478" s="940" t="s">
        <v>3882</v>
      </c>
      <c r="E2478" t="s">
        <v>163</v>
      </c>
    </row>
    <row r="2479" spans="1:5" x14ac:dyDescent="0.25">
      <c r="A2479" s="940">
        <v>3490</v>
      </c>
      <c r="B2479" s="940">
        <v>0</v>
      </c>
      <c r="C2479" t="s">
        <v>6825</v>
      </c>
      <c r="D2479" s="940" t="s">
        <v>6826</v>
      </c>
      <c r="E2479" t="s">
        <v>122</v>
      </c>
    </row>
    <row r="2480" spans="1:5" x14ac:dyDescent="0.25">
      <c r="A2480" s="940">
        <v>2106</v>
      </c>
      <c r="B2480" s="940">
        <v>48</v>
      </c>
      <c r="C2480" t="s">
        <v>6827</v>
      </c>
      <c r="D2480" s="940" t="s">
        <v>6828</v>
      </c>
      <c r="E2480" t="s">
        <v>163</v>
      </c>
    </row>
    <row r="2481" spans="1:5" x14ac:dyDescent="0.25">
      <c r="A2481" s="940">
        <v>3490</v>
      </c>
      <c r="B2481" s="940">
        <v>0</v>
      </c>
      <c r="C2481" t="s">
        <v>6829</v>
      </c>
      <c r="D2481" s="940" t="s">
        <v>2783</v>
      </c>
      <c r="E2481" t="s">
        <v>1467</v>
      </c>
    </row>
    <row r="2482" spans="1:5" x14ac:dyDescent="0.25">
      <c r="A2482" s="940">
        <v>2499</v>
      </c>
      <c r="B2482" s="940">
        <v>25</v>
      </c>
      <c r="C2482" t="s">
        <v>6830</v>
      </c>
      <c r="D2482" s="940" t="s">
        <v>6831</v>
      </c>
      <c r="E2482" t="s">
        <v>99</v>
      </c>
    </row>
    <row r="2483" spans="1:5" x14ac:dyDescent="0.25">
      <c r="A2483" s="940">
        <v>1574</v>
      </c>
      <c r="B2483" s="940">
        <v>98</v>
      </c>
      <c r="C2483" t="s">
        <v>1996</v>
      </c>
      <c r="D2483" s="940" t="s">
        <v>6832</v>
      </c>
      <c r="E2483" t="s">
        <v>614</v>
      </c>
    </row>
    <row r="2484" spans="1:5" x14ac:dyDescent="0.25">
      <c r="A2484" s="940">
        <v>3490</v>
      </c>
      <c r="B2484" s="940">
        <v>0</v>
      </c>
      <c r="C2484" t="s">
        <v>6833</v>
      </c>
      <c r="D2484" s="940" t="s">
        <v>6614</v>
      </c>
      <c r="E2484" t="s">
        <v>99</v>
      </c>
    </row>
    <row r="2485" spans="1:5" x14ac:dyDescent="0.25">
      <c r="A2485" s="940">
        <v>3265</v>
      </c>
      <c r="B2485" s="940">
        <v>3</v>
      </c>
      <c r="C2485" t="s">
        <v>6834</v>
      </c>
      <c r="D2485" s="940" t="s">
        <v>4688</v>
      </c>
      <c r="E2485" t="s">
        <v>110</v>
      </c>
    </row>
    <row r="2486" spans="1:5" x14ac:dyDescent="0.25">
      <c r="A2486" s="940">
        <v>2883</v>
      </c>
      <c r="B2486" s="940">
        <v>11</v>
      </c>
      <c r="C2486" t="s">
        <v>6835</v>
      </c>
      <c r="D2486" s="940" t="s">
        <v>4407</v>
      </c>
      <c r="E2486" t="s">
        <v>105</v>
      </c>
    </row>
    <row r="2487" spans="1:5" x14ac:dyDescent="0.25">
      <c r="A2487" s="940">
        <v>1400</v>
      </c>
      <c r="B2487" s="940">
        <v>120</v>
      </c>
      <c r="C2487" t="s">
        <v>6836</v>
      </c>
      <c r="D2487" s="940" t="s">
        <v>6639</v>
      </c>
      <c r="E2487" t="s">
        <v>133</v>
      </c>
    </row>
    <row r="2488" spans="1:5" x14ac:dyDescent="0.25">
      <c r="A2488" s="940">
        <v>997</v>
      </c>
      <c r="B2488" s="940">
        <v>217</v>
      </c>
      <c r="C2488" t="s">
        <v>6837</v>
      </c>
      <c r="D2488" s="940" t="s">
        <v>6035</v>
      </c>
      <c r="E2488" t="s">
        <v>103</v>
      </c>
    </row>
    <row r="2489" spans="1:5" x14ac:dyDescent="0.25">
      <c r="A2489" s="940">
        <v>3490</v>
      </c>
      <c r="B2489" s="940">
        <v>0</v>
      </c>
      <c r="C2489" t="s">
        <v>6838</v>
      </c>
      <c r="D2489" s="940" t="s">
        <v>6839</v>
      </c>
      <c r="E2489" t="s">
        <v>3396</v>
      </c>
    </row>
    <row r="2490" spans="1:5" x14ac:dyDescent="0.25">
      <c r="A2490" s="940">
        <v>2714</v>
      </c>
      <c r="B2490" s="940">
        <v>16</v>
      </c>
      <c r="C2490" t="s">
        <v>6840</v>
      </c>
      <c r="D2490" s="940" t="s">
        <v>6841</v>
      </c>
      <c r="E2490" t="s">
        <v>6842</v>
      </c>
    </row>
    <row r="2491" spans="1:5" x14ac:dyDescent="0.25">
      <c r="A2491" s="940">
        <v>359</v>
      </c>
      <c r="B2491" s="940">
        <v>623</v>
      </c>
      <c r="C2491" t="s">
        <v>6843</v>
      </c>
      <c r="D2491" s="940" t="s">
        <v>6844</v>
      </c>
      <c r="E2491" t="s">
        <v>110</v>
      </c>
    </row>
    <row r="2492" spans="1:5" x14ac:dyDescent="0.25">
      <c r="A2492" s="940">
        <v>1691</v>
      </c>
      <c r="B2492" s="940">
        <v>84</v>
      </c>
      <c r="C2492" t="s">
        <v>6845</v>
      </c>
      <c r="D2492" s="940" t="s">
        <v>5930</v>
      </c>
      <c r="E2492" t="s">
        <v>2356</v>
      </c>
    </row>
    <row r="2493" spans="1:5" x14ac:dyDescent="0.25">
      <c r="A2493" s="940">
        <v>3490</v>
      </c>
      <c r="B2493" s="940">
        <v>0</v>
      </c>
      <c r="C2493" t="s">
        <v>6846</v>
      </c>
      <c r="D2493" s="940" t="s">
        <v>6847</v>
      </c>
      <c r="E2493" t="s">
        <v>103</v>
      </c>
    </row>
    <row r="2494" spans="1:5" x14ac:dyDescent="0.25">
      <c r="A2494" s="940">
        <v>2743</v>
      </c>
      <c r="B2494" s="940">
        <v>15</v>
      </c>
      <c r="C2494" t="s">
        <v>6848</v>
      </c>
      <c r="D2494" s="940" t="s">
        <v>6849</v>
      </c>
      <c r="E2494" t="s">
        <v>6850</v>
      </c>
    </row>
    <row r="2495" spans="1:5" x14ac:dyDescent="0.25">
      <c r="A2495" s="940">
        <v>277</v>
      </c>
      <c r="B2495" s="940">
        <v>747</v>
      </c>
      <c r="C2495" t="s">
        <v>6851</v>
      </c>
      <c r="D2495" s="940" t="s">
        <v>6852</v>
      </c>
      <c r="E2495" t="s">
        <v>132</v>
      </c>
    </row>
    <row r="2496" spans="1:5" x14ac:dyDescent="0.25">
      <c r="A2496" s="940">
        <v>730</v>
      </c>
      <c r="B2496" s="940">
        <v>330</v>
      </c>
      <c r="C2496" t="s">
        <v>6853</v>
      </c>
      <c r="D2496" s="940" t="s">
        <v>6854</v>
      </c>
      <c r="E2496" t="s">
        <v>2880</v>
      </c>
    </row>
    <row r="2497" spans="1:5" x14ac:dyDescent="0.25">
      <c r="A2497" s="940">
        <v>2782</v>
      </c>
      <c r="B2497" s="940">
        <v>14</v>
      </c>
      <c r="C2497" t="s">
        <v>6855</v>
      </c>
      <c r="D2497" s="940" t="s">
        <v>6621</v>
      </c>
      <c r="E2497" t="s">
        <v>6856</v>
      </c>
    </row>
    <row r="2498" spans="1:5" x14ac:dyDescent="0.25">
      <c r="A2498" s="940">
        <v>2187</v>
      </c>
      <c r="B2498" s="940">
        <v>43</v>
      </c>
      <c r="C2498" t="s">
        <v>6857</v>
      </c>
      <c r="D2498" s="940" t="s">
        <v>6858</v>
      </c>
      <c r="E2498" t="s">
        <v>1332</v>
      </c>
    </row>
    <row r="2499" spans="1:5" x14ac:dyDescent="0.25">
      <c r="A2499" s="940">
        <v>1452</v>
      </c>
      <c r="B2499" s="940">
        <v>113</v>
      </c>
      <c r="C2499" t="s">
        <v>6859</v>
      </c>
      <c r="D2499" s="940" t="s">
        <v>2908</v>
      </c>
      <c r="E2499" t="s">
        <v>1162</v>
      </c>
    </row>
    <row r="2500" spans="1:5" x14ac:dyDescent="0.25">
      <c r="A2500" s="940">
        <v>3490</v>
      </c>
      <c r="B2500" s="940">
        <v>0</v>
      </c>
      <c r="C2500" t="s">
        <v>6860</v>
      </c>
      <c r="D2500" s="940" t="s">
        <v>3873</v>
      </c>
      <c r="E2500" t="s">
        <v>113</v>
      </c>
    </row>
    <row r="2501" spans="1:5" x14ac:dyDescent="0.25">
      <c r="A2501" s="940">
        <v>3490</v>
      </c>
      <c r="B2501" s="940">
        <v>0</v>
      </c>
      <c r="C2501" t="s">
        <v>6861</v>
      </c>
      <c r="D2501" s="940" t="s">
        <v>4316</v>
      </c>
      <c r="E2501" t="s">
        <v>251</v>
      </c>
    </row>
    <row r="2502" spans="1:5" x14ac:dyDescent="0.25">
      <c r="A2502" s="940">
        <v>2060</v>
      </c>
      <c r="B2502" s="940">
        <v>51</v>
      </c>
      <c r="C2502" t="s">
        <v>6862</v>
      </c>
      <c r="D2502" s="940" t="s">
        <v>6863</v>
      </c>
      <c r="E2502" t="s">
        <v>6864</v>
      </c>
    </row>
    <row r="2503" spans="1:5" x14ac:dyDescent="0.25">
      <c r="A2503" s="940">
        <v>3490</v>
      </c>
      <c r="B2503" s="940">
        <v>0</v>
      </c>
      <c r="C2503" t="s">
        <v>6865</v>
      </c>
      <c r="D2503" s="940" t="s">
        <v>6866</v>
      </c>
      <c r="E2503" t="s">
        <v>99</v>
      </c>
    </row>
    <row r="2504" spans="1:5" x14ac:dyDescent="0.25">
      <c r="A2504" s="940">
        <v>1525</v>
      </c>
      <c r="B2504" s="940">
        <v>103</v>
      </c>
      <c r="C2504" t="s">
        <v>6867</v>
      </c>
      <c r="D2504" s="940" t="s">
        <v>6868</v>
      </c>
      <c r="E2504" t="s">
        <v>1243</v>
      </c>
    </row>
    <row r="2505" spans="1:5" x14ac:dyDescent="0.25">
      <c r="A2505" s="940">
        <v>2256</v>
      </c>
      <c r="B2505" s="940">
        <v>39</v>
      </c>
      <c r="C2505" t="s">
        <v>6869</v>
      </c>
      <c r="D2505" s="940" t="s">
        <v>6870</v>
      </c>
      <c r="E2505" t="s">
        <v>376</v>
      </c>
    </row>
    <row r="2506" spans="1:5" x14ac:dyDescent="0.25">
      <c r="A2506" s="940">
        <v>612</v>
      </c>
      <c r="B2506" s="940">
        <v>395</v>
      </c>
      <c r="C2506" t="s">
        <v>6871</v>
      </c>
      <c r="D2506" s="940" t="s">
        <v>6872</v>
      </c>
      <c r="E2506" t="s">
        <v>1156</v>
      </c>
    </row>
    <row r="2507" spans="1:5" x14ac:dyDescent="0.25">
      <c r="A2507" s="940">
        <v>94</v>
      </c>
      <c r="B2507" s="940">
        <v>1130</v>
      </c>
      <c r="C2507" t="s">
        <v>6873</v>
      </c>
      <c r="D2507" s="940" t="s">
        <v>6874</v>
      </c>
      <c r="E2507" t="s">
        <v>83</v>
      </c>
    </row>
    <row r="2508" spans="1:5" x14ac:dyDescent="0.25">
      <c r="A2508" s="940">
        <v>165</v>
      </c>
      <c r="B2508" s="940">
        <v>944</v>
      </c>
      <c r="C2508" t="s">
        <v>6875</v>
      </c>
      <c r="D2508" s="940" t="s">
        <v>6876</v>
      </c>
      <c r="E2508" t="s">
        <v>122</v>
      </c>
    </row>
    <row r="2509" spans="1:5" x14ac:dyDescent="0.25">
      <c r="A2509" s="940">
        <v>3265</v>
      </c>
      <c r="B2509" s="940">
        <v>3</v>
      </c>
      <c r="C2509" t="s">
        <v>6877</v>
      </c>
      <c r="D2509" s="940" t="s">
        <v>6878</v>
      </c>
      <c r="E2509" t="s">
        <v>109</v>
      </c>
    </row>
    <row r="2510" spans="1:5" x14ac:dyDescent="0.25">
      <c r="A2510" s="940">
        <v>3395</v>
      </c>
      <c r="B2510" s="940">
        <v>1</v>
      </c>
      <c r="C2510" t="s">
        <v>6879</v>
      </c>
      <c r="D2510" s="940" t="s">
        <v>3127</v>
      </c>
      <c r="E2510" t="s">
        <v>144</v>
      </c>
    </row>
    <row r="2511" spans="1:5" x14ac:dyDescent="0.25">
      <c r="A2511" s="940">
        <v>3490</v>
      </c>
      <c r="B2511" s="940">
        <v>0</v>
      </c>
      <c r="C2511" t="s">
        <v>6880</v>
      </c>
      <c r="D2511" s="940" t="s">
        <v>6881</v>
      </c>
      <c r="E2511" t="s">
        <v>99</v>
      </c>
    </row>
    <row r="2512" spans="1:5" x14ac:dyDescent="0.25">
      <c r="A2512" s="940">
        <v>2499</v>
      </c>
      <c r="B2512" s="940">
        <v>25</v>
      </c>
      <c r="C2512" t="s">
        <v>6882</v>
      </c>
      <c r="D2512" s="940" t="s">
        <v>2653</v>
      </c>
      <c r="E2512" t="s">
        <v>99</v>
      </c>
    </row>
    <row r="2513" spans="1:5" x14ac:dyDescent="0.25">
      <c r="A2513" s="940">
        <v>913</v>
      </c>
      <c r="B2513" s="940">
        <v>249</v>
      </c>
      <c r="C2513" t="s">
        <v>6883</v>
      </c>
      <c r="D2513" s="940" t="s">
        <v>6884</v>
      </c>
      <c r="E2513" t="s">
        <v>103</v>
      </c>
    </row>
    <row r="2514" spans="1:5" x14ac:dyDescent="0.25">
      <c r="A2514" s="940">
        <v>636</v>
      </c>
      <c r="B2514" s="940">
        <v>382</v>
      </c>
      <c r="C2514" t="s">
        <v>6885</v>
      </c>
      <c r="D2514" s="940" t="s">
        <v>6886</v>
      </c>
      <c r="E2514" t="s">
        <v>4548</v>
      </c>
    </row>
    <row r="2515" spans="1:5" x14ac:dyDescent="0.25">
      <c r="A2515" s="940">
        <v>3490</v>
      </c>
      <c r="B2515" s="940">
        <v>0</v>
      </c>
      <c r="C2515" t="s">
        <v>6887</v>
      </c>
      <c r="D2515" s="940" t="s">
        <v>3818</v>
      </c>
      <c r="E2515" t="s">
        <v>251</v>
      </c>
    </row>
    <row r="2516" spans="1:5" x14ac:dyDescent="0.25">
      <c r="A2516" s="940">
        <v>1898</v>
      </c>
      <c r="B2516" s="940">
        <v>64</v>
      </c>
      <c r="C2516" t="s">
        <v>6888</v>
      </c>
      <c r="D2516" s="940" t="s">
        <v>6889</v>
      </c>
      <c r="E2516" t="s">
        <v>3687</v>
      </c>
    </row>
    <row r="2517" spans="1:5" x14ac:dyDescent="0.25">
      <c r="A2517" s="940">
        <v>1818</v>
      </c>
      <c r="B2517" s="940">
        <v>71</v>
      </c>
      <c r="C2517" t="s">
        <v>6890</v>
      </c>
      <c r="D2517" s="940" t="s">
        <v>6891</v>
      </c>
      <c r="E2517" t="s">
        <v>103</v>
      </c>
    </row>
    <row r="2518" spans="1:5" x14ac:dyDescent="0.25">
      <c r="A2518" s="940">
        <v>3490</v>
      </c>
      <c r="B2518" s="940">
        <v>0</v>
      </c>
      <c r="C2518" t="s">
        <v>6892</v>
      </c>
      <c r="D2518" s="940" t="s">
        <v>5066</v>
      </c>
      <c r="E2518" t="s">
        <v>1214</v>
      </c>
    </row>
    <row r="2519" spans="1:5" x14ac:dyDescent="0.25">
      <c r="A2519" s="940">
        <v>487</v>
      </c>
      <c r="B2519" s="940">
        <v>482</v>
      </c>
      <c r="C2519" t="s">
        <v>6893</v>
      </c>
      <c r="D2519" s="940" t="s">
        <v>6894</v>
      </c>
      <c r="E2519" t="s">
        <v>1214</v>
      </c>
    </row>
    <row r="2520" spans="1:5" x14ac:dyDescent="0.25">
      <c r="A2520" s="940">
        <v>1848</v>
      </c>
      <c r="B2520" s="940">
        <v>68</v>
      </c>
      <c r="C2520" t="s">
        <v>6895</v>
      </c>
      <c r="D2520" s="940" t="s">
        <v>6896</v>
      </c>
      <c r="E2520" t="s">
        <v>1275</v>
      </c>
    </row>
    <row r="2521" spans="1:5" x14ac:dyDescent="0.25">
      <c r="A2521" s="940">
        <v>1406</v>
      </c>
      <c r="B2521" s="940">
        <v>119</v>
      </c>
      <c r="C2521" t="s">
        <v>2568</v>
      </c>
      <c r="D2521" s="940" t="s">
        <v>6897</v>
      </c>
      <c r="E2521" t="s">
        <v>109</v>
      </c>
    </row>
    <row r="2522" spans="1:5" x14ac:dyDescent="0.25">
      <c r="A2522" s="940">
        <v>2714</v>
      </c>
      <c r="B2522" s="940">
        <v>16</v>
      </c>
      <c r="C2522" t="s">
        <v>6898</v>
      </c>
      <c r="D2522" s="940" t="s">
        <v>5572</v>
      </c>
      <c r="E2522" t="s">
        <v>110</v>
      </c>
    </row>
    <row r="2523" spans="1:5" x14ac:dyDescent="0.25">
      <c r="A2523" s="940">
        <v>1602</v>
      </c>
      <c r="B2523" s="940">
        <v>94</v>
      </c>
      <c r="C2523" t="s">
        <v>6899</v>
      </c>
      <c r="D2523" s="940" t="s">
        <v>6900</v>
      </c>
      <c r="E2523" t="s">
        <v>83</v>
      </c>
    </row>
    <row r="2524" spans="1:5" x14ac:dyDescent="0.25">
      <c r="A2524" s="940">
        <v>1913</v>
      </c>
      <c r="B2524" s="940">
        <v>63</v>
      </c>
      <c r="C2524" t="s">
        <v>2005</v>
      </c>
      <c r="D2524" s="940" t="s">
        <v>6901</v>
      </c>
      <c r="E2524" t="s">
        <v>1214</v>
      </c>
    </row>
    <row r="2525" spans="1:5" x14ac:dyDescent="0.25">
      <c r="A2525" s="940">
        <v>2690</v>
      </c>
      <c r="B2525" s="940">
        <v>17</v>
      </c>
      <c r="C2525" t="s">
        <v>6902</v>
      </c>
      <c r="D2525" s="940" t="s">
        <v>3555</v>
      </c>
      <c r="E2525" t="s">
        <v>6903</v>
      </c>
    </row>
    <row r="2526" spans="1:5" x14ac:dyDescent="0.25">
      <c r="A2526" s="940">
        <v>2883</v>
      </c>
      <c r="B2526" s="940">
        <v>11</v>
      </c>
      <c r="C2526" t="s">
        <v>6904</v>
      </c>
      <c r="D2526" s="940" t="s">
        <v>6905</v>
      </c>
      <c r="E2526" t="s">
        <v>179</v>
      </c>
    </row>
    <row r="2527" spans="1:5" x14ac:dyDescent="0.25">
      <c r="A2527" s="940">
        <v>1220</v>
      </c>
      <c r="B2527" s="940">
        <v>151</v>
      </c>
      <c r="C2527" t="s">
        <v>6906</v>
      </c>
      <c r="D2527" s="940" t="s">
        <v>2780</v>
      </c>
      <c r="E2527" t="s">
        <v>74</v>
      </c>
    </row>
    <row r="2528" spans="1:5" x14ac:dyDescent="0.25">
      <c r="A2528" s="940">
        <v>3490</v>
      </c>
      <c r="B2528" s="940">
        <v>0</v>
      </c>
      <c r="C2528" t="s">
        <v>6907</v>
      </c>
      <c r="D2528" s="940" t="s">
        <v>6908</v>
      </c>
      <c r="E2528" t="s">
        <v>72</v>
      </c>
    </row>
    <row r="2529" spans="1:5" x14ac:dyDescent="0.25">
      <c r="A2529" s="940">
        <v>3490</v>
      </c>
      <c r="B2529" s="940">
        <v>0</v>
      </c>
      <c r="C2529" t="s">
        <v>6909</v>
      </c>
      <c r="D2529" s="940" t="s">
        <v>4799</v>
      </c>
      <c r="E2529" t="s">
        <v>2963</v>
      </c>
    </row>
    <row r="2530" spans="1:5" x14ac:dyDescent="0.25">
      <c r="A2530" s="940">
        <v>1730</v>
      </c>
      <c r="B2530" s="940">
        <v>80</v>
      </c>
      <c r="C2530" t="s">
        <v>6910</v>
      </c>
      <c r="D2530" s="940" t="s">
        <v>2953</v>
      </c>
      <c r="E2530" t="s">
        <v>1675</v>
      </c>
    </row>
    <row r="2531" spans="1:5" x14ac:dyDescent="0.25">
      <c r="A2531" s="940">
        <v>3490</v>
      </c>
      <c r="B2531" s="940">
        <v>0</v>
      </c>
      <c r="C2531" t="s">
        <v>6911</v>
      </c>
      <c r="D2531" s="940" t="s">
        <v>4948</v>
      </c>
      <c r="E2531" t="s">
        <v>163</v>
      </c>
    </row>
    <row r="2532" spans="1:5" x14ac:dyDescent="0.25">
      <c r="A2532" s="940">
        <v>1193</v>
      </c>
      <c r="B2532" s="940">
        <v>158</v>
      </c>
      <c r="C2532" t="s">
        <v>6912</v>
      </c>
      <c r="D2532" s="940" t="s">
        <v>4724</v>
      </c>
      <c r="E2532" t="s">
        <v>1156</v>
      </c>
    </row>
    <row r="2533" spans="1:5" x14ac:dyDescent="0.25">
      <c r="A2533" s="940">
        <v>600</v>
      </c>
      <c r="B2533" s="940">
        <v>405</v>
      </c>
      <c r="C2533" t="s">
        <v>6913</v>
      </c>
      <c r="D2533" s="940" t="s">
        <v>6914</v>
      </c>
      <c r="E2533" t="s">
        <v>129</v>
      </c>
    </row>
    <row r="2534" spans="1:5" x14ac:dyDescent="0.25">
      <c r="A2534" s="940">
        <v>171</v>
      </c>
      <c r="B2534" s="940">
        <v>943</v>
      </c>
      <c r="C2534" t="s">
        <v>6915</v>
      </c>
      <c r="D2534" s="940" t="s">
        <v>6916</v>
      </c>
      <c r="E2534" t="s">
        <v>1590</v>
      </c>
    </row>
    <row r="2535" spans="1:5" x14ac:dyDescent="0.25">
      <c r="A2535" s="940">
        <v>2381</v>
      </c>
      <c r="B2535" s="940">
        <v>31</v>
      </c>
      <c r="C2535" t="s">
        <v>545</v>
      </c>
      <c r="D2535" s="940" t="s">
        <v>4256</v>
      </c>
      <c r="E2535" t="s">
        <v>1386</v>
      </c>
    </row>
    <row r="2536" spans="1:5" x14ac:dyDescent="0.25">
      <c r="A2536" s="940">
        <v>3490</v>
      </c>
      <c r="B2536" s="940">
        <v>0</v>
      </c>
      <c r="C2536" t="s">
        <v>6917</v>
      </c>
      <c r="D2536" s="940" t="s">
        <v>6918</v>
      </c>
      <c r="E2536" t="s">
        <v>105</v>
      </c>
    </row>
    <row r="2537" spans="1:5" x14ac:dyDescent="0.25">
      <c r="A2537" s="940">
        <v>1924</v>
      </c>
      <c r="B2537" s="940">
        <v>62</v>
      </c>
      <c r="C2537" t="s">
        <v>6919</v>
      </c>
      <c r="D2537" s="940" t="s">
        <v>5762</v>
      </c>
      <c r="E2537" t="s">
        <v>4920</v>
      </c>
    </row>
    <row r="2538" spans="1:5" x14ac:dyDescent="0.25">
      <c r="A2538" s="940">
        <v>3490</v>
      </c>
      <c r="B2538" s="940">
        <v>0</v>
      </c>
      <c r="C2538" t="s">
        <v>6920</v>
      </c>
      <c r="D2538" s="940" t="s">
        <v>6921</v>
      </c>
      <c r="E2538" t="s">
        <v>99</v>
      </c>
    </row>
    <row r="2539" spans="1:5" x14ac:dyDescent="0.25">
      <c r="A2539" s="940">
        <v>3490</v>
      </c>
      <c r="B2539" s="940">
        <v>0</v>
      </c>
      <c r="C2539" t="s">
        <v>6922</v>
      </c>
      <c r="D2539" s="940" t="s">
        <v>2891</v>
      </c>
      <c r="E2539" t="s">
        <v>105</v>
      </c>
    </row>
    <row r="2540" spans="1:5" x14ac:dyDescent="0.25">
      <c r="A2540" s="940">
        <v>1533</v>
      </c>
      <c r="B2540" s="940">
        <v>102</v>
      </c>
      <c r="C2540" t="s">
        <v>6923</v>
      </c>
      <c r="D2540" s="940" t="s">
        <v>6924</v>
      </c>
      <c r="E2540" t="s">
        <v>4667</v>
      </c>
    </row>
    <row r="2541" spans="1:5" x14ac:dyDescent="0.25">
      <c r="A2541" s="940">
        <v>3490</v>
      </c>
      <c r="B2541" s="940">
        <v>0</v>
      </c>
      <c r="C2541" t="s">
        <v>6925</v>
      </c>
      <c r="D2541" s="940" t="s">
        <v>5022</v>
      </c>
      <c r="E2541" t="s">
        <v>105</v>
      </c>
    </row>
    <row r="2542" spans="1:5" x14ac:dyDescent="0.25">
      <c r="A2542" s="940">
        <v>2515</v>
      </c>
      <c r="B2542" s="940">
        <v>24</v>
      </c>
      <c r="C2542" t="s">
        <v>6926</v>
      </c>
      <c r="D2542" s="940" t="s">
        <v>6927</v>
      </c>
      <c r="E2542" t="s">
        <v>105</v>
      </c>
    </row>
    <row r="2543" spans="1:5" x14ac:dyDescent="0.25">
      <c r="A2543" s="940">
        <v>1217</v>
      </c>
      <c r="B2543" s="940">
        <v>152</v>
      </c>
      <c r="C2543" t="s">
        <v>2009</v>
      </c>
      <c r="D2543" s="940" t="s">
        <v>6928</v>
      </c>
      <c r="E2543" t="s">
        <v>105</v>
      </c>
    </row>
    <row r="2544" spans="1:5" x14ac:dyDescent="0.25">
      <c r="A2544" s="940">
        <v>1233</v>
      </c>
      <c r="B2544" s="940">
        <v>149</v>
      </c>
      <c r="C2544" t="s">
        <v>6929</v>
      </c>
      <c r="D2544" s="940" t="s">
        <v>6930</v>
      </c>
      <c r="E2544" t="s">
        <v>83</v>
      </c>
    </row>
    <row r="2545" spans="1:5" x14ac:dyDescent="0.25">
      <c r="A2545" s="940">
        <v>1153</v>
      </c>
      <c r="B2545" s="940">
        <v>167</v>
      </c>
      <c r="C2545" t="s">
        <v>546</v>
      </c>
      <c r="D2545" s="940" t="s">
        <v>6931</v>
      </c>
      <c r="E2545" t="s">
        <v>139</v>
      </c>
    </row>
    <row r="2546" spans="1:5" x14ac:dyDescent="0.25">
      <c r="A2546" s="940">
        <v>2659</v>
      </c>
      <c r="B2546" s="940">
        <v>18</v>
      </c>
      <c r="C2546" t="s">
        <v>6932</v>
      </c>
      <c r="D2546" s="940" t="s">
        <v>6908</v>
      </c>
      <c r="E2546" t="s">
        <v>164</v>
      </c>
    </row>
    <row r="2547" spans="1:5" x14ac:dyDescent="0.25">
      <c r="A2547" s="940">
        <v>3490</v>
      </c>
      <c r="B2547" s="940">
        <v>0</v>
      </c>
      <c r="C2547" t="s">
        <v>6933</v>
      </c>
      <c r="D2547" s="940" t="s">
        <v>5865</v>
      </c>
      <c r="E2547" t="s">
        <v>74</v>
      </c>
    </row>
    <row r="2548" spans="1:5" x14ac:dyDescent="0.25">
      <c r="A2548" s="940">
        <v>3490</v>
      </c>
      <c r="B2548" s="940">
        <v>0</v>
      </c>
      <c r="C2548" t="s">
        <v>6934</v>
      </c>
      <c r="D2548" s="940" t="s">
        <v>2962</v>
      </c>
      <c r="E2548" t="s">
        <v>105</v>
      </c>
    </row>
    <row r="2549" spans="1:5" x14ac:dyDescent="0.25">
      <c r="A2549" s="940">
        <v>3490</v>
      </c>
      <c r="B2549" s="940">
        <v>0</v>
      </c>
      <c r="C2549" t="s">
        <v>6935</v>
      </c>
      <c r="D2549" s="940" t="s">
        <v>6936</v>
      </c>
      <c r="E2549" t="s">
        <v>110</v>
      </c>
    </row>
    <row r="2550" spans="1:5" x14ac:dyDescent="0.25">
      <c r="A2550" s="940">
        <v>1379</v>
      </c>
      <c r="B2550" s="940">
        <v>123</v>
      </c>
      <c r="C2550" t="s">
        <v>6937</v>
      </c>
      <c r="D2550" s="940" t="s">
        <v>3226</v>
      </c>
      <c r="E2550" t="s">
        <v>99</v>
      </c>
    </row>
    <row r="2551" spans="1:5" x14ac:dyDescent="0.25">
      <c r="A2551" s="940">
        <v>1787</v>
      </c>
      <c r="B2551" s="940">
        <v>74</v>
      </c>
      <c r="C2551" t="s">
        <v>6938</v>
      </c>
      <c r="D2551" s="940" t="s">
        <v>6939</v>
      </c>
      <c r="E2551" t="s">
        <v>120</v>
      </c>
    </row>
    <row r="2552" spans="1:5" x14ac:dyDescent="0.25">
      <c r="A2552" s="940">
        <v>2121</v>
      </c>
      <c r="B2552" s="940">
        <v>47</v>
      </c>
      <c r="C2552" t="s">
        <v>6940</v>
      </c>
      <c r="D2552" s="940" t="s">
        <v>6941</v>
      </c>
      <c r="E2552" t="s">
        <v>128</v>
      </c>
    </row>
    <row r="2553" spans="1:5" x14ac:dyDescent="0.25">
      <c r="A2553" s="940">
        <v>2206</v>
      </c>
      <c r="B2553" s="940">
        <v>42</v>
      </c>
      <c r="C2553" t="s">
        <v>6942</v>
      </c>
      <c r="D2553" s="940" t="s">
        <v>6359</v>
      </c>
      <c r="E2553" t="s">
        <v>1158</v>
      </c>
    </row>
    <row r="2554" spans="1:5" x14ac:dyDescent="0.25">
      <c r="A2554" s="940">
        <v>87</v>
      </c>
      <c r="B2554" s="940">
        <v>1153</v>
      </c>
      <c r="C2554" t="s">
        <v>6943</v>
      </c>
      <c r="D2554" s="940" t="s">
        <v>6939</v>
      </c>
      <c r="E2554" t="s">
        <v>120</v>
      </c>
    </row>
    <row r="2555" spans="1:5" x14ac:dyDescent="0.25">
      <c r="A2555" s="940">
        <v>2839</v>
      </c>
      <c r="B2555" s="940">
        <v>12</v>
      </c>
      <c r="C2555" t="s">
        <v>6944</v>
      </c>
      <c r="D2555" s="940" t="s">
        <v>6473</v>
      </c>
      <c r="E2555" t="s">
        <v>3055</v>
      </c>
    </row>
    <row r="2556" spans="1:5" x14ac:dyDescent="0.25">
      <c r="A2556" s="940">
        <v>1054</v>
      </c>
      <c r="B2556" s="940">
        <v>199</v>
      </c>
      <c r="C2556" t="s">
        <v>6945</v>
      </c>
      <c r="D2556" s="940" t="s">
        <v>6946</v>
      </c>
      <c r="E2556" t="s">
        <v>6947</v>
      </c>
    </row>
    <row r="2557" spans="1:5" x14ac:dyDescent="0.25">
      <c r="A2557" s="940">
        <v>1272</v>
      </c>
      <c r="B2557" s="940">
        <v>141</v>
      </c>
      <c r="C2557" t="s">
        <v>6948</v>
      </c>
      <c r="D2557" s="940" t="s">
        <v>6949</v>
      </c>
      <c r="E2557" t="s">
        <v>171</v>
      </c>
    </row>
    <row r="2558" spans="1:5" x14ac:dyDescent="0.25">
      <c r="A2558" s="940">
        <v>3327</v>
      </c>
      <c r="B2558" s="940">
        <v>2</v>
      </c>
      <c r="C2558" t="s">
        <v>6950</v>
      </c>
      <c r="D2558" s="940" t="s">
        <v>6847</v>
      </c>
      <c r="E2558" t="s">
        <v>171</v>
      </c>
    </row>
    <row r="2559" spans="1:5" x14ac:dyDescent="0.25">
      <c r="A2559" s="940">
        <v>528</v>
      </c>
      <c r="B2559" s="940">
        <v>446</v>
      </c>
      <c r="C2559" t="s">
        <v>296</v>
      </c>
      <c r="D2559" s="940" t="s">
        <v>6951</v>
      </c>
      <c r="E2559" t="s">
        <v>1860</v>
      </c>
    </row>
    <row r="2560" spans="1:5" x14ac:dyDescent="0.25">
      <c r="A2560" s="940">
        <v>1818</v>
      </c>
      <c r="B2560" s="940">
        <v>71</v>
      </c>
      <c r="C2560" t="s">
        <v>6952</v>
      </c>
      <c r="D2560" s="940" t="s">
        <v>6953</v>
      </c>
      <c r="E2560" t="s">
        <v>105</v>
      </c>
    </row>
    <row r="2561" spans="1:5" x14ac:dyDescent="0.25">
      <c r="A2561" s="940">
        <v>3490</v>
      </c>
      <c r="B2561" s="940">
        <v>0</v>
      </c>
      <c r="C2561" t="s">
        <v>2010</v>
      </c>
      <c r="D2561" s="940" t="s">
        <v>6954</v>
      </c>
      <c r="E2561" t="s">
        <v>120</v>
      </c>
    </row>
    <row r="2562" spans="1:5" x14ac:dyDescent="0.25">
      <c r="A2562" s="940">
        <v>2098</v>
      </c>
      <c r="B2562" s="940">
        <v>49</v>
      </c>
      <c r="C2562" t="s">
        <v>6955</v>
      </c>
      <c r="D2562" s="940" t="s">
        <v>2645</v>
      </c>
      <c r="E2562" t="s">
        <v>1286</v>
      </c>
    </row>
    <row r="2563" spans="1:5" x14ac:dyDescent="0.25">
      <c r="A2563" s="940">
        <v>2079</v>
      </c>
      <c r="B2563" s="940">
        <v>50</v>
      </c>
      <c r="C2563" t="s">
        <v>6956</v>
      </c>
      <c r="D2563" s="940" t="s">
        <v>2783</v>
      </c>
      <c r="E2563" t="s">
        <v>376</v>
      </c>
    </row>
    <row r="2564" spans="1:5" x14ac:dyDescent="0.25">
      <c r="A2564" s="940">
        <v>1462</v>
      </c>
      <c r="B2564" s="940">
        <v>111</v>
      </c>
      <c r="C2564" t="s">
        <v>6957</v>
      </c>
      <c r="D2564" s="940" t="s">
        <v>6958</v>
      </c>
      <c r="E2564" t="s">
        <v>99</v>
      </c>
    </row>
    <row r="2565" spans="1:5" x14ac:dyDescent="0.25">
      <c r="A2565" s="940">
        <v>2256</v>
      </c>
      <c r="B2565" s="940">
        <v>39</v>
      </c>
      <c r="C2565" t="s">
        <v>6959</v>
      </c>
      <c r="D2565" s="940" t="s">
        <v>6960</v>
      </c>
      <c r="E2565" t="s">
        <v>1214</v>
      </c>
    </row>
    <row r="2566" spans="1:5" x14ac:dyDescent="0.25">
      <c r="A2566" s="940">
        <v>1848</v>
      </c>
      <c r="B2566" s="940">
        <v>68</v>
      </c>
      <c r="C2566" t="s">
        <v>6961</v>
      </c>
      <c r="D2566" s="940" t="s">
        <v>6962</v>
      </c>
      <c r="E2566" t="s">
        <v>1236</v>
      </c>
    </row>
    <row r="2567" spans="1:5" x14ac:dyDescent="0.25">
      <c r="A2567" s="940">
        <v>115</v>
      </c>
      <c r="B2567" s="940">
        <v>1064</v>
      </c>
      <c r="C2567" t="s">
        <v>6963</v>
      </c>
      <c r="D2567" s="940" t="s">
        <v>5829</v>
      </c>
      <c r="E2567" t="s">
        <v>6361</v>
      </c>
    </row>
    <row r="2568" spans="1:5" x14ac:dyDescent="0.25">
      <c r="A2568" s="940">
        <v>2441</v>
      </c>
      <c r="B2568" s="940">
        <v>28</v>
      </c>
      <c r="C2568" t="s">
        <v>6964</v>
      </c>
      <c r="D2568" s="940" t="s">
        <v>5877</v>
      </c>
      <c r="E2568" t="s">
        <v>120</v>
      </c>
    </row>
    <row r="2569" spans="1:5" x14ac:dyDescent="0.25">
      <c r="A2569" s="940">
        <v>3490</v>
      </c>
      <c r="B2569" s="940">
        <v>0</v>
      </c>
      <c r="C2569" t="s">
        <v>6965</v>
      </c>
      <c r="D2569" s="940" t="s">
        <v>6966</v>
      </c>
      <c r="E2569" t="s">
        <v>227</v>
      </c>
    </row>
    <row r="2570" spans="1:5" x14ac:dyDescent="0.25">
      <c r="A2570" s="940">
        <v>1685</v>
      </c>
      <c r="B2570" s="940">
        <v>85</v>
      </c>
      <c r="C2570" t="s">
        <v>6967</v>
      </c>
      <c r="D2570" s="940" t="s">
        <v>2768</v>
      </c>
      <c r="E2570" t="s">
        <v>1275</v>
      </c>
    </row>
    <row r="2571" spans="1:5" x14ac:dyDescent="0.25">
      <c r="A2571" s="940">
        <v>3490</v>
      </c>
      <c r="B2571" s="940">
        <v>0</v>
      </c>
      <c r="C2571" t="s">
        <v>6968</v>
      </c>
      <c r="D2571" s="940" t="s">
        <v>3047</v>
      </c>
      <c r="E2571" t="s">
        <v>74</v>
      </c>
    </row>
    <row r="2572" spans="1:5" x14ac:dyDescent="0.25">
      <c r="A2572" s="940">
        <v>3490</v>
      </c>
      <c r="B2572" s="940">
        <v>0</v>
      </c>
      <c r="C2572" t="s">
        <v>6969</v>
      </c>
      <c r="D2572" s="940" t="s">
        <v>6252</v>
      </c>
      <c r="E2572" t="s">
        <v>1256</v>
      </c>
    </row>
    <row r="2573" spans="1:5" x14ac:dyDescent="0.25">
      <c r="A2573" s="940">
        <v>3490</v>
      </c>
      <c r="B2573" s="940">
        <v>0</v>
      </c>
      <c r="C2573" t="s">
        <v>6970</v>
      </c>
      <c r="D2573" s="940" t="s">
        <v>6971</v>
      </c>
      <c r="E2573" t="s">
        <v>661</v>
      </c>
    </row>
    <row r="2574" spans="1:5" x14ac:dyDescent="0.25">
      <c r="A2574" s="940">
        <v>2515</v>
      </c>
      <c r="B2574" s="940">
        <v>24</v>
      </c>
      <c r="C2574" t="s">
        <v>6972</v>
      </c>
      <c r="D2574" s="940" t="s">
        <v>6973</v>
      </c>
      <c r="E2574" t="s">
        <v>120</v>
      </c>
    </row>
    <row r="2575" spans="1:5" x14ac:dyDescent="0.25">
      <c r="A2575" s="940">
        <v>3045</v>
      </c>
      <c r="B2575" s="940">
        <v>7</v>
      </c>
      <c r="C2575" t="s">
        <v>6974</v>
      </c>
      <c r="D2575" s="940" t="s">
        <v>6639</v>
      </c>
      <c r="E2575" t="s">
        <v>111</v>
      </c>
    </row>
    <row r="2576" spans="1:5" x14ac:dyDescent="0.25">
      <c r="A2576" s="940">
        <v>1691</v>
      </c>
      <c r="B2576" s="940">
        <v>84</v>
      </c>
      <c r="C2576" t="s">
        <v>6975</v>
      </c>
      <c r="D2576" s="940" t="s">
        <v>5715</v>
      </c>
      <c r="E2576" t="s">
        <v>120</v>
      </c>
    </row>
    <row r="2577" spans="1:5" x14ac:dyDescent="0.25">
      <c r="A2577" s="940">
        <v>1711</v>
      </c>
      <c r="B2577" s="940">
        <v>82</v>
      </c>
      <c r="C2577" t="s">
        <v>6976</v>
      </c>
      <c r="D2577" s="940" t="s">
        <v>6977</v>
      </c>
      <c r="E2577" t="s">
        <v>132</v>
      </c>
    </row>
    <row r="2578" spans="1:5" x14ac:dyDescent="0.25">
      <c r="A2578" s="940">
        <v>2152</v>
      </c>
      <c r="B2578" s="940">
        <v>45</v>
      </c>
      <c r="C2578" t="s">
        <v>6978</v>
      </c>
      <c r="D2578" s="940" t="s">
        <v>5572</v>
      </c>
      <c r="E2578" t="s">
        <v>1286</v>
      </c>
    </row>
    <row r="2579" spans="1:5" x14ac:dyDescent="0.25">
      <c r="A2579" s="940">
        <v>1406</v>
      </c>
      <c r="B2579" s="940">
        <v>119</v>
      </c>
      <c r="C2579" t="s">
        <v>2014</v>
      </c>
      <c r="D2579" s="940" t="s">
        <v>6979</v>
      </c>
      <c r="E2579" t="s">
        <v>120</v>
      </c>
    </row>
    <row r="2580" spans="1:5" x14ac:dyDescent="0.25">
      <c r="A2580" s="940">
        <v>1389</v>
      </c>
      <c r="B2580" s="940">
        <v>122</v>
      </c>
      <c r="C2580" t="s">
        <v>6980</v>
      </c>
      <c r="D2580" s="940" t="s">
        <v>3845</v>
      </c>
      <c r="E2580" t="s">
        <v>120</v>
      </c>
    </row>
    <row r="2581" spans="1:5" x14ac:dyDescent="0.25">
      <c r="A2581" s="940">
        <v>795</v>
      </c>
      <c r="B2581" s="940">
        <v>299</v>
      </c>
      <c r="C2581" t="s">
        <v>6981</v>
      </c>
      <c r="D2581" s="940" t="s">
        <v>6982</v>
      </c>
      <c r="E2581" t="s">
        <v>6983</v>
      </c>
    </row>
    <row r="2582" spans="1:5" x14ac:dyDescent="0.25">
      <c r="A2582" s="940">
        <v>351</v>
      </c>
      <c r="B2582" s="940">
        <v>630</v>
      </c>
      <c r="C2582" t="s">
        <v>6984</v>
      </c>
      <c r="D2582" s="940" t="s">
        <v>6985</v>
      </c>
      <c r="E2582" t="s">
        <v>3098</v>
      </c>
    </row>
    <row r="2583" spans="1:5" x14ac:dyDescent="0.25">
      <c r="A2583" s="940">
        <v>2</v>
      </c>
      <c r="B2583" s="940">
        <v>1684</v>
      </c>
      <c r="C2583" t="s">
        <v>6986</v>
      </c>
      <c r="D2583" s="940" t="s">
        <v>6987</v>
      </c>
      <c r="E2583" t="s">
        <v>6988</v>
      </c>
    </row>
    <row r="2584" spans="1:5" x14ac:dyDescent="0.25">
      <c r="A2584" s="940">
        <v>2996</v>
      </c>
      <c r="B2584" s="940">
        <v>8</v>
      </c>
      <c r="C2584" t="s">
        <v>6989</v>
      </c>
      <c r="D2584" s="940" t="s">
        <v>3588</v>
      </c>
      <c r="E2584" t="s">
        <v>103</v>
      </c>
    </row>
    <row r="2585" spans="1:5" x14ac:dyDescent="0.25">
      <c r="A2585" s="940">
        <v>2959</v>
      </c>
      <c r="B2585" s="940">
        <v>9</v>
      </c>
      <c r="C2585" t="s">
        <v>6990</v>
      </c>
      <c r="D2585" s="940" t="s">
        <v>6991</v>
      </c>
      <c r="E2585" t="s">
        <v>121</v>
      </c>
    </row>
    <row r="2586" spans="1:5" x14ac:dyDescent="0.25">
      <c r="A2586" s="940">
        <v>904</v>
      </c>
      <c r="B2586" s="940">
        <v>253</v>
      </c>
      <c r="C2586" t="s">
        <v>6992</v>
      </c>
      <c r="D2586" s="940" t="s">
        <v>6993</v>
      </c>
      <c r="E2586" t="s">
        <v>103</v>
      </c>
    </row>
    <row r="2587" spans="1:5" x14ac:dyDescent="0.25">
      <c r="A2587" s="940">
        <v>186</v>
      </c>
      <c r="B2587" s="940">
        <v>918</v>
      </c>
      <c r="C2587" t="s">
        <v>297</v>
      </c>
      <c r="D2587" s="940" t="s">
        <v>6994</v>
      </c>
      <c r="E2587" t="s">
        <v>83</v>
      </c>
    </row>
    <row r="2588" spans="1:5" x14ac:dyDescent="0.25">
      <c r="A2588" s="940">
        <v>2839</v>
      </c>
      <c r="B2588" s="940">
        <v>12</v>
      </c>
      <c r="C2588" t="s">
        <v>6995</v>
      </c>
      <c r="D2588" s="940" t="s">
        <v>3775</v>
      </c>
      <c r="E2588" t="s">
        <v>99</v>
      </c>
    </row>
    <row r="2589" spans="1:5" x14ac:dyDescent="0.25">
      <c r="A2589" s="940">
        <v>2152</v>
      </c>
      <c r="B2589" s="940">
        <v>45</v>
      </c>
      <c r="C2589" t="s">
        <v>6996</v>
      </c>
      <c r="D2589" s="940" t="s">
        <v>6997</v>
      </c>
      <c r="E2589" t="s">
        <v>1221</v>
      </c>
    </row>
    <row r="2590" spans="1:5" x14ac:dyDescent="0.25">
      <c r="A2590" s="940">
        <v>1942</v>
      </c>
      <c r="B2590" s="940">
        <v>61</v>
      </c>
      <c r="C2590" t="s">
        <v>6998</v>
      </c>
      <c r="D2590" s="940" t="s">
        <v>6614</v>
      </c>
      <c r="E2590" t="s">
        <v>120</v>
      </c>
    </row>
    <row r="2591" spans="1:5" x14ac:dyDescent="0.25">
      <c r="A2591" s="940">
        <v>1548</v>
      </c>
      <c r="B2591" s="940">
        <v>101</v>
      </c>
      <c r="C2591" t="s">
        <v>6999</v>
      </c>
      <c r="D2591" s="940" t="s">
        <v>6997</v>
      </c>
      <c r="E2591" t="s">
        <v>99</v>
      </c>
    </row>
    <row r="2592" spans="1:5" x14ac:dyDescent="0.25">
      <c r="A2592" s="940">
        <v>1054</v>
      </c>
      <c r="B2592" s="940">
        <v>199</v>
      </c>
      <c r="C2592" t="s">
        <v>7000</v>
      </c>
      <c r="D2592" s="940" t="s">
        <v>3554</v>
      </c>
      <c r="E2592" t="s">
        <v>1286</v>
      </c>
    </row>
    <row r="2593" spans="1:5" x14ac:dyDescent="0.25">
      <c r="A2593" s="940">
        <v>3490</v>
      </c>
      <c r="B2593" s="940">
        <v>0</v>
      </c>
      <c r="C2593" t="s">
        <v>7001</v>
      </c>
      <c r="D2593" s="940" t="s">
        <v>3222</v>
      </c>
      <c r="E2593" t="s">
        <v>74</v>
      </c>
    </row>
    <row r="2594" spans="1:5" x14ac:dyDescent="0.25">
      <c r="A2594" s="940">
        <v>2883</v>
      </c>
      <c r="B2594" s="940">
        <v>11</v>
      </c>
      <c r="C2594" t="s">
        <v>7002</v>
      </c>
      <c r="D2594" s="940" t="s">
        <v>2813</v>
      </c>
      <c r="E2594" t="s">
        <v>108</v>
      </c>
    </row>
    <row r="2595" spans="1:5" x14ac:dyDescent="0.25">
      <c r="A2595" s="940">
        <v>1594</v>
      </c>
      <c r="B2595" s="940">
        <v>96</v>
      </c>
      <c r="C2595" t="s">
        <v>7003</v>
      </c>
      <c r="D2595" s="940" t="s">
        <v>4378</v>
      </c>
      <c r="E2595" t="s">
        <v>4395</v>
      </c>
    </row>
    <row r="2596" spans="1:5" x14ac:dyDescent="0.25">
      <c r="A2596" s="940">
        <v>2626</v>
      </c>
      <c r="B2596" s="940">
        <v>19</v>
      </c>
      <c r="C2596" t="s">
        <v>7004</v>
      </c>
      <c r="D2596" s="940" t="s">
        <v>4877</v>
      </c>
      <c r="E2596" t="s">
        <v>1460</v>
      </c>
    </row>
    <row r="2597" spans="1:5" x14ac:dyDescent="0.25">
      <c r="A2597" s="940">
        <v>2959</v>
      </c>
      <c r="B2597" s="940">
        <v>9</v>
      </c>
      <c r="C2597" t="s">
        <v>7005</v>
      </c>
      <c r="D2597" s="940" t="s">
        <v>7006</v>
      </c>
      <c r="E2597" t="s">
        <v>1460</v>
      </c>
    </row>
    <row r="2598" spans="1:5" x14ac:dyDescent="0.25">
      <c r="A2598" s="940">
        <v>3490</v>
      </c>
      <c r="B2598" s="940">
        <v>0</v>
      </c>
      <c r="C2598" t="s">
        <v>7007</v>
      </c>
      <c r="D2598" s="940" t="s">
        <v>5016</v>
      </c>
      <c r="E2598" t="s">
        <v>2606</v>
      </c>
    </row>
    <row r="2599" spans="1:5" x14ac:dyDescent="0.25">
      <c r="A2599" s="940">
        <v>808</v>
      </c>
      <c r="B2599" s="940">
        <v>294</v>
      </c>
      <c r="C2599" t="s">
        <v>7008</v>
      </c>
      <c r="D2599" s="940" t="s">
        <v>7009</v>
      </c>
      <c r="E2599" t="s">
        <v>3140</v>
      </c>
    </row>
    <row r="2600" spans="1:5" x14ac:dyDescent="0.25">
      <c r="A2600" s="940">
        <v>2032</v>
      </c>
      <c r="B2600" s="940">
        <v>53</v>
      </c>
      <c r="C2600" t="s">
        <v>7010</v>
      </c>
      <c r="D2600" s="940" t="s">
        <v>7011</v>
      </c>
      <c r="E2600" t="s">
        <v>105</v>
      </c>
    </row>
    <row r="2601" spans="1:5" x14ac:dyDescent="0.25">
      <c r="A2601" s="940">
        <v>3490</v>
      </c>
      <c r="B2601" s="940">
        <v>0</v>
      </c>
      <c r="C2601" t="s">
        <v>7012</v>
      </c>
      <c r="D2601" s="940" t="s">
        <v>7013</v>
      </c>
      <c r="E2601" t="s">
        <v>1315</v>
      </c>
    </row>
    <row r="2602" spans="1:5" x14ac:dyDescent="0.25">
      <c r="A2602" s="940">
        <v>2626</v>
      </c>
      <c r="B2602" s="940">
        <v>19</v>
      </c>
      <c r="C2602" t="s">
        <v>7014</v>
      </c>
      <c r="D2602" s="940" t="s">
        <v>4401</v>
      </c>
      <c r="E2602" t="s">
        <v>1211</v>
      </c>
    </row>
    <row r="2603" spans="1:5" x14ac:dyDescent="0.25">
      <c r="A2603" s="940">
        <v>272</v>
      </c>
      <c r="B2603" s="940">
        <v>762</v>
      </c>
      <c r="C2603" t="s">
        <v>7015</v>
      </c>
      <c r="D2603" s="940" t="s">
        <v>7016</v>
      </c>
      <c r="E2603" t="s">
        <v>75</v>
      </c>
    </row>
    <row r="2604" spans="1:5" x14ac:dyDescent="0.25">
      <c r="A2604" s="940">
        <v>963</v>
      </c>
      <c r="B2604" s="940">
        <v>231</v>
      </c>
      <c r="C2604" t="s">
        <v>7017</v>
      </c>
      <c r="D2604" s="940" t="s">
        <v>5472</v>
      </c>
      <c r="E2604" t="s">
        <v>175</v>
      </c>
    </row>
    <row r="2605" spans="1:5" x14ac:dyDescent="0.25">
      <c r="A2605" s="940">
        <v>2370</v>
      </c>
      <c r="B2605" s="940">
        <v>32</v>
      </c>
      <c r="C2605" t="s">
        <v>7018</v>
      </c>
      <c r="D2605" s="940" t="s">
        <v>5897</v>
      </c>
      <c r="E2605" t="s">
        <v>109</v>
      </c>
    </row>
    <row r="2606" spans="1:5" x14ac:dyDescent="0.25">
      <c r="A2606" s="940">
        <v>55</v>
      </c>
      <c r="B2606" s="940">
        <v>1266</v>
      </c>
      <c r="C2606" t="s">
        <v>7019</v>
      </c>
      <c r="D2606" s="940" t="s">
        <v>7020</v>
      </c>
      <c r="E2606" t="s">
        <v>99</v>
      </c>
    </row>
    <row r="2607" spans="1:5" x14ac:dyDescent="0.25">
      <c r="A2607" s="940">
        <v>1333</v>
      </c>
      <c r="B2607" s="940">
        <v>129</v>
      </c>
      <c r="C2607" t="s">
        <v>7021</v>
      </c>
      <c r="D2607" s="940" t="s">
        <v>7022</v>
      </c>
      <c r="E2607" t="s">
        <v>105</v>
      </c>
    </row>
    <row r="2608" spans="1:5" x14ac:dyDescent="0.25">
      <c r="A2608" s="940">
        <v>1489</v>
      </c>
      <c r="B2608" s="940">
        <v>107</v>
      </c>
      <c r="C2608" t="s">
        <v>7023</v>
      </c>
      <c r="D2608" s="940" t="s">
        <v>7024</v>
      </c>
      <c r="E2608" t="s">
        <v>117</v>
      </c>
    </row>
    <row r="2609" spans="1:5" x14ac:dyDescent="0.25">
      <c r="A2609" s="940">
        <v>3490</v>
      </c>
      <c r="B2609" s="940">
        <v>0</v>
      </c>
      <c r="C2609" t="s">
        <v>7025</v>
      </c>
      <c r="D2609" s="940" t="s">
        <v>3532</v>
      </c>
      <c r="E2609" t="s">
        <v>105</v>
      </c>
    </row>
    <row r="2610" spans="1:5" x14ac:dyDescent="0.25">
      <c r="A2610" s="940">
        <v>1036</v>
      </c>
      <c r="B2610" s="940">
        <v>204</v>
      </c>
      <c r="C2610" t="s">
        <v>7026</v>
      </c>
      <c r="D2610" s="940" t="s">
        <v>7027</v>
      </c>
      <c r="E2610" t="s">
        <v>2928</v>
      </c>
    </row>
    <row r="2611" spans="1:5" x14ac:dyDescent="0.25">
      <c r="A2611" s="940">
        <v>3327</v>
      </c>
      <c r="B2611" s="940">
        <v>2</v>
      </c>
      <c r="C2611" t="s">
        <v>7028</v>
      </c>
      <c r="D2611" s="940" t="s">
        <v>4547</v>
      </c>
      <c r="E2611" t="s">
        <v>4104</v>
      </c>
    </row>
    <row r="2612" spans="1:5" x14ac:dyDescent="0.25">
      <c r="A2612" s="940">
        <v>3265</v>
      </c>
      <c r="B2612" s="940">
        <v>3</v>
      </c>
      <c r="C2612" t="s">
        <v>7029</v>
      </c>
      <c r="D2612" s="940" t="s">
        <v>6811</v>
      </c>
      <c r="E2612" t="s">
        <v>1844</v>
      </c>
    </row>
    <row r="2613" spans="1:5" x14ac:dyDescent="0.25">
      <c r="A2613" s="940">
        <v>1594</v>
      </c>
      <c r="B2613" s="940">
        <v>96</v>
      </c>
      <c r="C2613" t="s">
        <v>7030</v>
      </c>
      <c r="D2613" s="940" t="s">
        <v>7031</v>
      </c>
      <c r="E2613" t="s">
        <v>1343</v>
      </c>
    </row>
    <row r="2614" spans="1:5" x14ac:dyDescent="0.25">
      <c r="A2614" s="940">
        <v>907</v>
      </c>
      <c r="B2614" s="940">
        <v>252</v>
      </c>
      <c r="C2614" t="s">
        <v>7032</v>
      </c>
      <c r="D2614" s="940" t="s">
        <v>7033</v>
      </c>
      <c r="E2614" t="s">
        <v>5767</v>
      </c>
    </row>
    <row r="2615" spans="1:5" x14ac:dyDescent="0.25">
      <c r="A2615" s="940">
        <v>3490</v>
      </c>
      <c r="B2615" s="940">
        <v>0</v>
      </c>
      <c r="C2615" t="s">
        <v>7034</v>
      </c>
      <c r="D2615" s="940" t="s">
        <v>7035</v>
      </c>
      <c r="E2615" t="s">
        <v>105</v>
      </c>
    </row>
    <row r="2616" spans="1:5" x14ac:dyDescent="0.25">
      <c r="A2616" s="940">
        <v>1765</v>
      </c>
      <c r="B2616" s="940">
        <v>77</v>
      </c>
      <c r="C2616" t="s">
        <v>7036</v>
      </c>
      <c r="D2616" s="940" t="s">
        <v>4980</v>
      </c>
      <c r="E2616" t="s">
        <v>1372</v>
      </c>
    </row>
    <row r="2617" spans="1:5" x14ac:dyDescent="0.25">
      <c r="A2617" s="940">
        <v>949</v>
      </c>
      <c r="B2617" s="940">
        <v>236</v>
      </c>
      <c r="C2617" t="s">
        <v>7037</v>
      </c>
      <c r="D2617" s="940" t="s">
        <v>5932</v>
      </c>
      <c r="E2617" t="s">
        <v>147</v>
      </c>
    </row>
    <row r="2618" spans="1:5" x14ac:dyDescent="0.25">
      <c r="A2618" s="940">
        <v>1898</v>
      </c>
      <c r="B2618" s="940">
        <v>64</v>
      </c>
      <c r="C2618" t="s">
        <v>7038</v>
      </c>
      <c r="D2618" s="940" t="s">
        <v>5416</v>
      </c>
      <c r="E2618" t="s">
        <v>1171</v>
      </c>
    </row>
    <row r="2619" spans="1:5" x14ac:dyDescent="0.25">
      <c r="A2619" s="940">
        <v>3490</v>
      </c>
      <c r="B2619" s="940">
        <v>0</v>
      </c>
      <c r="C2619" t="s">
        <v>7039</v>
      </c>
      <c r="D2619" s="940" t="s">
        <v>7040</v>
      </c>
      <c r="E2619" t="s">
        <v>1968</v>
      </c>
    </row>
    <row r="2620" spans="1:5" x14ac:dyDescent="0.25">
      <c r="A2620" s="940">
        <v>3490</v>
      </c>
      <c r="B2620" s="940">
        <v>0</v>
      </c>
      <c r="C2620" t="s">
        <v>7041</v>
      </c>
      <c r="D2620" s="940" t="s">
        <v>3546</v>
      </c>
      <c r="E2620" t="s">
        <v>163</v>
      </c>
    </row>
    <row r="2621" spans="1:5" x14ac:dyDescent="0.25">
      <c r="A2621" s="940">
        <v>3490</v>
      </c>
      <c r="B2621" s="940">
        <v>0</v>
      </c>
      <c r="C2621" t="s">
        <v>7042</v>
      </c>
      <c r="D2621" s="940" t="s">
        <v>4669</v>
      </c>
      <c r="E2621" t="s">
        <v>2880</v>
      </c>
    </row>
    <row r="2622" spans="1:5" x14ac:dyDescent="0.25">
      <c r="A2622" s="940">
        <v>571</v>
      </c>
      <c r="B2622" s="940">
        <v>421</v>
      </c>
      <c r="C2622" t="s">
        <v>7043</v>
      </c>
      <c r="D2622" s="940" t="s">
        <v>7044</v>
      </c>
      <c r="E2622" t="s">
        <v>3098</v>
      </c>
    </row>
    <row r="2623" spans="1:5" x14ac:dyDescent="0.25">
      <c r="A2623" s="940">
        <v>2743</v>
      </c>
      <c r="B2623" s="940">
        <v>15</v>
      </c>
      <c r="C2623" t="s">
        <v>7045</v>
      </c>
      <c r="D2623" s="940" t="s">
        <v>7046</v>
      </c>
      <c r="E2623" t="s">
        <v>74</v>
      </c>
    </row>
    <row r="2624" spans="1:5" x14ac:dyDescent="0.25">
      <c r="A2624" s="940">
        <v>1994</v>
      </c>
      <c r="B2624" s="940">
        <v>56</v>
      </c>
      <c r="C2624" t="s">
        <v>7047</v>
      </c>
      <c r="D2624" s="940" t="s">
        <v>3558</v>
      </c>
      <c r="E2624" t="s">
        <v>1171</v>
      </c>
    </row>
    <row r="2625" spans="1:5" x14ac:dyDescent="0.25">
      <c r="A2625" s="940">
        <v>3265</v>
      </c>
      <c r="B2625" s="940">
        <v>3</v>
      </c>
      <c r="C2625" t="s">
        <v>7048</v>
      </c>
      <c r="D2625" s="940" t="s">
        <v>3440</v>
      </c>
      <c r="E2625" t="s">
        <v>105</v>
      </c>
    </row>
    <row r="2626" spans="1:5" x14ac:dyDescent="0.25">
      <c r="A2626" s="940">
        <v>1581</v>
      </c>
      <c r="B2626" s="940">
        <v>97</v>
      </c>
      <c r="C2626" t="s">
        <v>7049</v>
      </c>
      <c r="D2626" s="940" t="s">
        <v>3048</v>
      </c>
      <c r="E2626" t="s">
        <v>170</v>
      </c>
    </row>
    <row r="2627" spans="1:5" x14ac:dyDescent="0.25">
      <c r="A2627" s="940">
        <v>3490</v>
      </c>
      <c r="B2627" s="940">
        <v>0</v>
      </c>
      <c r="C2627" t="s">
        <v>7050</v>
      </c>
      <c r="D2627" s="940" t="s">
        <v>7051</v>
      </c>
      <c r="E2627" t="s">
        <v>120</v>
      </c>
    </row>
    <row r="2628" spans="1:5" x14ac:dyDescent="0.25">
      <c r="A2628" s="940">
        <v>1393</v>
      </c>
      <c r="B2628" s="940">
        <v>121</v>
      </c>
      <c r="C2628" t="s">
        <v>7052</v>
      </c>
      <c r="D2628" s="940" t="s">
        <v>3792</v>
      </c>
      <c r="E2628" t="s">
        <v>2880</v>
      </c>
    </row>
    <row r="2629" spans="1:5" x14ac:dyDescent="0.25">
      <c r="A2629" s="940">
        <v>570</v>
      </c>
      <c r="B2629" s="940">
        <v>423</v>
      </c>
      <c r="C2629" t="s">
        <v>848</v>
      </c>
      <c r="D2629" s="940" t="s">
        <v>7053</v>
      </c>
      <c r="E2629" t="s">
        <v>109</v>
      </c>
    </row>
    <row r="2630" spans="1:5" x14ac:dyDescent="0.25">
      <c r="A2630" s="940">
        <v>2839</v>
      </c>
      <c r="B2630" s="940">
        <v>12</v>
      </c>
      <c r="C2630" t="s">
        <v>7054</v>
      </c>
      <c r="D2630" s="940" t="s">
        <v>7055</v>
      </c>
      <c r="E2630" t="s">
        <v>105</v>
      </c>
    </row>
    <row r="2631" spans="1:5" x14ac:dyDescent="0.25">
      <c r="A2631" s="940">
        <v>1505</v>
      </c>
      <c r="B2631" s="940">
        <v>105</v>
      </c>
      <c r="C2631" t="s">
        <v>7056</v>
      </c>
      <c r="D2631" s="940" t="s">
        <v>7057</v>
      </c>
      <c r="E2631" t="s">
        <v>7058</v>
      </c>
    </row>
    <row r="2632" spans="1:5" x14ac:dyDescent="0.25">
      <c r="A2632" s="940">
        <v>1872</v>
      </c>
      <c r="B2632" s="940">
        <v>66</v>
      </c>
      <c r="C2632" t="s">
        <v>7059</v>
      </c>
      <c r="D2632" s="940" t="s">
        <v>5171</v>
      </c>
      <c r="E2632" t="s">
        <v>183</v>
      </c>
    </row>
    <row r="2633" spans="1:5" x14ac:dyDescent="0.25">
      <c r="A2633" s="940">
        <v>1756</v>
      </c>
      <c r="B2633" s="940">
        <v>78</v>
      </c>
      <c r="C2633" t="s">
        <v>7060</v>
      </c>
      <c r="D2633" s="940" t="s">
        <v>7061</v>
      </c>
      <c r="E2633" t="s">
        <v>1332</v>
      </c>
    </row>
    <row r="2634" spans="1:5" x14ac:dyDescent="0.25">
      <c r="A2634" s="940">
        <v>1489</v>
      </c>
      <c r="B2634" s="940">
        <v>107</v>
      </c>
      <c r="C2634" t="s">
        <v>7062</v>
      </c>
      <c r="D2634" s="940" t="s">
        <v>7063</v>
      </c>
      <c r="E2634" t="s">
        <v>7064</v>
      </c>
    </row>
    <row r="2635" spans="1:5" x14ac:dyDescent="0.25">
      <c r="A2635" s="940">
        <v>3490</v>
      </c>
      <c r="B2635" s="940">
        <v>0</v>
      </c>
      <c r="C2635" t="s">
        <v>7065</v>
      </c>
      <c r="D2635" s="940" t="s">
        <v>5877</v>
      </c>
      <c r="E2635" t="s">
        <v>2624</v>
      </c>
    </row>
    <row r="2636" spans="1:5" x14ac:dyDescent="0.25">
      <c r="A2636" s="940">
        <v>226</v>
      </c>
      <c r="B2636" s="940">
        <v>860</v>
      </c>
      <c r="C2636" t="s">
        <v>7066</v>
      </c>
      <c r="D2636" s="940" t="s">
        <v>7067</v>
      </c>
      <c r="E2636" t="s">
        <v>141</v>
      </c>
    </row>
    <row r="2637" spans="1:5" x14ac:dyDescent="0.25">
      <c r="A2637" s="940">
        <v>3490</v>
      </c>
      <c r="B2637" s="940">
        <v>0</v>
      </c>
      <c r="C2637" t="s">
        <v>7068</v>
      </c>
      <c r="D2637" s="940" t="s">
        <v>4862</v>
      </c>
      <c r="E2637" t="s">
        <v>112</v>
      </c>
    </row>
    <row r="2638" spans="1:5" x14ac:dyDescent="0.25">
      <c r="A2638" s="940">
        <v>1514</v>
      </c>
      <c r="B2638" s="940">
        <v>104</v>
      </c>
      <c r="C2638" t="s">
        <v>7069</v>
      </c>
      <c r="D2638" s="940" t="s">
        <v>7070</v>
      </c>
      <c r="E2638" t="s">
        <v>122</v>
      </c>
    </row>
    <row r="2639" spans="1:5" x14ac:dyDescent="0.25">
      <c r="A2639" s="940">
        <v>3089</v>
      </c>
      <c r="B2639" s="940">
        <v>6</v>
      </c>
      <c r="C2639" t="s">
        <v>7071</v>
      </c>
      <c r="D2639" s="940" t="s">
        <v>6163</v>
      </c>
      <c r="E2639" t="s">
        <v>1427</v>
      </c>
    </row>
    <row r="2640" spans="1:5" x14ac:dyDescent="0.25">
      <c r="A2640" s="940">
        <v>648</v>
      </c>
      <c r="B2640" s="940">
        <v>377</v>
      </c>
      <c r="C2640" t="s">
        <v>551</v>
      </c>
      <c r="D2640" s="940" t="s">
        <v>3605</v>
      </c>
      <c r="E2640" t="s">
        <v>141</v>
      </c>
    </row>
    <row r="2641" spans="1:5" x14ac:dyDescent="0.25">
      <c r="A2641" s="940">
        <v>1300</v>
      </c>
      <c r="B2641" s="940">
        <v>136</v>
      </c>
      <c r="C2641" t="s">
        <v>7072</v>
      </c>
      <c r="D2641" s="940" t="s">
        <v>7073</v>
      </c>
      <c r="E2641" t="s">
        <v>1358</v>
      </c>
    </row>
    <row r="2642" spans="1:5" x14ac:dyDescent="0.25">
      <c r="A2642" s="940">
        <v>494</v>
      </c>
      <c r="B2642" s="940">
        <v>476</v>
      </c>
      <c r="C2642" t="s">
        <v>7074</v>
      </c>
      <c r="D2642" s="940" t="s">
        <v>7075</v>
      </c>
      <c r="E2642" t="s">
        <v>1251</v>
      </c>
    </row>
    <row r="2643" spans="1:5" x14ac:dyDescent="0.25">
      <c r="A2643" s="940">
        <v>1691</v>
      </c>
      <c r="B2643" s="940">
        <v>84</v>
      </c>
      <c r="C2643" t="s">
        <v>7076</v>
      </c>
      <c r="D2643" s="940" t="s">
        <v>3741</v>
      </c>
      <c r="E2643" t="s">
        <v>7077</v>
      </c>
    </row>
    <row r="2644" spans="1:5" x14ac:dyDescent="0.25">
      <c r="A2644" s="940">
        <v>2539</v>
      </c>
      <c r="B2644" s="940">
        <v>23</v>
      </c>
      <c r="C2644" t="s">
        <v>7078</v>
      </c>
      <c r="D2644" s="940" t="s">
        <v>4633</v>
      </c>
      <c r="E2644" t="s">
        <v>1844</v>
      </c>
    </row>
    <row r="2645" spans="1:5" x14ac:dyDescent="0.25">
      <c r="A2645" s="940">
        <v>2129</v>
      </c>
      <c r="B2645" s="940">
        <v>46</v>
      </c>
      <c r="C2645" t="s">
        <v>7079</v>
      </c>
      <c r="D2645" s="940" t="s">
        <v>3212</v>
      </c>
      <c r="E2645" t="s">
        <v>170</v>
      </c>
    </row>
    <row r="2646" spans="1:5" x14ac:dyDescent="0.25">
      <c r="A2646" s="940">
        <v>1643</v>
      </c>
      <c r="B2646" s="940">
        <v>90</v>
      </c>
      <c r="C2646" t="s">
        <v>302</v>
      </c>
      <c r="D2646" s="940" t="s">
        <v>7080</v>
      </c>
      <c r="E2646" t="s">
        <v>3487</v>
      </c>
    </row>
    <row r="2647" spans="1:5" x14ac:dyDescent="0.25">
      <c r="A2647" s="940">
        <v>2129</v>
      </c>
      <c r="B2647" s="940">
        <v>46</v>
      </c>
      <c r="C2647" t="s">
        <v>7081</v>
      </c>
      <c r="D2647" s="940" t="s">
        <v>3935</v>
      </c>
      <c r="E2647" t="s">
        <v>2928</v>
      </c>
    </row>
    <row r="2648" spans="1:5" x14ac:dyDescent="0.25">
      <c r="A2648" s="940">
        <v>3490</v>
      </c>
      <c r="B2648" s="940">
        <v>0</v>
      </c>
      <c r="C2648" t="s">
        <v>7082</v>
      </c>
      <c r="D2648" s="940" t="s">
        <v>3818</v>
      </c>
      <c r="E2648" t="s">
        <v>120</v>
      </c>
    </row>
    <row r="2649" spans="1:5" x14ac:dyDescent="0.25">
      <c r="A2649" s="940">
        <v>2626</v>
      </c>
      <c r="B2649" s="940">
        <v>19</v>
      </c>
      <c r="C2649" t="s">
        <v>7083</v>
      </c>
      <c r="D2649" s="940" t="s">
        <v>4634</v>
      </c>
      <c r="E2649" t="s">
        <v>105</v>
      </c>
    </row>
    <row r="2650" spans="1:5" x14ac:dyDescent="0.25">
      <c r="A2650" s="940">
        <v>3395</v>
      </c>
      <c r="B2650" s="940">
        <v>1</v>
      </c>
      <c r="C2650" t="s">
        <v>7084</v>
      </c>
      <c r="D2650" s="940" t="s">
        <v>7085</v>
      </c>
      <c r="E2650" t="s">
        <v>163</v>
      </c>
    </row>
    <row r="2651" spans="1:5" x14ac:dyDescent="0.25">
      <c r="A2651" s="940">
        <v>3045</v>
      </c>
      <c r="B2651" s="940">
        <v>7</v>
      </c>
      <c r="C2651" t="s">
        <v>7086</v>
      </c>
      <c r="D2651" s="940" t="s">
        <v>7087</v>
      </c>
      <c r="E2651" t="s">
        <v>164</v>
      </c>
    </row>
    <row r="2652" spans="1:5" x14ac:dyDescent="0.25">
      <c r="A2652" s="940">
        <v>3490</v>
      </c>
      <c r="B2652" s="940">
        <v>0</v>
      </c>
      <c r="C2652" t="s">
        <v>7088</v>
      </c>
      <c r="D2652" s="940" t="s">
        <v>7089</v>
      </c>
      <c r="E2652" t="s">
        <v>257</v>
      </c>
    </row>
    <row r="2653" spans="1:5" x14ac:dyDescent="0.25">
      <c r="A2653" s="940">
        <v>2883</v>
      </c>
      <c r="B2653" s="940">
        <v>11</v>
      </c>
      <c r="C2653" t="s">
        <v>7090</v>
      </c>
      <c r="D2653" s="940" t="s">
        <v>2651</v>
      </c>
      <c r="E2653" t="s">
        <v>105</v>
      </c>
    </row>
    <row r="2654" spans="1:5" x14ac:dyDescent="0.25">
      <c r="A2654" s="940">
        <v>3196</v>
      </c>
      <c r="B2654" s="940">
        <v>4</v>
      </c>
      <c r="C2654" t="s">
        <v>7091</v>
      </c>
      <c r="D2654" s="940" t="s">
        <v>2651</v>
      </c>
      <c r="E2654" t="s">
        <v>105</v>
      </c>
    </row>
    <row r="2655" spans="1:5" x14ac:dyDescent="0.25">
      <c r="A2655" s="940">
        <v>3490</v>
      </c>
      <c r="B2655" s="940">
        <v>0</v>
      </c>
      <c r="C2655" t="s">
        <v>7092</v>
      </c>
      <c r="D2655" s="940" t="s">
        <v>3220</v>
      </c>
      <c r="E2655" t="s">
        <v>72</v>
      </c>
    </row>
    <row r="2656" spans="1:5" x14ac:dyDescent="0.25">
      <c r="A2656" s="940">
        <v>3490</v>
      </c>
      <c r="B2656" s="940">
        <v>0</v>
      </c>
      <c r="C2656" t="s">
        <v>7093</v>
      </c>
      <c r="D2656" s="940" t="s">
        <v>7094</v>
      </c>
      <c r="E2656" t="s">
        <v>105</v>
      </c>
    </row>
    <row r="2657" spans="1:5" x14ac:dyDescent="0.25">
      <c r="A2657" s="940">
        <v>913</v>
      </c>
      <c r="B2657" s="940">
        <v>249</v>
      </c>
      <c r="C2657" t="s">
        <v>7095</v>
      </c>
      <c r="D2657" s="940" t="s">
        <v>7096</v>
      </c>
      <c r="E2657" t="s">
        <v>1483</v>
      </c>
    </row>
    <row r="2658" spans="1:5" x14ac:dyDescent="0.25">
      <c r="A2658" s="940">
        <v>3490</v>
      </c>
      <c r="B2658" s="940">
        <v>0</v>
      </c>
      <c r="C2658" t="s">
        <v>7097</v>
      </c>
      <c r="D2658" s="940" t="s">
        <v>7098</v>
      </c>
      <c r="E2658" t="s">
        <v>117</v>
      </c>
    </row>
    <row r="2659" spans="1:5" x14ac:dyDescent="0.25">
      <c r="A2659" s="940">
        <v>690</v>
      </c>
      <c r="B2659" s="940">
        <v>353</v>
      </c>
      <c r="C2659" t="s">
        <v>7099</v>
      </c>
      <c r="D2659" s="940" t="s">
        <v>7100</v>
      </c>
      <c r="E2659" t="s">
        <v>147</v>
      </c>
    </row>
    <row r="2660" spans="1:5" x14ac:dyDescent="0.25">
      <c r="A2660" s="940">
        <v>1872</v>
      </c>
      <c r="B2660" s="940">
        <v>66</v>
      </c>
      <c r="C2660" t="s">
        <v>7101</v>
      </c>
      <c r="D2660" s="940" t="s">
        <v>3755</v>
      </c>
      <c r="E2660" t="s">
        <v>3137</v>
      </c>
    </row>
    <row r="2661" spans="1:5" x14ac:dyDescent="0.25">
      <c r="A2661" s="940">
        <v>3395</v>
      </c>
      <c r="B2661" s="940">
        <v>1</v>
      </c>
      <c r="C2661" t="s">
        <v>7102</v>
      </c>
      <c r="D2661" s="940" t="s">
        <v>7103</v>
      </c>
      <c r="E2661" t="s">
        <v>1427</v>
      </c>
    </row>
    <row r="2662" spans="1:5" x14ac:dyDescent="0.25">
      <c r="A2662" s="940">
        <v>1243</v>
      </c>
      <c r="B2662" s="940">
        <v>147</v>
      </c>
      <c r="C2662" t="s">
        <v>7104</v>
      </c>
      <c r="D2662" s="940" t="s">
        <v>7105</v>
      </c>
      <c r="E2662" t="s">
        <v>1968</v>
      </c>
    </row>
    <row r="2663" spans="1:5" x14ac:dyDescent="0.25">
      <c r="A2663" s="940">
        <v>3265</v>
      </c>
      <c r="B2663" s="940">
        <v>3</v>
      </c>
      <c r="C2663" t="s">
        <v>7106</v>
      </c>
      <c r="D2663" s="940" t="s">
        <v>3162</v>
      </c>
      <c r="E2663" t="s">
        <v>1327</v>
      </c>
    </row>
    <row r="2664" spans="1:5" x14ac:dyDescent="0.25">
      <c r="A2664" s="940">
        <v>211</v>
      </c>
      <c r="B2664" s="940">
        <v>878</v>
      </c>
      <c r="C2664" t="s">
        <v>7107</v>
      </c>
      <c r="D2664" s="940" t="s">
        <v>7108</v>
      </c>
      <c r="E2664" t="s">
        <v>3330</v>
      </c>
    </row>
    <row r="2665" spans="1:5" x14ac:dyDescent="0.25">
      <c r="A2665" s="940">
        <v>2690</v>
      </c>
      <c r="B2665" s="940">
        <v>17</v>
      </c>
      <c r="C2665" t="s">
        <v>7109</v>
      </c>
      <c r="D2665" s="940" t="s">
        <v>6547</v>
      </c>
      <c r="E2665" t="s">
        <v>140</v>
      </c>
    </row>
    <row r="2666" spans="1:5" x14ac:dyDescent="0.25">
      <c r="A2666" s="940">
        <v>3490</v>
      </c>
      <c r="B2666" s="940">
        <v>0</v>
      </c>
      <c r="C2666" t="s">
        <v>7110</v>
      </c>
      <c r="D2666" s="940" t="s">
        <v>7111</v>
      </c>
      <c r="E2666" t="s">
        <v>2606</v>
      </c>
    </row>
    <row r="2667" spans="1:5" x14ac:dyDescent="0.25">
      <c r="A2667" s="940">
        <v>2839</v>
      </c>
      <c r="B2667" s="940">
        <v>12</v>
      </c>
      <c r="C2667" t="s">
        <v>7112</v>
      </c>
      <c r="D2667" s="940" t="s">
        <v>6409</v>
      </c>
      <c r="E2667" t="s">
        <v>1507</v>
      </c>
    </row>
    <row r="2668" spans="1:5" x14ac:dyDescent="0.25">
      <c r="A2668" s="940">
        <v>2187</v>
      </c>
      <c r="B2668" s="940">
        <v>43</v>
      </c>
      <c r="C2668" t="s">
        <v>7113</v>
      </c>
      <c r="D2668" s="940" t="s">
        <v>3311</v>
      </c>
      <c r="E2668" t="s">
        <v>120</v>
      </c>
    </row>
    <row r="2669" spans="1:5" x14ac:dyDescent="0.25">
      <c r="A2669" s="940">
        <v>1148</v>
      </c>
      <c r="B2669" s="940">
        <v>168</v>
      </c>
      <c r="C2669" t="s">
        <v>7114</v>
      </c>
      <c r="D2669" s="940" t="s">
        <v>5987</v>
      </c>
      <c r="E2669" t="s">
        <v>1507</v>
      </c>
    </row>
    <row r="2670" spans="1:5" x14ac:dyDescent="0.25">
      <c r="A2670" s="940">
        <v>193</v>
      </c>
      <c r="B2670" s="940">
        <v>907</v>
      </c>
      <c r="C2670" t="s">
        <v>7115</v>
      </c>
      <c r="D2670" s="940" t="s">
        <v>7116</v>
      </c>
      <c r="E2670" t="s">
        <v>1236</v>
      </c>
    </row>
    <row r="2671" spans="1:5" x14ac:dyDescent="0.25">
      <c r="A2671" s="940">
        <v>1827</v>
      </c>
      <c r="B2671" s="940">
        <v>70</v>
      </c>
      <c r="C2671" t="s">
        <v>7117</v>
      </c>
      <c r="D2671" s="940" t="s">
        <v>7118</v>
      </c>
      <c r="E2671" t="s">
        <v>4466</v>
      </c>
    </row>
    <row r="2672" spans="1:5" x14ac:dyDescent="0.25">
      <c r="A2672" s="940">
        <v>3196</v>
      </c>
      <c r="B2672" s="940">
        <v>4</v>
      </c>
      <c r="C2672" t="s">
        <v>7117</v>
      </c>
      <c r="D2672" s="940" t="s">
        <v>7119</v>
      </c>
      <c r="E2672" t="s">
        <v>3396</v>
      </c>
    </row>
    <row r="2673" spans="1:5" x14ac:dyDescent="0.25">
      <c r="A2673" s="940">
        <v>3490</v>
      </c>
      <c r="B2673" s="940">
        <v>0</v>
      </c>
      <c r="C2673" t="s">
        <v>2026</v>
      </c>
      <c r="D2673" s="940" t="s">
        <v>7120</v>
      </c>
      <c r="E2673" t="s">
        <v>120</v>
      </c>
    </row>
    <row r="2674" spans="1:5" x14ac:dyDescent="0.25">
      <c r="A2674" s="940">
        <v>878</v>
      </c>
      <c r="B2674" s="940">
        <v>261</v>
      </c>
      <c r="C2674" t="s">
        <v>2569</v>
      </c>
      <c r="D2674" s="940" t="s">
        <v>7121</v>
      </c>
      <c r="E2674" t="s">
        <v>73</v>
      </c>
    </row>
    <row r="2675" spans="1:5" x14ac:dyDescent="0.25">
      <c r="A2675" s="940">
        <v>2996</v>
      </c>
      <c r="B2675" s="940">
        <v>8</v>
      </c>
      <c r="C2675" t="s">
        <v>7122</v>
      </c>
      <c r="D2675" s="940" t="s">
        <v>3119</v>
      </c>
      <c r="E2675" t="s">
        <v>2356</v>
      </c>
    </row>
    <row r="2676" spans="1:5" x14ac:dyDescent="0.25">
      <c r="A2676" s="940">
        <v>4</v>
      </c>
      <c r="B2676" s="940">
        <v>1672</v>
      </c>
      <c r="C2676" t="s">
        <v>7123</v>
      </c>
      <c r="D2676" s="940" t="s">
        <v>7124</v>
      </c>
      <c r="E2676" t="s">
        <v>99</v>
      </c>
    </row>
    <row r="2677" spans="1:5" x14ac:dyDescent="0.25">
      <c r="A2677" s="940">
        <v>1031</v>
      </c>
      <c r="B2677" s="940">
        <v>205</v>
      </c>
      <c r="C2677" t="s">
        <v>7125</v>
      </c>
      <c r="D2677" s="940" t="s">
        <v>7126</v>
      </c>
      <c r="E2677" t="s">
        <v>257</v>
      </c>
    </row>
    <row r="2678" spans="1:5" x14ac:dyDescent="0.25">
      <c r="A2678" s="940">
        <v>199</v>
      </c>
      <c r="B2678" s="940">
        <v>895</v>
      </c>
      <c r="C2678" t="s">
        <v>303</v>
      </c>
      <c r="D2678" s="940" t="s">
        <v>7127</v>
      </c>
      <c r="E2678" t="s">
        <v>166</v>
      </c>
    </row>
    <row r="2679" spans="1:5" x14ac:dyDescent="0.25">
      <c r="A2679" s="940">
        <v>2032</v>
      </c>
      <c r="B2679" s="940">
        <v>53</v>
      </c>
      <c r="C2679" t="s">
        <v>7128</v>
      </c>
      <c r="D2679" s="940" t="s">
        <v>3187</v>
      </c>
      <c r="E2679" t="s">
        <v>3429</v>
      </c>
    </row>
    <row r="2680" spans="1:5" x14ac:dyDescent="0.25">
      <c r="A2680" s="940">
        <v>2461</v>
      </c>
      <c r="B2680" s="940">
        <v>27</v>
      </c>
      <c r="C2680" t="s">
        <v>7129</v>
      </c>
      <c r="D2680" s="940" t="s">
        <v>6697</v>
      </c>
      <c r="E2680" t="s">
        <v>160</v>
      </c>
    </row>
    <row r="2681" spans="1:5" x14ac:dyDescent="0.25">
      <c r="A2681" s="940">
        <v>3490</v>
      </c>
      <c r="B2681" s="940">
        <v>0</v>
      </c>
      <c r="C2681" t="s">
        <v>7130</v>
      </c>
      <c r="D2681" s="940" t="s">
        <v>3933</v>
      </c>
      <c r="E2681" t="s">
        <v>3487</v>
      </c>
    </row>
    <row r="2682" spans="1:5" x14ac:dyDescent="0.25">
      <c r="A2682" s="940">
        <v>821</v>
      </c>
      <c r="B2682" s="940">
        <v>290</v>
      </c>
      <c r="C2682" t="s">
        <v>2034</v>
      </c>
      <c r="D2682" s="940" t="s">
        <v>7131</v>
      </c>
      <c r="E2682" t="s">
        <v>243</v>
      </c>
    </row>
    <row r="2683" spans="1:5" x14ac:dyDescent="0.25">
      <c r="A2683" s="940">
        <v>3395</v>
      </c>
      <c r="B2683" s="940">
        <v>1</v>
      </c>
      <c r="C2683" t="s">
        <v>7132</v>
      </c>
      <c r="D2683" s="940" t="s">
        <v>7133</v>
      </c>
      <c r="E2683" t="s">
        <v>103</v>
      </c>
    </row>
    <row r="2684" spans="1:5" x14ac:dyDescent="0.25">
      <c r="A2684" s="940">
        <v>1924</v>
      </c>
      <c r="B2684" s="940">
        <v>62</v>
      </c>
      <c r="C2684" t="s">
        <v>7134</v>
      </c>
      <c r="D2684" s="940" t="s">
        <v>6409</v>
      </c>
      <c r="E2684" t="s">
        <v>1587</v>
      </c>
    </row>
    <row r="2685" spans="1:5" x14ac:dyDescent="0.25">
      <c r="A2685" s="940">
        <v>815</v>
      </c>
      <c r="B2685" s="940">
        <v>292</v>
      </c>
      <c r="C2685" t="s">
        <v>2570</v>
      </c>
      <c r="D2685" s="940" t="s">
        <v>7006</v>
      </c>
      <c r="E2685" t="s">
        <v>99</v>
      </c>
    </row>
    <row r="2686" spans="1:5" x14ac:dyDescent="0.25">
      <c r="A2686" s="940">
        <v>340</v>
      </c>
      <c r="B2686" s="940">
        <v>647</v>
      </c>
      <c r="C2686" t="s">
        <v>7135</v>
      </c>
      <c r="D2686" s="940" t="s">
        <v>7136</v>
      </c>
      <c r="E2686" t="s">
        <v>105</v>
      </c>
    </row>
    <row r="2687" spans="1:5" x14ac:dyDescent="0.25">
      <c r="A2687" s="940">
        <v>113</v>
      </c>
      <c r="B2687" s="940">
        <v>1067</v>
      </c>
      <c r="C2687" t="s">
        <v>7137</v>
      </c>
      <c r="D2687" s="940" t="s">
        <v>7138</v>
      </c>
      <c r="E2687" t="s">
        <v>105</v>
      </c>
    </row>
    <row r="2688" spans="1:5" x14ac:dyDescent="0.25">
      <c r="A2688" s="940">
        <v>1533</v>
      </c>
      <c r="B2688" s="940">
        <v>102</v>
      </c>
      <c r="C2688" t="s">
        <v>7139</v>
      </c>
      <c r="D2688" s="940" t="s">
        <v>7140</v>
      </c>
      <c r="E2688" t="s">
        <v>111</v>
      </c>
    </row>
    <row r="2689" spans="1:5" x14ac:dyDescent="0.25">
      <c r="A2689" s="940">
        <v>896</v>
      </c>
      <c r="B2689" s="940">
        <v>256</v>
      </c>
      <c r="C2689" t="s">
        <v>7141</v>
      </c>
      <c r="D2689" s="940" t="s">
        <v>6159</v>
      </c>
      <c r="E2689" t="s">
        <v>171</v>
      </c>
    </row>
    <row r="2690" spans="1:5" x14ac:dyDescent="0.25">
      <c r="A2690" s="940">
        <v>3490</v>
      </c>
      <c r="B2690" s="940">
        <v>0</v>
      </c>
      <c r="C2690" t="s">
        <v>7142</v>
      </c>
      <c r="D2690" s="940" t="s">
        <v>6562</v>
      </c>
      <c r="E2690" t="s">
        <v>111</v>
      </c>
    </row>
    <row r="2691" spans="1:5" x14ac:dyDescent="0.25">
      <c r="A2691" s="940">
        <v>786</v>
      </c>
      <c r="B2691" s="940">
        <v>303</v>
      </c>
      <c r="C2691" t="s">
        <v>7143</v>
      </c>
      <c r="D2691" s="940" t="s">
        <v>7144</v>
      </c>
      <c r="E2691" t="s">
        <v>7145</v>
      </c>
    </row>
    <row r="2692" spans="1:5" x14ac:dyDescent="0.25">
      <c r="A2692" s="940">
        <v>1433</v>
      </c>
      <c r="B2692" s="940">
        <v>115</v>
      </c>
      <c r="C2692" t="s">
        <v>7146</v>
      </c>
      <c r="D2692" s="940" t="s">
        <v>7147</v>
      </c>
      <c r="E2692" t="s">
        <v>120</v>
      </c>
    </row>
    <row r="2693" spans="1:5" x14ac:dyDescent="0.25">
      <c r="A2693" s="940">
        <v>3490</v>
      </c>
      <c r="B2693" s="940">
        <v>0</v>
      </c>
      <c r="C2693" t="s">
        <v>7148</v>
      </c>
      <c r="D2693" s="940" t="s">
        <v>3470</v>
      </c>
      <c r="E2693" t="s">
        <v>126</v>
      </c>
    </row>
    <row r="2694" spans="1:5" x14ac:dyDescent="0.25">
      <c r="A2694" s="940">
        <v>1178</v>
      </c>
      <c r="B2694" s="940">
        <v>162</v>
      </c>
      <c r="C2694" t="s">
        <v>7149</v>
      </c>
      <c r="D2694" s="940" t="s">
        <v>7150</v>
      </c>
      <c r="E2694" t="s">
        <v>1332</v>
      </c>
    </row>
    <row r="2695" spans="1:5" x14ac:dyDescent="0.25">
      <c r="A2695" s="940">
        <v>1011</v>
      </c>
      <c r="B2695" s="940">
        <v>212</v>
      </c>
      <c r="C2695" t="s">
        <v>7151</v>
      </c>
      <c r="D2695" s="940" t="s">
        <v>7152</v>
      </c>
      <c r="E2695" t="s">
        <v>120</v>
      </c>
    </row>
    <row r="2696" spans="1:5" x14ac:dyDescent="0.25">
      <c r="A2696" s="940">
        <v>2291</v>
      </c>
      <c r="B2696" s="940">
        <v>37</v>
      </c>
      <c r="C2696" t="s">
        <v>7153</v>
      </c>
      <c r="D2696" s="940" t="s">
        <v>7154</v>
      </c>
      <c r="E2696" t="s">
        <v>1214</v>
      </c>
    </row>
    <row r="2697" spans="1:5" x14ac:dyDescent="0.25">
      <c r="A2697" s="940">
        <v>2626</v>
      </c>
      <c r="B2697" s="940">
        <v>19</v>
      </c>
      <c r="C2697" t="s">
        <v>7155</v>
      </c>
      <c r="D2697" s="940" t="s">
        <v>3582</v>
      </c>
      <c r="E2697" t="s">
        <v>6245</v>
      </c>
    </row>
    <row r="2698" spans="1:5" x14ac:dyDescent="0.25">
      <c r="A2698" s="940">
        <v>3490</v>
      </c>
      <c r="B2698" s="940">
        <v>0</v>
      </c>
      <c r="C2698" t="s">
        <v>7156</v>
      </c>
      <c r="D2698" s="940" t="s">
        <v>7085</v>
      </c>
      <c r="E2698" t="s">
        <v>105</v>
      </c>
    </row>
    <row r="2699" spans="1:5" x14ac:dyDescent="0.25">
      <c r="A2699" s="940">
        <v>969</v>
      </c>
      <c r="B2699" s="940">
        <v>229</v>
      </c>
      <c r="C2699" t="s">
        <v>305</v>
      </c>
      <c r="D2699" s="940" t="s">
        <v>5619</v>
      </c>
      <c r="E2699" t="s">
        <v>110</v>
      </c>
    </row>
    <row r="2700" spans="1:5" x14ac:dyDescent="0.25">
      <c r="A2700" s="940">
        <v>300</v>
      </c>
      <c r="B2700" s="940">
        <v>713</v>
      </c>
      <c r="C2700" t="s">
        <v>7157</v>
      </c>
      <c r="D2700" s="940" t="s">
        <v>7158</v>
      </c>
      <c r="E2700" t="s">
        <v>105</v>
      </c>
    </row>
    <row r="2701" spans="1:5" x14ac:dyDescent="0.25">
      <c r="A2701" s="940">
        <v>863</v>
      </c>
      <c r="B2701" s="940">
        <v>269</v>
      </c>
      <c r="C2701" t="s">
        <v>2036</v>
      </c>
      <c r="D2701" s="940" t="s">
        <v>4806</v>
      </c>
      <c r="E2701" t="s">
        <v>105</v>
      </c>
    </row>
    <row r="2702" spans="1:5" x14ac:dyDescent="0.25">
      <c r="A2702" s="940">
        <v>3265</v>
      </c>
      <c r="B2702" s="940">
        <v>3</v>
      </c>
      <c r="C2702" t="s">
        <v>7159</v>
      </c>
      <c r="D2702" s="940" t="s">
        <v>2645</v>
      </c>
      <c r="E2702" t="s">
        <v>3814</v>
      </c>
    </row>
    <row r="2703" spans="1:5" x14ac:dyDescent="0.25">
      <c r="A2703" s="940">
        <v>34</v>
      </c>
      <c r="B2703" s="940">
        <v>1390</v>
      </c>
      <c r="C2703" t="s">
        <v>7160</v>
      </c>
      <c r="D2703" s="940" t="s">
        <v>7161</v>
      </c>
      <c r="E2703" t="s">
        <v>1609</v>
      </c>
    </row>
    <row r="2704" spans="1:5" x14ac:dyDescent="0.25">
      <c r="A2704" s="940">
        <v>459</v>
      </c>
      <c r="B2704" s="940">
        <v>511</v>
      </c>
      <c r="C2704" t="s">
        <v>7162</v>
      </c>
      <c r="D2704" s="940" t="s">
        <v>7163</v>
      </c>
      <c r="E2704" t="s">
        <v>1267</v>
      </c>
    </row>
    <row r="2705" spans="1:5" x14ac:dyDescent="0.25">
      <c r="A2705" s="940">
        <v>2558</v>
      </c>
      <c r="B2705" s="940">
        <v>22</v>
      </c>
      <c r="C2705" t="s">
        <v>7164</v>
      </c>
      <c r="D2705" s="940" t="s">
        <v>7165</v>
      </c>
      <c r="E2705" t="s">
        <v>120</v>
      </c>
    </row>
    <row r="2706" spans="1:5" x14ac:dyDescent="0.25">
      <c r="A2706" s="940">
        <v>3490</v>
      </c>
      <c r="B2706" s="940">
        <v>0</v>
      </c>
      <c r="C2706" t="s">
        <v>7166</v>
      </c>
      <c r="D2706" s="940" t="s">
        <v>7167</v>
      </c>
      <c r="E2706" t="s">
        <v>1182</v>
      </c>
    </row>
    <row r="2707" spans="1:5" x14ac:dyDescent="0.25">
      <c r="A2707" s="940">
        <v>1339</v>
      </c>
      <c r="B2707" s="940">
        <v>128</v>
      </c>
      <c r="C2707" t="s">
        <v>7168</v>
      </c>
      <c r="D2707" s="940" t="s">
        <v>7169</v>
      </c>
      <c r="E2707" t="s">
        <v>170</v>
      </c>
    </row>
    <row r="2708" spans="1:5" x14ac:dyDescent="0.25">
      <c r="A2708" s="940">
        <v>2320</v>
      </c>
      <c r="B2708" s="940">
        <v>35</v>
      </c>
      <c r="C2708" t="s">
        <v>7170</v>
      </c>
      <c r="D2708" s="940" t="s">
        <v>7171</v>
      </c>
      <c r="E2708" t="s">
        <v>1162</v>
      </c>
    </row>
    <row r="2709" spans="1:5" x14ac:dyDescent="0.25">
      <c r="A2709" s="940">
        <v>3490</v>
      </c>
      <c r="B2709" s="940">
        <v>0</v>
      </c>
      <c r="C2709" t="s">
        <v>7172</v>
      </c>
      <c r="D2709" s="940" t="s">
        <v>7173</v>
      </c>
      <c r="E2709" t="s">
        <v>118</v>
      </c>
    </row>
    <row r="2710" spans="1:5" x14ac:dyDescent="0.25">
      <c r="A2710" s="940">
        <v>3196</v>
      </c>
      <c r="B2710" s="940">
        <v>4</v>
      </c>
      <c r="C2710" t="s">
        <v>7174</v>
      </c>
      <c r="D2710" s="940" t="s">
        <v>3319</v>
      </c>
      <c r="E2710" t="s">
        <v>142</v>
      </c>
    </row>
    <row r="2711" spans="1:5" x14ac:dyDescent="0.25">
      <c r="A2711" s="940">
        <v>1188</v>
      </c>
      <c r="B2711" s="940">
        <v>159</v>
      </c>
      <c r="C2711" t="s">
        <v>7175</v>
      </c>
      <c r="D2711" s="940" t="s">
        <v>7176</v>
      </c>
      <c r="E2711" t="s">
        <v>103</v>
      </c>
    </row>
    <row r="2712" spans="1:5" x14ac:dyDescent="0.25">
      <c r="A2712" s="940">
        <v>2714</v>
      </c>
      <c r="B2712" s="940">
        <v>16</v>
      </c>
      <c r="C2712" t="s">
        <v>7177</v>
      </c>
      <c r="D2712" s="940" t="s">
        <v>7178</v>
      </c>
      <c r="E2712" t="s">
        <v>99</v>
      </c>
    </row>
    <row r="2713" spans="1:5" x14ac:dyDescent="0.25">
      <c r="A2713" s="940">
        <v>579</v>
      </c>
      <c r="B2713" s="940">
        <v>415</v>
      </c>
      <c r="C2713" t="s">
        <v>7179</v>
      </c>
      <c r="D2713" s="940" t="s">
        <v>7180</v>
      </c>
      <c r="E2713" t="s">
        <v>166</v>
      </c>
    </row>
    <row r="2714" spans="1:5" x14ac:dyDescent="0.25">
      <c r="A2714" s="940">
        <v>907</v>
      </c>
      <c r="B2714" s="940">
        <v>252</v>
      </c>
      <c r="C2714" t="s">
        <v>555</v>
      </c>
      <c r="D2714" s="940" t="s">
        <v>6931</v>
      </c>
      <c r="E2714" t="s">
        <v>103</v>
      </c>
    </row>
    <row r="2715" spans="1:5" x14ac:dyDescent="0.25">
      <c r="A2715" s="940">
        <v>2152</v>
      </c>
      <c r="B2715" s="940">
        <v>45</v>
      </c>
      <c r="C2715" t="s">
        <v>7181</v>
      </c>
      <c r="D2715" s="940" t="s">
        <v>6133</v>
      </c>
      <c r="E2715" t="s">
        <v>120</v>
      </c>
    </row>
    <row r="2716" spans="1:5" x14ac:dyDescent="0.25">
      <c r="A2716" s="940">
        <v>141</v>
      </c>
      <c r="B2716" s="940">
        <v>994</v>
      </c>
      <c r="C2716" t="s">
        <v>7182</v>
      </c>
      <c r="D2716" s="940" t="s">
        <v>7183</v>
      </c>
      <c r="E2716" t="s">
        <v>105</v>
      </c>
    </row>
    <row r="2717" spans="1:5" x14ac:dyDescent="0.25">
      <c r="A2717" s="940">
        <v>388</v>
      </c>
      <c r="B2717" s="940">
        <v>583</v>
      </c>
      <c r="C2717" t="s">
        <v>7184</v>
      </c>
      <c r="D2717" s="940" t="s">
        <v>7185</v>
      </c>
      <c r="E2717" t="s">
        <v>165</v>
      </c>
    </row>
    <row r="2718" spans="1:5" x14ac:dyDescent="0.25">
      <c r="A2718" s="940">
        <v>105</v>
      </c>
      <c r="B2718" s="940">
        <v>1100</v>
      </c>
      <c r="C2718" t="s">
        <v>7186</v>
      </c>
      <c r="D2718" s="940" t="s">
        <v>7187</v>
      </c>
      <c r="E2718" t="s">
        <v>120</v>
      </c>
    </row>
    <row r="2719" spans="1:5" x14ac:dyDescent="0.25">
      <c r="A2719" s="940">
        <v>2461</v>
      </c>
      <c r="B2719" s="940">
        <v>27</v>
      </c>
      <c r="C2719" t="s">
        <v>7188</v>
      </c>
      <c r="D2719" s="940" t="s">
        <v>7189</v>
      </c>
      <c r="E2719" t="s">
        <v>179</v>
      </c>
    </row>
    <row r="2720" spans="1:5" x14ac:dyDescent="0.25">
      <c r="A2720" s="940">
        <v>2079</v>
      </c>
      <c r="B2720" s="940">
        <v>50</v>
      </c>
      <c r="C2720" t="s">
        <v>7190</v>
      </c>
      <c r="D2720" s="940" t="s">
        <v>7191</v>
      </c>
      <c r="E2720" t="s">
        <v>147</v>
      </c>
    </row>
    <row r="2721" spans="1:5" x14ac:dyDescent="0.25">
      <c r="A2721" s="940">
        <v>1346</v>
      </c>
      <c r="B2721" s="940">
        <v>127</v>
      </c>
      <c r="C2721" t="s">
        <v>7192</v>
      </c>
      <c r="D2721" s="940" t="s">
        <v>6002</v>
      </c>
      <c r="E2721" t="s">
        <v>104</v>
      </c>
    </row>
    <row r="2722" spans="1:5" x14ac:dyDescent="0.25">
      <c r="A2722" s="940">
        <v>3490</v>
      </c>
      <c r="B2722" s="940">
        <v>0</v>
      </c>
      <c r="C2722" t="s">
        <v>7193</v>
      </c>
      <c r="D2722" s="940" t="s">
        <v>7194</v>
      </c>
      <c r="E2722" t="s">
        <v>128</v>
      </c>
    </row>
    <row r="2723" spans="1:5" x14ac:dyDescent="0.25">
      <c r="A2723" s="940">
        <v>3089</v>
      </c>
      <c r="B2723" s="940">
        <v>6</v>
      </c>
      <c r="C2723" t="s">
        <v>7195</v>
      </c>
      <c r="D2723" s="940" t="s">
        <v>5418</v>
      </c>
      <c r="E2723" t="s">
        <v>170</v>
      </c>
    </row>
    <row r="2724" spans="1:5" x14ac:dyDescent="0.25">
      <c r="A2724" s="940">
        <v>612</v>
      </c>
      <c r="B2724" s="940">
        <v>395</v>
      </c>
      <c r="C2724" t="s">
        <v>2042</v>
      </c>
      <c r="D2724" s="940" t="s">
        <v>7196</v>
      </c>
      <c r="E2724" t="s">
        <v>120</v>
      </c>
    </row>
    <row r="2725" spans="1:5" x14ac:dyDescent="0.25">
      <c r="A2725" s="940">
        <v>3327</v>
      </c>
      <c r="B2725" s="940">
        <v>2</v>
      </c>
      <c r="C2725" t="s">
        <v>7197</v>
      </c>
      <c r="D2725" s="940" t="s">
        <v>7198</v>
      </c>
      <c r="E2725" t="s">
        <v>1182</v>
      </c>
    </row>
    <row r="2726" spans="1:5" x14ac:dyDescent="0.25">
      <c r="A2726" s="940">
        <v>1643</v>
      </c>
      <c r="B2726" s="940">
        <v>90</v>
      </c>
      <c r="C2726" t="s">
        <v>7199</v>
      </c>
      <c r="D2726" s="940" t="s">
        <v>3136</v>
      </c>
      <c r="E2726" t="s">
        <v>1332</v>
      </c>
    </row>
    <row r="2727" spans="1:5" x14ac:dyDescent="0.25">
      <c r="A2727" s="940">
        <v>3490</v>
      </c>
      <c r="B2727" s="940">
        <v>0</v>
      </c>
      <c r="C2727" t="s">
        <v>7200</v>
      </c>
      <c r="D2727" s="940" t="s">
        <v>6547</v>
      </c>
      <c r="E2727" t="s">
        <v>1182</v>
      </c>
    </row>
    <row r="2728" spans="1:5" x14ac:dyDescent="0.25">
      <c r="A2728" s="940">
        <v>2291</v>
      </c>
      <c r="B2728" s="940">
        <v>37</v>
      </c>
      <c r="C2728" t="s">
        <v>7201</v>
      </c>
      <c r="D2728" s="940" t="s">
        <v>3691</v>
      </c>
      <c r="E2728" t="s">
        <v>2880</v>
      </c>
    </row>
    <row r="2729" spans="1:5" x14ac:dyDescent="0.25">
      <c r="A2729" s="940">
        <v>2907</v>
      </c>
      <c r="B2729" s="940">
        <v>10</v>
      </c>
      <c r="C2729" t="s">
        <v>7202</v>
      </c>
      <c r="D2729" s="940" t="s">
        <v>5079</v>
      </c>
      <c r="E2729" t="s">
        <v>120</v>
      </c>
    </row>
    <row r="2730" spans="1:5" x14ac:dyDescent="0.25">
      <c r="A2730" s="940">
        <v>1094</v>
      </c>
      <c r="B2730" s="940">
        <v>184</v>
      </c>
      <c r="C2730" t="s">
        <v>2044</v>
      </c>
      <c r="D2730" s="940" t="s">
        <v>7070</v>
      </c>
      <c r="E2730" t="s">
        <v>1236</v>
      </c>
    </row>
    <row r="2731" spans="1:5" x14ac:dyDescent="0.25">
      <c r="A2731" s="940">
        <v>785</v>
      </c>
      <c r="B2731" s="940">
        <v>304</v>
      </c>
      <c r="C2731" t="s">
        <v>7203</v>
      </c>
      <c r="D2731" s="940" t="s">
        <v>7204</v>
      </c>
      <c r="E2731" t="s">
        <v>2735</v>
      </c>
    </row>
    <row r="2732" spans="1:5" x14ac:dyDescent="0.25">
      <c r="A2732" s="940">
        <v>856</v>
      </c>
      <c r="B2732" s="940">
        <v>271</v>
      </c>
      <c r="C2732" t="s">
        <v>2047</v>
      </c>
      <c r="D2732" s="940" t="s">
        <v>7205</v>
      </c>
      <c r="E2732" t="s">
        <v>111</v>
      </c>
    </row>
    <row r="2733" spans="1:5" x14ac:dyDescent="0.25">
      <c r="A2733" s="940">
        <v>1885</v>
      </c>
      <c r="B2733" s="940">
        <v>65</v>
      </c>
      <c r="C2733" t="s">
        <v>7206</v>
      </c>
      <c r="D2733" s="940" t="s">
        <v>3944</v>
      </c>
      <c r="E2733" t="s">
        <v>140</v>
      </c>
    </row>
    <row r="2734" spans="1:5" x14ac:dyDescent="0.25">
      <c r="A2734" s="940">
        <v>3089</v>
      </c>
      <c r="B2734" s="940">
        <v>6</v>
      </c>
      <c r="C2734" t="s">
        <v>7207</v>
      </c>
      <c r="D2734" s="940" t="s">
        <v>7208</v>
      </c>
      <c r="E2734" t="s">
        <v>72</v>
      </c>
    </row>
    <row r="2735" spans="1:5" x14ac:dyDescent="0.25">
      <c r="A2735" s="940">
        <v>3490</v>
      </c>
      <c r="B2735" s="940">
        <v>0</v>
      </c>
      <c r="C2735" t="s">
        <v>7209</v>
      </c>
      <c r="D2735" s="940" t="s">
        <v>7210</v>
      </c>
      <c r="E2735" t="s">
        <v>2542</v>
      </c>
    </row>
    <row r="2736" spans="1:5" x14ac:dyDescent="0.25">
      <c r="A2736" s="940">
        <v>256</v>
      </c>
      <c r="B2736" s="940">
        <v>809</v>
      </c>
      <c r="C2736" t="s">
        <v>7211</v>
      </c>
      <c r="D2736" s="940" t="s">
        <v>7212</v>
      </c>
      <c r="E2736" t="s">
        <v>72</v>
      </c>
    </row>
    <row r="2737" spans="1:5" x14ac:dyDescent="0.25">
      <c r="A2737" s="940">
        <v>648</v>
      </c>
      <c r="B2737" s="940">
        <v>377</v>
      </c>
      <c r="C2737" t="s">
        <v>7211</v>
      </c>
      <c r="D2737" s="940" t="s">
        <v>7213</v>
      </c>
      <c r="E2737" t="s">
        <v>1225</v>
      </c>
    </row>
    <row r="2738" spans="1:5" x14ac:dyDescent="0.25">
      <c r="A2738" s="940">
        <v>73</v>
      </c>
      <c r="B2738" s="940">
        <v>1206</v>
      </c>
      <c r="C2738" t="s">
        <v>7214</v>
      </c>
      <c r="D2738" s="940" t="s">
        <v>7215</v>
      </c>
      <c r="E2738" t="s">
        <v>109</v>
      </c>
    </row>
    <row r="2739" spans="1:5" x14ac:dyDescent="0.25">
      <c r="A2739" s="940">
        <v>257</v>
      </c>
      <c r="B2739" s="940">
        <v>808</v>
      </c>
      <c r="C2739" t="s">
        <v>7216</v>
      </c>
      <c r="D2739" s="940" t="s">
        <v>7217</v>
      </c>
      <c r="E2739" t="s">
        <v>1158</v>
      </c>
    </row>
    <row r="2740" spans="1:5" x14ac:dyDescent="0.25">
      <c r="A2740" s="940">
        <v>989</v>
      </c>
      <c r="B2740" s="940">
        <v>221</v>
      </c>
      <c r="C2740" t="s">
        <v>7216</v>
      </c>
      <c r="D2740" s="940" t="s">
        <v>7218</v>
      </c>
      <c r="E2740" t="s">
        <v>1158</v>
      </c>
    </row>
    <row r="2741" spans="1:5" x14ac:dyDescent="0.25">
      <c r="A2741" s="940">
        <v>2441</v>
      </c>
      <c r="B2741" s="940">
        <v>28</v>
      </c>
      <c r="C2741" t="s">
        <v>7219</v>
      </c>
      <c r="D2741" s="940" t="s">
        <v>7220</v>
      </c>
      <c r="E2741" t="s">
        <v>142</v>
      </c>
    </row>
    <row r="2742" spans="1:5" x14ac:dyDescent="0.25">
      <c r="A2742" s="940">
        <v>651</v>
      </c>
      <c r="B2742" s="940">
        <v>375</v>
      </c>
      <c r="C2742" t="s">
        <v>7221</v>
      </c>
      <c r="D2742" s="940" t="s">
        <v>7222</v>
      </c>
      <c r="E2742" t="s">
        <v>166</v>
      </c>
    </row>
    <row r="2743" spans="1:5" x14ac:dyDescent="0.25">
      <c r="A2743" s="940">
        <v>1548</v>
      </c>
      <c r="B2743" s="940">
        <v>101</v>
      </c>
      <c r="C2743" t="s">
        <v>7223</v>
      </c>
      <c r="D2743" s="940" t="s">
        <v>2719</v>
      </c>
      <c r="E2743" t="s">
        <v>1156</v>
      </c>
    </row>
    <row r="2744" spans="1:5" x14ac:dyDescent="0.25">
      <c r="A2744" s="940">
        <v>1818</v>
      </c>
      <c r="B2744" s="940">
        <v>71</v>
      </c>
      <c r="C2744" t="s">
        <v>7224</v>
      </c>
      <c r="D2744" s="940" t="s">
        <v>3965</v>
      </c>
      <c r="E2744" t="s">
        <v>120</v>
      </c>
    </row>
    <row r="2745" spans="1:5" x14ac:dyDescent="0.25">
      <c r="A2745" s="940">
        <v>137</v>
      </c>
      <c r="B2745" s="940">
        <v>1008</v>
      </c>
      <c r="C2745" t="s">
        <v>7225</v>
      </c>
      <c r="D2745" s="940" t="s">
        <v>7226</v>
      </c>
      <c r="E2745" t="s">
        <v>1277</v>
      </c>
    </row>
    <row r="2746" spans="1:5" x14ac:dyDescent="0.25">
      <c r="A2746" s="940">
        <v>3490</v>
      </c>
      <c r="B2746" s="940">
        <v>0</v>
      </c>
      <c r="C2746" t="s">
        <v>7227</v>
      </c>
      <c r="D2746" s="940" t="s">
        <v>5512</v>
      </c>
      <c r="E2746" t="s">
        <v>113</v>
      </c>
    </row>
    <row r="2747" spans="1:5" x14ac:dyDescent="0.25">
      <c r="A2747" s="940">
        <v>432</v>
      </c>
      <c r="B2747" s="940">
        <v>541</v>
      </c>
      <c r="C2747" t="s">
        <v>7228</v>
      </c>
      <c r="D2747" s="940" t="s">
        <v>7229</v>
      </c>
      <c r="E2747" t="s">
        <v>6361</v>
      </c>
    </row>
    <row r="2748" spans="1:5" x14ac:dyDescent="0.25">
      <c r="A2748" s="940">
        <v>2405</v>
      </c>
      <c r="B2748" s="940">
        <v>30</v>
      </c>
      <c r="C2748" t="s">
        <v>7230</v>
      </c>
      <c r="D2748" s="940" t="s">
        <v>6900</v>
      </c>
      <c r="E2748" t="s">
        <v>1364</v>
      </c>
    </row>
    <row r="2749" spans="1:5" x14ac:dyDescent="0.25">
      <c r="A2749" s="940">
        <v>539</v>
      </c>
      <c r="B2749" s="940">
        <v>440</v>
      </c>
      <c r="C2749" t="s">
        <v>7231</v>
      </c>
      <c r="D2749" s="940" t="s">
        <v>7232</v>
      </c>
      <c r="E2749" t="s">
        <v>3396</v>
      </c>
    </row>
    <row r="2750" spans="1:5" x14ac:dyDescent="0.25">
      <c r="A2750" s="940">
        <v>3327</v>
      </c>
      <c r="B2750" s="940">
        <v>2</v>
      </c>
      <c r="C2750" t="s">
        <v>7231</v>
      </c>
      <c r="D2750" s="940" t="s">
        <v>6621</v>
      </c>
      <c r="E2750" t="s">
        <v>73</v>
      </c>
    </row>
    <row r="2751" spans="1:5" x14ac:dyDescent="0.25">
      <c r="A2751" s="940">
        <v>3490</v>
      </c>
      <c r="B2751" s="940">
        <v>0</v>
      </c>
      <c r="C2751" t="s">
        <v>7231</v>
      </c>
      <c r="D2751" s="940" t="s">
        <v>7233</v>
      </c>
      <c r="E2751" t="s">
        <v>2654</v>
      </c>
    </row>
    <row r="2752" spans="1:5" x14ac:dyDescent="0.25">
      <c r="A2752" s="940">
        <v>2558</v>
      </c>
      <c r="B2752" s="940">
        <v>22</v>
      </c>
      <c r="C2752" t="s">
        <v>7234</v>
      </c>
      <c r="D2752" s="940" t="s">
        <v>7085</v>
      </c>
      <c r="E2752" t="s">
        <v>1584</v>
      </c>
    </row>
    <row r="2753" spans="1:5" x14ac:dyDescent="0.25">
      <c r="A2753" s="940">
        <v>3395</v>
      </c>
      <c r="B2753" s="940">
        <v>1</v>
      </c>
      <c r="C2753" t="s">
        <v>7234</v>
      </c>
      <c r="D2753" s="940" t="s">
        <v>4496</v>
      </c>
      <c r="E2753" t="s">
        <v>127</v>
      </c>
    </row>
    <row r="2754" spans="1:5" x14ac:dyDescent="0.25">
      <c r="A2754" s="940">
        <v>3196</v>
      </c>
      <c r="B2754" s="940">
        <v>4</v>
      </c>
      <c r="C2754" t="s">
        <v>7235</v>
      </c>
      <c r="D2754" s="940" t="s">
        <v>7236</v>
      </c>
      <c r="E2754" t="s">
        <v>2720</v>
      </c>
    </row>
    <row r="2755" spans="1:5" x14ac:dyDescent="0.25">
      <c r="A2755" s="940">
        <v>3490</v>
      </c>
      <c r="B2755" s="940">
        <v>0</v>
      </c>
      <c r="C2755" t="s">
        <v>7235</v>
      </c>
      <c r="D2755" s="940" t="s">
        <v>7237</v>
      </c>
      <c r="E2755" t="s">
        <v>1363</v>
      </c>
    </row>
    <row r="2756" spans="1:5" x14ac:dyDescent="0.25">
      <c r="A2756" s="940">
        <v>3490</v>
      </c>
      <c r="B2756" s="940">
        <v>0</v>
      </c>
      <c r="C2756" t="s">
        <v>7238</v>
      </c>
      <c r="D2756" s="940" t="s">
        <v>2953</v>
      </c>
      <c r="E2756" t="s">
        <v>120</v>
      </c>
    </row>
    <row r="2757" spans="1:5" x14ac:dyDescent="0.25">
      <c r="A2757" s="940">
        <v>3490</v>
      </c>
      <c r="B2757" s="940">
        <v>0</v>
      </c>
      <c r="C2757" t="s">
        <v>7239</v>
      </c>
      <c r="D2757" s="940" t="s">
        <v>7240</v>
      </c>
      <c r="E2757" t="s">
        <v>1578</v>
      </c>
    </row>
    <row r="2758" spans="1:5" x14ac:dyDescent="0.25">
      <c r="A2758" s="940">
        <v>2626</v>
      </c>
      <c r="B2758" s="940">
        <v>19</v>
      </c>
      <c r="C2758" t="s">
        <v>7241</v>
      </c>
      <c r="D2758" s="940" t="s">
        <v>7242</v>
      </c>
      <c r="E2758" t="s">
        <v>179</v>
      </c>
    </row>
    <row r="2759" spans="1:5" x14ac:dyDescent="0.25">
      <c r="A2759" s="940">
        <v>353</v>
      </c>
      <c r="B2759" s="940">
        <v>629</v>
      </c>
      <c r="C2759" t="s">
        <v>7243</v>
      </c>
      <c r="D2759" s="940" t="s">
        <v>7244</v>
      </c>
      <c r="E2759" t="s">
        <v>2654</v>
      </c>
    </row>
    <row r="2760" spans="1:5" x14ac:dyDescent="0.25">
      <c r="A2760" s="940">
        <v>1026</v>
      </c>
      <c r="B2760" s="940">
        <v>206</v>
      </c>
      <c r="C2760" t="s">
        <v>2051</v>
      </c>
      <c r="D2760" s="940" t="s">
        <v>7245</v>
      </c>
      <c r="E2760" t="s">
        <v>1311</v>
      </c>
    </row>
    <row r="2761" spans="1:5" x14ac:dyDescent="0.25">
      <c r="A2761" s="940">
        <v>857</v>
      </c>
      <c r="B2761" s="940">
        <v>270</v>
      </c>
      <c r="C2761" t="s">
        <v>7246</v>
      </c>
      <c r="D2761" s="940" t="s">
        <v>5685</v>
      </c>
      <c r="E2761" t="s">
        <v>105</v>
      </c>
    </row>
    <row r="2762" spans="1:5" x14ac:dyDescent="0.25">
      <c r="A2762" s="940">
        <v>1962</v>
      </c>
      <c r="B2762" s="940">
        <v>60</v>
      </c>
      <c r="C2762" t="s">
        <v>7247</v>
      </c>
      <c r="D2762" s="940" t="s">
        <v>7248</v>
      </c>
      <c r="E2762" t="s">
        <v>120</v>
      </c>
    </row>
    <row r="2763" spans="1:5" x14ac:dyDescent="0.25">
      <c r="A2763" s="940">
        <v>36</v>
      </c>
      <c r="B2763" s="940">
        <v>1384</v>
      </c>
      <c r="C2763" t="s">
        <v>7249</v>
      </c>
      <c r="D2763" s="940" t="s">
        <v>7250</v>
      </c>
      <c r="E2763" t="s">
        <v>166</v>
      </c>
    </row>
    <row r="2764" spans="1:5" x14ac:dyDescent="0.25">
      <c r="A2764" s="940">
        <v>3490</v>
      </c>
      <c r="B2764" s="940">
        <v>0</v>
      </c>
      <c r="C2764" t="s">
        <v>7251</v>
      </c>
      <c r="D2764" s="940" t="s">
        <v>7252</v>
      </c>
      <c r="E2764" t="s">
        <v>111</v>
      </c>
    </row>
    <row r="2765" spans="1:5" x14ac:dyDescent="0.25">
      <c r="A2765" s="940">
        <v>826</v>
      </c>
      <c r="B2765" s="940">
        <v>287</v>
      </c>
      <c r="C2765" t="s">
        <v>724</v>
      </c>
      <c r="D2765" s="940" t="s">
        <v>7253</v>
      </c>
      <c r="E2765" t="s">
        <v>105</v>
      </c>
    </row>
    <row r="2766" spans="1:5" x14ac:dyDescent="0.25">
      <c r="A2766" s="940">
        <v>1555</v>
      </c>
      <c r="B2766" s="940">
        <v>100</v>
      </c>
      <c r="C2766" t="s">
        <v>560</v>
      </c>
      <c r="D2766" s="940" t="s">
        <v>4666</v>
      </c>
      <c r="E2766" t="s">
        <v>73</v>
      </c>
    </row>
    <row r="2767" spans="1:5" x14ac:dyDescent="0.25">
      <c r="A2767" s="940">
        <v>99</v>
      </c>
      <c r="B2767" s="940">
        <v>1110</v>
      </c>
      <c r="C2767" t="s">
        <v>7254</v>
      </c>
      <c r="D2767" s="940" t="s">
        <v>6450</v>
      </c>
      <c r="E2767" t="s">
        <v>72</v>
      </c>
    </row>
    <row r="2768" spans="1:5" x14ac:dyDescent="0.25">
      <c r="A2768" s="940">
        <v>1968</v>
      </c>
      <c r="B2768" s="940">
        <v>59</v>
      </c>
      <c r="C2768" t="s">
        <v>7255</v>
      </c>
      <c r="D2768" s="940" t="s">
        <v>4159</v>
      </c>
      <c r="E2768" t="s">
        <v>1578</v>
      </c>
    </row>
    <row r="2769" spans="1:5" x14ac:dyDescent="0.25">
      <c r="A2769" s="940">
        <v>1977</v>
      </c>
      <c r="B2769" s="940">
        <v>58</v>
      </c>
      <c r="C2769" t="s">
        <v>7256</v>
      </c>
      <c r="D2769" s="940" t="s">
        <v>7257</v>
      </c>
      <c r="E2769" t="s">
        <v>128</v>
      </c>
    </row>
    <row r="2770" spans="1:5" x14ac:dyDescent="0.25">
      <c r="A2770" s="940">
        <v>3089</v>
      </c>
      <c r="B2770" s="940">
        <v>6</v>
      </c>
      <c r="C2770" t="s">
        <v>7258</v>
      </c>
      <c r="D2770" s="940" t="s">
        <v>7259</v>
      </c>
      <c r="E2770" t="s">
        <v>1460</v>
      </c>
    </row>
    <row r="2771" spans="1:5" x14ac:dyDescent="0.25">
      <c r="A2771" s="940">
        <v>808</v>
      </c>
      <c r="B2771" s="940">
        <v>294</v>
      </c>
      <c r="C2771" t="s">
        <v>2055</v>
      </c>
      <c r="D2771" s="940" t="s">
        <v>3061</v>
      </c>
      <c r="E2771" t="s">
        <v>176</v>
      </c>
    </row>
    <row r="2772" spans="1:5" x14ac:dyDescent="0.25">
      <c r="A2772" s="940">
        <v>2626</v>
      </c>
      <c r="B2772" s="940">
        <v>19</v>
      </c>
      <c r="C2772" t="s">
        <v>7260</v>
      </c>
      <c r="D2772" s="940" t="s">
        <v>4698</v>
      </c>
      <c r="E2772" t="s">
        <v>111</v>
      </c>
    </row>
    <row r="2773" spans="1:5" x14ac:dyDescent="0.25">
      <c r="A2773" s="940">
        <v>1164</v>
      </c>
      <c r="B2773" s="940">
        <v>165</v>
      </c>
      <c r="C2773" t="s">
        <v>7261</v>
      </c>
      <c r="D2773" s="940" t="s">
        <v>6763</v>
      </c>
      <c r="E2773" t="s">
        <v>1493</v>
      </c>
    </row>
    <row r="2774" spans="1:5" x14ac:dyDescent="0.25">
      <c r="A2774" s="940">
        <v>400</v>
      </c>
      <c r="B2774" s="940">
        <v>570</v>
      </c>
      <c r="C2774" t="s">
        <v>7262</v>
      </c>
      <c r="D2774" s="940" t="s">
        <v>4131</v>
      </c>
      <c r="E2774" t="s">
        <v>1311</v>
      </c>
    </row>
    <row r="2775" spans="1:5" x14ac:dyDescent="0.25">
      <c r="A2775" s="940">
        <v>3490</v>
      </c>
      <c r="B2775" s="940">
        <v>0</v>
      </c>
      <c r="C2775" t="s">
        <v>7263</v>
      </c>
      <c r="D2775" s="940" t="s">
        <v>6293</v>
      </c>
      <c r="E2775" t="s">
        <v>164</v>
      </c>
    </row>
    <row r="2776" spans="1:5" x14ac:dyDescent="0.25">
      <c r="A2776" s="940">
        <v>3395</v>
      </c>
      <c r="B2776" s="940">
        <v>1</v>
      </c>
      <c r="C2776" t="s">
        <v>7264</v>
      </c>
      <c r="D2776" s="940" t="s">
        <v>6293</v>
      </c>
      <c r="E2776" t="s">
        <v>164</v>
      </c>
    </row>
    <row r="2777" spans="1:5" x14ac:dyDescent="0.25">
      <c r="A2777" s="940">
        <v>3490</v>
      </c>
      <c r="B2777" s="940">
        <v>0</v>
      </c>
      <c r="C2777" t="s">
        <v>7265</v>
      </c>
      <c r="D2777" s="940" t="s">
        <v>7266</v>
      </c>
      <c r="E2777" t="s">
        <v>1332</v>
      </c>
    </row>
    <row r="2778" spans="1:5" x14ac:dyDescent="0.25">
      <c r="A2778" s="940">
        <v>1872</v>
      </c>
      <c r="B2778" s="940">
        <v>66</v>
      </c>
      <c r="C2778" t="s">
        <v>7267</v>
      </c>
      <c r="D2778" s="940" t="s">
        <v>6124</v>
      </c>
      <c r="E2778" t="s">
        <v>105</v>
      </c>
    </row>
    <row r="2779" spans="1:5" x14ac:dyDescent="0.25">
      <c r="A2779" s="940">
        <v>3196</v>
      </c>
      <c r="B2779" s="940">
        <v>4</v>
      </c>
      <c r="C2779" t="s">
        <v>7268</v>
      </c>
      <c r="D2779" s="940" t="s">
        <v>7269</v>
      </c>
      <c r="E2779" t="s">
        <v>1315</v>
      </c>
    </row>
    <row r="2780" spans="1:5" x14ac:dyDescent="0.25">
      <c r="A2780" s="940">
        <v>3141</v>
      </c>
      <c r="B2780" s="940">
        <v>5</v>
      </c>
      <c r="C2780" t="s">
        <v>7270</v>
      </c>
      <c r="D2780" s="940" t="s">
        <v>3892</v>
      </c>
      <c r="E2780" t="s">
        <v>3026</v>
      </c>
    </row>
    <row r="2781" spans="1:5" x14ac:dyDescent="0.25">
      <c r="A2781" s="940">
        <v>2272</v>
      </c>
      <c r="B2781" s="940">
        <v>38</v>
      </c>
      <c r="C2781" t="s">
        <v>7271</v>
      </c>
      <c r="D2781" s="940" t="s">
        <v>6820</v>
      </c>
      <c r="E2781" t="s">
        <v>290</v>
      </c>
    </row>
    <row r="2782" spans="1:5" x14ac:dyDescent="0.25">
      <c r="A2782" s="940">
        <v>493</v>
      </c>
      <c r="B2782" s="940">
        <v>478</v>
      </c>
      <c r="C2782" t="s">
        <v>7272</v>
      </c>
      <c r="D2782" s="940" t="s">
        <v>2843</v>
      </c>
      <c r="E2782" t="s">
        <v>2928</v>
      </c>
    </row>
    <row r="2783" spans="1:5" x14ac:dyDescent="0.25">
      <c r="A2783" s="940">
        <v>1227</v>
      </c>
      <c r="B2783" s="940">
        <v>150</v>
      </c>
      <c r="C2783" t="s">
        <v>7273</v>
      </c>
      <c r="D2783" s="940" t="s">
        <v>5795</v>
      </c>
      <c r="E2783" t="s">
        <v>4572</v>
      </c>
    </row>
    <row r="2784" spans="1:5" x14ac:dyDescent="0.25">
      <c r="A2784" s="940">
        <v>165</v>
      </c>
      <c r="B2784" s="940">
        <v>944</v>
      </c>
      <c r="C2784" t="s">
        <v>7274</v>
      </c>
      <c r="D2784" s="940" t="s">
        <v>7275</v>
      </c>
      <c r="E2784" t="s">
        <v>3597</v>
      </c>
    </row>
    <row r="2785" spans="1:5" x14ac:dyDescent="0.25">
      <c r="A2785" s="940">
        <v>974</v>
      </c>
      <c r="B2785" s="940">
        <v>226</v>
      </c>
      <c r="C2785" t="s">
        <v>7276</v>
      </c>
      <c r="D2785" s="940" t="s">
        <v>7277</v>
      </c>
      <c r="E2785" t="s">
        <v>147</v>
      </c>
    </row>
    <row r="2786" spans="1:5" x14ac:dyDescent="0.25">
      <c r="A2786" s="940">
        <v>3327</v>
      </c>
      <c r="B2786" s="940">
        <v>2</v>
      </c>
      <c r="C2786" t="s">
        <v>7278</v>
      </c>
      <c r="D2786" s="940" t="s">
        <v>3737</v>
      </c>
      <c r="E2786" t="s">
        <v>2654</v>
      </c>
    </row>
    <row r="2787" spans="1:5" x14ac:dyDescent="0.25">
      <c r="A2787" s="940">
        <v>2291</v>
      </c>
      <c r="B2787" s="940">
        <v>37</v>
      </c>
      <c r="C2787" t="s">
        <v>7279</v>
      </c>
      <c r="D2787" s="940" t="s">
        <v>7280</v>
      </c>
      <c r="E2787" t="s">
        <v>105</v>
      </c>
    </row>
    <row r="2788" spans="1:5" x14ac:dyDescent="0.25">
      <c r="A2788" s="940">
        <v>3490</v>
      </c>
      <c r="B2788" s="940">
        <v>0</v>
      </c>
      <c r="C2788" t="s">
        <v>7281</v>
      </c>
      <c r="D2788" s="940" t="s">
        <v>7282</v>
      </c>
      <c r="E2788" t="s">
        <v>2720</v>
      </c>
    </row>
    <row r="2789" spans="1:5" x14ac:dyDescent="0.25">
      <c r="A2789" s="940">
        <v>402</v>
      </c>
      <c r="B2789" s="940">
        <v>568</v>
      </c>
      <c r="C2789" t="s">
        <v>7283</v>
      </c>
      <c r="D2789" s="940" t="s">
        <v>7284</v>
      </c>
      <c r="E2789" t="s">
        <v>120</v>
      </c>
    </row>
    <row r="2790" spans="1:5" x14ac:dyDescent="0.25">
      <c r="A2790" s="940">
        <v>2004</v>
      </c>
      <c r="B2790" s="940">
        <v>55</v>
      </c>
      <c r="C2790" t="s">
        <v>7285</v>
      </c>
      <c r="D2790" s="940" t="s">
        <v>5822</v>
      </c>
      <c r="E2790" t="s">
        <v>2916</v>
      </c>
    </row>
    <row r="2791" spans="1:5" x14ac:dyDescent="0.25">
      <c r="A2791" s="940">
        <v>310</v>
      </c>
      <c r="B2791" s="940">
        <v>691</v>
      </c>
      <c r="C2791" t="s">
        <v>7286</v>
      </c>
      <c r="D2791" s="940" t="s">
        <v>7287</v>
      </c>
      <c r="E2791" t="s">
        <v>2720</v>
      </c>
    </row>
    <row r="2792" spans="1:5" x14ac:dyDescent="0.25">
      <c r="A2792" s="940">
        <v>3490</v>
      </c>
      <c r="B2792" s="940">
        <v>0</v>
      </c>
      <c r="C2792" t="s">
        <v>7288</v>
      </c>
      <c r="D2792" s="940" t="s">
        <v>5388</v>
      </c>
      <c r="E2792" t="s">
        <v>105</v>
      </c>
    </row>
    <row r="2793" spans="1:5" x14ac:dyDescent="0.25">
      <c r="A2793" s="940">
        <v>2060</v>
      </c>
      <c r="B2793" s="940">
        <v>51</v>
      </c>
      <c r="C2793" t="s">
        <v>7289</v>
      </c>
      <c r="D2793" s="940" t="s">
        <v>7290</v>
      </c>
      <c r="E2793" t="s">
        <v>112</v>
      </c>
    </row>
    <row r="2794" spans="1:5" x14ac:dyDescent="0.25">
      <c r="A2794" s="940">
        <v>2690</v>
      </c>
      <c r="B2794" s="940">
        <v>17</v>
      </c>
      <c r="C2794" t="s">
        <v>7291</v>
      </c>
      <c r="D2794" s="940" t="s">
        <v>7292</v>
      </c>
      <c r="E2794" t="s">
        <v>1590</v>
      </c>
    </row>
    <row r="2795" spans="1:5" x14ac:dyDescent="0.25">
      <c r="A2795" s="940">
        <v>1433</v>
      </c>
      <c r="B2795" s="940">
        <v>115</v>
      </c>
      <c r="C2795" t="s">
        <v>7293</v>
      </c>
      <c r="D2795" s="940" t="s">
        <v>3582</v>
      </c>
      <c r="E2795" t="s">
        <v>1156</v>
      </c>
    </row>
    <row r="2796" spans="1:5" x14ac:dyDescent="0.25">
      <c r="A2796" s="940">
        <v>421</v>
      </c>
      <c r="B2796" s="940">
        <v>552</v>
      </c>
      <c r="C2796" t="s">
        <v>7294</v>
      </c>
      <c r="D2796" s="940" t="s">
        <v>7295</v>
      </c>
      <c r="E2796" t="s">
        <v>175</v>
      </c>
    </row>
    <row r="2797" spans="1:5" x14ac:dyDescent="0.25">
      <c r="A2797" s="940">
        <v>3196</v>
      </c>
      <c r="B2797" s="940">
        <v>4</v>
      </c>
      <c r="C2797" t="s">
        <v>7296</v>
      </c>
      <c r="D2797" s="940" t="s">
        <v>3650</v>
      </c>
      <c r="E2797" t="s">
        <v>1460</v>
      </c>
    </row>
    <row r="2798" spans="1:5" x14ac:dyDescent="0.25">
      <c r="A2798" s="940">
        <v>1085</v>
      </c>
      <c r="B2798" s="940">
        <v>186</v>
      </c>
      <c r="C2798" t="s">
        <v>7297</v>
      </c>
      <c r="D2798" s="940" t="s">
        <v>7298</v>
      </c>
      <c r="E2798" t="s">
        <v>7299</v>
      </c>
    </row>
    <row r="2799" spans="1:5" x14ac:dyDescent="0.25">
      <c r="A2799" s="940">
        <v>1114</v>
      </c>
      <c r="B2799" s="940">
        <v>176</v>
      </c>
      <c r="C2799" t="s">
        <v>2062</v>
      </c>
      <c r="D2799" s="940" t="s">
        <v>4568</v>
      </c>
      <c r="E2799" t="s">
        <v>80</v>
      </c>
    </row>
    <row r="2800" spans="1:5" x14ac:dyDescent="0.25">
      <c r="A2800" s="940">
        <v>1643</v>
      </c>
      <c r="B2800" s="940">
        <v>90</v>
      </c>
      <c r="C2800" t="s">
        <v>7300</v>
      </c>
      <c r="D2800" s="940" t="s">
        <v>2788</v>
      </c>
      <c r="E2800" t="s">
        <v>105</v>
      </c>
    </row>
    <row r="2801" spans="1:5" x14ac:dyDescent="0.25">
      <c r="A2801" s="940">
        <v>231</v>
      </c>
      <c r="B2801" s="940">
        <v>848</v>
      </c>
      <c r="C2801" t="s">
        <v>7301</v>
      </c>
      <c r="D2801" s="940" t="s">
        <v>7302</v>
      </c>
      <c r="E2801" t="s">
        <v>113</v>
      </c>
    </row>
    <row r="2802" spans="1:5" x14ac:dyDescent="0.25">
      <c r="A2802" s="940">
        <v>1153</v>
      </c>
      <c r="B2802" s="940">
        <v>167</v>
      </c>
      <c r="C2802" t="s">
        <v>7303</v>
      </c>
      <c r="D2802" s="940" t="s">
        <v>4571</v>
      </c>
      <c r="E2802" t="s">
        <v>1162</v>
      </c>
    </row>
    <row r="2803" spans="1:5" x14ac:dyDescent="0.25">
      <c r="A2803" s="940">
        <v>3490</v>
      </c>
      <c r="B2803" s="940">
        <v>0</v>
      </c>
      <c r="C2803" t="s">
        <v>7304</v>
      </c>
      <c r="D2803" s="940" t="s">
        <v>7305</v>
      </c>
      <c r="E2803" t="s">
        <v>113</v>
      </c>
    </row>
    <row r="2804" spans="1:5" x14ac:dyDescent="0.25">
      <c r="A2804" s="940">
        <v>2626</v>
      </c>
      <c r="B2804" s="940">
        <v>19</v>
      </c>
      <c r="C2804" t="s">
        <v>7306</v>
      </c>
      <c r="D2804" s="940" t="s">
        <v>4510</v>
      </c>
      <c r="E2804" t="s">
        <v>132</v>
      </c>
    </row>
    <row r="2805" spans="1:5" x14ac:dyDescent="0.25">
      <c r="A2805" s="940">
        <v>363</v>
      </c>
      <c r="B2805" s="940">
        <v>619</v>
      </c>
      <c r="C2805" t="s">
        <v>562</v>
      </c>
      <c r="D2805" s="940" t="s">
        <v>7307</v>
      </c>
      <c r="E2805" t="s">
        <v>117</v>
      </c>
    </row>
    <row r="2806" spans="1:5" x14ac:dyDescent="0.25">
      <c r="A2806" s="940">
        <v>3490</v>
      </c>
      <c r="B2806" s="940">
        <v>0</v>
      </c>
      <c r="C2806" t="s">
        <v>7308</v>
      </c>
      <c r="D2806" s="940" t="s">
        <v>7309</v>
      </c>
      <c r="E2806" t="s">
        <v>105</v>
      </c>
    </row>
    <row r="2807" spans="1:5" x14ac:dyDescent="0.25">
      <c r="A2807" s="940">
        <v>1711</v>
      </c>
      <c r="B2807" s="940">
        <v>82</v>
      </c>
      <c r="C2807" t="s">
        <v>7310</v>
      </c>
      <c r="D2807" s="940" t="s">
        <v>4306</v>
      </c>
      <c r="E2807" t="s">
        <v>120</v>
      </c>
    </row>
    <row r="2808" spans="1:5" x14ac:dyDescent="0.25">
      <c r="A2808" s="940">
        <v>261</v>
      </c>
      <c r="B2808" s="940">
        <v>793</v>
      </c>
      <c r="C2808" t="s">
        <v>7311</v>
      </c>
      <c r="D2808" s="940" t="s">
        <v>7312</v>
      </c>
      <c r="E2808" t="s">
        <v>1221</v>
      </c>
    </row>
    <row r="2809" spans="1:5" x14ac:dyDescent="0.25">
      <c r="A2809" s="940">
        <v>2441</v>
      </c>
      <c r="B2809" s="940">
        <v>28</v>
      </c>
      <c r="C2809" t="s">
        <v>7313</v>
      </c>
      <c r="D2809" s="940" t="s">
        <v>3346</v>
      </c>
      <c r="E2809" t="s">
        <v>6758</v>
      </c>
    </row>
    <row r="2810" spans="1:5" x14ac:dyDescent="0.25">
      <c r="A2810" s="940">
        <v>269</v>
      </c>
      <c r="B2810" s="940">
        <v>771</v>
      </c>
      <c r="C2810" t="s">
        <v>7314</v>
      </c>
      <c r="D2810" s="940" t="s">
        <v>7315</v>
      </c>
      <c r="E2810" t="s">
        <v>3200</v>
      </c>
    </row>
    <row r="2811" spans="1:5" x14ac:dyDescent="0.25">
      <c r="A2811" s="940">
        <v>3395</v>
      </c>
      <c r="B2811" s="940">
        <v>1</v>
      </c>
      <c r="C2811" t="s">
        <v>7316</v>
      </c>
      <c r="D2811" s="940" t="s">
        <v>5030</v>
      </c>
      <c r="E2811" t="s">
        <v>118</v>
      </c>
    </row>
    <row r="2812" spans="1:5" x14ac:dyDescent="0.25">
      <c r="A2812" s="940">
        <v>3490</v>
      </c>
      <c r="B2812" s="940">
        <v>0</v>
      </c>
      <c r="C2812" t="s">
        <v>7317</v>
      </c>
      <c r="D2812" s="940" t="s">
        <v>7318</v>
      </c>
      <c r="E2812" t="s">
        <v>1182</v>
      </c>
    </row>
    <row r="2813" spans="1:5" x14ac:dyDescent="0.25">
      <c r="A2813" s="940">
        <v>1730</v>
      </c>
      <c r="B2813" s="940">
        <v>80</v>
      </c>
      <c r="C2813" t="s">
        <v>2065</v>
      </c>
      <c r="D2813" s="940" t="s">
        <v>3528</v>
      </c>
      <c r="E2813" t="s">
        <v>1236</v>
      </c>
    </row>
    <row r="2814" spans="1:5" x14ac:dyDescent="0.25">
      <c r="A2814" s="940">
        <v>1083</v>
      </c>
      <c r="B2814" s="940">
        <v>187</v>
      </c>
      <c r="C2814" t="s">
        <v>7319</v>
      </c>
      <c r="D2814" s="940" t="s">
        <v>7320</v>
      </c>
      <c r="E2814" t="s">
        <v>3200</v>
      </c>
    </row>
    <row r="2815" spans="1:5" x14ac:dyDescent="0.25">
      <c r="A2815" s="940">
        <v>1505</v>
      </c>
      <c r="B2815" s="940">
        <v>105</v>
      </c>
      <c r="C2815" t="s">
        <v>7321</v>
      </c>
      <c r="D2815" s="940" t="s">
        <v>6779</v>
      </c>
      <c r="E2815" t="s">
        <v>4104</v>
      </c>
    </row>
    <row r="2816" spans="1:5" x14ac:dyDescent="0.25">
      <c r="A2816" s="940">
        <v>3196</v>
      </c>
      <c r="B2816" s="940">
        <v>4</v>
      </c>
      <c r="C2816" t="s">
        <v>7322</v>
      </c>
      <c r="D2816" s="940" t="s">
        <v>7323</v>
      </c>
      <c r="E2816" t="s">
        <v>118</v>
      </c>
    </row>
    <row r="2817" spans="1:5" x14ac:dyDescent="0.25">
      <c r="A2817" s="940">
        <v>1548</v>
      </c>
      <c r="B2817" s="940">
        <v>101</v>
      </c>
      <c r="C2817" t="s">
        <v>2069</v>
      </c>
      <c r="D2817" s="940" t="s">
        <v>6870</v>
      </c>
      <c r="E2817" t="s">
        <v>105</v>
      </c>
    </row>
    <row r="2818" spans="1:5" x14ac:dyDescent="0.25">
      <c r="A2818" s="940">
        <v>1100</v>
      </c>
      <c r="B2818" s="940">
        <v>182</v>
      </c>
      <c r="C2818" t="s">
        <v>7324</v>
      </c>
      <c r="D2818" s="940" t="s">
        <v>7325</v>
      </c>
      <c r="E2818" t="s">
        <v>3098</v>
      </c>
    </row>
    <row r="2819" spans="1:5" x14ac:dyDescent="0.25">
      <c r="A2819" s="940">
        <v>1962</v>
      </c>
      <c r="B2819" s="940">
        <v>60</v>
      </c>
      <c r="C2819" t="s">
        <v>7326</v>
      </c>
      <c r="D2819" s="940" t="s">
        <v>7327</v>
      </c>
      <c r="E2819" t="s">
        <v>4395</v>
      </c>
    </row>
    <row r="2820" spans="1:5" x14ac:dyDescent="0.25">
      <c r="A2820" s="940">
        <v>808</v>
      </c>
      <c r="B2820" s="940">
        <v>294</v>
      </c>
      <c r="C2820" t="s">
        <v>7328</v>
      </c>
      <c r="D2820" s="940" t="s">
        <v>7329</v>
      </c>
      <c r="E2820" t="s">
        <v>213</v>
      </c>
    </row>
    <row r="2821" spans="1:5" x14ac:dyDescent="0.25">
      <c r="A2821" s="940">
        <v>1417</v>
      </c>
      <c r="B2821" s="940">
        <v>117</v>
      </c>
      <c r="C2821" t="s">
        <v>2071</v>
      </c>
      <c r="D2821" s="940" t="s">
        <v>5231</v>
      </c>
      <c r="E2821" t="s">
        <v>1198</v>
      </c>
    </row>
    <row r="2822" spans="1:5" x14ac:dyDescent="0.25">
      <c r="A2822" s="940">
        <v>1942</v>
      </c>
      <c r="B2822" s="940">
        <v>61</v>
      </c>
      <c r="C2822" t="s">
        <v>7330</v>
      </c>
      <c r="D2822" s="940" t="s">
        <v>7331</v>
      </c>
      <c r="E2822" t="s">
        <v>188</v>
      </c>
    </row>
    <row r="2823" spans="1:5" x14ac:dyDescent="0.25">
      <c r="A2823" s="940">
        <v>3141</v>
      </c>
      <c r="B2823" s="940">
        <v>5</v>
      </c>
      <c r="C2823" t="s">
        <v>7332</v>
      </c>
      <c r="D2823" s="940" t="s">
        <v>4688</v>
      </c>
      <c r="E2823" t="s">
        <v>1156</v>
      </c>
    </row>
    <row r="2824" spans="1:5" x14ac:dyDescent="0.25">
      <c r="A2824" s="940">
        <v>1787</v>
      </c>
      <c r="B2824" s="940">
        <v>74</v>
      </c>
      <c r="C2824" t="s">
        <v>7333</v>
      </c>
      <c r="D2824" s="940" t="s">
        <v>4016</v>
      </c>
      <c r="E2824" t="s">
        <v>72</v>
      </c>
    </row>
    <row r="2825" spans="1:5" x14ac:dyDescent="0.25">
      <c r="A2825" s="940">
        <v>3265</v>
      </c>
      <c r="B2825" s="940">
        <v>3</v>
      </c>
      <c r="C2825" t="s">
        <v>7334</v>
      </c>
      <c r="D2825" s="940" t="s">
        <v>7335</v>
      </c>
      <c r="E2825" t="s">
        <v>72</v>
      </c>
    </row>
    <row r="2826" spans="1:5" x14ac:dyDescent="0.25">
      <c r="A2826" s="940">
        <v>2221</v>
      </c>
      <c r="B2826" s="940">
        <v>41</v>
      </c>
      <c r="C2826" t="s">
        <v>7336</v>
      </c>
      <c r="D2826" s="940" t="s">
        <v>2934</v>
      </c>
      <c r="E2826" t="s">
        <v>1251</v>
      </c>
    </row>
    <row r="2827" spans="1:5" x14ac:dyDescent="0.25">
      <c r="A2827" s="940">
        <v>787</v>
      </c>
      <c r="B2827" s="940">
        <v>302</v>
      </c>
      <c r="C2827" t="s">
        <v>2073</v>
      </c>
      <c r="D2827" s="940" t="s">
        <v>5770</v>
      </c>
      <c r="E2827" t="s">
        <v>111</v>
      </c>
    </row>
    <row r="2828" spans="1:5" x14ac:dyDescent="0.25">
      <c r="A2828" s="940">
        <v>220</v>
      </c>
      <c r="B2828" s="940">
        <v>866</v>
      </c>
      <c r="C2828" t="s">
        <v>2076</v>
      </c>
      <c r="D2828" s="940" t="s">
        <v>3528</v>
      </c>
      <c r="E2828" t="s">
        <v>120</v>
      </c>
    </row>
    <row r="2829" spans="1:5" x14ac:dyDescent="0.25">
      <c r="A2829" s="940">
        <v>1756</v>
      </c>
      <c r="B2829" s="940">
        <v>78</v>
      </c>
      <c r="C2829" t="s">
        <v>7337</v>
      </c>
      <c r="D2829" s="940" t="s">
        <v>7338</v>
      </c>
      <c r="E2829" t="s">
        <v>1169</v>
      </c>
    </row>
    <row r="2830" spans="1:5" x14ac:dyDescent="0.25">
      <c r="A2830" s="940">
        <v>3490</v>
      </c>
      <c r="B2830" s="940">
        <v>0</v>
      </c>
      <c r="C2830" t="s">
        <v>7339</v>
      </c>
      <c r="D2830" s="940" t="s">
        <v>6614</v>
      </c>
      <c r="E2830" t="s">
        <v>186</v>
      </c>
    </row>
    <row r="2831" spans="1:5" x14ac:dyDescent="0.25">
      <c r="A2831" s="940">
        <v>1862</v>
      </c>
      <c r="B2831" s="940">
        <v>67</v>
      </c>
      <c r="C2831" t="s">
        <v>7340</v>
      </c>
      <c r="D2831" s="940" t="s">
        <v>7341</v>
      </c>
      <c r="E2831" t="s">
        <v>120</v>
      </c>
    </row>
    <row r="2832" spans="1:5" x14ac:dyDescent="0.25">
      <c r="A2832" s="940">
        <v>123</v>
      </c>
      <c r="B2832" s="940">
        <v>1039</v>
      </c>
      <c r="C2832" t="s">
        <v>7342</v>
      </c>
      <c r="D2832" s="940" t="s">
        <v>7343</v>
      </c>
      <c r="E2832" t="s">
        <v>128</v>
      </c>
    </row>
    <row r="2833" spans="1:5" x14ac:dyDescent="0.25">
      <c r="A2833" s="940">
        <v>1054</v>
      </c>
      <c r="B2833" s="940">
        <v>199</v>
      </c>
      <c r="C2833" t="s">
        <v>7344</v>
      </c>
      <c r="D2833" s="940" t="s">
        <v>7046</v>
      </c>
      <c r="E2833" t="s">
        <v>132</v>
      </c>
    </row>
    <row r="2834" spans="1:5" x14ac:dyDescent="0.25">
      <c r="A2834" s="940">
        <v>2659</v>
      </c>
      <c r="B2834" s="940">
        <v>18</v>
      </c>
      <c r="C2834" t="s">
        <v>7345</v>
      </c>
      <c r="D2834" s="940" t="s">
        <v>7346</v>
      </c>
      <c r="E2834" t="s">
        <v>132</v>
      </c>
    </row>
    <row r="2835" spans="1:5" x14ac:dyDescent="0.25">
      <c r="A2835" s="940">
        <v>1062</v>
      </c>
      <c r="B2835" s="940">
        <v>195</v>
      </c>
      <c r="C2835" t="s">
        <v>7347</v>
      </c>
      <c r="D2835" s="940" t="s">
        <v>3358</v>
      </c>
      <c r="E2835" t="s">
        <v>7348</v>
      </c>
    </row>
    <row r="2836" spans="1:5" x14ac:dyDescent="0.25">
      <c r="A2836" s="940">
        <v>890</v>
      </c>
      <c r="B2836" s="940">
        <v>258</v>
      </c>
      <c r="C2836" t="s">
        <v>7349</v>
      </c>
      <c r="D2836" s="940" t="s">
        <v>3919</v>
      </c>
      <c r="E2836" t="s">
        <v>3098</v>
      </c>
    </row>
    <row r="2837" spans="1:5" x14ac:dyDescent="0.25">
      <c r="A2837" s="940">
        <v>2484</v>
      </c>
      <c r="B2837" s="940">
        <v>26</v>
      </c>
      <c r="C2837" t="s">
        <v>7350</v>
      </c>
      <c r="D2837" s="940" t="s">
        <v>3423</v>
      </c>
      <c r="E2837" t="s">
        <v>1221</v>
      </c>
    </row>
    <row r="2838" spans="1:5" x14ac:dyDescent="0.25">
      <c r="A2838" s="940">
        <v>3490</v>
      </c>
      <c r="B2838" s="940">
        <v>0</v>
      </c>
      <c r="C2838" t="s">
        <v>7351</v>
      </c>
      <c r="D2838" s="940" t="s">
        <v>2760</v>
      </c>
      <c r="E2838" t="s">
        <v>120</v>
      </c>
    </row>
    <row r="2839" spans="1:5" x14ac:dyDescent="0.25">
      <c r="A2839" s="940">
        <v>2907</v>
      </c>
      <c r="B2839" s="940">
        <v>10</v>
      </c>
      <c r="C2839" t="s">
        <v>7352</v>
      </c>
      <c r="D2839" s="940" t="s">
        <v>7353</v>
      </c>
      <c r="E2839" t="s">
        <v>3487</v>
      </c>
    </row>
    <row r="2840" spans="1:5" x14ac:dyDescent="0.25">
      <c r="A2840" s="940">
        <v>1862</v>
      </c>
      <c r="B2840" s="940">
        <v>67</v>
      </c>
      <c r="C2840" t="s">
        <v>7354</v>
      </c>
      <c r="D2840" s="940" t="s">
        <v>7355</v>
      </c>
      <c r="E2840" t="s">
        <v>1251</v>
      </c>
    </row>
    <row r="2841" spans="1:5" x14ac:dyDescent="0.25">
      <c r="A2841" s="940">
        <v>239</v>
      </c>
      <c r="B2841" s="940">
        <v>840</v>
      </c>
      <c r="C2841" t="s">
        <v>2080</v>
      </c>
      <c r="D2841" s="940" t="s">
        <v>7356</v>
      </c>
      <c r="E2841" t="s">
        <v>166</v>
      </c>
    </row>
    <row r="2842" spans="1:5" x14ac:dyDescent="0.25">
      <c r="A2842" s="940">
        <v>933</v>
      </c>
      <c r="B2842" s="940">
        <v>245</v>
      </c>
      <c r="C2842" t="s">
        <v>7357</v>
      </c>
      <c r="D2842" s="940" t="s">
        <v>6701</v>
      </c>
      <c r="E2842" t="s">
        <v>105</v>
      </c>
    </row>
    <row r="2843" spans="1:5" x14ac:dyDescent="0.25">
      <c r="A2843" s="940">
        <v>1602</v>
      </c>
      <c r="B2843" s="940">
        <v>94</v>
      </c>
      <c r="C2843" t="s">
        <v>7358</v>
      </c>
      <c r="D2843" s="940" t="s">
        <v>3890</v>
      </c>
      <c r="E2843" t="s">
        <v>2880</v>
      </c>
    </row>
    <row r="2844" spans="1:5" x14ac:dyDescent="0.25">
      <c r="A2844" s="940">
        <v>2714</v>
      </c>
      <c r="B2844" s="940">
        <v>16</v>
      </c>
      <c r="C2844" t="s">
        <v>7359</v>
      </c>
      <c r="D2844" s="940" t="s">
        <v>7360</v>
      </c>
      <c r="E2844" t="s">
        <v>105</v>
      </c>
    </row>
    <row r="2845" spans="1:5" x14ac:dyDescent="0.25">
      <c r="A2845" s="940">
        <v>3490</v>
      </c>
      <c r="B2845" s="940">
        <v>0</v>
      </c>
      <c r="C2845" t="s">
        <v>7361</v>
      </c>
      <c r="D2845" s="940" t="s">
        <v>5060</v>
      </c>
      <c r="E2845" t="s">
        <v>117</v>
      </c>
    </row>
    <row r="2846" spans="1:5" x14ac:dyDescent="0.25">
      <c r="A2846" s="940">
        <v>2609</v>
      </c>
      <c r="B2846" s="940">
        <v>20</v>
      </c>
      <c r="C2846" t="s">
        <v>7362</v>
      </c>
      <c r="D2846" s="940" t="s">
        <v>7363</v>
      </c>
      <c r="E2846" t="s">
        <v>1507</v>
      </c>
    </row>
    <row r="2847" spans="1:5" x14ac:dyDescent="0.25">
      <c r="A2847" s="940">
        <v>587</v>
      </c>
      <c r="B2847" s="940">
        <v>411</v>
      </c>
      <c r="C2847" t="s">
        <v>7364</v>
      </c>
      <c r="D2847" s="940" t="s">
        <v>7365</v>
      </c>
      <c r="E2847" t="s">
        <v>105</v>
      </c>
    </row>
    <row r="2848" spans="1:5" x14ac:dyDescent="0.25">
      <c r="A2848" s="940">
        <v>3045</v>
      </c>
      <c r="B2848" s="940">
        <v>7</v>
      </c>
      <c r="C2848" t="s">
        <v>7366</v>
      </c>
      <c r="D2848" s="940" t="s">
        <v>7367</v>
      </c>
      <c r="E2848" t="s">
        <v>118</v>
      </c>
    </row>
    <row r="2849" spans="1:5" x14ac:dyDescent="0.25">
      <c r="A2849" s="940">
        <v>3490</v>
      </c>
      <c r="B2849" s="940">
        <v>0</v>
      </c>
      <c r="C2849" t="s">
        <v>7368</v>
      </c>
      <c r="D2849" s="940" t="s">
        <v>7369</v>
      </c>
      <c r="E2849" t="s">
        <v>1171</v>
      </c>
    </row>
    <row r="2850" spans="1:5" x14ac:dyDescent="0.25">
      <c r="A2850" s="940">
        <v>2907</v>
      </c>
      <c r="B2850" s="940">
        <v>10</v>
      </c>
      <c r="C2850" t="s">
        <v>7370</v>
      </c>
      <c r="D2850" s="940" t="s">
        <v>6997</v>
      </c>
      <c r="E2850" t="s">
        <v>2624</v>
      </c>
    </row>
    <row r="2851" spans="1:5" x14ac:dyDescent="0.25">
      <c r="A2851" s="940">
        <v>2441</v>
      </c>
      <c r="B2851" s="940">
        <v>28</v>
      </c>
      <c r="C2851" t="s">
        <v>7371</v>
      </c>
      <c r="D2851" s="940" t="s">
        <v>5007</v>
      </c>
      <c r="E2851" t="s">
        <v>120</v>
      </c>
    </row>
    <row r="2852" spans="1:5" x14ac:dyDescent="0.25">
      <c r="A2852" s="940">
        <v>1031</v>
      </c>
      <c r="B2852" s="940">
        <v>205</v>
      </c>
      <c r="C2852" t="s">
        <v>7372</v>
      </c>
      <c r="D2852" s="940" t="s">
        <v>3990</v>
      </c>
      <c r="E2852" t="s">
        <v>1261</v>
      </c>
    </row>
    <row r="2853" spans="1:5" x14ac:dyDescent="0.25">
      <c r="A2853" s="940">
        <v>2907</v>
      </c>
      <c r="B2853" s="940">
        <v>10</v>
      </c>
      <c r="C2853" t="s">
        <v>7373</v>
      </c>
      <c r="D2853" s="940" t="s">
        <v>7374</v>
      </c>
      <c r="E2853" t="s">
        <v>1214</v>
      </c>
    </row>
    <row r="2854" spans="1:5" x14ac:dyDescent="0.25">
      <c r="A2854" s="940">
        <v>2907</v>
      </c>
      <c r="B2854" s="940">
        <v>10</v>
      </c>
      <c r="C2854" t="s">
        <v>7375</v>
      </c>
      <c r="D2854" s="940" t="s">
        <v>7376</v>
      </c>
      <c r="E2854" t="s">
        <v>1358</v>
      </c>
    </row>
    <row r="2855" spans="1:5" x14ac:dyDescent="0.25">
      <c r="A2855" s="940">
        <v>3141</v>
      </c>
      <c r="B2855" s="940">
        <v>5</v>
      </c>
      <c r="C2855" t="s">
        <v>7377</v>
      </c>
      <c r="D2855" s="940" t="s">
        <v>4629</v>
      </c>
      <c r="E2855" t="s">
        <v>1939</v>
      </c>
    </row>
    <row r="2856" spans="1:5" x14ac:dyDescent="0.25">
      <c r="A2856" s="940">
        <v>940</v>
      </c>
      <c r="B2856" s="940">
        <v>242</v>
      </c>
      <c r="C2856" t="s">
        <v>7378</v>
      </c>
      <c r="D2856" s="940" t="s">
        <v>7379</v>
      </c>
      <c r="E2856" t="s">
        <v>120</v>
      </c>
    </row>
    <row r="2857" spans="1:5" x14ac:dyDescent="0.25">
      <c r="A2857" s="940">
        <v>420</v>
      </c>
      <c r="B2857" s="940">
        <v>553</v>
      </c>
      <c r="C2857" t="s">
        <v>2086</v>
      </c>
      <c r="D2857" s="940" t="s">
        <v>7380</v>
      </c>
      <c r="E2857" t="s">
        <v>105</v>
      </c>
    </row>
    <row r="2858" spans="1:5" x14ac:dyDescent="0.25">
      <c r="A2858" s="940">
        <v>93</v>
      </c>
      <c r="B2858" s="940">
        <v>1131</v>
      </c>
      <c r="C2858" t="s">
        <v>567</v>
      </c>
      <c r="D2858" s="940" t="s">
        <v>7381</v>
      </c>
      <c r="E2858" t="s">
        <v>99</v>
      </c>
    </row>
    <row r="2859" spans="1:5" x14ac:dyDescent="0.25">
      <c r="A2859" s="940">
        <v>2291</v>
      </c>
      <c r="B2859" s="940">
        <v>37</v>
      </c>
      <c r="C2859" t="s">
        <v>7382</v>
      </c>
      <c r="D2859" s="940" t="s">
        <v>7383</v>
      </c>
      <c r="E2859" t="s">
        <v>117</v>
      </c>
    </row>
    <row r="2860" spans="1:5" x14ac:dyDescent="0.25">
      <c r="A2860" s="940">
        <v>1968</v>
      </c>
      <c r="B2860" s="940">
        <v>59</v>
      </c>
      <c r="C2860" t="s">
        <v>7384</v>
      </c>
      <c r="D2860" s="940" t="s">
        <v>7385</v>
      </c>
      <c r="E2860" t="s">
        <v>119</v>
      </c>
    </row>
    <row r="2861" spans="1:5" x14ac:dyDescent="0.25">
      <c r="A2861" s="940">
        <v>1174</v>
      </c>
      <c r="B2861" s="940">
        <v>163</v>
      </c>
      <c r="C2861" t="s">
        <v>2530</v>
      </c>
      <c r="D2861" s="940" t="s">
        <v>7386</v>
      </c>
      <c r="E2861" t="s">
        <v>136</v>
      </c>
    </row>
    <row r="2862" spans="1:5" x14ac:dyDescent="0.25">
      <c r="A2862" s="940">
        <v>1942</v>
      </c>
      <c r="B2862" s="940">
        <v>61</v>
      </c>
      <c r="C2862" t="s">
        <v>2530</v>
      </c>
      <c r="D2862" s="940" t="s">
        <v>4828</v>
      </c>
      <c r="E2862" t="s">
        <v>105</v>
      </c>
    </row>
    <row r="2863" spans="1:5" x14ac:dyDescent="0.25">
      <c r="A2863" s="940">
        <v>110</v>
      </c>
      <c r="B2863" s="940">
        <v>1091</v>
      </c>
      <c r="C2863" t="s">
        <v>568</v>
      </c>
      <c r="D2863" s="940" t="s">
        <v>7387</v>
      </c>
      <c r="E2863" t="s">
        <v>105</v>
      </c>
    </row>
    <row r="2864" spans="1:5" x14ac:dyDescent="0.25">
      <c r="A2864" s="940">
        <v>3395</v>
      </c>
      <c r="B2864" s="940">
        <v>1</v>
      </c>
      <c r="C2864" t="s">
        <v>568</v>
      </c>
      <c r="D2864" s="940" t="s">
        <v>6017</v>
      </c>
      <c r="E2864" t="s">
        <v>111</v>
      </c>
    </row>
    <row r="2865" spans="1:5" x14ac:dyDescent="0.25">
      <c r="A2865" s="940">
        <v>1701</v>
      </c>
      <c r="B2865" s="940">
        <v>83</v>
      </c>
      <c r="C2865" t="s">
        <v>7388</v>
      </c>
      <c r="D2865" s="940" t="s">
        <v>7389</v>
      </c>
      <c r="E2865" t="s">
        <v>1358</v>
      </c>
    </row>
    <row r="2866" spans="1:5" x14ac:dyDescent="0.25">
      <c r="A2866" s="940">
        <v>3490</v>
      </c>
      <c r="B2866" s="940">
        <v>0</v>
      </c>
      <c r="C2866" t="s">
        <v>7390</v>
      </c>
      <c r="D2866" s="940" t="s">
        <v>7391</v>
      </c>
      <c r="E2866" t="s">
        <v>105</v>
      </c>
    </row>
    <row r="2867" spans="1:5" x14ac:dyDescent="0.25">
      <c r="A2867" s="940">
        <v>3265</v>
      </c>
      <c r="B2867" s="940">
        <v>3</v>
      </c>
      <c r="C2867" t="s">
        <v>2571</v>
      </c>
      <c r="D2867" s="940" t="s">
        <v>7392</v>
      </c>
      <c r="E2867" t="s">
        <v>120</v>
      </c>
    </row>
    <row r="2868" spans="1:5" x14ac:dyDescent="0.25">
      <c r="A2868" s="940">
        <v>3490</v>
      </c>
      <c r="B2868" s="940">
        <v>0</v>
      </c>
      <c r="C2868" t="s">
        <v>2571</v>
      </c>
      <c r="D2868" s="940" t="s">
        <v>7393</v>
      </c>
      <c r="E2868" t="s">
        <v>103</v>
      </c>
    </row>
    <row r="2869" spans="1:5" x14ac:dyDescent="0.25">
      <c r="A2869" s="940">
        <v>2032</v>
      </c>
      <c r="B2869" s="940">
        <v>53</v>
      </c>
      <c r="C2869" t="s">
        <v>7394</v>
      </c>
      <c r="D2869" s="940" t="s">
        <v>5442</v>
      </c>
      <c r="E2869" t="s">
        <v>117</v>
      </c>
    </row>
    <row r="2870" spans="1:5" x14ac:dyDescent="0.25">
      <c r="A2870" s="940">
        <v>2129</v>
      </c>
      <c r="B2870" s="940">
        <v>46</v>
      </c>
      <c r="C2870" t="s">
        <v>7395</v>
      </c>
      <c r="D2870" s="940" t="s">
        <v>7323</v>
      </c>
      <c r="E2870" t="s">
        <v>105</v>
      </c>
    </row>
    <row r="2871" spans="1:5" x14ac:dyDescent="0.25">
      <c r="A2871" s="940">
        <v>1562</v>
      </c>
      <c r="B2871" s="940">
        <v>99</v>
      </c>
      <c r="C2871" t="s">
        <v>2090</v>
      </c>
      <c r="D2871" s="940" t="s">
        <v>7396</v>
      </c>
      <c r="E2871" t="s">
        <v>7397</v>
      </c>
    </row>
    <row r="2872" spans="1:5" x14ac:dyDescent="0.25">
      <c r="A2872" s="940">
        <v>678</v>
      </c>
      <c r="B2872" s="940">
        <v>361</v>
      </c>
      <c r="C2872" t="s">
        <v>7398</v>
      </c>
      <c r="D2872" s="940" t="s">
        <v>7399</v>
      </c>
      <c r="E2872" t="s">
        <v>2558</v>
      </c>
    </row>
    <row r="2873" spans="1:5" x14ac:dyDescent="0.25">
      <c r="A2873" s="940">
        <v>1924</v>
      </c>
      <c r="B2873" s="940">
        <v>62</v>
      </c>
      <c r="C2873" t="s">
        <v>7400</v>
      </c>
      <c r="D2873" s="940" t="s">
        <v>5418</v>
      </c>
      <c r="E2873" t="s">
        <v>111</v>
      </c>
    </row>
    <row r="2874" spans="1:5" x14ac:dyDescent="0.25">
      <c r="A2874" s="940">
        <v>3327</v>
      </c>
      <c r="B2874" s="940">
        <v>2</v>
      </c>
      <c r="C2874" t="s">
        <v>7401</v>
      </c>
      <c r="D2874" s="940" t="s">
        <v>5946</v>
      </c>
      <c r="E2874" t="s">
        <v>122</v>
      </c>
    </row>
    <row r="2875" spans="1:5" x14ac:dyDescent="0.25">
      <c r="A2875" s="940">
        <v>438</v>
      </c>
      <c r="B2875" s="940">
        <v>533</v>
      </c>
      <c r="C2875" t="s">
        <v>7402</v>
      </c>
      <c r="D2875" s="940" t="s">
        <v>7403</v>
      </c>
      <c r="E2875" t="s">
        <v>1214</v>
      </c>
    </row>
    <row r="2876" spans="1:5" x14ac:dyDescent="0.25">
      <c r="A2876" s="940">
        <v>1085</v>
      </c>
      <c r="B2876" s="940">
        <v>186</v>
      </c>
      <c r="C2876" t="s">
        <v>7404</v>
      </c>
      <c r="D2876" s="940" t="s">
        <v>3626</v>
      </c>
      <c r="E2876" t="s">
        <v>105</v>
      </c>
    </row>
    <row r="2877" spans="1:5" x14ac:dyDescent="0.25">
      <c r="A2877" s="940">
        <v>3490</v>
      </c>
      <c r="B2877" s="940">
        <v>0</v>
      </c>
      <c r="C2877" t="s">
        <v>7405</v>
      </c>
      <c r="D2877" s="940" t="s">
        <v>5302</v>
      </c>
      <c r="E2877" t="s">
        <v>163</v>
      </c>
    </row>
    <row r="2878" spans="1:5" x14ac:dyDescent="0.25">
      <c r="A2878" s="940">
        <v>3196</v>
      </c>
      <c r="B2878" s="940">
        <v>4</v>
      </c>
      <c r="C2878" t="s">
        <v>7406</v>
      </c>
      <c r="D2878" s="940" t="s">
        <v>7407</v>
      </c>
      <c r="E2878" t="s">
        <v>1248</v>
      </c>
    </row>
    <row r="2879" spans="1:5" x14ac:dyDescent="0.25">
      <c r="A2879" s="940">
        <v>1210</v>
      </c>
      <c r="B2879" s="940">
        <v>154</v>
      </c>
      <c r="C2879" t="s">
        <v>853</v>
      </c>
      <c r="D2879" s="940" t="s">
        <v>5169</v>
      </c>
      <c r="E2879" t="s">
        <v>1204</v>
      </c>
    </row>
    <row r="2880" spans="1:5" x14ac:dyDescent="0.25">
      <c r="A2880" s="940">
        <v>232</v>
      </c>
      <c r="B2880" s="940">
        <v>847</v>
      </c>
      <c r="C2880" t="s">
        <v>7408</v>
      </c>
      <c r="D2880" s="940" t="s">
        <v>7409</v>
      </c>
      <c r="E2880" t="s">
        <v>1156</v>
      </c>
    </row>
    <row r="2881" spans="1:5" x14ac:dyDescent="0.25">
      <c r="A2881" s="940">
        <v>196</v>
      </c>
      <c r="B2881" s="940">
        <v>897</v>
      </c>
      <c r="C2881" t="s">
        <v>7410</v>
      </c>
      <c r="D2881" s="940" t="s">
        <v>7411</v>
      </c>
      <c r="E2881" t="s">
        <v>1156</v>
      </c>
    </row>
    <row r="2882" spans="1:5" x14ac:dyDescent="0.25">
      <c r="A2882" s="940">
        <v>2079</v>
      </c>
      <c r="B2882" s="940">
        <v>50</v>
      </c>
      <c r="C2882" t="s">
        <v>7412</v>
      </c>
      <c r="D2882" s="940" t="s">
        <v>4351</v>
      </c>
      <c r="E2882" t="s">
        <v>1214</v>
      </c>
    </row>
    <row r="2883" spans="1:5" x14ac:dyDescent="0.25">
      <c r="A2883" s="940">
        <v>3490</v>
      </c>
      <c r="B2883" s="940">
        <v>0</v>
      </c>
      <c r="C2883" t="s">
        <v>7413</v>
      </c>
      <c r="D2883" s="940" t="s">
        <v>4908</v>
      </c>
      <c r="E2883" t="s">
        <v>117</v>
      </c>
    </row>
    <row r="2884" spans="1:5" x14ac:dyDescent="0.25">
      <c r="A2884" s="940">
        <v>1329</v>
      </c>
      <c r="B2884" s="940">
        <v>130</v>
      </c>
      <c r="C2884" t="s">
        <v>2096</v>
      </c>
      <c r="D2884" s="940" t="s">
        <v>2686</v>
      </c>
      <c r="E2884" t="s">
        <v>127</v>
      </c>
    </row>
    <row r="2885" spans="1:5" x14ac:dyDescent="0.25">
      <c r="A2885" s="940">
        <v>2129</v>
      </c>
      <c r="B2885" s="940">
        <v>46</v>
      </c>
      <c r="C2885" t="s">
        <v>569</v>
      </c>
      <c r="D2885" s="940" t="s">
        <v>7414</v>
      </c>
      <c r="E2885" t="s">
        <v>106</v>
      </c>
    </row>
    <row r="2886" spans="1:5" x14ac:dyDescent="0.25">
      <c r="A2886" s="940">
        <v>3490</v>
      </c>
      <c r="B2886" s="940">
        <v>0</v>
      </c>
      <c r="C2886" t="s">
        <v>569</v>
      </c>
      <c r="D2886" s="940" t="s">
        <v>3208</v>
      </c>
      <c r="E2886" t="s">
        <v>105</v>
      </c>
    </row>
    <row r="2887" spans="1:5" x14ac:dyDescent="0.25">
      <c r="A2887" s="940">
        <v>3327</v>
      </c>
      <c r="B2887" s="940">
        <v>2</v>
      </c>
      <c r="C2887" t="s">
        <v>7415</v>
      </c>
      <c r="D2887" s="940" t="s">
        <v>3405</v>
      </c>
      <c r="E2887" t="s">
        <v>1171</v>
      </c>
    </row>
    <row r="2888" spans="1:5" x14ac:dyDescent="0.25">
      <c r="A2888" s="940">
        <v>3327</v>
      </c>
      <c r="B2888" s="940">
        <v>2</v>
      </c>
      <c r="C2888" t="s">
        <v>7416</v>
      </c>
      <c r="D2888" s="940" t="s">
        <v>7417</v>
      </c>
      <c r="E2888" t="s">
        <v>2654</v>
      </c>
    </row>
    <row r="2889" spans="1:5" x14ac:dyDescent="0.25">
      <c r="A2889" s="940">
        <v>957</v>
      </c>
      <c r="B2889" s="940">
        <v>232</v>
      </c>
      <c r="C2889" t="s">
        <v>7418</v>
      </c>
      <c r="D2889" s="940" t="s">
        <v>7419</v>
      </c>
      <c r="E2889" t="s">
        <v>115</v>
      </c>
    </row>
    <row r="2890" spans="1:5" x14ac:dyDescent="0.25">
      <c r="A2890" s="940">
        <v>819</v>
      </c>
      <c r="B2890" s="940">
        <v>291</v>
      </c>
      <c r="C2890" t="s">
        <v>7420</v>
      </c>
      <c r="D2890" s="940" t="s">
        <v>2657</v>
      </c>
      <c r="E2890" t="s">
        <v>1171</v>
      </c>
    </row>
    <row r="2891" spans="1:5" x14ac:dyDescent="0.25">
      <c r="A2891" s="940">
        <v>3045</v>
      </c>
      <c r="B2891" s="940">
        <v>7</v>
      </c>
      <c r="C2891" t="s">
        <v>7421</v>
      </c>
      <c r="D2891" s="940" t="s">
        <v>7422</v>
      </c>
      <c r="E2891" t="s">
        <v>1200</v>
      </c>
    </row>
    <row r="2892" spans="1:5" x14ac:dyDescent="0.25">
      <c r="A2892" s="940">
        <v>3490</v>
      </c>
      <c r="B2892" s="940">
        <v>0</v>
      </c>
      <c r="C2892" t="s">
        <v>7423</v>
      </c>
      <c r="D2892" s="940" t="s">
        <v>7424</v>
      </c>
      <c r="E2892" t="s">
        <v>72</v>
      </c>
    </row>
    <row r="2893" spans="1:5" x14ac:dyDescent="0.25">
      <c r="A2893" s="940">
        <v>3490</v>
      </c>
      <c r="B2893" s="940">
        <v>0</v>
      </c>
      <c r="C2893" t="s">
        <v>7425</v>
      </c>
      <c r="D2893" s="940" t="s">
        <v>7426</v>
      </c>
      <c r="E2893" t="s">
        <v>111</v>
      </c>
    </row>
    <row r="2894" spans="1:5" x14ac:dyDescent="0.25">
      <c r="A2894" s="940">
        <v>2484</v>
      </c>
      <c r="B2894" s="940">
        <v>26</v>
      </c>
      <c r="C2894" t="s">
        <v>7427</v>
      </c>
      <c r="D2894" s="940" t="s">
        <v>7428</v>
      </c>
      <c r="E2894" t="s">
        <v>200</v>
      </c>
    </row>
    <row r="2895" spans="1:5" x14ac:dyDescent="0.25">
      <c r="A2895" s="940">
        <v>857</v>
      </c>
      <c r="B2895" s="940">
        <v>270</v>
      </c>
      <c r="C2895" t="s">
        <v>7429</v>
      </c>
      <c r="D2895" s="940" t="s">
        <v>7430</v>
      </c>
      <c r="E2895" t="s">
        <v>208</v>
      </c>
    </row>
    <row r="2896" spans="1:5" x14ac:dyDescent="0.25">
      <c r="A2896" s="940">
        <v>2484</v>
      </c>
      <c r="B2896" s="940">
        <v>26</v>
      </c>
      <c r="C2896" t="s">
        <v>7431</v>
      </c>
      <c r="D2896" s="940" t="s">
        <v>4091</v>
      </c>
      <c r="E2896" t="s">
        <v>1358</v>
      </c>
    </row>
    <row r="2897" spans="1:5" x14ac:dyDescent="0.25">
      <c r="A2897" s="940">
        <v>683</v>
      </c>
      <c r="B2897" s="940">
        <v>356</v>
      </c>
      <c r="C2897" t="s">
        <v>7432</v>
      </c>
      <c r="D2897" s="940" t="s">
        <v>7433</v>
      </c>
      <c r="E2897" t="s">
        <v>2880</v>
      </c>
    </row>
    <row r="2898" spans="1:5" x14ac:dyDescent="0.25">
      <c r="A2898" s="940">
        <v>2996</v>
      </c>
      <c r="B2898" s="940">
        <v>8</v>
      </c>
      <c r="C2898" t="s">
        <v>7434</v>
      </c>
      <c r="D2898" s="940" t="s">
        <v>4629</v>
      </c>
      <c r="E2898" t="s">
        <v>1493</v>
      </c>
    </row>
    <row r="2899" spans="1:5" x14ac:dyDescent="0.25">
      <c r="A2899" s="940">
        <v>30</v>
      </c>
      <c r="B2899" s="940">
        <v>1413</v>
      </c>
      <c r="C2899" t="s">
        <v>7435</v>
      </c>
      <c r="D2899" s="940" t="s">
        <v>7436</v>
      </c>
      <c r="E2899" t="s">
        <v>7437</v>
      </c>
    </row>
    <row r="2900" spans="1:5" x14ac:dyDescent="0.25">
      <c r="A2900" s="940">
        <v>2381</v>
      </c>
      <c r="B2900" s="940">
        <v>31</v>
      </c>
      <c r="C2900" t="s">
        <v>7438</v>
      </c>
      <c r="D2900" s="940" t="s">
        <v>2647</v>
      </c>
      <c r="E2900" t="s">
        <v>6245</v>
      </c>
    </row>
    <row r="2901" spans="1:5" x14ac:dyDescent="0.25">
      <c r="A2901" s="940">
        <v>1500</v>
      </c>
      <c r="B2901" s="940">
        <v>106</v>
      </c>
      <c r="C2901" t="s">
        <v>2101</v>
      </c>
      <c r="D2901" s="940" t="s">
        <v>7439</v>
      </c>
      <c r="E2901" t="s">
        <v>120</v>
      </c>
    </row>
    <row r="2902" spans="1:5" x14ac:dyDescent="0.25">
      <c r="A2902" s="940">
        <v>1478</v>
      </c>
      <c r="B2902" s="940">
        <v>109</v>
      </c>
      <c r="C2902" t="s">
        <v>7440</v>
      </c>
      <c r="D2902" s="940" t="s">
        <v>4893</v>
      </c>
      <c r="E2902" t="s">
        <v>3140</v>
      </c>
    </row>
    <row r="2903" spans="1:5" x14ac:dyDescent="0.25">
      <c r="A2903" s="940">
        <v>963</v>
      </c>
      <c r="B2903" s="940">
        <v>231</v>
      </c>
      <c r="C2903" t="s">
        <v>7441</v>
      </c>
      <c r="D2903" s="940" t="s">
        <v>7442</v>
      </c>
      <c r="E2903" t="s">
        <v>80</v>
      </c>
    </row>
    <row r="2904" spans="1:5" x14ac:dyDescent="0.25">
      <c r="A2904" s="940">
        <v>3490</v>
      </c>
      <c r="B2904" s="940">
        <v>0</v>
      </c>
      <c r="C2904" t="s">
        <v>7443</v>
      </c>
      <c r="D2904" s="940" t="s">
        <v>6677</v>
      </c>
      <c r="E2904" t="s">
        <v>105</v>
      </c>
    </row>
    <row r="2905" spans="1:5" x14ac:dyDescent="0.25">
      <c r="A2905" s="940">
        <v>281</v>
      </c>
      <c r="B2905" s="940">
        <v>743</v>
      </c>
      <c r="C2905" t="s">
        <v>7444</v>
      </c>
      <c r="D2905" s="940" t="s">
        <v>7445</v>
      </c>
      <c r="E2905" t="s">
        <v>105</v>
      </c>
    </row>
    <row r="2906" spans="1:5" x14ac:dyDescent="0.25">
      <c r="A2906" s="940">
        <v>642</v>
      </c>
      <c r="B2906" s="940">
        <v>380</v>
      </c>
      <c r="C2906" t="s">
        <v>7446</v>
      </c>
      <c r="D2906" s="940" t="s">
        <v>7447</v>
      </c>
      <c r="E2906" t="s">
        <v>4679</v>
      </c>
    </row>
    <row r="2907" spans="1:5" x14ac:dyDescent="0.25">
      <c r="A2907" s="940">
        <v>1379</v>
      </c>
      <c r="B2907" s="940">
        <v>123</v>
      </c>
      <c r="C2907" t="s">
        <v>7448</v>
      </c>
      <c r="D2907" s="940" t="s">
        <v>2983</v>
      </c>
      <c r="E2907" t="s">
        <v>3098</v>
      </c>
    </row>
    <row r="2908" spans="1:5" x14ac:dyDescent="0.25">
      <c r="A2908" s="940">
        <v>1986</v>
      </c>
      <c r="B2908" s="940">
        <v>57</v>
      </c>
      <c r="C2908" t="s">
        <v>7449</v>
      </c>
      <c r="D2908" s="940" t="s">
        <v>7389</v>
      </c>
      <c r="E2908" t="s">
        <v>1214</v>
      </c>
    </row>
    <row r="2909" spans="1:5" x14ac:dyDescent="0.25">
      <c r="A2909" s="940">
        <v>3490</v>
      </c>
      <c r="B2909" s="940">
        <v>0</v>
      </c>
      <c r="C2909" t="s">
        <v>7450</v>
      </c>
      <c r="D2909" s="940" t="s">
        <v>7451</v>
      </c>
      <c r="E2909" t="s">
        <v>164</v>
      </c>
    </row>
    <row r="2910" spans="1:5" x14ac:dyDescent="0.25">
      <c r="A2910" s="940">
        <v>546</v>
      </c>
      <c r="B2910" s="940">
        <v>437</v>
      </c>
      <c r="C2910" t="s">
        <v>7452</v>
      </c>
      <c r="D2910" s="940" t="s">
        <v>7453</v>
      </c>
      <c r="E2910" t="s">
        <v>1307</v>
      </c>
    </row>
    <row r="2911" spans="1:5" x14ac:dyDescent="0.25">
      <c r="A2911" s="940">
        <v>1711</v>
      </c>
      <c r="B2911" s="940">
        <v>82</v>
      </c>
      <c r="C2911" t="s">
        <v>7454</v>
      </c>
      <c r="D2911" s="940" t="s">
        <v>2813</v>
      </c>
      <c r="E2911" t="s">
        <v>1578</v>
      </c>
    </row>
    <row r="2912" spans="1:5" x14ac:dyDescent="0.25">
      <c r="A2912" s="940">
        <v>2206</v>
      </c>
      <c r="B2912" s="940">
        <v>42</v>
      </c>
      <c r="C2912" t="s">
        <v>7455</v>
      </c>
      <c r="D2912" s="940" t="s">
        <v>7456</v>
      </c>
      <c r="E2912" t="s">
        <v>120</v>
      </c>
    </row>
    <row r="2913" spans="1:5" x14ac:dyDescent="0.25">
      <c r="A2913" s="940">
        <v>3490</v>
      </c>
      <c r="B2913" s="940">
        <v>0</v>
      </c>
      <c r="C2913" t="s">
        <v>7457</v>
      </c>
      <c r="D2913" s="940" t="s">
        <v>4672</v>
      </c>
      <c r="E2913" t="s">
        <v>1236</v>
      </c>
    </row>
    <row r="2914" spans="1:5" x14ac:dyDescent="0.25">
      <c r="A2914" s="940">
        <v>3490</v>
      </c>
      <c r="B2914" s="940">
        <v>0</v>
      </c>
      <c r="C2914" t="s">
        <v>7458</v>
      </c>
      <c r="D2914" s="940" t="s">
        <v>7459</v>
      </c>
      <c r="E2914" t="s">
        <v>183</v>
      </c>
    </row>
    <row r="2915" spans="1:5" x14ac:dyDescent="0.25">
      <c r="A2915" s="940">
        <v>2539</v>
      </c>
      <c r="B2915" s="940">
        <v>23</v>
      </c>
      <c r="C2915" t="s">
        <v>7460</v>
      </c>
      <c r="D2915" s="940" t="s">
        <v>3590</v>
      </c>
      <c r="E2915" t="s">
        <v>1176</v>
      </c>
    </row>
    <row r="2916" spans="1:5" x14ac:dyDescent="0.25">
      <c r="A2916" s="940">
        <v>1827</v>
      </c>
      <c r="B2916" s="940">
        <v>70</v>
      </c>
      <c r="C2916" t="s">
        <v>7461</v>
      </c>
      <c r="D2916" s="940" t="s">
        <v>6002</v>
      </c>
      <c r="E2916" t="s">
        <v>105</v>
      </c>
    </row>
    <row r="2917" spans="1:5" x14ac:dyDescent="0.25">
      <c r="A2917" s="940">
        <v>305</v>
      </c>
      <c r="B2917" s="940">
        <v>706</v>
      </c>
      <c r="C2917" t="s">
        <v>7462</v>
      </c>
      <c r="D2917" s="940" t="s">
        <v>7463</v>
      </c>
      <c r="E2917" t="s">
        <v>120</v>
      </c>
    </row>
    <row r="2918" spans="1:5" x14ac:dyDescent="0.25">
      <c r="A2918" s="940">
        <v>1818</v>
      </c>
      <c r="B2918" s="940">
        <v>71</v>
      </c>
      <c r="C2918" t="s">
        <v>7464</v>
      </c>
      <c r="D2918" s="940" t="s">
        <v>7465</v>
      </c>
      <c r="E2918" t="s">
        <v>208</v>
      </c>
    </row>
    <row r="2919" spans="1:5" x14ac:dyDescent="0.25">
      <c r="A2919" s="940">
        <v>3265</v>
      </c>
      <c r="B2919" s="940">
        <v>3</v>
      </c>
      <c r="C2919" t="s">
        <v>7466</v>
      </c>
      <c r="D2919" s="940" t="s">
        <v>7467</v>
      </c>
      <c r="E2919" t="s">
        <v>1315</v>
      </c>
    </row>
    <row r="2920" spans="1:5" x14ac:dyDescent="0.25">
      <c r="A2920" s="940">
        <v>2782</v>
      </c>
      <c r="B2920" s="940">
        <v>14</v>
      </c>
      <c r="C2920" t="s">
        <v>7468</v>
      </c>
      <c r="D2920" s="940" t="s">
        <v>2751</v>
      </c>
      <c r="E2920" t="s">
        <v>105</v>
      </c>
    </row>
    <row r="2921" spans="1:5" x14ac:dyDescent="0.25">
      <c r="A2921" s="940">
        <v>3490</v>
      </c>
      <c r="B2921" s="940">
        <v>0</v>
      </c>
      <c r="C2921" t="s">
        <v>7469</v>
      </c>
      <c r="D2921" s="940" t="s">
        <v>7470</v>
      </c>
      <c r="E2921" t="s">
        <v>2654</v>
      </c>
    </row>
    <row r="2922" spans="1:5" x14ac:dyDescent="0.25">
      <c r="A2922" s="940">
        <v>1137</v>
      </c>
      <c r="B2922" s="940">
        <v>171</v>
      </c>
      <c r="C2922" t="s">
        <v>2103</v>
      </c>
      <c r="D2922" s="940" t="s">
        <v>7471</v>
      </c>
      <c r="E2922" t="s">
        <v>213</v>
      </c>
    </row>
    <row r="2923" spans="1:5" x14ac:dyDescent="0.25">
      <c r="A2923" s="940">
        <v>425</v>
      </c>
      <c r="B2923" s="940">
        <v>550</v>
      </c>
      <c r="C2923" t="s">
        <v>7472</v>
      </c>
      <c r="D2923" s="940" t="s">
        <v>7473</v>
      </c>
      <c r="E2923" t="s">
        <v>7474</v>
      </c>
    </row>
    <row r="2924" spans="1:5" x14ac:dyDescent="0.25">
      <c r="A2924" s="940">
        <v>1872</v>
      </c>
      <c r="B2924" s="940">
        <v>66</v>
      </c>
      <c r="C2924" t="s">
        <v>7475</v>
      </c>
      <c r="D2924" s="940" t="s">
        <v>2835</v>
      </c>
      <c r="E2924" t="s">
        <v>103</v>
      </c>
    </row>
    <row r="2925" spans="1:5" x14ac:dyDescent="0.25">
      <c r="A2925" s="940">
        <v>2609</v>
      </c>
      <c r="B2925" s="940">
        <v>20</v>
      </c>
      <c r="C2925" t="s">
        <v>7476</v>
      </c>
      <c r="D2925" s="940" t="s">
        <v>7477</v>
      </c>
      <c r="E2925" t="s">
        <v>1248</v>
      </c>
    </row>
    <row r="2926" spans="1:5" x14ac:dyDescent="0.25">
      <c r="A2926" s="940">
        <v>2839</v>
      </c>
      <c r="B2926" s="940">
        <v>12</v>
      </c>
      <c r="C2926" t="s">
        <v>7478</v>
      </c>
      <c r="D2926" s="940" t="s">
        <v>7479</v>
      </c>
      <c r="E2926" t="s">
        <v>1248</v>
      </c>
    </row>
    <row r="2927" spans="1:5" x14ac:dyDescent="0.25">
      <c r="A2927" s="940">
        <v>2106</v>
      </c>
      <c r="B2927" s="940">
        <v>48</v>
      </c>
      <c r="C2927" t="s">
        <v>7480</v>
      </c>
      <c r="D2927" s="940" t="s">
        <v>3574</v>
      </c>
      <c r="E2927" t="s">
        <v>1584</v>
      </c>
    </row>
    <row r="2928" spans="1:5" x14ac:dyDescent="0.25">
      <c r="A2928" s="940">
        <v>1913</v>
      </c>
      <c r="B2928" s="940">
        <v>63</v>
      </c>
      <c r="C2928" t="s">
        <v>7481</v>
      </c>
      <c r="D2928" s="940" t="s">
        <v>3594</v>
      </c>
      <c r="E2928" t="s">
        <v>128</v>
      </c>
    </row>
    <row r="2929" spans="1:5" x14ac:dyDescent="0.25">
      <c r="A2929" s="940">
        <v>42</v>
      </c>
      <c r="B2929" s="940">
        <v>1342</v>
      </c>
      <c r="C2929" t="s">
        <v>7482</v>
      </c>
      <c r="D2929" s="940" t="s">
        <v>7483</v>
      </c>
      <c r="E2929" t="s">
        <v>105</v>
      </c>
    </row>
    <row r="2930" spans="1:5" x14ac:dyDescent="0.25">
      <c r="A2930" s="940">
        <v>1505</v>
      </c>
      <c r="B2930" s="940">
        <v>105</v>
      </c>
      <c r="C2930" t="s">
        <v>731</v>
      </c>
      <c r="D2930" s="940" t="s">
        <v>7484</v>
      </c>
      <c r="E2930" t="s">
        <v>120</v>
      </c>
    </row>
    <row r="2931" spans="1:5" x14ac:dyDescent="0.25">
      <c r="A2931" s="940">
        <v>2060</v>
      </c>
      <c r="B2931" s="940">
        <v>51</v>
      </c>
      <c r="C2931" t="s">
        <v>7485</v>
      </c>
      <c r="D2931" s="940" t="s">
        <v>7486</v>
      </c>
      <c r="E2931" t="s">
        <v>1507</v>
      </c>
    </row>
    <row r="2932" spans="1:5" x14ac:dyDescent="0.25">
      <c r="A2932" s="940">
        <v>2959</v>
      </c>
      <c r="B2932" s="940">
        <v>9</v>
      </c>
      <c r="C2932" t="s">
        <v>7487</v>
      </c>
      <c r="D2932" s="940" t="s">
        <v>4125</v>
      </c>
      <c r="E2932" t="s">
        <v>120</v>
      </c>
    </row>
    <row r="2933" spans="1:5" x14ac:dyDescent="0.25">
      <c r="A2933" s="940">
        <v>2187</v>
      </c>
      <c r="B2933" s="940">
        <v>43</v>
      </c>
      <c r="C2933" t="s">
        <v>7488</v>
      </c>
      <c r="D2933" s="940" t="s">
        <v>7489</v>
      </c>
      <c r="E2933" t="s">
        <v>72</v>
      </c>
    </row>
    <row r="2934" spans="1:5" x14ac:dyDescent="0.25">
      <c r="A2934" s="940">
        <v>1913</v>
      </c>
      <c r="B2934" s="940">
        <v>63</v>
      </c>
      <c r="C2934" t="s">
        <v>7490</v>
      </c>
      <c r="D2934" s="940" t="s">
        <v>7491</v>
      </c>
      <c r="E2934" t="s">
        <v>130</v>
      </c>
    </row>
    <row r="2935" spans="1:5" x14ac:dyDescent="0.25">
      <c r="A2935" s="940">
        <v>3490</v>
      </c>
      <c r="B2935" s="940">
        <v>0</v>
      </c>
      <c r="C2935" t="s">
        <v>7492</v>
      </c>
      <c r="D2935" s="940" t="s">
        <v>3440</v>
      </c>
      <c r="E2935" t="s">
        <v>127</v>
      </c>
    </row>
    <row r="2936" spans="1:5" x14ac:dyDescent="0.25">
      <c r="A2936" s="940">
        <v>3327</v>
      </c>
      <c r="B2936" s="940">
        <v>2</v>
      </c>
      <c r="C2936" t="s">
        <v>7493</v>
      </c>
      <c r="D2936" s="940" t="s">
        <v>3299</v>
      </c>
      <c r="E2936" t="s">
        <v>120</v>
      </c>
    </row>
    <row r="2937" spans="1:5" x14ac:dyDescent="0.25">
      <c r="A2937" s="940">
        <v>1685</v>
      </c>
      <c r="B2937" s="940">
        <v>85</v>
      </c>
      <c r="C2937" t="s">
        <v>7494</v>
      </c>
      <c r="D2937" s="940" t="s">
        <v>6124</v>
      </c>
      <c r="E2937" t="s">
        <v>282</v>
      </c>
    </row>
    <row r="2938" spans="1:5" x14ac:dyDescent="0.25">
      <c r="A2938" s="940">
        <v>2152</v>
      </c>
      <c r="B2938" s="940">
        <v>45</v>
      </c>
      <c r="C2938" t="s">
        <v>7495</v>
      </c>
      <c r="D2938" s="940" t="s">
        <v>7496</v>
      </c>
      <c r="E2938" t="s">
        <v>105</v>
      </c>
    </row>
    <row r="2939" spans="1:5" x14ac:dyDescent="0.25">
      <c r="A2939" s="940">
        <v>3490</v>
      </c>
      <c r="B2939" s="940">
        <v>0</v>
      </c>
      <c r="C2939" t="s">
        <v>7497</v>
      </c>
      <c r="D2939" s="940" t="s">
        <v>7498</v>
      </c>
      <c r="E2939" t="s">
        <v>164</v>
      </c>
    </row>
    <row r="2940" spans="1:5" x14ac:dyDescent="0.25">
      <c r="A2940" s="940">
        <v>1525</v>
      </c>
      <c r="B2940" s="940">
        <v>103</v>
      </c>
      <c r="C2940" t="s">
        <v>7499</v>
      </c>
      <c r="D2940" s="940" t="s">
        <v>5672</v>
      </c>
      <c r="E2940" t="s">
        <v>119</v>
      </c>
    </row>
    <row r="2941" spans="1:5" x14ac:dyDescent="0.25">
      <c r="A2941" s="940">
        <v>1300</v>
      </c>
      <c r="B2941" s="940">
        <v>136</v>
      </c>
      <c r="C2941" t="s">
        <v>7500</v>
      </c>
      <c r="D2941" s="940" t="s">
        <v>4035</v>
      </c>
      <c r="E2941" t="s">
        <v>3098</v>
      </c>
    </row>
    <row r="2942" spans="1:5" x14ac:dyDescent="0.25">
      <c r="A2942" s="940">
        <v>881</v>
      </c>
      <c r="B2942" s="940">
        <v>260</v>
      </c>
      <c r="C2942" t="s">
        <v>2573</v>
      </c>
      <c r="D2942" s="940" t="s">
        <v>7501</v>
      </c>
      <c r="E2942" t="s">
        <v>73</v>
      </c>
    </row>
    <row r="2943" spans="1:5" x14ac:dyDescent="0.25">
      <c r="A2943" s="940">
        <v>1514</v>
      </c>
      <c r="B2943" s="940">
        <v>104</v>
      </c>
      <c r="C2943" t="s">
        <v>7502</v>
      </c>
      <c r="D2943" s="940" t="s">
        <v>6927</v>
      </c>
      <c r="E2943" t="s">
        <v>160</v>
      </c>
    </row>
    <row r="2944" spans="1:5" x14ac:dyDescent="0.25">
      <c r="A2944" s="940">
        <v>3490</v>
      </c>
      <c r="B2944" s="940">
        <v>0</v>
      </c>
      <c r="C2944" t="s">
        <v>7503</v>
      </c>
      <c r="D2944" s="940" t="s">
        <v>4925</v>
      </c>
      <c r="E2944" t="s">
        <v>120</v>
      </c>
    </row>
    <row r="2945" spans="1:5" x14ac:dyDescent="0.25">
      <c r="A2945" s="940">
        <v>2839</v>
      </c>
      <c r="B2945" s="940">
        <v>12</v>
      </c>
      <c r="C2945" t="s">
        <v>7504</v>
      </c>
      <c r="D2945" s="940" t="s">
        <v>7505</v>
      </c>
      <c r="E2945" t="s">
        <v>119</v>
      </c>
    </row>
    <row r="2946" spans="1:5" x14ac:dyDescent="0.25">
      <c r="A2946" s="940">
        <v>1067</v>
      </c>
      <c r="B2946" s="940">
        <v>194</v>
      </c>
      <c r="C2946" t="s">
        <v>7506</v>
      </c>
      <c r="D2946" s="940" t="s">
        <v>7507</v>
      </c>
      <c r="E2946" t="s">
        <v>99</v>
      </c>
    </row>
    <row r="2947" spans="1:5" x14ac:dyDescent="0.25">
      <c r="A2947" s="940">
        <v>3395</v>
      </c>
      <c r="B2947" s="940">
        <v>1</v>
      </c>
      <c r="C2947" t="s">
        <v>7508</v>
      </c>
      <c r="D2947" s="940" t="s">
        <v>5561</v>
      </c>
      <c r="E2947" t="s">
        <v>105</v>
      </c>
    </row>
    <row r="2948" spans="1:5" x14ac:dyDescent="0.25">
      <c r="A2948" s="940">
        <v>1292</v>
      </c>
      <c r="B2948" s="940">
        <v>137</v>
      </c>
      <c r="C2948" t="s">
        <v>7509</v>
      </c>
      <c r="D2948" s="940" t="s">
        <v>7510</v>
      </c>
      <c r="E2948" t="s">
        <v>1507</v>
      </c>
    </row>
    <row r="2949" spans="1:5" x14ac:dyDescent="0.25">
      <c r="A2949" s="940">
        <v>1836</v>
      </c>
      <c r="B2949" s="940">
        <v>69</v>
      </c>
      <c r="C2949" t="s">
        <v>7511</v>
      </c>
      <c r="D2949" s="940" t="s">
        <v>7512</v>
      </c>
      <c r="E2949" t="s">
        <v>1507</v>
      </c>
    </row>
    <row r="2950" spans="1:5" x14ac:dyDescent="0.25">
      <c r="A2950" s="940">
        <v>186</v>
      </c>
      <c r="B2950" s="940">
        <v>918</v>
      </c>
      <c r="C2950" t="s">
        <v>7513</v>
      </c>
      <c r="D2950" s="940" t="s">
        <v>7514</v>
      </c>
      <c r="E2950" t="s">
        <v>113</v>
      </c>
    </row>
    <row r="2951" spans="1:5" x14ac:dyDescent="0.25">
      <c r="A2951" s="940">
        <v>2839</v>
      </c>
      <c r="B2951" s="940">
        <v>12</v>
      </c>
      <c r="C2951" t="s">
        <v>7515</v>
      </c>
      <c r="D2951" s="940" t="s">
        <v>2778</v>
      </c>
      <c r="E2951" t="s">
        <v>170</v>
      </c>
    </row>
    <row r="2952" spans="1:5" x14ac:dyDescent="0.25">
      <c r="A2952" s="940">
        <v>3490</v>
      </c>
      <c r="B2952" s="940">
        <v>0</v>
      </c>
      <c r="C2952" t="s">
        <v>7516</v>
      </c>
      <c r="D2952" s="940" t="s">
        <v>7517</v>
      </c>
      <c r="E2952" t="s">
        <v>1236</v>
      </c>
    </row>
    <row r="2953" spans="1:5" x14ac:dyDescent="0.25">
      <c r="A2953" s="940">
        <v>3490</v>
      </c>
      <c r="B2953" s="940">
        <v>0</v>
      </c>
      <c r="C2953" t="s">
        <v>7518</v>
      </c>
      <c r="D2953" s="940" t="s">
        <v>6353</v>
      </c>
      <c r="E2953" t="s">
        <v>1182</v>
      </c>
    </row>
    <row r="2954" spans="1:5" x14ac:dyDescent="0.25">
      <c r="A2954" s="940">
        <v>3196</v>
      </c>
      <c r="B2954" s="940">
        <v>4</v>
      </c>
      <c r="C2954" t="s">
        <v>7519</v>
      </c>
      <c r="D2954" s="940" t="s">
        <v>2927</v>
      </c>
      <c r="E2954" t="s">
        <v>3098</v>
      </c>
    </row>
    <row r="2955" spans="1:5" x14ac:dyDescent="0.25">
      <c r="A2955" s="940">
        <v>2106</v>
      </c>
      <c r="B2955" s="940">
        <v>48</v>
      </c>
      <c r="C2955" t="s">
        <v>7520</v>
      </c>
      <c r="D2955" s="940" t="s">
        <v>7521</v>
      </c>
      <c r="E2955" t="s">
        <v>120</v>
      </c>
    </row>
    <row r="2956" spans="1:5" x14ac:dyDescent="0.25">
      <c r="A2956" s="940">
        <v>1167</v>
      </c>
      <c r="B2956" s="940">
        <v>164</v>
      </c>
      <c r="C2956" t="s">
        <v>7522</v>
      </c>
      <c r="D2956" s="940" t="s">
        <v>3431</v>
      </c>
      <c r="E2956" t="s">
        <v>2880</v>
      </c>
    </row>
    <row r="2957" spans="1:5" x14ac:dyDescent="0.25">
      <c r="A2957" s="940">
        <v>3490</v>
      </c>
      <c r="B2957" s="940">
        <v>0</v>
      </c>
      <c r="C2957" t="s">
        <v>7523</v>
      </c>
      <c r="D2957" s="940" t="s">
        <v>3506</v>
      </c>
      <c r="E2957" t="s">
        <v>1507</v>
      </c>
    </row>
    <row r="2958" spans="1:5" x14ac:dyDescent="0.25">
      <c r="A2958" s="940">
        <v>3089</v>
      </c>
      <c r="B2958" s="940">
        <v>6</v>
      </c>
      <c r="C2958" t="s">
        <v>7524</v>
      </c>
      <c r="D2958" s="940" t="s">
        <v>7525</v>
      </c>
      <c r="E2958" t="s">
        <v>127</v>
      </c>
    </row>
    <row r="2959" spans="1:5" x14ac:dyDescent="0.25">
      <c r="A2959" s="940">
        <v>505</v>
      </c>
      <c r="B2959" s="940">
        <v>464</v>
      </c>
      <c r="C2959" t="s">
        <v>7526</v>
      </c>
      <c r="D2959" s="940" t="s">
        <v>7527</v>
      </c>
      <c r="E2959" t="s">
        <v>132</v>
      </c>
    </row>
    <row r="2960" spans="1:5" x14ac:dyDescent="0.25">
      <c r="A2960" s="940">
        <v>2959</v>
      </c>
      <c r="B2960" s="940">
        <v>9</v>
      </c>
      <c r="C2960" t="s">
        <v>7528</v>
      </c>
      <c r="D2960" s="940" t="s">
        <v>6587</v>
      </c>
      <c r="E2960" t="s">
        <v>1427</v>
      </c>
    </row>
    <row r="2961" spans="1:5" x14ac:dyDescent="0.25">
      <c r="A2961" s="940">
        <v>1346</v>
      </c>
      <c r="B2961" s="940">
        <v>127</v>
      </c>
      <c r="C2961" t="s">
        <v>7529</v>
      </c>
      <c r="D2961" s="940" t="s">
        <v>7530</v>
      </c>
      <c r="E2961" t="s">
        <v>2880</v>
      </c>
    </row>
    <row r="2962" spans="1:5" x14ac:dyDescent="0.25">
      <c r="A2962" s="940">
        <v>149</v>
      </c>
      <c r="B2962" s="940">
        <v>976</v>
      </c>
      <c r="C2962" t="s">
        <v>7531</v>
      </c>
      <c r="D2962" s="940" t="s">
        <v>7532</v>
      </c>
      <c r="E2962" t="s">
        <v>106</v>
      </c>
    </row>
    <row r="2963" spans="1:5" x14ac:dyDescent="0.25">
      <c r="A2963" s="940">
        <v>2743</v>
      </c>
      <c r="B2963" s="940">
        <v>15</v>
      </c>
      <c r="C2963" t="s">
        <v>7533</v>
      </c>
      <c r="D2963" s="940" t="s">
        <v>4284</v>
      </c>
      <c r="E2963" t="s">
        <v>1171</v>
      </c>
    </row>
    <row r="2964" spans="1:5" x14ac:dyDescent="0.25">
      <c r="A2964" s="940">
        <v>179</v>
      </c>
      <c r="B2964" s="940">
        <v>925</v>
      </c>
      <c r="C2964" t="s">
        <v>7534</v>
      </c>
      <c r="D2964" s="940" t="s">
        <v>7535</v>
      </c>
      <c r="E2964" t="s">
        <v>6003</v>
      </c>
    </row>
    <row r="2965" spans="1:5" x14ac:dyDescent="0.25">
      <c r="A2965" s="940">
        <v>2539</v>
      </c>
      <c r="B2965" s="940">
        <v>23</v>
      </c>
      <c r="C2965" t="s">
        <v>7536</v>
      </c>
      <c r="D2965" s="940" t="s">
        <v>7537</v>
      </c>
      <c r="E2965" t="s">
        <v>99</v>
      </c>
    </row>
    <row r="2966" spans="1:5" x14ac:dyDescent="0.25">
      <c r="A2966" s="940">
        <v>2582</v>
      </c>
      <c r="B2966" s="940">
        <v>21</v>
      </c>
      <c r="C2966" t="s">
        <v>7538</v>
      </c>
      <c r="D2966" s="940" t="s">
        <v>4223</v>
      </c>
      <c r="E2966" t="s">
        <v>1182</v>
      </c>
    </row>
    <row r="2967" spans="1:5" x14ac:dyDescent="0.25">
      <c r="A2967" s="940">
        <v>3089</v>
      </c>
      <c r="B2967" s="940">
        <v>6</v>
      </c>
      <c r="C2967" t="s">
        <v>7539</v>
      </c>
      <c r="D2967" s="940" t="s">
        <v>7240</v>
      </c>
      <c r="E2967" t="s">
        <v>127</v>
      </c>
    </row>
    <row r="2968" spans="1:5" x14ac:dyDescent="0.25">
      <c r="A2968" s="940">
        <v>646</v>
      </c>
      <c r="B2968" s="940">
        <v>378</v>
      </c>
      <c r="C2968" t="s">
        <v>7540</v>
      </c>
      <c r="D2968" s="940" t="s">
        <v>7541</v>
      </c>
      <c r="E2968" t="s">
        <v>99</v>
      </c>
    </row>
    <row r="2969" spans="1:5" x14ac:dyDescent="0.25">
      <c r="A2969" s="940">
        <v>2839</v>
      </c>
      <c r="B2969" s="940">
        <v>12</v>
      </c>
      <c r="C2969" t="s">
        <v>7542</v>
      </c>
      <c r="D2969" s="940" t="s">
        <v>3185</v>
      </c>
      <c r="E2969" t="s">
        <v>117</v>
      </c>
    </row>
    <row r="2970" spans="1:5" x14ac:dyDescent="0.25">
      <c r="A2970" s="940">
        <v>3196</v>
      </c>
      <c r="B2970" s="940">
        <v>4</v>
      </c>
      <c r="C2970" t="s">
        <v>7543</v>
      </c>
      <c r="D2970" s="940" t="s">
        <v>7544</v>
      </c>
      <c r="E2970" t="s">
        <v>1844</v>
      </c>
    </row>
    <row r="2971" spans="1:5" x14ac:dyDescent="0.25">
      <c r="A2971" s="940">
        <v>2221</v>
      </c>
      <c r="B2971" s="940">
        <v>41</v>
      </c>
      <c r="C2971" t="s">
        <v>7545</v>
      </c>
      <c r="D2971" s="940" t="s">
        <v>7546</v>
      </c>
      <c r="E2971" t="s">
        <v>1590</v>
      </c>
    </row>
    <row r="2972" spans="1:5" x14ac:dyDescent="0.25">
      <c r="A2972" s="940">
        <v>3490</v>
      </c>
      <c r="B2972" s="940">
        <v>0</v>
      </c>
      <c r="C2972" t="s">
        <v>7547</v>
      </c>
      <c r="D2972" s="940" t="s">
        <v>7548</v>
      </c>
      <c r="E2972" t="s">
        <v>163</v>
      </c>
    </row>
    <row r="2973" spans="1:5" x14ac:dyDescent="0.25">
      <c r="A2973" s="940">
        <v>3490</v>
      </c>
      <c r="B2973" s="940">
        <v>0</v>
      </c>
      <c r="C2973" t="s">
        <v>7549</v>
      </c>
      <c r="D2973" s="940" t="s">
        <v>7550</v>
      </c>
      <c r="E2973" t="s">
        <v>246</v>
      </c>
    </row>
    <row r="2974" spans="1:5" x14ac:dyDescent="0.25">
      <c r="A2974" s="940">
        <v>787</v>
      </c>
      <c r="B2974" s="940">
        <v>302</v>
      </c>
      <c r="C2974" t="s">
        <v>7551</v>
      </c>
      <c r="D2974" s="940" t="s">
        <v>7552</v>
      </c>
      <c r="E2974" t="s">
        <v>3098</v>
      </c>
    </row>
    <row r="2975" spans="1:5" x14ac:dyDescent="0.25">
      <c r="A2975" s="940">
        <v>2079</v>
      </c>
      <c r="B2975" s="940">
        <v>50</v>
      </c>
      <c r="C2975" t="s">
        <v>7553</v>
      </c>
      <c r="D2975" s="940" t="s">
        <v>2904</v>
      </c>
      <c r="E2975" t="s">
        <v>165</v>
      </c>
    </row>
    <row r="2976" spans="1:5" x14ac:dyDescent="0.25">
      <c r="A2976" s="940">
        <v>1322</v>
      </c>
      <c r="B2976" s="940">
        <v>131</v>
      </c>
      <c r="C2976" t="s">
        <v>7554</v>
      </c>
      <c r="D2976" s="940" t="s">
        <v>7555</v>
      </c>
      <c r="E2976" t="s">
        <v>7556</v>
      </c>
    </row>
    <row r="2977" spans="1:5" x14ac:dyDescent="0.25">
      <c r="A2977" s="940">
        <v>2959</v>
      </c>
      <c r="B2977" s="940">
        <v>9</v>
      </c>
      <c r="C2977" t="s">
        <v>7557</v>
      </c>
      <c r="D2977" s="940" t="s">
        <v>4292</v>
      </c>
      <c r="E2977" t="s">
        <v>74</v>
      </c>
    </row>
    <row r="2978" spans="1:5" x14ac:dyDescent="0.25">
      <c r="A2978" s="940">
        <v>2098</v>
      </c>
      <c r="B2978" s="940">
        <v>49</v>
      </c>
      <c r="C2978" t="s">
        <v>7558</v>
      </c>
      <c r="D2978" s="940" t="s">
        <v>2813</v>
      </c>
      <c r="E2978" t="s">
        <v>120</v>
      </c>
    </row>
    <row r="2979" spans="1:5" x14ac:dyDescent="0.25">
      <c r="A2979" s="940">
        <v>534</v>
      </c>
      <c r="B2979" s="940">
        <v>441</v>
      </c>
      <c r="C2979" t="s">
        <v>7559</v>
      </c>
      <c r="D2979" s="940" t="s">
        <v>7560</v>
      </c>
      <c r="E2979" t="s">
        <v>5344</v>
      </c>
    </row>
    <row r="2980" spans="1:5" x14ac:dyDescent="0.25">
      <c r="A2980" s="940">
        <v>3490</v>
      </c>
      <c r="B2980" s="940">
        <v>0</v>
      </c>
      <c r="C2980" t="s">
        <v>7561</v>
      </c>
      <c r="D2980" s="940" t="s">
        <v>3840</v>
      </c>
      <c r="E2980" t="s">
        <v>122</v>
      </c>
    </row>
    <row r="2981" spans="1:5" x14ac:dyDescent="0.25">
      <c r="A2981" s="940">
        <v>417</v>
      </c>
      <c r="B2981" s="940">
        <v>554</v>
      </c>
      <c r="C2981" t="s">
        <v>7562</v>
      </c>
      <c r="D2981" s="940" t="s">
        <v>7563</v>
      </c>
      <c r="E2981" t="s">
        <v>1275</v>
      </c>
    </row>
    <row r="2982" spans="1:5" x14ac:dyDescent="0.25">
      <c r="A2982" s="940">
        <v>2515</v>
      </c>
      <c r="B2982" s="940">
        <v>24</v>
      </c>
      <c r="C2982" t="s">
        <v>7564</v>
      </c>
      <c r="D2982" s="940" t="s">
        <v>7565</v>
      </c>
      <c r="E2982" t="s">
        <v>83</v>
      </c>
    </row>
    <row r="2983" spans="1:5" x14ac:dyDescent="0.25">
      <c r="A2983" s="940">
        <v>1885</v>
      </c>
      <c r="B2983" s="940">
        <v>65</v>
      </c>
      <c r="C2983" t="s">
        <v>7566</v>
      </c>
      <c r="D2983" s="940" t="s">
        <v>3935</v>
      </c>
      <c r="E2983" t="s">
        <v>1214</v>
      </c>
    </row>
    <row r="2984" spans="1:5" x14ac:dyDescent="0.25">
      <c r="A2984" s="940">
        <v>3490</v>
      </c>
      <c r="B2984" s="940">
        <v>0</v>
      </c>
      <c r="C2984" t="s">
        <v>7567</v>
      </c>
      <c r="D2984" s="940" t="s">
        <v>7541</v>
      </c>
      <c r="E2984" t="s">
        <v>105</v>
      </c>
    </row>
    <row r="2985" spans="1:5" x14ac:dyDescent="0.25">
      <c r="A2985" s="940">
        <v>1489</v>
      </c>
      <c r="B2985" s="940">
        <v>107</v>
      </c>
      <c r="C2985" t="s">
        <v>7568</v>
      </c>
      <c r="D2985" s="940" t="s">
        <v>7569</v>
      </c>
      <c r="E2985" t="s">
        <v>3098</v>
      </c>
    </row>
    <row r="2986" spans="1:5" x14ac:dyDescent="0.25">
      <c r="A2986" s="940">
        <v>26</v>
      </c>
      <c r="B2986" s="940">
        <v>1424</v>
      </c>
      <c r="C2986" t="s">
        <v>7570</v>
      </c>
      <c r="D2986" s="940" t="s">
        <v>7571</v>
      </c>
      <c r="E2986" t="s">
        <v>130</v>
      </c>
    </row>
    <row r="2987" spans="1:5" x14ac:dyDescent="0.25">
      <c r="A2987" s="940">
        <v>3196</v>
      </c>
      <c r="B2987" s="940">
        <v>4</v>
      </c>
      <c r="C2987" t="s">
        <v>7572</v>
      </c>
      <c r="D2987" s="940" t="s">
        <v>3726</v>
      </c>
      <c r="E2987" t="s">
        <v>614</v>
      </c>
    </row>
    <row r="2988" spans="1:5" x14ac:dyDescent="0.25">
      <c r="A2988" s="940">
        <v>2743</v>
      </c>
      <c r="B2988" s="940">
        <v>15</v>
      </c>
      <c r="C2988" t="s">
        <v>7573</v>
      </c>
      <c r="D2988" s="940" t="s">
        <v>7574</v>
      </c>
      <c r="E2988" t="s">
        <v>130</v>
      </c>
    </row>
    <row r="2989" spans="1:5" x14ac:dyDescent="0.25">
      <c r="A2989" s="940">
        <v>2839</v>
      </c>
      <c r="B2989" s="940">
        <v>12</v>
      </c>
      <c r="C2989" t="s">
        <v>7575</v>
      </c>
      <c r="D2989" s="940" t="s">
        <v>7576</v>
      </c>
      <c r="E2989" t="s">
        <v>1236</v>
      </c>
    </row>
    <row r="2990" spans="1:5" x14ac:dyDescent="0.25">
      <c r="A2990" s="940">
        <v>1574</v>
      </c>
      <c r="B2990" s="940">
        <v>98</v>
      </c>
      <c r="C2990" t="s">
        <v>7577</v>
      </c>
      <c r="D2990" s="940" t="s">
        <v>7578</v>
      </c>
      <c r="E2990" t="s">
        <v>2880</v>
      </c>
    </row>
    <row r="2991" spans="1:5" x14ac:dyDescent="0.25">
      <c r="A2991" s="940">
        <v>2659</v>
      </c>
      <c r="B2991" s="940">
        <v>18</v>
      </c>
      <c r="C2991" t="s">
        <v>7579</v>
      </c>
      <c r="D2991" s="940" t="s">
        <v>7580</v>
      </c>
      <c r="E2991" t="s">
        <v>120</v>
      </c>
    </row>
    <row r="2992" spans="1:5" x14ac:dyDescent="0.25">
      <c r="A2992" s="940">
        <v>159</v>
      </c>
      <c r="B2992" s="940">
        <v>960</v>
      </c>
      <c r="C2992" t="s">
        <v>404</v>
      </c>
      <c r="D2992" s="940" t="s">
        <v>7581</v>
      </c>
      <c r="E2992" t="s">
        <v>103</v>
      </c>
    </row>
    <row r="2993" spans="1:5" x14ac:dyDescent="0.25">
      <c r="A2993" s="940">
        <v>2558</v>
      </c>
      <c r="B2993" s="940">
        <v>22</v>
      </c>
      <c r="C2993" t="s">
        <v>7582</v>
      </c>
      <c r="D2993" s="940" t="s">
        <v>3142</v>
      </c>
      <c r="E2993" t="s">
        <v>3114</v>
      </c>
    </row>
    <row r="2994" spans="1:5" x14ac:dyDescent="0.25">
      <c r="A2994" s="940">
        <v>3327</v>
      </c>
      <c r="B2994" s="940">
        <v>2</v>
      </c>
      <c r="C2994" t="s">
        <v>7583</v>
      </c>
      <c r="D2994" s="940" t="s">
        <v>4211</v>
      </c>
      <c r="E2994" t="s">
        <v>1327</v>
      </c>
    </row>
    <row r="2995" spans="1:5" x14ac:dyDescent="0.25">
      <c r="A2995" s="940">
        <v>146</v>
      </c>
      <c r="B2995" s="940">
        <v>986</v>
      </c>
      <c r="C2995" t="s">
        <v>7584</v>
      </c>
      <c r="D2995" s="940" t="s">
        <v>7585</v>
      </c>
      <c r="E2995" t="s">
        <v>120</v>
      </c>
    </row>
    <row r="2996" spans="1:5" x14ac:dyDescent="0.25">
      <c r="A2996" s="940">
        <v>3490</v>
      </c>
      <c r="B2996" s="940">
        <v>0</v>
      </c>
      <c r="C2996" t="s">
        <v>7586</v>
      </c>
      <c r="D2996" s="940" t="s">
        <v>6759</v>
      </c>
      <c r="E2996" t="s">
        <v>120</v>
      </c>
    </row>
    <row r="2997" spans="1:5" x14ac:dyDescent="0.25">
      <c r="A2997" s="940">
        <v>499</v>
      </c>
      <c r="B2997" s="940">
        <v>469</v>
      </c>
      <c r="C2997" t="s">
        <v>7587</v>
      </c>
      <c r="D2997" s="940" t="s">
        <v>7588</v>
      </c>
      <c r="E2997" t="s">
        <v>1609</v>
      </c>
    </row>
    <row r="2998" spans="1:5" x14ac:dyDescent="0.25">
      <c r="A2998" s="940">
        <v>1848</v>
      </c>
      <c r="B2998" s="940">
        <v>68</v>
      </c>
      <c r="C2998" t="s">
        <v>732</v>
      </c>
      <c r="D2998" s="940" t="s">
        <v>5035</v>
      </c>
      <c r="E2998" t="s">
        <v>1286</v>
      </c>
    </row>
    <row r="2999" spans="1:5" x14ac:dyDescent="0.25">
      <c r="A2999" s="940">
        <v>3490</v>
      </c>
      <c r="B2999" s="940">
        <v>0</v>
      </c>
      <c r="C2999" t="s">
        <v>7589</v>
      </c>
      <c r="D2999" s="940" t="s">
        <v>7590</v>
      </c>
      <c r="E2999" t="s">
        <v>1332</v>
      </c>
    </row>
    <row r="3000" spans="1:5" x14ac:dyDescent="0.25">
      <c r="A3000" s="940">
        <v>1533</v>
      </c>
      <c r="B3000" s="940">
        <v>102</v>
      </c>
      <c r="C3000" t="s">
        <v>7591</v>
      </c>
      <c r="D3000" s="940" t="s">
        <v>3935</v>
      </c>
      <c r="E3000" t="s">
        <v>3098</v>
      </c>
    </row>
    <row r="3001" spans="1:5" x14ac:dyDescent="0.25">
      <c r="A3001" s="940">
        <v>1640</v>
      </c>
      <c r="B3001" s="940">
        <v>91</v>
      </c>
      <c r="C3001" t="s">
        <v>7592</v>
      </c>
      <c r="D3001" s="940" t="s">
        <v>6697</v>
      </c>
      <c r="E3001" t="s">
        <v>99</v>
      </c>
    </row>
    <row r="3002" spans="1:5" x14ac:dyDescent="0.25">
      <c r="A3002" s="940">
        <v>3490</v>
      </c>
      <c r="B3002" s="940">
        <v>0</v>
      </c>
      <c r="C3002" t="s">
        <v>7593</v>
      </c>
      <c r="D3002" s="940" t="s">
        <v>4817</v>
      </c>
      <c r="E3002" t="s">
        <v>163</v>
      </c>
    </row>
    <row r="3003" spans="1:5" x14ac:dyDescent="0.25">
      <c r="A3003" s="940">
        <v>2609</v>
      </c>
      <c r="B3003" s="940">
        <v>20</v>
      </c>
      <c r="C3003" t="s">
        <v>7594</v>
      </c>
      <c r="D3003" s="940" t="s">
        <v>7595</v>
      </c>
      <c r="E3003" t="s">
        <v>122</v>
      </c>
    </row>
    <row r="3004" spans="1:5" x14ac:dyDescent="0.25">
      <c r="A3004" s="940">
        <v>2461</v>
      </c>
      <c r="B3004" s="940">
        <v>27</v>
      </c>
      <c r="C3004" t="s">
        <v>7596</v>
      </c>
      <c r="D3004" s="940" t="s">
        <v>3554</v>
      </c>
      <c r="E3004" t="s">
        <v>115</v>
      </c>
    </row>
    <row r="3005" spans="1:5" x14ac:dyDescent="0.25">
      <c r="A3005" s="940">
        <v>2996</v>
      </c>
      <c r="B3005" s="940">
        <v>8</v>
      </c>
      <c r="C3005" t="s">
        <v>7597</v>
      </c>
      <c r="D3005" s="940" t="s">
        <v>4496</v>
      </c>
      <c r="E3005" t="s">
        <v>1200</v>
      </c>
    </row>
    <row r="3006" spans="1:5" x14ac:dyDescent="0.25">
      <c r="A3006" s="940">
        <v>2626</v>
      </c>
      <c r="B3006" s="940">
        <v>19</v>
      </c>
      <c r="C3006" t="s">
        <v>7598</v>
      </c>
      <c r="D3006" s="940" t="s">
        <v>2827</v>
      </c>
      <c r="E3006" t="s">
        <v>1238</v>
      </c>
    </row>
    <row r="3007" spans="1:5" x14ac:dyDescent="0.25">
      <c r="A3007" s="940">
        <v>1444</v>
      </c>
      <c r="B3007" s="940">
        <v>114</v>
      </c>
      <c r="C3007" t="s">
        <v>2122</v>
      </c>
      <c r="D3007" s="940" t="s">
        <v>2893</v>
      </c>
      <c r="E3007" t="s">
        <v>120</v>
      </c>
    </row>
    <row r="3008" spans="1:5" x14ac:dyDescent="0.25">
      <c r="A3008" s="940">
        <v>2060</v>
      </c>
      <c r="B3008" s="940">
        <v>51</v>
      </c>
      <c r="C3008" t="s">
        <v>7599</v>
      </c>
      <c r="D3008" s="940" t="s">
        <v>7600</v>
      </c>
      <c r="E3008" t="s">
        <v>1483</v>
      </c>
    </row>
    <row r="3009" spans="1:5" x14ac:dyDescent="0.25">
      <c r="A3009" s="940">
        <v>1017</v>
      </c>
      <c r="B3009" s="940">
        <v>210</v>
      </c>
      <c r="C3009" t="s">
        <v>7601</v>
      </c>
      <c r="D3009" s="940" t="s">
        <v>7105</v>
      </c>
      <c r="E3009" t="s">
        <v>2880</v>
      </c>
    </row>
    <row r="3010" spans="1:5" x14ac:dyDescent="0.25">
      <c r="A3010" s="940">
        <v>1811</v>
      </c>
      <c r="B3010" s="940">
        <v>72</v>
      </c>
      <c r="C3010" t="s">
        <v>7602</v>
      </c>
      <c r="D3010" s="940" t="s">
        <v>5414</v>
      </c>
      <c r="E3010" t="s">
        <v>7603</v>
      </c>
    </row>
    <row r="3011" spans="1:5" x14ac:dyDescent="0.25">
      <c r="A3011" s="940">
        <v>3490</v>
      </c>
      <c r="B3011" s="940">
        <v>0</v>
      </c>
      <c r="C3011" t="s">
        <v>7604</v>
      </c>
      <c r="D3011" s="940" t="s">
        <v>2623</v>
      </c>
      <c r="E3011" t="s">
        <v>2654</v>
      </c>
    </row>
    <row r="3012" spans="1:5" x14ac:dyDescent="0.25">
      <c r="A3012" s="940">
        <v>3196</v>
      </c>
      <c r="B3012" s="940">
        <v>4</v>
      </c>
      <c r="C3012" t="s">
        <v>7605</v>
      </c>
      <c r="D3012" s="940" t="s">
        <v>7606</v>
      </c>
      <c r="E3012" t="s">
        <v>120</v>
      </c>
    </row>
    <row r="3013" spans="1:5" x14ac:dyDescent="0.25">
      <c r="A3013" s="940">
        <v>1555</v>
      </c>
      <c r="B3013" s="940">
        <v>100</v>
      </c>
      <c r="C3013" t="s">
        <v>7607</v>
      </c>
      <c r="D3013" s="940" t="s">
        <v>7608</v>
      </c>
      <c r="E3013" t="s">
        <v>2735</v>
      </c>
    </row>
    <row r="3014" spans="1:5" x14ac:dyDescent="0.25">
      <c r="A3014" s="940">
        <v>3490</v>
      </c>
      <c r="B3014" s="940">
        <v>0</v>
      </c>
      <c r="C3014" t="s">
        <v>7609</v>
      </c>
      <c r="D3014" s="940" t="s">
        <v>7610</v>
      </c>
      <c r="E3014" t="s">
        <v>179</v>
      </c>
    </row>
    <row r="3015" spans="1:5" x14ac:dyDescent="0.25">
      <c r="A3015" s="940">
        <v>279</v>
      </c>
      <c r="B3015" s="940">
        <v>746</v>
      </c>
      <c r="C3015" t="s">
        <v>7611</v>
      </c>
      <c r="D3015" s="940" t="s">
        <v>7612</v>
      </c>
      <c r="E3015" t="s">
        <v>120</v>
      </c>
    </row>
    <row r="3016" spans="1:5" x14ac:dyDescent="0.25">
      <c r="A3016" s="940">
        <v>1412</v>
      </c>
      <c r="B3016" s="940">
        <v>118</v>
      </c>
      <c r="C3016" t="s">
        <v>7613</v>
      </c>
      <c r="D3016" s="940" t="s">
        <v>7614</v>
      </c>
      <c r="E3016" t="s">
        <v>109</v>
      </c>
    </row>
    <row r="3017" spans="1:5" x14ac:dyDescent="0.25">
      <c r="A3017" s="940">
        <v>831</v>
      </c>
      <c r="B3017" s="940">
        <v>285</v>
      </c>
      <c r="C3017" t="s">
        <v>406</v>
      </c>
      <c r="D3017" s="940" t="s">
        <v>7615</v>
      </c>
      <c r="E3017" t="s">
        <v>106</v>
      </c>
    </row>
    <row r="3018" spans="1:5" x14ac:dyDescent="0.25">
      <c r="A3018" s="940">
        <v>2032</v>
      </c>
      <c r="B3018" s="940">
        <v>53</v>
      </c>
      <c r="C3018" t="s">
        <v>7616</v>
      </c>
      <c r="D3018" s="940" t="s">
        <v>7617</v>
      </c>
      <c r="E3018" t="s">
        <v>1460</v>
      </c>
    </row>
    <row r="3019" spans="1:5" x14ac:dyDescent="0.25">
      <c r="A3019" s="940">
        <v>322</v>
      </c>
      <c r="B3019" s="940">
        <v>680</v>
      </c>
      <c r="C3019" t="s">
        <v>7618</v>
      </c>
      <c r="D3019" s="940" t="s">
        <v>4826</v>
      </c>
      <c r="E3019" t="s">
        <v>99</v>
      </c>
    </row>
    <row r="3020" spans="1:5" x14ac:dyDescent="0.25">
      <c r="A3020" s="940">
        <v>3490</v>
      </c>
      <c r="B3020" s="940">
        <v>0</v>
      </c>
      <c r="C3020" t="s">
        <v>7619</v>
      </c>
      <c r="D3020" s="940" t="s">
        <v>4326</v>
      </c>
      <c r="E3020" t="s">
        <v>105</v>
      </c>
    </row>
    <row r="3021" spans="1:5" x14ac:dyDescent="0.25">
      <c r="A3021" s="940">
        <v>1153</v>
      </c>
      <c r="B3021" s="940">
        <v>167</v>
      </c>
      <c r="C3021" t="s">
        <v>2531</v>
      </c>
      <c r="D3021" s="940" t="s">
        <v>2714</v>
      </c>
      <c r="E3021" t="s">
        <v>105</v>
      </c>
    </row>
    <row r="3022" spans="1:5" x14ac:dyDescent="0.25">
      <c r="A3022" s="940">
        <v>2814</v>
      </c>
      <c r="B3022" s="940">
        <v>13</v>
      </c>
      <c r="C3022" t="s">
        <v>7620</v>
      </c>
      <c r="D3022" s="940" t="s">
        <v>3173</v>
      </c>
      <c r="E3022" t="s">
        <v>1379</v>
      </c>
    </row>
    <row r="3023" spans="1:5" x14ac:dyDescent="0.25">
      <c r="A3023" s="940">
        <v>705</v>
      </c>
      <c r="B3023" s="940">
        <v>346</v>
      </c>
      <c r="C3023" t="s">
        <v>7621</v>
      </c>
      <c r="D3023" s="940" t="s">
        <v>7622</v>
      </c>
      <c r="E3023" t="s">
        <v>105</v>
      </c>
    </row>
    <row r="3024" spans="1:5" x14ac:dyDescent="0.25">
      <c r="A3024" s="940">
        <v>3196</v>
      </c>
      <c r="B3024" s="940">
        <v>4</v>
      </c>
      <c r="C3024" t="s">
        <v>7623</v>
      </c>
      <c r="D3024" s="940" t="s">
        <v>4568</v>
      </c>
      <c r="E3024" t="s">
        <v>105</v>
      </c>
    </row>
    <row r="3025" spans="1:5" x14ac:dyDescent="0.25">
      <c r="A3025" s="940">
        <v>2106</v>
      </c>
      <c r="B3025" s="940">
        <v>48</v>
      </c>
      <c r="C3025" t="s">
        <v>2130</v>
      </c>
      <c r="D3025" s="940" t="s">
        <v>7624</v>
      </c>
      <c r="E3025" t="s">
        <v>208</v>
      </c>
    </row>
    <row r="3026" spans="1:5" x14ac:dyDescent="0.25">
      <c r="A3026" s="940">
        <v>3490</v>
      </c>
      <c r="B3026" s="940">
        <v>0</v>
      </c>
      <c r="C3026" t="s">
        <v>7625</v>
      </c>
      <c r="D3026" s="940" t="s">
        <v>7626</v>
      </c>
      <c r="E3026" t="s">
        <v>120</v>
      </c>
    </row>
    <row r="3027" spans="1:5" x14ac:dyDescent="0.25">
      <c r="A3027" s="940">
        <v>1356</v>
      </c>
      <c r="B3027" s="940">
        <v>126</v>
      </c>
      <c r="C3027" t="s">
        <v>7627</v>
      </c>
      <c r="D3027" s="940" t="s">
        <v>7628</v>
      </c>
      <c r="E3027" t="s">
        <v>84</v>
      </c>
    </row>
    <row r="3028" spans="1:5" x14ac:dyDescent="0.25">
      <c r="A3028" s="940">
        <v>720</v>
      </c>
      <c r="B3028" s="940">
        <v>336</v>
      </c>
      <c r="C3028" t="s">
        <v>2132</v>
      </c>
      <c r="D3028" s="940" t="s">
        <v>7629</v>
      </c>
      <c r="E3028" t="s">
        <v>1171</v>
      </c>
    </row>
    <row r="3029" spans="1:5" x14ac:dyDescent="0.25">
      <c r="A3029" s="940">
        <v>1346</v>
      </c>
      <c r="B3029" s="940">
        <v>127</v>
      </c>
      <c r="C3029" t="s">
        <v>7630</v>
      </c>
      <c r="D3029" s="940" t="s">
        <v>7631</v>
      </c>
      <c r="E3029" t="s">
        <v>1171</v>
      </c>
    </row>
    <row r="3030" spans="1:5" x14ac:dyDescent="0.25">
      <c r="A3030" s="940">
        <v>3490</v>
      </c>
      <c r="B3030" s="940">
        <v>0</v>
      </c>
      <c r="C3030" t="s">
        <v>7632</v>
      </c>
      <c r="D3030" s="940" t="s">
        <v>6499</v>
      </c>
      <c r="E3030" t="s">
        <v>120</v>
      </c>
    </row>
    <row r="3031" spans="1:5" x14ac:dyDescent="0.25">
      <c r="A3031" s="940">
        <v>551</v>
      </c>
      <c r="B3031" s="940">
        <v>436</v>
      </c>
      <c r="C3031" t="s">
        <v>7633</v>
      </c>
      <c r="D3031" s="940" t="s">
        <v>5843</v>
      </c>
      <c r="E3031" t="s">
        <v>3098</v>
      </c>
    </row>
    <row r="3032" spans="1:5" x14ac:dyDescent="0.25">
      <c r="A3032" s="940">
        <v>1097</v>
      </c>
      <c r="B3032" s="940">
        <v>183</v>
      </c>
      <c r="C3032" t="s">
        <v>7634</v>
      </c>
      <c r="D3032" s="940" t="s">
        <v>7635</v>
      </c>
      <c r="E3032" t="s">
        <v>4735</v>
      </c>
    </row>
    <row r="3033" spans="1:5" x14ac:dyDescent="0.25">
      <c r="A3033" s="940">
        <v>3490</v>
      </c>
      <c r="B3033" s="940">
        <v>0</v>
      </c>
      <c r="C3033" t="s">
        <v>7636</v>
      </c>
      <c r="D3033" s="940" t="s">
        <v>5431</v>
      </c>
      <c r="E3033" t="s">
        <v>105</v>
      </c>
    </row>
    <row r="3034" spans="1:5" x14ac:dyDescent="0.25">
      <c r="A3034" s="940">
        <v>121</v>
      </c>
      <c r="B3034" s="940">
        <v>1044</v>
      </c>
      <c r="C3034" t="s">
        <v>7637</v>
      </c>
      <c r="D3034" s="940" t="s">
        <v>7638</v>
      </c>
      <c r="E3034" t="s">
        <v>138</v>
      </c>
    </row>
    <row r="3035" spans="1:5" x14ac:dyDescent="0.25">
      <c r="A3035" s="940">
        <v>2312</v>
      </c>
      <c r="B3035" s="940">
        <v>36</v>
      </c>
      <c r="C3035" t="s">
        <v>7639</v>
      </c>
      <c r="D3035" s="940" t="s">
        <v>2958</v>
      </c>
      <c r="E3035" t="s">
        <v>139</v>
      </c>
    </row>
    <row r="3036" spans="1:5" x14ac:dyDescent="0.25">
      <c r="A3036" s="940">
        <v>1730</v>
      </c>
      <c r="B3036" s="940">
        <v>80</v>
      </c>
      <c r="C3036" t="s">
        <v>7640</v>
      </c>
      <c r="D3036" s="940" t="s">
        <v>6053</v>
      </c>
      <c r="E3036" t="s">
        <v>120</v>
      </c>
    </row>
    <row r="3037" spans="1:5" x14ac:dyDescent="0.25">
      <c r="A3037" s="940">
        <v>2060</v>
      </c>
      <c r="B3037" s="940">
        <v>51</v>
      </c>
      <c r="C3037" t="s">
        <v>7641</v>
      </c>
      <c r="D3037" s="940" t="s">
        <v>7642</v>
      </c>
      <c r="E3037" t="s">
        <v>120</v>
      </c>
    </row>
    <row r="3038" spans="1:5" x14ac:dyDescent="0.25">
      <c r="A3038" s="940">
        <v>3490</v>
      </c>
      <c r="B3038" s="940">
        <v>0</v>
      </c>
      <c r="C3038" t="s">
        <v>7643</v>
      </c>
      <c r="D3038" s="940" t="s">
        <v>7644</v>
      </c>
      <c r="E3038" t="s">
        <v>136</v>
      </c>
    </row>
    <row r="3039" spans="1:5" x14ac:dyDescent="0.25">
      <c r="A3039" s="940">
        <v>2291</v>
      </c>
      <c r="B3039" s="940">
        <v>37</v>
      </c>
      <c r="C3039" t="s">
        <v>7645</v>
      </c>
      <c r="D3039" s="940" t="s">
        <v>7510</v>
      </c>
      <c r="E3039" t="s">
        <v>105</v>
      </c>
    </row>
    <row r="3040" spans="1:5" x14ac:dyDescent="0.25">
      <c r="A3040" s="940">
        <v>234</v>
      </c>
      <c r="B3040" s="940">
        <v>844</v>
      </c>
      <c r="C3040" t="s">
        <v>7646</v>
      </c>
      <c r="D3040" s="940" t="s">
        <v>7647</v>
      </c>
      <c r="E3040" t="s">
        <v>163</v>
      </c>
    </row>
    <row r="3041" spans="1:5" x14ac:dyDescent="0.25">
      <c r="A3041" s="940">
        <v>657</v>
      </c>
      <c r="B3041" s="940">
        <v>371</v>
      </c>
      <c r="C3041" t="s">
        <v>7646</v>
      </c>
      <c r="D3041" s="940" t="s">
        <v>7648</v>
      </c>
      <c r="E3041" t="s">
        <v>227</v>
      </c>
    </row>
    <row r="3042" spans="1:5" x14ac:dyDescent="0.25">
      <c r="A3042" s="940">
        <v>1749</v>
      </c>
      <c r="B3042" s="940">
        <v>79</v>
      </c>
      <c r="C3042" t="s">
        <v>7646</v>
      </c>
      <c r="D3042" s="940" t="s">
        <v>4314</v>
      </c>
      <c r="E3042" t="s">
        <v>170</v>
      </c>
    </row>
    <row r="3043" spans="1:5" x14ac:dyDescent="0.25">
      <c r="A3043" s="940">
        <v>2187</v>
      </c>
      <c r="B3043" s="940">
        <v>43</v>
      </c>
      <c r="C3043" t="s">
        <v>7649</v>
      </c>
      <c r="D3043" s="940" t="s">
        <v>7650</v>
      </c>
      <c r="E3043" t="s">
        <v>73</v>
      </c>
    </row>
    <row r="3044" spans="1:5" x14ac:dyDescent="0.25">
      <c r="A3044" s="940">
        <v>944</v>
      </c>
      <c r="B3044" s="940">
        <v>239</v>
      </c>
      <c r="C3044" t="s">
        <v>7651</v>
      </c>
      <c r="D3044" s="940" t="s">
        <v>3921</v>
      </c>
      <c r="E3044" t="s">
        <v>173</v>
      </c>
    </row>
    <row r="3045" spans="1:5" x14ac:dyDescent="0.25">
      <c r="A3045" s="940">
        <v>3395</v>
      </c>
      <c r="B3045" s="940">
        <v>1</v>
      </c>
      <c r="C3045" t="s">
        <v>7652</v>
      </c>
      <c r="D3045" s="940" t="s">
        <v>3890</v>
      </c>
      <c r="E3045" t="s">
        <v>171</v>
      </c>
    </row>
    <row r="3046" spans="1:5" x14ac:dyDescent="0.25">
      <c r="A3046" s="940">
        <v>781</v>
      </c>
      <c r="B3046" s="940">
        <v>305</v>
      </c>
      <c r="C3046" t="s">
        <v>7653</v>
      </c>
      <c r="D3046" s="940" t="s">
        <v>7654</v>
      </c>
      <c r="E3046" t="s">
        <v>1251</v>
      </c>
    </row>
    <row r="3047" spans="1:5" x14ac:dyDescent="0.25">
      <c r="A3047" s="940">
        <v>2515</v>
      </c>
      <c r="B3047" s="940">
        <v>24</v>
      </c>
      <c r="C3047" t="s">
        <v>7655</v>
      </c>
      <c r="D3047" s="940" t="s">
        <v>5135</v>
      </c>
      <c r="E3047" t="s">
        <v>251</v>
      </c>
    </row>
    <row r="3048" spans="1:5" x14ac:dyDescent="0.25">
      <c r="A3048" s="940">
        <v>393</v>
      </c>
      <c r="B3048" s="940">
        <v>577</v>
      </c>
      <c r="C3048" t="s">
        <v>7656</v>
      </c>
      <c r="D3048" s="940" t="s">
        <v>7657</v>
      </c>
      <c r="E3048" t="s">
        <v>1311</v>
      </c>
    </row>
    <row r="3049" spans="1:5" x14ac:dyDescent="0.25">
      <c r="A3049" s="940">
        <v>1533</v>
      </c>
      <c r="B3049" s="940">
        <v>102</v>
      </c>
      <c r="C3049" t="s">
        <v>7658</v>
      </c>
      <c r="D3049" s="940" t="s">
        <v>7659</v>
      </c>
      <c r="E3049" t="s">
        <v>130</v>
      </c>
    </row>
    <row r="3050" spans="1:5" x14ac:dyDescent="0.25">
      <c r="A3050" s="940">
        <v>956</v>
      </c>
      <c r="B3050" s="940">
        <v>233</v>
      </c>
      <c r="C3050" t="s">
        <v>7660</v>
      </c>
      <c r="D3050" s="940" t="s">
        <v>2870</v>
      </c>
      <c r="E3050" t="s">
        <v>227</v>
      </c>
    </row>
    <row r="3051" spans="1:5" x14ac:dyDescent="0.25">
      <c r="A3051" s="940">
        <v>2839</v>
      </c>
      <c r="B3051" s="940">
        <v>12</v>
      </c>
      <c r="C3051" t="s">
        <v>7661</v>
      </c>
      <c r="D3051" s="940" t="s">
        <v>4611</v>
      </c>
      <c r="E3051" t="s">
        <v>105</v>
      </c>
    </row>
    <row r="3052" spans="1:5" x14ac:dyDescent="0.25">
      <c r="A3052" s="940">
        <v>3490</v>
      </c>
      <c r="B3052" s="940">
        <v>0</v>
      </c>
      <c r="C3052" t="s">
        <v>7662</v>
      </c>
      <c r="D3052" s="940" t="s">
        <v>2888</v>
      </c>
      <c r="E3052" t="s">
        <v>1493</v>
      </c>
    </row>
    <row r="3053" spans="1:5" x14ac:dyDescent="0.25">
      <c r="A3053" s="940">
        <v>758</v>
      </c>
      <c r="B3053" s="940">
        <v>315</v>
      </c>
      <c r="C3053" t="s">
        <v>7663</v>
      </c>
      <c r="D3053" s="940" t="s">
        <v>7664</v>
      </c>
      <c r="E3053" t="s">
        <v>4679</v>
      </c>
    </row>
    <row r="3054" spans="1:5" x14ac:dyDescent="0.25">
      <c r="A3054" s="940">
        <v>3490</v>
      </c>
      <c r="B3054" s="940">
        <v>0</v>
      </c>
      <c r="C3054" t="s">
        <v>7665</v>
      </c>
      <c r="D3054" s="940" t="s">
        <v>5646</v>
      </c>
      <c r="E3054" t="s">
        <v>1467</v>
      </c>
    </row>
    <row r="3055" spans="1:5" x14ac:dyDescent="0.25">
      <c r="A3055" s="940">
        <v>1458</v>
      </c>
      <c r="B3055" s="940">
        <v>112</v>
      </c>
      <c r="C3055" t="s">
        <v>7666</v>
      </c>
      <c r="D3055" s="940" t="s">
        <v>7667</v>
      </c>
      <c r="E3055" t="s">
        <v>108</v>
      </c>
    </row>
    <row r="3056" spans="1:5" x14ac:dyDescent="0.25">
      <c r="A3056" s="940">
        <v>2782</v>
      </c>
      <c r="B3056" s="940">
        <v>14</v>
      </c>
      <c r="C3056" t="s">
        <v>7668</v>
      </c>
      <c r="D3056" s="940" t="s">
        <v>7669</v>
      </c>
      <c r="E3056" t="s">
        <v>1286</v>
      </c>
    </row>
    <row r="3057" spans="1:5" x14ac:dyDescent="0.25">
      <c r="A3057" s="940">
        <v>928</v>
      </c>
      <c r="B3057" s="940">
        <v>246</v>
      </c>
      <c r="C3057" t="s">
        <v>733</v>
      </c>
      <c r="D3057" s="940" t="s">
        <v>5854</v>
      </c>
      <c r="E3057" t="s">
        <v>104</v>
      </c>
    </row>
    <row r="3058" spans="1:5" x14ac:dyDescent="0.25">
      <c r="A3058" s="940">
        <v>2152</v>
      </c>
      <c r="B3058" s="940">
        <v>45</v>
      </c>
      <c r="C3058" t="s">
        <v>7670</v>
      </c>
      <c r="D3058" s="940" t="s">
        <v>7671</v>
      </c>
      <c r="E3058" t="s">
        <v>1211</v>
      </c>
    </row>
    <row r="3059" spans="1:5" x14ac:dyDescent="0.25">
      <c r="A3059" s="940">
        <v>2347</v>
      </c>
      <c r="B3059" s="940">
        <v>33</v>
      </c>
      <c r="C3059" t="s">
        <v>7672</v>
      </c>
      <c r="D3059" s="940" t="s">
        <v>7673</v>
      </c>
      <c r="E3059" t="s">
        <v>127</v>
      </c>
    </row>
    <row r="3060" spans="1:5" x14ac:dyDescent="0.25">
      <c r="A3060" s="940">
        <v>843</v>
      </c>
      <c r="B3060" s="940">
        <v>276</v>
      </c>
      <c r="C3060" t="s">
        <v>7674</v>
      </c>
      <c r="D3060" s="940" t="s">
        <v>7675</v>
      </c>
      <c r="E3060" t="s">
        <v>99</v>
      </c>
    </row>
    <row r="3061" spans="1:5" x14ac:dyDescent="0.25">
      <c r="A3061" s="940">
        <v>2241</v>
      </c>
      <c r="B3061" s="940">
        <v>40</v>
      </c>
      <c r="C3061" t="s">
        <v>7676</v>
      </c>
      <c r="D3061" s="940" t="s">
        <v>6018</v>
      </c>
      <c r="E3061" t="s">
        <v>7677</v>
      </c>
    </row>
    <row r="3062" spans="1:5" x14ac:dyDescent="0.25">
      <c r="A3062" s="940">
        <v>2996</v>
      </c>
      <c r="B3062" s="940">
        <v>8</v>
      </c>
      <c r="C3062" t="s">
        <v>7678</v>
      </c>
      <c r="D3062" s="940" t="s">
        <v>5981</v>
      </c>
      <c r="E3062" t="s">
        <v>1609</v>
      </c>
    </row>
    <row r="3063" spans="1:5" x14ac:dyDescent="0.25">
      <c r="A3063" s="940">
        <v>2959</v>
      </c>
      <c r="B3063" s="940">
        <v>9</v>
      </c>
      <c r="C3063" t="s">
        <v>7679</v>
      </c>
      <c r="D3063" s="940" t="s">
        <v>7680</v>
      </c>
      <c r="E3063" t="s">
        <v>1340</v>
      </c>
    </row>
    <row r="3064" spans="1:5" x14ac:dyDescent="0.25">
      <c r="A3064" s="940">
        <v>185</v>
      </c>
      <c r="B3064" s="940">
        <v>919</v>
      </c>
      <c r="C3064" t="s">
        <v>7681</v>
      </c>
      <c r="D3064" s="940" t="s">
        <v>7682</v>
      </c>
      <c r="E3064" t="s">
        <v>7683</v>
      </c>
    </row>
    <row r="3065" spans="1:5" x14ac:dyDescent="0.25">
      <c r="A3065" s="940">
        <v>3490</v>
      </c>
      <c r="B3065" s="940">
        <v>0</v>
      </c>
      <c r="C3065" t="s">
        <v>7684</v>
      </c>
      <c r="D3065" s="940" t="s">
        <v>7685</v>
      </c>
      <c r="E3065" t="s">
        <v>1236</v>
      </c>
    </row>
    <row r="3066" spans="1:5" x14ac:dyDescent="0.25">
      <c r="A3066" s="940">
        <v>1924</v>
      </c>
      <c r="B3066" s="940">
        <v>62</v>
      </c>
      <c r="C3066" t="s">
        <v>7686</v>
      </c>
      <c r="D3066" s="940" t="s">
        <v>7687</v>
      </c>
      <c r="E3066" t="s">
        <v>120</v>
      </c>
    </row>
    <row r="3067" spans="1:5" x14ac:dyDescent="0.25">
      <c r="A3067" s="940">
        <v>2335</v>
      </c>
      <c r="B3067" s="940">
        <v>34</v>
      </c>
      <c r="C3067" t="s">
        <v>7688</v>
      </c>
      <c r="D3067" s="940" t="s">
        <v>7689</v>
      </c>
      <c r="E3067" t="s">
        <v>120</v>
      </c>
    </row>
    <row r="3068" spans="1:5" x14ac:dyDescent="0.25">
      <c r="A3068" s="940">
        <v>1711</v>
      </c>
      <c r="B3068" s="940">
        <v>82</v>
      </c>
      <c r="C3068" t="s">
        <v>2140</v>
      </c>
      <c r="D3068" s="940" t="s">
        <v>7690</v>
      </c>
      <c r="E3068" t="s">
        <v>1705</v>
      </c>
    </row>
    <row r="3069" spans="1:5" x14ac:dyDescent="0.25">
      <c r="A3069" s="940">
        <v>268</v>
      </c>
      <c r="B3069" s="940">
        <v>772</v>
      </c>
      <c r="C3069" t="s">
        <v>7691</v>
      </c>
      <c r="D3069" s="940" t="s">
        <v>7692</v>
      </c>
      <c r="E3069" t="s">
        <v>120</v>
      </c>
    </row>
    <row r="3070" spans="1:5" x14ac:dyDescent="0.25">
      <c r="A3070" s="940">
        <v>3141</v>
      </c>
      <c r="B3070" s="940">
        <v>5</v>
      </c>
      <c r="C3070" t="s">
        <v>7693</v>
      </c>
      <c r="D3070" s="940" t="s">
        <v>7694</v>
      </c>
      <c r="E3070" t="s">
        <v>170</v>
      </c>
    </row>
    <row r="3071" spans="1:5" x14ac:dyDescent="0.25">
      <c r="A3071" s="940">
        <v>3327</v>
      </c>
      <c r="B3071" s="940">
        <v>2</v>
      </c>
      <c r="C3071" t="s">
        <v>7695</v>
      </c>
      <c r="D3071" s="940" t="s">
        <v>6747</v>
      </c>
      <c r="E3071" t="s">
        <v>127</v>
      </c>
    </row>
    <row r="3072" spans="1:5" x14ac:dyDescent="0.25">
      <c r="A3072" s="940">
        <v>1942</v>
      </c>
      <c r="B3072" s="940">
        <v>61</v>
      </c>
      <c r="C3072" t="s">
        <v>7696</v>
      </c>
      <c r="D3072" s="940" t="s">
        <v>7697</v>
      </c>
      <c r="E3072" t="s">
        <v>130</v>
      </c>
    </row>
    <row r="3073" spans="1:5" x14ac:dyDescent="0.25">
      <c r="A3073" s="940">
        <v>1862</v>
      </c>
      <c r="B3073" s="940">
        <v>67</v>
      </c>
      <c r="C3073" t="s">
        <v>7698</v>
      </c>
      <c r="D3073" s="940" t="s">
        <v>3724</v>
      </c>
      <c r="E3073" t="s">
        <v>111</v>
      </c>
    </row>
    <row r="3074" spans="1:5" x14ac:dyDescent="0.25">
      <c r="A3074" s="940">
        <v>206</v>
      </c>
      <c r="B3074" s="940">
        <v>884</v>
      </c>
      <c r="C3074" t="s">
        <v>7699</v>
      </c>
      <c r="D3074" s="940" t="s">
        <v>7700</v>
      </c>
      <c r="E3074" t="s">
        <v>74</v>
      </c>
    </row>
    <row r="3075" spans="1:5" x14ac:dyDescent="0.25">
      <c r="A3075" s="940">
        <v>3490</v>
      </c>
      <c r="B3075" s="940">
        <v>0</v>
      </c>
      <c r="C3075" t="s">
        <v>7701</v>
      </c>
      <c r="D3075" s="940" t="s">
        <v>7510</v>
      </c>
      <c r="E3075" t="s">
        <v>118</v>
      </c>
    </row>
    <row r="3076" spans="1:5" x14ac:dyDescent="0.25">
      <c r="A3076" s="940">
        <v>3490</v>
      </c>
      <c r="B3076" s="940">
        <v>0</v>
      </c>
      <c r="C3076" t="s">
        <v>7702</v>
      </c>
      <c r="D3076" s="940" t="s">
        <v>3210</v>
      </c>
      <c r="E3076" t="s">
        <v>110</v>
      </c>
    </row>
    <row r="3077" spans="1:5" x14ac:dyDescent="0.25">
      <c r="A3077" s="940">
        <v>2814</v>
      </c>
      <c r="B3077" s="940">
        <v>13</v>
      </c>
      <c r="C3077" t="s">
        <v>7703</v>
      </c>
      <c r="D3077" s="940" t="s">
        <v>6271</v>
      </c>
      <c r="E3077" t="s">
        <v>4574</v>
      </c>
    </row>
    <row r="3078" spans="1:5" x14ac:dyDescent="0.25">
      <c r="A3078" s="940">
        <v>3490</v>
      </c>
      <c r="B3078" s="940">
        <v>0</v>
      </c>
      <c r="C3078" t="s">
        <v>7704</v>
      </c>
      <c r="D3078" s="940" t="s">
        <v>4039</v>
      </c>
      <c r="E3078" t="s">
        <v>74</v>
      </c>
    </row>
    <row r="3079" spans="1:5" x14ac:dyDescent="0.25">
      <c r="A3079" s="940">
        <v>3141</v>
      </c>
      <c r="B3079" s="940">
        <v>5</v>
      </c>
      <c r="C3079" t="s">
        <v>7705</v>
      </c>
      <c r="D3079" s="940" t="s">
        <v>7706</v>
      </c>
      <c r="E3079" t="s">
        <v>110</v>
      </c>
    </row>
    <row r="3080" spans="1:5" x14ac:dyDescent="0.25">
      <c r="A3080" s="940">
        <v>1227</v>
      </c>
      <c r="B3080" s="940">
        <v>150</v>
      </c>
      <c r="C3080" t="s">
        <v>7707</v>
      </c>
      <c r="D3080" s="940" t="s">
        <v>5983</v>
      </c>
      <c r="E3080" t="s">
        <v>120</v>
      </c>
    </row>
    <row r="3081" spans="1:5" x14ac:dyDescent="0.25">
      <c r="A3081" s="940">
        <v>1478</v>
      </c>
      <c r="B3081" s="940">
        <v>109</v>
      </c>
      <c r="C3081" t="s">
        <v>7708</v>
      </c>
      <c r="D3081" s="940" t="s">
        <v>7709</v>
      </c>
      <c r="E3081" t="s">
        <v>3140</v>
      </c>
    </row>
    <row r="3082" spans="1:5" x14ac:dyDescent="0.25">
      <c r="A3082" s="940">
        <v>758</v>
      </c>
      <c r="B3082" s="940">
        <v>315</v>
      </c>
      <c r="C3082" t="s">
        <v>7710</v>
      </c>
      <c r="D3082" s="940" t="s">
        <v>5091</v>
      </c>
      <c r="E3082" t="s">
        <v>147</v>
      </c>
    </row>
    <row r="3083" spans="1:5" x14ac:dyDescent="0.25">
      <c r="A3083" s="940">
        <v>2174</v>
      </c>
      <c r="B3083" s="940">
        <v>44</v>
      </c>
      <c r="C3083" t="s">
        <v>7711</v>
      </c>
      <c r="D3083" s="940" t="s">
        <v>6591</v>
      </c>
      <c r="E3083" t="s">
        <v>170</v>
      </c>
    </row>
    <row r="3084" spans="1:5" x14ac:dyDescent="0.25">
      <c r="A3084" s="940">
        <v>2690</v>
      </c>
      <c r="B3084" s="940">
        <v>17</v>
      </c>
      <c r="C3084" t="s">
        <v>7712</v>
      </c>
      <c r="D3084" s="940" t="s">
        <v>7713</v>
      </c>
      <c r="E3084" t="s">
        <v>200</v>
      </c>
    </row>
    <row r="3085" spans="1:5" x14ac:dyDescent="0.25">
      <c r="A3085" s="940">
        <v>2996</v>
      </c>
      <c r="B3085" s="940">
        <v>8</v>
      </c>
      <c r="C3085" t="s">
        <v>7714</v>
      </c>
      <c r="D3085" s="940" t="s">
        <v>5088</v>
      </c>
      <c r="E3085" t="s">
        <v>4789</v>
      </c>
    </row>
    <row r="3086" spans="1:5" x14ac:dyDescent="0.25">
      <c r="A3086" s="940">
        <v>3490</v>
      </c>
      <c r="B3086" s="940">
        <v>0</v>
      </c>
      <c r="C3086" t="s">
        <v>2144</v>
      </c>
      <c r="D3086" s="940" t="s">
        <v>7715</v>
      </c>
      <c r="E3086" t="s">
        <v>231</v>
      </c>
    </row>
    <row r="3087" spans="1:5" x14ac:dyDescent="0.25">
      <c r="A3087" s="940">
        <v>2582</v>
      </c>
      <c r="B3087" s="940">
        <v>21</v>
      </c>
      <c r="C3087" t="s">
        <v>7716</v>
      </c>
      <c r="D3087" s="940" t="s">
        <v>5186</v>
      </c>
      <c r="E3087" t="s">
        <v>213</v>
      </c>
    </row>
    <row r="3088" spans="1:5" x14ac:dyDescent="0.25">
      <c r="A3088" s="940">
        <v>2221</v>
      </c>
      <c r="B3088" s="940">
        <v>41</v>
      </c>
      <c r="C3088" t="s">
        <v>7717</v>
      </c>
      <c r="D3088" s="940" t="s">
        <v>3202</v>
      </c>
      <c r="E3088" t="s">
        <v>105</v>
      </c>
    </row>
    <row r="3089" spans="1:5" x14ac:dyDescent="0.25">
      <c r="A3089" s="940">
        <v>2370</v>
      </c>
      <c r="B3089" s="940">
        <v>32</v>
      </c>
      <c r="C3089" t="s">
        <v>7718</v>
      </c>
      <c r="D3089" s="940" t="s">
        <v>3202</v>
      </c>
      <c r="E3089" t="s">
        <v>105</v>
      </c>
    </row>
    <row r="3090" spans="1:5" x14ac:dyDescent="0.25">
      <c r="A3090" s="940">
        <v>361</v>
      </c>
      <c r="B3090" s="940">
        <v>620</v>
      </c>
      <c r="C3090" t="s">
        <v>2574</v>
      </c>
      <c r="D3090" s="940" t="s">
        <v>4218</v>
      </c>
      <c r="E3090" t="s">
        <v>99</v>
      </c>
    </row>
    <row r="3091" spans="1:5" x14ac:dyDescent="0.25">
      <c r="A3091" s="940">
        <v>2032</v>
      </c>
      <c r="B3091" s="940">
        <v>53</v>
      </c>
      <c r="C3091" t="s">
        <v>7719</v>
      </c>
      <c r="D3091" s="940" t="s">
        <v>7720</v>
      </c>
      <c r="E3091" t="s">
        <v>3383</v>
      </c>
    </row>
    <row r="3092" spans="1:5" x14ac:dyDescent="0.25">
      <c r="A3092" s="940">
        <v>1462</v>
      </c>
      <c r="B3092" s="940">
        <v>111</v>
      </c>
      <c r="C3092" t="s">
        <v>7721</v>
      </c>
      <c r="D3092" s="940" t="s">
        <v>7722</v>
      </c>
      <c r="E3092" t="s">
        <v>2916</v>
      </c>
    </row>
    <row r="3093" spans="1:5" x14ac:dyDescent="0.25">
      <c r="A3093" s="940">
        <v>1201</v>
      </c>
      <c r="B3093" s="940">
        <v>156</v>
      </c>
      <c r="C3093" t="s">
        <v>7723</v>
      </c>
      <c r="D3093" s="940" t="s">
        <v>4453</v>
      </c>
      <c r="E3093" t="s">
        <v>132</v>
      </c>
    </row>
    <row r="3094" spans="1:5" x14ac:dyDescent="0.25">
      <c r="A3094" s="940">
        <v>2484</v>
      </c>
      <c r="B3094" s="940">
        <v>26</v>
      </c>
      <c r="C3094" t="s">
        <v>7724</v>
      </c>
      <c r="D3094" s="940" t="s">
        <v>5678</v>
      </c>
      <c r="E3094" t="s">
        <v>3518</v>
      </c>
    </row>
    <row r="3095" spans="1:5" x14ac:dyDescent="0.25">
      <c r="A3095" s="940">
        <v>3490</v>
      </c>
      <c r="B3095" s="940">
        <v>0</v>
      </c>
      <c r="C3095" t="s">
        <v>7725</v>
      </c>
      <c r="D3095" s="940" t="s">
        <v>7726</v>
      </c>
      <c r="E3095" t="s">
        <v>118</v>
      </c>
    </row>
    <row r="3096" spans="1:5" x14ac:dyDescent="0.25">
      <c r="A3096" s="940">
        <v>3490</v>
      </c>
      <c r="B3096" s="940">
        <v>0</v>
      </c>
      <c r="C3096" t="s">
        <v>7727</v>
      </c>
      <c r="D3096" s="940" t="s">
        <v>4013</v>
      </c>
      <c r="E3096" t="s">
        <v>1578</v>
      </c>
    </row>
    <row r="3097" spans="1:5" x14ac:dyDescent="0.25">
      <c r="A3097" s="940">
        <v>2743</v>
      </c>
      <c r="B3097" s="940">
        <v>15</v>
      </c>
      <c r="C3097" t="s">
        <v>7728</v>
      </c>
      <c r="D3097" s="940" t="s">
        <v>7729</v>
      </c>
      <c r="E3097" t="s">
        <v>120</v>
      </c>
    </row>
    <row r="3098" spans="1:5" x14ac:dyDescent="0.25">
      <c r="A3098" s="940">
        <v>3490</v>
      </c>
      <c r="B3098" s="940">
        <v>0</v>
      </c>
      <c r="C3098" t="s">
        <v>7730</v>
      </c>
      <c r="D3098" s="940" t="s">
        <v>7731</v>
      </c>
      <c r="E3098" t="s">
        <v>105</v>
      </c>
    </row>
    <row r="3099" spans="1:5" x14ac:dyDescent="0.25">
      <c r="A3099" s="940">
        <v>951</v>
      </c>
      <c r="B3099" s="940">
        <v>235</v>
      </c>
      <c r="C3099" t="s">
        <v>7732</v>
      </c>
      <c r="D3099" s="940" t="s">
        <v>7733</v>
      </c>
      <c r="E3099" t="s">
        <v>163</v>
      </c>
    </row>
    <row r="3100" spans="1:5" x14ac:dyDescent="0.25">
      <c r="A3100" s="940">
        <v>1711</v>
      </c>
      <c r="B3100" s="940">
        <v>82</v>
      </c>
      <c r="C3100" t="s">
        <v>7734</v>
      </c>
      <c r="D3100" s="940" t="s">
        <v>7735</v>
      </c>
      <c r="E3100" t="s">
        <v>84</v>
      </c>
    </row>
    <row r="3101" spans="1:5" x14ac:dyDescent="0.25">
      <c r="A3101" s="940">
        <v>581</v>
      </c>
      <c r="B3101" s="940">
        <v>414</v>
      </c>
      <c r="C3101" t="s">
        <v>7736</v>
      </c>
      <c r="D3101" s="940" t="s">
        <v>7737</v>
      </c>
      <c r="E3101" t="s">
        <v>1493</v>
      </c>
    </row>
    <row r="3102" spans="1:5" x14ac:dyDescent="0.25">
      <c r="A3102" s="940">
        <v>751</v>
      </c>
      <c r="B3102" s="940">
        <v>319</v>
      </c>
      <c r="C3102" t="s">
        <v>315</v>
      </c>
      <c r="D3102" s="940" t="s">
        <v>7738</v>
      </c>
      <c r="E3102" t="s">
        <v>1236</v>
      </c>
    </row>
    <row r="3103" spans="1:5" x14ac:dyDescent="0.25">
      <c r="A3103" s="940">
        <v>1142</v>
      </c>
      <c r="B3103" s="940">
        <v>170</v>
      </c>
      <c r="C3103" t="s">
        <v>734</v>
      </c>
      <c r="D3103" s="940" t="s">
        <v>3384</v>
      </c>
      <c r="E3103" t="s">
        <v>180</v>
      </c>
    </row>
    <row r="3104" spans="1:5" x14ac:dyDescent="0.25">
      <c r="A3104" s="940">
        <v>876</v>
      </c>
      <c r="B3104" s="940">
        <v>262</v>
      </c>
      <c r="C3104" t="s">
        <v>7739</v>
      </c>
      <c r="D3104" s="940" t="s">
        <v>4537</v>
      </c>
      <c r="E3104" t="s">
        <v>1286</v>
      </c>
    </row>
    <row r="3105" spans="1:5" x14ac:dyDescent="0.25">
      <c r="A3105" s="940">
        <v>887</v>
      </c>
      <c r="B3105" s="940">
        <v>259</v>
      </c>
      <c r="C3105" t="s">
        <v>578</v>
      </c>
      <c r="D3105" s="940" t="s">
        <v>7740</v>
      </c>
      <c r="E3105" t="s">
        <v>128</v>
      </c>
    </row>
    <row r="3106" spans="1:5" x14ac:dyDescent="0.25">
      <c r="A3106" s="940">
        <v>310</v>
      </c>
      <c r="B3106" s="940">
        <v>691</v>
      </c>
      <c r="C3106" t="s">
        <v>7741</v>
      </c>
      <c r="D3106" s="940" t="s">
        <v>7742</v>
      </c>
      <c r="E3106" t="s">
        <v>7743</v>
      </c>
    </row>
    <row r="3107" spans="1:5" x14ac:dyDescent="0.25">
      <c r="A3107" s="940">
        <v>338</v>
      </c>
      <c r="B3107" s="940">
        <v>651</v>
      </c>
      <c r="C3107" t="s">
        <v>316</v>
      </c>
      <c r="D3107" s="940" t="s">
        <v>7744</v>
      </c>
      <c r="E3107" t="s">
        <v>74</v>
      </c>
    </row>
    <row r="3108" spans="1:5" x14ac:dyDescent="0.25">
      <c r="A3108" s="940">
        <v>3327</v>
      </c>
      <c r="B3108" s="940">
        <v>2</v>
      </c>
      <c r="C3108" t="s">
        <v>7745</v>
      </c>
      <c r="D3108" s="940" t="s">
        <v>6389</v>
      </c>
      <c r="E3108" t="s">
        <v>74</v>
      </c>
    </row>
    <row r="3109" spans="1:5" x14ac:dyDescent="0.25">
      <c r="A3109" s="940">
        <v>3490</v>
      </c>
      <c r="B3109" s="940">
        <v>0</v>
      </c>
      <c r="C3109" t="s">
        <v>7746</v>
      </c>
      <c r="D3109" s="940" t="s">
        <v>3661</v>
      </c>
      <c r="E3109" t="s">
        <v>74</v>
      </c>
    </row>
    <row r="3110" spans="1:5" x14ac:dyDescent="0.25">
      <c r="A3110" s="940">
        <v>1304</v>
      </c>
      <c r="B3110" s="940">
        <v>135</v>
      </c>
      <c r="C3110" t="s">
        <v>7747</v>
      </c>
      <c r="D3110" s="940" t="s">
        <v>7748</v>
      </c>
      <c r="E3110" t="s">
        <v>128</v>
      </c>
    </row>
    <row r="3111" spans="1:5" x14ac:dyDescent="0.25">
      <c r="A3111" s="940">
        <v>178</v>
      </c>
      <c r="B3111" s="940">
        <v>927</v>
      </c>
      <c r="C3111" t="s">
        <v>7749</v>
      </c>
      <c r="D3111" s="940" t="s">
        <v>7750</v>
      </c>
      <c r="E3111" t="s">
        <v>120</v>
      </c>
    </row>
    <row r="3112" spans="1:5" x14ac:dyDescent="0.25">
      <c r="A3112" s="940">
        <v>681</v>
      </c>
      <c r="B3112" s="940">
        <v>358</v>
      </c>
      <c r="C3112" t="s">
        <v>2149</v>
      </c>
      <c r="D3112" s="940" t="s">
        <v>3630</v>
      </c>
      <c r="E3112" t="s">
        <v>105</v>
      </c>
    </row>
    <row r="3113" spans="1:5" x14ac:dyDescent="0.25">
      <c r="A3113" s="940">
        <v>1898</v>
      </c>
      <c r="B3113" s="940">
        <v>64</v>
      </c>
      <c r="C3113" t="s">
        <v>2149</v>
      </c>
      <c r="D3113" s="940" t="s">
        <v>4603</v>
      </c>
      <c r="E3113" t="s">
        <v>213</v>
      </c>
    </row>
    <row r="3114" spans="1:5" x14ac:dyDescent="0.25">
      <c r="A3114" s="940">
        <v>2959</v>
      </c>
      <c r="B3114" s="940">
        <v>9</v>
      </c>
      <c r="C3114" t="s">
        <v>7751</v>
      </c>
      <c r="D3114" s="940" t="s">
        <v>5039</v>
      </c>
      <c r="E3114" t="s">
        <v>1372</v>
      </c>
    </row>
    <row r="3115" spans="1:5" x14ac:dyDescent="0.25">
      <c r="A3115" s="940">
        <v>1701</v>
      </c>
      <c r="B3115" s="940">
        <v>83</v>
      </c>
      <c r="C3115" t="s">
        <v>7752</v>
      </c>
      <c r="D3115" s="940" t="s">
        <v>7753</v>
      </c>
      <c r="E3115" t="s">
        <v>132</v>
      </c>
    </row>
    <row r="3116" spans="1:5" x14ac:dyDescent="0.25">
      <c r="A3116" s="940">
        <v>3490</v>
      </c>
      <c r="B3116" s="940">
        <v>0</v>
      </c>
      <c r="C3116" t="s">
        <v>7754</v>
      </c>
      <c r="D3116" s="940" t="s">
        <v>7755</v>
      </c>
      <c r="E3116" t="s">
        <v>120</v>
      </c>
    </row>
    <row r="3117" spans="1:5" x14ac:dyDescent="0.25">
      <c r="A3117" s="940">
        <v>843</v>
      </c>
      <c r="B3117" s="940">
        <v>276</v>
      </c>
      <c r="C3117" t="s">
        <v>2151</v>
      </c>
      <c r="D3117" s="940" t="s">
        <v>7756</v>
      </c>
      <c r="E3117" t="s">
        <v>105</v>
      </c>
    </row>
    <row r="3118" spans="1:5" x14ac:dyDescent="0.25">
      <c r="A3118" s="940">
        <v>131</v>
      </c>
      <c r="B3118" s="940">
        <v>1015</v>
      </c>
      <c r="C3118" t="s">
        <v>7757</v>
      </c>
      <c r="D3118" s="940" t="s">
        <v>7758</v>
      </c>
      <c r="E3118" t="s">
        <v>120</v>
      </c>
    </row>
    <row r="3119" spans="1:5" x14ac:dyDescent="0.25">
      <c r="A3119" s="940">
        <v>1913</v>
      </c>
      <c r="B3119" s="940">
        <v>63</v>
      </c>
      <c r="C3119" t="s">
        <v>7759</v>
      </c>
      <c r="D3119" s="940" t="s">
        <v>7760</v>
      </c>
      <c r="E3119" t="s">
        <v>139</v>
      </c>
    </row>
    <row r="3120" spans="1:5" x14ac:dyDescent="0.25">
      <c r="A3120" s="940">
        <v>878</v>
      </c>
      <c r="B3120" s="940">
        <v>261</v>
      </c>
      <c r="C3120" t="s">
        <v>579</v>
      </c>
      <c r="D3120" s="940" t="s">
        <v>7761</v>
      </c>
      <c r="E3120" t="s">
        <v>127</v>
      </c>
    </row>
    <row r="3121" spans="1:5" x14ac:dyDescent="0.25">
      <c r="A3121" s="940">
        <v>130</v>
      </c>
      <c r="B3121" s="940">
        <v>1018</v>
      </c>
      <c r="C3121" t="s">
        <v>7762</v>
      </c>
      <c r="D3121" s="940" t="s">
        <v>7763</v>
      </c>
      <c r="E3121" t="s">
        <v>105</v>
      </c>
    </row>
    <row r="3122" spans="1:5" x14ac:dyDescent="0.25">
      <c r="A3122" s="940">
        <v>111</v>
      </c>
      <c r="B3122" s="940">
        <v>1083</v>
      </c>
      <c r="C3122" t="s">
        <v>7764</v>
      </c>
      <c r="D3122" s="940" t="s">
        <v>7765</v>
      </c>
      <c r="E3122" t="s">
        <v>120</v>
      </c>
    </row>
    <row r="3123" spans="1:5" x14ac:dyDescent="0.25">
      <c r="A3123" s="940">
        <v>2381</v>
      </c>
      <c r="B3123" s="940">
        <v>31</v>
      </c>
      <c r="C3123" t="s">
        <v>7766</v>
      </c>
      <c r="D3123" s="940" t="s">
        <v>5561</v>
      </c>
      <c r="E3123" t="s">
        <v>105</v>
      </c>
    </row>
    <row r="3124" spans="1:5" x14ac:dyDescent="0.25">
      <c r="A3124" s="940">
        <v>1433</v>
      </c>
      <c r="B3124" s="940">
        <v>115</v>
      </c>
      <c r="C3124" t="s">
        <v>2155</v>
      </c>
      <c r="D3124" s="940" t="s">
        <v>7767</v>
      </c>
      <c r="E3124" t="s">
        <v>105</v>
      </c>
    </row>
    <row r="3125" spans="1:5" x14ac:dyDescent="0.25">
      <c r="A3125" s="940">
        <v>3265</v>
      </c>
      <c r="B3125" s="940">
        <v>3</v>
      </c>
      <c r="C3125" t="s">
        <v>7768</v>
      </c>
      <c r="D3125" s="940" t="s">
        <v>4670</v>
      </c>
      <c r="E3125" t="s">
        <v>2735</v>
      </c>
    </row>
    <row r="3126" spans="1:5" x14ac:dyDescent="0.25">
      <c r="A3126" s="940">
        <v>3265</v>
      </c>
      <c r="B3126" s="940">
        <v>3</v>
      </c>
      <c r="C3126" t="s">
        <v>7769</v>
      </c>
      <c r="D3126" s="940" t="s">
        <v>3818</v>
      </c>
      <c r="E3126" t="s">
        <v>661</v>
      </c>
    </row>
    <row r="3127" spans="1:5" x14ac:dyDescent="0.25">
      <c r="A3127" s="940">
        <v>3265</v>
      </c>
      <c r="B3127" s="940">
        <v>3</v>
      </c>
      <c r="C3127" t="s">
        <v>7770</v>
      </c>
      <c r="D3127" s="940" t="s">
        <v>7771</v>
      </c>
      <c r="E3127" t="s">
        <v>74</v>
      </c>
    </row>
    <row r="3128" spans="1:5" x14ac:dyDescent="0.25">
      <c r="A3128" s="940">
        <v>1574</v>
      </c>
      <c r="B3128" s="940">
        <v>98</v>
      </c>
      <c r="C3128" t="s">
        <v>7772</v>
      </c>
      <c r="D3128" s="940" t="s">
        <v>7773</v>
      </c>
      <c r="E3128" t="s">
        <v>1456</v>
      </c>
    </row>
    <row r="3129" spans="1:5" x14ac:dyDescent="0.25">
      <c r="A3129" s="940">
        <v>3490</v>
      </c>
      <c r="B3129" s="940">
        <v>0</v>
      </c>
      <c r="C3129" t="s">
        <v>7774</v>
      </c>
      <c r="D3129" s="940" t="s">
        <v>3963</v>
      </c>
      <c r="E3129" t="s">
        <v>74</v>
      </c>
    </row>
    <row r="3130" spans="1:5" x14ac:dyDescent="0.25">
      <c r="A3130" s="940">
        <v>2405</v>
      </c>
      <c r="B3130" s="940">
        <v>30</v>
      </c>
      <c r="C3130" t="s">
        <v>7775</v>
      </c>
      <c r="D3130" s="940" t="s">
        <v>4215</v>
      </c>
      <c r="E3130" t="s">
        <v>105</v>
      </c>
    </row>
    <row r="3131" spans="1:5" x14ac:dyDescent="0.25">
      <c r="A3131" s="940">
        <v>2515</v>
      </c>
      <c r="B3131" s="940">
        <v>24</v>
      </c>
      <c r="C3131" t="s">
        <v>7776</v>
      </c>
      <c r="D3131" s="940" t="s">
        <v>7777</v>
      </c>
      <c r="E3131" t="s">
        <v>126</v>
      </c>
    </row>
    <row r="3132" spans="1:5" x14ac:dyDescent="0.25">
      <c r="A3132" s="940">
        <v>3490</v>
      </c>
      <c r="B3132" s="940">
        <v>0</v>
      </c>
      <c r="C3132" t="s">
        <v>7778</v>
      </c>
      <c r="D3132" s="940" t="s">
        <v>3045</v>
      </c>
      <c r="E3132" t="s">
        <v>7474</v>
      </c>
    </row>
    <row r="3133" spans="1:5" x14ac:dyDescent="0.25">
      <c r="A3133" s="940">
        <v>3395</v>
      </c>
      <c r="B3133" s="940">
        <v>1</v>
      </c>
      <c r="C3133" t="s">
        <v>7779</v>
      </c>
      <c r="D3133" s="940" t="s">
        <v>7780</v>
      </c>
      <c r="E3133" t="s">
        <v>251</v>
      </c>
    </row>
    <row r="3134" spans="1:5" x14ac:dyDescent="0.25">
      <c r="A3134" s="940">
        <v>2484</v>
      </c>
      <c r="B3134" s="940">
        <v>26</v>
      </c>
      <c r="C3134" t="s">
        <v>7781</v>
      </c>
      <c r="D3134" s="940" t="s">
        <v>7782</v>
      </c>
      <c r="E3134" t="s">
        <v>2660</v>
      </c>
    </row>
    <row r="3135" spans="1:5" x14ac:dyDescent="0.25">
      <c r="A3135" s="940">
        <v>1672</v>
      </c>
      <c r="B3135" s="940">
        <v>86</v>
      </c>
      <c r="C3135" t="s">
        <v>7783</v>
      </c>
      <c r="D3135" s="940" t="s">
        <v>7784</v>
      </c>
      <c r="E3135" t="s">
        <v>179</v>
      </c>
    </row>
    <row r="3136" spans="1:5" x14ac:dyDescent="0.25">
      <c r="A3136" s="940">
        <v>3141</v>
      </c>
      <c r="B3136" s="940">
        <v>5</v>
      </c>
      <c r="C3136" t="s">
        <v>7785</v>
      </c>
      <c r="D3136" s="940" t="s">
        <v>4753</v>
      </c>
      <c r="E3136" t="s">
        <v>179</v>
      </c>
    </row>
    <row r="3137" spans="1:5" x14ac:dyDescent="0.25">
      <c r="A3137" s="940">
        <v>3045</v>
      </c>
      <c r="B3137" s="940">
        <v>7</v>
      </c>
      <c r="C3137" t="s">
        <v>7786</v>
      </c>
      <c r="D3137" s="940" t="s">
        <v>3420</v>
      </c>
      <c r="E3137" t="s">
        <v>130</v>
      </c>
    </row>
    <row r="3138" spans="1:5" x14ac:dyDescent="0.25">
      <c r="A3138" s="940">
        <v>1898</v>
      </c>
      <c r="B3138" s="940">
        <v>64</v>
      </c>
      <c r="C3138" t="s">
        <v>7787</v>
      </c>
      <c r="D3138" s="940" t="s">
        <v>4545</v>
      </c>
      <c r="E3138" t="s">
        <v>4667</v>
      </c>
    </row>
    <row r="3139" spans="1:5" x14ac:dyDescent="0.25">
      <c r="A3139" s="940">
        <v>2959</v>
      </c>
      <c r="B3139" s="940">
        <v>9</v>
      </c>
      <c r="C3139" t="s">
        <v>7788</v>
      </c>
      <c r="D3139" s="940" t="s">
        <v>3640</v>
      </c>
      <c r="E3139" t="s">
        <v>1198</v>
      </c>
    </row>
    <row r="3140" spans="1:5" x14ac:dyDescent="0.25">
      <c r="A3140" s="940">
        <v>3327</v>
      </c>
      <c r="B3140" s="940">
        <v>2</v>
      </c>
      <c r="C3140" t="s">
        <v>7789</v>
      </c>
      <c r="D3140" s="940" t="s">
        <v>7790</v>
      </c>
      <c r="E3140" t="s">
        <v>120</v>
      </c>
    </row>
    <row r="3141" spans="1:5" x14ac:dyDescent="0.25">
      <c r="A3141" s="940">
        <v>1417</v>
      </c>
      <c r="B3141" s="940">
        <v>117</v>
      </c>
      <c r="C3141" t="s">
        <v>7791</v>
      </c>
      <c r="D3141" s="940" t="s">
        <v>5938</v>
      </c>
      <c r="E3141" t="s">
        <v>109</v>
      </c>
    </row>
    <row r="3142" spans="1:5" x14ac:dyDescent="0.25">
      <c r="A3142" s="940">
        <v>2714</v>
      </c>
      <c r="B3142" s="940">
        <v>16</v>
      </c>
      <c r="C3142" t="s">
        <v>7792</v>
      </c>
      <c r="D3142" s="940" t="s">
        <v>2763</v>
      </c>
      <c r="E3142" t="s">
        <v>74</v>
      </c>
    </row>
    <row r="3143" spans="1:5" x14ac:dyDescent="0.25">
      <c r="A3143" s="940">
        <v>2996</v>
      </c>
      <c r="B3143" s="940">
        <v>8</v>
      </c>
      <c r="C3143" t="s">
        <v>7793</v>
      </c>
      <c r="D3143" s="940" t="s">
        <v>7794</v>
      </c>
      <c r="E3143" t="s">
        <v>122</v>
      </c>
    </row>
    <row r="3144" spans="1:5" x14ac:dyDescent="0.25">
      <c r="A3144" s="940">
        <v>751</v>
      </c>
      <c r="B3144" s="940">
        <v>319</v>
      </c>
      <c r="C3144" t="s">
        <v>7795</v>
      </c>
      <c r="D3144" s="940" t="s">
        <v>7796</v>
      </c>
      <c r="E3144" t="s">
        <v>7797</v>
      </c>
    </row>
    <row r="3145" spans="1:5" x14ac:dyDescent="0.25">
      <c r="A3145" s="940">
        <v>3490</v>
      </c>
      <c r="B3145" s="940">
        <v>0</v>
      </c>
      <c r="C3145" t="s">
        <v>7798</v>
      </c>
      <c r="D3145" s="940" t="s">
        <v>3656</v>
      </c>
      <c r="E3145" t="s">
        <v>130</v>
      </c>
    </row>
    <row r="3146" spans="1:5" x14ac:dyDescent="0.25">
      <c r="A3146" s="940">
        <v>943</v>
      </c>
      <c r="B3146" s="940">
        <v>240</v>
      </c>
      <c r="C3146" t="s">
        <v>7799</v>
      </c>
      <c r="D3146" s="940" t="s">
        <v>7800</v>
      </c>
      <c r="E3146" t="s">
        <v>2672</v>
      </c>
    </row>
    <row r="3147" spans="1:5" x14ac:dyDescent="0.25">
      <c r="A3147" s="940">
        <v>2996</v>
      </c>
      <c r="B3147" s="940">
        <v>8</v>
      </c>
      <c r="C3147" t="s">
        <v>7801</v>
      </c>
      <c r="D3147" s="940" t="s">
        <v>7802</v>
      </c>
      <c r="E3147" t="s">
        <v>99</v>
      </c>
    </row>
    <row r="3148" spans="1:5" x14ac:dyDescent="0.25">
      <c r="A3148" s="940">
        <v>3490</v>
      </c>
      <c r="B3148" s="940">
        <v>0</v>
      </c>
      <c r="C3148" t="s">
        <v>7803</v>
      </c>
      <c r="D3148" s="940" t="s">
        <v>7804</v>
      </c>
      <c r="E3148" t="s">
        <v>163</v>
      </c>
    </row>
    <row r="3149" spans="1:5" x14ac:dyDescent="0.25">
      <c r="A3149" s="940">
        <v>1400</v>
      </c>
      <c r="B3149" s="940">
        <v>120</v>
      </c>
      <c r="C3149" t="s">
        <v>7805</v>
      </c>
      <c r="D3149" s="940" t="s">
        <v>3189</v>
      </c>
      <c r="E3149" t="s">
        <v>3383</v>
      </c>
    </row>
    <row r="3150" spans="1:5" x14ac:dyDescent="0.25">
      <c r="A3150" s="940">
        <v>2883</v>
      </c>
      <c r="B3150" s="940">
        <v>11</v>
      </c>
      <c r="C3150" t="s">
        <v>7806</v>
      </c>
      <c r="D3150" s="940" t="s">
        <v>6670</v>
      </c>
      <c r="E3150" t="s">
        <v>120</v>
      </c>
    </row>
    <row r="3151" spans="1:5" x14ac:dyDescent="0.25">
      <c r="A3151" s="940">
        <v>3490</v>
      </c>
      <c r="B3151" s="940">
        <v>0</v>
      </c>
      <c r="C3151" t="s">
        <v>7807</v>
      </c>
      <c r="D3151" s="940" t="s">
        <v>7808</v>
      </c>
      <c r="E3151" t="s">
        <v>120</v>
      </c>
    </row>
    <row r="3152" spans="1:5" x14ac:dyDescent="0.25">
      <c r="A3152" s="940">
        <v>3490</v>
      </c>
      <c r="B3152" s="940">
        <v>0</v>
      </c>
      <c r="C3152" t="s">
        <v>7809</v>
      </c>
      <c r="D3152" s="940" t="s">
        <v>7810</v>
      </c>
      <c r="E3152" t="s">
        <v>469</v>
      </c>
    </row>
    <row r="3153" spans="1:5" x14ac:dyDescent="0.25">
      <c r="A3153" s="940">
        <v>498</v>
      </c>
      <c r="B3153" s="940">
        <v>471</v>
      </c>
      <c r="C3153" t="s">
        <v>7811</v>
      </c>
      <c r="D3153" s="940" t="s">
        <v>7563</v>
      </c>
      <c r="E3153" t="s">
        <v>80</v>
      </c>
    </row>
    <row r="3154" spans="1:5" x14ac:dyDescent="0.25">
      <c r="A3154" s="940">
        <v>3490</v>
      </c>
      <c r="B3154" s="940">
        <v>0</v>
      </c>
      <c r="C3154" t="s">
        <v>7812</v>
      </c>
      <c r="D3154" s="940" t="s">
        <v>7813</v>
      </c>
      <c r="E3154" t="s">
        <v>144</v>
      </c>
    </row>
    <row r="3155" spans="1:5" x14ac:dyDescent="0.25">
      <c r="A3155" s="940">
        <v>3490</v>
      </c>
      <c r="B3155" s="940">
        <v>0</v>
      </c>
      <c r="C3155" t="s">
        <v>7814</v>
      </c>
      <c r="D3155" s="940" t="s">
        <v>3808</v>
      </c>
      <c r="E3155" t="s">
        <v>74</v>
      </c>
    </row>
    <row r="3156" spans="1:5" x14ac:dyDescent="0.25">
      <c r="A3156" s="940">
        <v>2782</v>
      </c>
      <c r="B3156" s="940">
        <v>14</v>
      </c>
      <c r="C3156" t="s">
        <v>7815</v>
      </c>
      <c r="D3156" s="940" t="s">
        <v>7505</v>
      </c>
      <c r="E3156" t="s">
        <v>119</v>
      </c>
    </row>
    <row r="3157" spans="1:5" x14ac:dyDescent="0.25">
      <c r="A3157" s="940">
        <v>2996</v>
      </c>
      <c r="B3157" s="940">
        <v>8</v>
      </c>
      <c r="C3157" t="s">
        <v>7816</v>
      </c>
      <c r="D3157" s="940" t="s">
        <v>7817</v>
      </c>
      <c r="E3157" t="s">
        <v>7818</v>
      </c>
    </row>
    <row r="3158" spans="1:5" x14ac:dyDescent="0.25">
      <c r="A3158" s="940">
        <v>98</v>
      </c>
      <c r="B3158" s="940">
        <v>1113</v>
      </c>
      <c r="C3158" t="s">
        <v>7819</v>
      </c>
      <c r="D3158" s="940" t="s">
        <v>7820</v>
      </c>
      <c r="E3158" t="s">
        <v>138</v>
      </c>
    </row>
    <row r="3159" spans="1:5" x14ac:dyDescent="0.25">
      <c r="A3159" s="940">
        <v>804</v>
      </c>
      <c r="B3159" s="940">
        <v>295</v>
      </c>
      <c r="C3159" t="s">
        <v>7821</v>
      </c>
      <c r="D3159" s="940" t="s">
        <v>7822</v>
      </c>
      <c r="E3159" t="s">
        <v>5527</v>
      </c>
    </row>
    <row r="3160" spans="1:5" x14ac:dyDescent="0.25">
      <c r="A3160" s="940">
        <v>3490</v>
      </c>
      <c r="B3160" s="940">
        <v>0</v>
      </c>
      <c r="C3160" t="s">
        <v>7823</v>
      </c>
      <c r="D3160" s="940" t="s">
        <v>4392</v>
      </c>
      <c r="E3160" t="s">
        <v>111</v>
      </c>
    </row>
    <row r="3161" spans="1:5" x14ac:dyDescent="0.25">
      <c r="A3161" s="940">
        <v>1462</v>
      </c>
      <c r="B3161" s="940">
        <v>111</v>
      </c>
      <c r="C3161" t="s">
        <v>7824</v>
      </c>
      <c r="D3161" s="940" t="s">
        <v>5850</v>
      </c>
      <c r="E3161" t="s">
        <v>1156</v>
      </c>
    </row>
    <row r="3162" spans="1:5" x14ac:dyDescent="0.25">
      <c r="A3162" s="940">
        <v>2256</v>
      </c>
      <c r="B3162" s="940">
        <v>39</v>
      </c>
      <c r="C3162" t="s">
        <v>7824</v>
      </c>
      <c r="D3162" s="940" t="s">
        <v>3501</v>
      </c>
      <c r="E3162" t="s">
        <v>105</v>
      </c>
    </row>
    <row r="3163" spans="1:5" x14ac:dyDescent="0.25">
      <c r="A3163" s="940">
        <v>3490</v>
      </c>
      <c r="B3163" s="940">
        <v>0</v>
      </c>
      <c r="C3163" t="s">
        <v>7824</v>
      </c>
      <c r="D3163" s="940" t="s">
        <v>7790</v>
      </c>
      <c r="E3163" t="s">
        <v>1171</v>
      </c>
    </row>
    <row r="3164" spans="1:5" x14ac:dyDescent="0.25">
      <c r="A3164" s="940">
        <v>3490</v>
      </c>
      <c r="B3164" s="940">
        <v>0</v>
      </c>
      <c r="C3164" t="s">
        <v>7825</v>
      </c>
      <c r="D3164" s="940" t="s">
        <v>7826</v>
      </c>
      <c r="E3164" t="s">
        <v>105</v>
      </c>
    </row>
    <row r="3165" spans="1:5" x14ac:dyDescent="0.25">
      <c r="A3165" s="940">
        <v>3490</v>
      </c>
      <c r="B3165" s="940">
        <v>0</v>
      </c>
      <c r="C3165" t="s">
        <v>7827</v>
      </c>
      <c r="D3165" s="940" t="s">
        <v>7828</v>
      </c>
      <c r="E3165" t="s">
        <v>1290</v>
      </c>
    </row>
    <row r="3166" spans="1:5" x14ac:dyDescent="0.25">
      <c r="A3166" s="940">
        <v>285</v>
      </c>
      <c r="B3166" s="940">
        <v>738</v>
      </c>
      <c r="C3166" t="s">
        <v>7829</v>
      </c>
      <c r="D3166" s="940" t="s">
        <v>7830</v>
      </c>
      <c r="E3166" t="s">
        <v>120</v>
      </c>
    </row>
    <row r="3167" spans="1:5" x14ac:dyDescent="0.25">
      <c r="A3167" s="940">
        <v>3</v>
      </c>
      <c r="B3167" s="940">
        <v>1677</v>
      </c>
      <c r="C3167" t="s">
        <v>7831</v>
      </c>
      <c r="D3167" s="940" t="s">
        <v>7832</v>
      </c>
      <c r="E3167" t="s">
        <v>1427</v>
      </c>
    </row>
    <row r="3168" spans="1:5" x14ac:dyDescent="0.25">
      <c r="A3168" s="940">
        <v>109</v>
      </c>
      <c r="B3168" s="940">
        <v>1094</v>
      </c>
      <c r="C3168" t="s">
        <v>7833</v>
      </c>
      <c r="D3168" s="940" t="s">
        <v>7834</v>
      </c>
      <c r="E3168" t="s">
        <v>74</v>
      </c>
    </row>
    <row r="3169" spans="1:5" x14ac:dyDescent="0.25">
      <c r="A3169" s="940">
        <v>3490</v>
      </c>
      <c r="B3169" s="940">
        <v>0</v>
      </c>
      <c r="C3169" t="s">
        <v>7835</v>
      </c>
      <c r="D3169" s="940" t="s">
        <v>3764</v>
      </c>
      <c r="E3169" t="s">
        <v>120</v>
      </c>
    </row>
    <row r="3170" spans="1:5" x14ac:dyDescent="0.25">
      <c r="A3170" s="940">
        <v>1339</v>
      </c>
      <c r="B3170" s="940">
        <v>128</v>
      </c>
      <c r="C3170" t="s">
        <v>7836</v>
      </c>
      <c r="D3170" s="940" t="s">
        <v>3307</v>
      </c>
      <c r="E3170" t="s">
        <v>120</v>
      </c>
    </row>
    <row r="3171" spans="1:5" x14ac:dyDescent="0.25">
      <c r="A3171" s="940">
        <v>1514</v>
      </c>
      <c r="B3171" s="940">
        <v>104</v>
      </c>
      <c r="C3171" t="s">
        <v>7837</v>
      </c>
      <c r="D3171" s="940" t="s">
        <v>4302</v>
      </c>
      <c r="E3171" t="s">
        <v>1507</v>
      </c>
    </row>
    <row r="3172" spans="1:5" x14ac:dyDescent="0.25">
      <c r="A3172" s="940">
        <v>3490</v>
      </c>
      <c r="B3172" s="940">
        <v>0</v>
      </c>
      <c r="C3172" t="s">
        <v>7838</v>
      </c>
      <c r="D3172" s="940" t="s">
        <v>3686</v>
      </c>
      <c r="E3172" t="s">
        <v>105</v>
      </c>
    </row>
    <row r="3173" spans="1:5" x14ac:dyDescent="0.25">
      <c r="A3173" s="940">
        <v>435</v>
      </c>
      <c r="B3173" s="940">
        <v>537</v>
      </c>
      <c r="C3173" t="s">
        <v>7839</v>
      </c>
      <c r="D3173" s="940" t="s">
        <v>7840</v>
      </c>
      <c r="E3173" t="s">
        <v>1311</v>
      </c>
    </row>
    <row r="3174" spans="1:5" x14ac:dyDescent="0.25">
      <c r="A3174" s="940">
        <v>3196</v>
      </c>
      <c r="B3174" s="940">
        <v>4</v>
      </c>
      <c r="C3174" t="s">
        <v>7841</v>
      </c>
      <c r="D3174" s="940" t="s">
        <v>7842</v>
      </c>
      <c r="E3174" t="s">
        <v>7843</v>
      </c>
    </row>
    <row r="3175" spans="1:5" x14ac:dyDescent="0.25">
      <c r="A3175" s="940">
        <v>194</v>
      </c>
      <c r="B3175" s="940">
        <v>903</v>
      </c>
      <c r="C3175" t="s">
        <v>7844</v>
      </c>
      <c r="D3175" s="940" t="s">
        <v>7845</v>
      </c>
      <c r="E3175" t="s">
        <v>99</v>
      </c>
    </row>
    <row r="3176" spans="1:5" x14ac:dyDescent="0.25">
      <c r="A3176" s="940">
        <v>2187</v>
      </c>
      <c r="B3176" s="940">
        <v>43</v>
      </c>
      <c r="C3176" t="s">
        <v>7846</v>
      </c>
      <c r="D3176" s="940" t="s">
        <v>7063</v>
      </c>
      <c r="E3176" t="s">
        <v>1275</v>
      </c>
    </row>
    <row r="3177" spans="1:5" x14ac:dyDescent="0.25">
      <c r="A3177" s="940">
        <v>3490</v>
      </c>
      <c r="B3177" s="940">
        <v>0</v>
      </c>
      <c r="C3177" t="s">
        <v>7847</v>
      </c>
      <c r="D3177" s="940" t="s">
        <v>3818</v>
      </c>
      <c r="E3177" t="s">
        <v>1192</v>
      </c>
    </row>
    <row r="3178" spans="1:5" x14ac:dyDescent="0.25">
      <c r="A3178" s="940">
        <v>524</v>
      </c>
      <c r="B3178" s="940">
        <v>447</v>
      </c>
      <c r="C3178" t="s">
        <v>7848</v>
      </c>
      <c r="D3178" s="940" t="s">
        <v>7849</v>
      </c>
      <c r="E3178" t="s">
        <v>132</v>
      </c>
    </row>
    <row r="3179" spans="1:5" x14ac:dyDescent="0.25">
      <c r="A3179" s="940">
        <v>3490</v>
      </c>
      <c r="B3179" s="940">
        <v>0</v>
      </c>
      <c r="C3179" t="s">
        <v>7850</v>
      </c>
      <c r="D3179" s="940" t="s">
        <v>7851</v>
      </c>
      <c r="E3179" t="s">
        <v>257</v>
      </c>
    </row>
    <row r="3180" spans="1:5" x14ac:dyDescent="0.25">
      <c r="A3180" s="940">
        <v>2461</v>
      </c>
      <c r="B3180" s="940">
        <v>27</v>
      </c>
      <c r="C3180" t="s">
        <v>7852</v>
      </c>
      <c r="D3180" s="940" t="s">
        <v>7853</v>
      </c>
      <c r="E3180" t="s">
        <v>105</v>
      </c>
    </row>
    <row r="3181" spans="1:5" x14ac:dyDescent="0.25">
      <c r="A3181" s="940">
        <v>3490</v>
      </c>
      <c r="B3181" s="940">
        <v>0</v>
      </c>
      <c r="C3181" t="s">
        <v>7854</v>
      </c>
      <c r="D3181" s="940" t="s">
        <v>7855</v>
      </c>
      <c r="E3181" t="s">
        <v>469</v>
      </c>
    </row>
    <row r="3182" spans="1:5" x14ac:dyDescent="0.25">
      <c r="A3182" s="940">
        <v>2558</v>
      </c>
      <c r="B3182" s="940">
        <v>22</v>
      </c>
      <c r="C3182" t="s">
        <v>7856</v>
      </c>
      <c r="D3182" s="940" t="s">
        <v>7857</v>
      </c>
      <c r="E3182" t="s">
        <v>2550</v>
      </c>
    </row>
    <row r="3183" spans="1:5" x14ac:dyDescent="0.25">
      <c r="A3183" s="940">
        <v>2814</v>
      </c>
      <c r="B3183" s="940">
        <v>13</v>
      </c>
      <c r="C3183" t="s">
        <v>7858</v>
      </c>
      <c r="D3183" s="940" t="s">
        <v>2848</v>
      </c>
      <c r="E3183" t="s">
        <v>1590</v>
      </c>
    </row>
    <row r="3184" spans="1:5" x14ac:dyDescent="0.25">
      <c r="A3184" s="940">
        <v>3490</v>
      </c>
      <c r="B3184" s="940">
        <v>0</v>
      </c>
      <c r="C3184" t="s">
        <v>7859</v>
      </c>
      <c r="D3184" s="940" t="s">
        <v>2753</v>
      </c>
      <c r="E3184" t="s">
        <v>120</v>
      </c>
    </row>
    <row r="3185" spans="1:5" x14ac:dyDescent="0.25">
      <c r="A3185" s="940">
        <v>2416</v>
      </c>
      <c r="B3185" s="940">
        <v>29</v>
      </c>
      <c r="C3185" t="s">
        <v>7860</v>
      </c>
      <c r="D3185" s="940" t="s">
        <v>4780</v>
      </c>
      <c r="E3185" t="s">
        <v>6003</v>
      </c>
    </row>
    <row r="3186" spans="1:5" x14ac:dyDescent="0.25">
      <c r="A3186" s="940">
        <v>229</v>
      </c>
      <c r="B3186" s="940">
        <v>853</v>
      </c>
      <c r="C3186" t="s">
        <v>7861</v>
      </c>
      <c r="D3186" s="940" t="s">
        <v>7862</v>
      </c>
      <c r="E3186" t="s">
        <v>1286</v>
      </c>
    </row>
    <row r="3187" spans="1:5" x14ac:dyDescent="0.25">
      <c r="A3187" s="940">
        <v>2004</v>
      </c>
      <c r="B3187" s="940">
        <v>55</v>
      </c>
      <c r="C3187" t="s">
        <v>7863</v>
      </c>
      <c r="D3187" s="940" t="s">
        <v>4830</v>
      </c>
      <c r="E3187" t="s">
        <v>138</v>
      </c>
    </row>
    <row r="3188" spans="1:5" x14ac:dyDescent="0.25">
      <c r="A3188" s="940">
        <v>2839</v>
      </c>
      <c r="B3188" s="940">
        <v>12</v>
      </c>
      <c r="C3188" t="s">
        <v>7864</v>
      </c>
      <c r="D3188" s="940" t="s">
        <v>7865</v>
      </c>
      <c r="E3188" t="s">
        <v>130</v>
      </c>
    </row>
    <row r="3189" spans="1:5" x14ac:dyDescent="0.25">
      <c r="A3189" s="940">
        <v>1287</v>
      </c>
      <c r="B3189" s="940">
        <v>138</v>
      </c>
      <c r="C3189" t="s">
        <v>7866</v>
      </c>
      <c r="D3189" s="940" t="s">
        <v>5118</v>
      </c>
      <c r="E3189" t="s">
        <v>105</v>
      </c>
    </row>
    <row r="3190" spans="1:5" x14ac:dyDescent="0.25">
      <c r="A3190" s="940">
        <v>3490</v>
      </c>
      <c r="B3190" s="940">
        <v>0</v>
      </c>
      <c r="C3190" t="s">
        <v>7867</v>
      </c>
      <c r="D3190" s="940" t="s">
        <v>5317</v>
      </c>
      <c r="E3190" t="s">
        <v>2970</v>
      </c>
    </row>
    <row r="3191" spans="1:5" x14ac:dyDescent="0.25">
      <c r="A3191" s="940">
        <v>938</v>
      </c>
      <c r="B3191" s="940">
        <v>243</v>
      </c>
      <c r="C3191" t="s">
        <v>7868</v>
      </c>
      <c r="D3191" s="940" t="s">
        <v>7869</v>
      </c>
      <c r="E3191" t="s">
        <v>75</v>
      </c>
    </row>
    <row r="3192" spans="1:5" x14ac:dyDescent="0.25">
      <c r="A3192" s="940">
        <v>760</v>
      </c>
      <c r="B3192" s="940">
        <v>313</v>
      </c>
      <c r="C3192" t="s">
        <v>7870</v>
      </c>
      <c r="D3192" s="940" t="s">
        <v>7871</v>
      </c>
      <c r="E3192" t="s">
        <v>4667</v>
      </c>
    </row>
    <row r="3193" spans="1:5" x14ac:dyDescent="0.25">
      <c r="A3193" s="940">
        <v>2959</v>
      </c>
      <c r="B3193" s="940">
        <v>9</v>
      </c>
      <c r="C3193" t="s">
        <v>7872</v>
      </c>
      <c r="D3193" s="940" t="s">
        <v>7873</v>
      </c>
      <c r="E3193" t="s">
        <v>128</v>
      </c>
    </row>
    <row r="3194" spans="1:5" x14ac:dyDescent="0.25">
      <c r="A3194" s="940">
        <v>1872</v>
      </c>
      <c r="B3194" s="940">
        <v>66</v>
      </c>
      <c r="C3194" t="s">
        <v>7874</v>
      </c>
      <c r="D3194" s="940" t="s">
        <v>2835</v>
      </c>
      <c r="E3194" t="s">
        <v>74</v>
      </c>
    </row>
    <row r="3195" spans="1:5" x14ac:dyDescent="0.25">
      <c r="A3195" s="940">
        <v>406</v>
      </c>
      <c r="B3195" s="940">
        <v>564</v>
      </c>
      <c r="C3195" t="s">
        <v>7875</v>
      </c>
      <c r="D3195" s="940" t="s">
        <v>7876</v>
      </c>
      <c r="E3195" t="s">
        <v>163</v>
      </c>
    </row>
    <row r="3196" spans="1:5" x14ac:dyDescent="0.25">
      <c r="A3196" s="940">
        <v>3395</v>
      </c>
      <c r="B3196" s="940">
        <v>1</v>
      </c>
      <c r="C3196" t="s">
        <v>7877</v>
      </c>
      <c r="D3196" s="940" t="s">
        <v>7878</v>
      </c>
      <c r="E3196" t="s">
        <v>74</v>
      </c>
    </row>
    <row r="3197" spans="1:5" x14ac:dyDescent="0.25">
      <c r="A3197" s="940">
        <v>2996</v>
      </c>
      <c r="B3197" s="940">
        <v>8</v>
      </c>
      <c r="C3197" t="s">
        <v>7879</v>
      </c>
      <c r="D3197" s="940" t="s">
        <v>4426</v>
      </c>
      <c r="E3197" t="s">
        <v>74</v>
      </c>
    </row>
    <row r="3198" spans="1:5" x14ac:dyDescent="0.25">
      <c r="A3198" s="940">
        <v>3490</v>
      </c>
      <c r="B3198" s="940">
        <v>0</v>
      </c>
      <c r="C3198" t="s">
        <v>7880</v>
      </c>
      <c r="D3198" s="940" t="s">
        <v>7881</v>
      </c>
      <c r="E3198" t="s">
        <v>74</v>
      </c>
    </row>
    <row r="3199" spans="1:5" x14ac:dyDescent="0.25">
      <c r="A3199" s="940">
        <v>3490</v>
      </c>
      <c r="B3199" s="940">
        <v>0</v>
      </c>
      <c r="C3199" t="s">
        <v>7882</v>
      </c>
      <c r="D3199" s="940" t="s">
        <v>4599</v>
      </c>
      <c r="E3199" t="s">
        <v>1156</v>
      </c>
    </row>
    <row r="3200" spans="1:5" x14ac:dyDescent="0.25">
      <c r="A3200" s="940">
        <v>2782</v>
      </c>
      <c r="B3200" s="940">
        <v>14</v>
      </c>
      <c r="C3200" t="s">
        <v>7883</v>
      </c>
      <c r="D3200" s="940" t="s">
        <v>4997</v>
      </c>
      <c r="E3200" t="s">
        <v>118</v>
      </c>
    </row>
    <row r="3201" spans="1:5" x14ac:dyDescent="0.25">
      <c r="A3201" s="940">
        <v>609</v>
      </c>
      <c r="B3201" s="940">
        <v>397</v>
      </c>
      <c r="C3201" t="s">
        <v>2170</v>
      </c>
      <c r="D3201" s="940" t="s">
        <v>7884</v>
      </c>
      <c r="E3201" t="s">
        <v>83</v>
      </c>
    </row>
    <row r="3202" spans="1:5" x14ac:dyDescent="0.25">
      <c r="A3202" s="940">
        <v>3395</v>
      </c>
      <c r="B3202" s="940">
        <v>1</v>
      </c>
      <c r="C3202" t="s">
        <v>7885</v>
      </c>
      <c r="D3202" s="940" t="s">
        <v>7886</v>
      </c>
      <c r="E3202" t="s">
        <v>186</v>
      </c>
    </row>
    <row r="3203" spans="1:5" x14ac:dyDescent="0.25">
      <c r="A3203" s="940">
        <v>1367</v>
      </c>
      <c r="B3203" s="940">
        <v>124</v>
      </c>
      <c r="C3203" t="s">
        <v>319</v>
      </c>
      <c r="D3203" s="940" t="s">
        <v>7887</v>
      </c>
      <c r="E3203" t="s">
        <v>105</v>
      </c>
    </row>
    <row r="3204" spans="1:5" x14ac:dyDescent="0.25">
      <c r="A3204" s="940">
        <v>3490</v>
      </c>
      <c r="B3204" s="940">
        <v>0</v>
      </c>
      <c r="C3204" t="s">
        <v>7888</v>
      </c>
      <c r="D3204" s="940" t="s">
        <v>7889</v>
      </c>
      <c r="E3204" t="s">
        <v>122</v>
      </c>
    </row>
    <row r="3205" spans="1:5" x14ac:dyDescent="0.25">
      <c r="A3205" s="940">
        <v>3490</v>
      </c>
      <c r="B3205" s="940">
        <v>0</v>
      </c>
      <c r="C3205" t="s">
        <v>7890</v>
      </c>
      <c r="D3205" s="940" t="s">
        <v>7891</v>
      </c>
      <c r="E3205" t="s">
        <v>120</v>
      </c>
    </row>
    <row r="3206" spans="1:5" x14ac:dyDescent="0.25">
      <c r="A3206" s="940">
        <v>1243</v>
      </c>
      <c r="B3206" s="940">
        <v>147</v>
      </c>
      <c r="C3206" t="s">
        <v>7892</v>
      </c>
      <c r="D3206" s="940" t="s">
        <v>7893</v>
      </c>
      <c r="E3206" t="s">
        <v>1493</v>
      </c>
    </row>
    <row r="3207" spans="1:5" x14ac:dyDescent="0.25">
      <c r="A3207" s="940">
        <v>852</v>
      </c>
      <c r="B3207" s="940">
        <v>272</v>
      </c>
      <c r="C3207" t="s">
        <v>7894</v>
      </c>
      <c r="D3207" s="940" t="s">
        <v>7895</v>
      </c>
      <c r="E3207" t="s">
        <v>1609</v>
      </c>
    </row>
    <row r="3208" spans="1:5" x14ac:dyDescent="0.25">
      <c r="A3208" s="940">
        <v>2129</v>
      </c>
      <c r="B3208" s="940">
        <v>46</v>
      </c>
      <c r="C3208" t="s">
        <v>7896</v>
      </c>
      <c r="D3208" s="940" t="s">
        <v>4091</v>
      </c>
      <c r="E3208" t="s">
        <v>1211</v>
      </c>
    </row>
    <row r="3209" spans="1:5" x14ac:dyDescent="0.25">
      <c r="A3209" s="940">
        <v>2782</v>
      </c>
      <c r="B3209" s="940">
        <v>14</v>
      </c>
      <c r="C3209" t="s">
        <v>7897</v>
      </c>
      <c r="D3209" s="940" t="s">
        <v>7898</v>
      </c>
      <c r="E3209" t="s">
        <v>6864</v>
      </c>
    </row>
    <row r="3210" spans="1:5" x14ac:dyDescent="0.25">
      <c r="A3210" s="940">
        <v>1924</v>
      </c>
      <c r="B3210" s="940">
        <v>62</v>
      </c>
      <c r="C3210" t="s">
        <v>7899</v>
      </c>
      <c r="D3210" s="940" t="s">
        <v>7900</v>
      </c>
      <c r="E3210" t="s">
        <v>105</v>
      </c>
    </row>
    <row r="3211" spans="1:5" x14ac:dyDescent="0.25">
      <c r="A3211" s="940">
        <v>801</v>
      </c>
      <c r="B3211" s="940">
        <v>297</v>
      </c>
      <c r="C3211" t="s">
        <v>7901</v>
      </c>
      <c r="D3211" s="940" t="s">
        <v>7902</v>
      </c>
      <c r="E3211" t="s">
        <v>2735</v>
      </c>
    </row>
    <row r="3212" spans="1:5" x14ac:dyDescent="0.25">
      <c r="A3212" s="940">
        <v>1602</v>
      </c>
      <c r="B3212" s="940">
        <v>94</v>
      </c>
      <c r="C3212" t="s">
        <v>7903</v>
      </c>
      <c r="D3212" s="940" t="s">
        <v>3617</v>
      </c>
      <c r="E3212" t="s">
        <v>165</v>
      </c>
    </row>
    <row r="3213" spans="1:5" x14ac:dyDescent="0.25">
      <c r="A3213" s="940">
        <v>443</v>
      </c>
      <c r="B3213" s="940">
        <v>529</v>
      </c>
      <c r="C3213" t="s">
        <v>7904</v>
      </c>
      <c r="D3213" s="940" t="s">
        <v>7905</v>
      </c>
      <c r="E3213" t="s">
        <v>2525</v>
      </c>
    </row>
    <row r="3214" spans="1:5" x14ac:dyDescent="0.25">
      <c r="A3214" s="940">
        <v>2959</v>
      </c>
      <c r="B3214" s="940">
        <v>9</v>
      </c>
      <c r="C3214" t="s">
        <v>7906</v>
      </c>
      <c r="D3214" s="940" t="s">
        <v>6585</v>
      </c>
      <c r="E3214" t="s">
        <v>72</v>
      </c>
    </row>
    <row r="3215" spans="1:5" x14ac:dyDescent="0.25">
      <c r="A3215" s="940">
        <v>913</v>
      </c>
      <c r="B3215" s="940">
        <v>249</v>
      </c>
      <c r="C3215" t="s">
        <v>2177</v>
      </c>
      <c r="D3215" s="940" t="s">
        <v>7907</v>
      </c>
      <c r="E3215" t="s">
        <v>1493</v>
      </c>
    </row>
    <row r="3216" spans="1:5" x14ac:dyDescent="0.25">
      <c r="A3216" s="940">
        <v>3490</v>
      </c>
      <c r="B3216" s="940">
        <v>0</v>
      </c>
      <c r="C3216" t="s">
        <v>7908</v>
      </c>
      <c r="D3216" s="940" t="s">
        <v>7713</v>
      </c>
      <c r="E3216" t="s">
        <v>122</v>
      </c>
    </row>
    <row r="3217" spans="1:5" x14ac:dyDescent="0.25">
      <c r="A3217" s="940">
        <v>2272</v>
      </c>
      <c r="B3217" s="940">
        <v>38</v>
      </c>
      <c r="C3217" t="s">
        <v>7909</v>
      </c>
      <c r="D3217" s="940" t="s">
        <v>7367</v>
      </c>
      <c r="E3217" t="s">
        <v>2880</v>
      </c>
    </row>
    <row r="3218" spans="1:5" x14ac:dyDescent="0.25">
      <c r="A3218" s="940">
        <v>3395</v>
      </c>
      <c r="B3218" s="940">
        <v>1</v>
      </c>
      <c r="C3218" t="s">
        <v>7910</v>
      </c>
      <c r="D3218" s="940" t="s">
        <v>7911</v>
      </c>
      <c r="E3218" t="s">
        <v>170</v>
      </c>
    </row>
    <row r="3219" spans="1:5" x14ac:dyDescent="0.25">
      <c r="A3219" s="940">
        <v>928</v>
      </c>
      <c r="B3219" s="940">
        <v>246</v>
      </c>
      <c r="C3219" t="s">
        <v>2178</v>
      </c>
      <c r="D3219" s="940" t="s">
        <v>7738</v>
      </c>
      <c r="E3219" t="s">
        <v>1491</v>
      </c>
    </row>
    <row r="3220" spans="1:5" x14ac:dyDescent="0.25">
      <c r="A3220" s="940">
        <v>3196</v>
      </c>
      <c r="B3220" s="940">
        <v>4</v>
      </c>
      <c r="C3220" t="s">
        <v>7912</v>
      </c>
      <c r="D3220" s="940" t="s">
        <v>7913</v>
      </c>
      <c r="E3220" t="s">
        <v>111</v>
      </c>
    </row>
    <row r="3221" spans="1:5" x14ac:dyDescent="0.25">
      <c r="A3221" s="940">
        <v>3490</v>
      </c>
      <c r="B3221" s="940">
        <v>0</v>
      </c>
      <c r="C3221" t="s">
        <v>7914</v>
      </c>
      <c r="D3221" s="940" t="s">
        <v>7915</v>
      </c>
      <c r="E3221" t="s">
        <v>105</v>
      </c>
    </row>
    <row r="3222" spans="1:5" x14ac:dyDescent="0.25">
      <c r="A3222" s="940">
        <v>3490</v>
      </c>
      <c r="B3222" s="940">
        <v>0</v>
      </c>
      <c r="C3222" t="s">
        <v>7916</v>
      </c>
      <c r="D3222" s="940" t="s">
        <v>6324</v>
      </c>
      <c r="E3222" t="s">
        <v>118</v>
      </c>
    </row>
    <row r="3223" spans="1:5" x14ac:dyDescent="0.25">
      <c r="A3223" s="940">
        <v>1049</v>
      </c>
      <c r="B3223" s="940">
        <v>200</v>
      </c>
      <c r="C3223" t="s">
        <v>7917</v>
      </c>
      <c r="D3223" s="940" t="s">
        <v>7918</v>
      </c>
      <c r="E3223" t="s">
        <v>2928</v>
      </c>
    </row>
    <row r="3224" spans="1:5" x14ac:dyDescent="0.25">
      <c r="A3224" s="940">
        <v>3490</v>
      </c>
      <c r="B3224" s="940">
        <v>0</v>
      </c>
      <c r="C3224" t="s">
        <v>7919</v>
      </c>
      <c r="D3224" s="940" t="s">
        <v>5317</v>
      </c>
      <c r="E3224" t="s">
        <v>2720</v>
      </c>
    </row>
    <row r="3225" spans="1:5" x14ac:dyDescent="0.25">
      <c r="A3225" s="940">
        <v>3490</v>
      </c>
      <c r="B3225" s="940">
        <v>0</v>
      </c>
      <c r="C3225" t="s">
        <v>7920</v>
      </c>
      <c r="D3225" s="940" t="s">
        <v>3578</v>
      </c>
      <c r="E3225" t="s">
        <v>1261</v>
      </c>
    </row>
    <row r="3226" spans="1:5" x14ac:dyDescent="0.25">
      <c r="A3226" s="940">
        <v>3490</v>
      </c>
      <c r="B3226" s="940">
        <v>0</v>
      </c>
      <c r="C3226" t="s">
        <v>7921</v>
      </c>
      <c r="D3226" s="940" t="s">
        <v>7922</v>
      </c>
      <c r="E3226" t="s">
        <v>120</v>
      </c>
    </row>
    <row r="3227" spans="1:5" x14ac:dyDescent="0.25">
      <c r="A3227" s="940">
        <v>451</v>
      </c>
      <c r="B3227" s="940">
        <v>521</v>
      </c>
      <c r="C3227" t="s">
        <v>7923</v>
      </c>
      <c r="D3227" s="940" t="s">
        <v>7924</v>
      </c>
      <c r="E3227" t="s">
        <v>1267</v>
      </c>
    </row>
    <row r="3228" spans="1:5" x14ac:dyDescent="0.25">
      <c r="A3228" s="940">
        <v>1333</v>
      </c>
      <c r="B3228" s="940">
        <v>129</v>
      </c>
      <c r="C3228" t="s">
        <v>7925</v>
      </c>
      <c r="D3228" s="940" t="s">
        <v>7479</v>
      </c>
      <c r="E3228" t="s">
        <v>120</v>
      </c>
    </row>
    <row r="3229" spans="1:5" x14ac:dyDescent="0.25">
      <c r="A3229" s="940">
        <v>2743</v>
      </c>
      <c r="B3229" s="940">
        <v>15</v>
      </c>
      <c r="C3229" t="s">
        <v>7925</v>
      </c>
      <c r="D3229" s="940" t="s">
        <v>3466</v>
      </c>
      <c r="E3229" t="s">
        <v>83</v>
      </c>
    </row>
    <row r="3230" spans="1:5" x14ac:dyDescent="0.25">
      <c r="A3230" s="940">
        <v>65</v>
      </c>
      <c r="B3230" s="940">
        <v>1228</v>
      </c>
      <c r="C3230" t="s">
        <v>7926</v>
      </c>
      <c r="D3230" s="940" t="s">
        <v>7927</v>
      </c>
      <c r="E3230" t="s">
        <v>113</v>
      </c>
    </row>
    <row r="3231" spans="1:5" x14ac:dyDescent="0.25">
      <c r="A3231" s="940">
        <v>1548</v>
      </c>
      <c r="B3231" s="940">
        <v>101</v>
      </c>
      <c r="C3231" t="s">
        <v>2180</v>
      </c>
      <c r="D3231" s="940" t="s">
        <v>7169</v>
      </c>
      <c r="E3231" t="s">
        <v>120</v>
      </c>
    </row>
    <row r="3232" spans="1:5" x14ac:dyDescent="0.25">
      <c r="A3232" s="940">
        <v>1468</v>
      </c>
      <c r="B3232" s="940">
        <v>110</v>
      </c>
      <c r="C3232" t="s">
        <v>861</v>
      </c>
      <c r="D3232" s="940" t="s">
        <v>7928</v>
      </c>
      <c r="E3232" t="s">
        <v>73</v>
      </c>
    </row>
    <row r="3233" spans="1:5" x14ac:dyDescent="0.25">
      <c r="A3233" s="940">
        <v>923</v>
      </c>
      <c r="B3233" s="940">
        <v>247</v>
      </c>
      <c r="C3233" t="s">
        <v>320</v>
      </c>
      <c r="D3233" s="940" t="s">
        <v>7929</v>
      </c>
      <c r="E3233" t="s">
        <v>321</v>
      </c>
    </row>
    <row r="3234" spans="1:5" x14ac:dyDescent="0.25">
      <c r="A3234" s="940">
        <v>462</v>
      </c>
      <c r="B3234" s="940">
        <v>510</v>
      </c>
      <c r="C3234" t="s">
        <v>7930</v>
      </c>
      <c r="D3234" s="940" t="s">
        <v>7931</v>
      </c>
      <c r="E3234" t="s">
        <v>76</v>
      </c>
    </row>
    <row r="3235" spans="1:5" x14ac:dyDescent="0.25">
      <c r="A3235" s="940">
        <v>1581</v>
      </c>
      <c r="B3235" s="940">
        <v>97</v>
      </c>
      <c r="C3235" t="s">
        <v>2575</v>
      </c>
      <c r="D3235" s="940" t="s">
        <v>5736</v>
      </c>
      <c r="E3235" t="s">
        <v>120</v>
      </c>
    </row>
    <row r="3236" spans="1:5" x14ac:dyDescent="0.25">
      <c r="A3236" s="940">
        <v>2782</v>
      </c>
      <c r="B3236" s="940">
        <v>14</v>
      </c>
      <c r="C3236" t="s">
        <v>7932</v>
      </c>
      <c r="D3236" s="940" t="s">
        <v>5664</v>
      </c>
      <c r="E3236" t="s">
        <v>7933</v>
      </c>
    </row>
    <row r="3237" spans="1:5" x14ac:dyDescent="0.25">
      <c r="A3237" s="940">
        <v>3089</v>
      </c>
      <c r="B3237" s="940">
        <v>6</v>
      </c>
      <c r="C3237" t="s">
        <v>7934</v>
      </c>
      <c r="D3237" s="940" t="s">
        <v>7935</v>
      </c>
      <c r="E3237" t="s">
        <v>1460</v>
      </c>
    </row>
    <row r="3238" spans="1:5" x14ac:dyDescent="0.25">
      <c r="A3238" s="940">
        <v>970</v>
      </c>
      <c r="B3238" s="940">
        <v>228</v>
      </c>
      <c r="C3238" t="s">
        <v>7936</v>
      </c>
      <c r="D3238" s="940" t="s">
        <v>3940</v>
      </c>
      <c r="E3238" t="s">
        <v>136</v>
      </c>
    </row>
    <row r="3239" spans="1:5" x14ac:dyDescent="0.25">
      <c r="A3239" s="940">
        <v>215</v>
      </c>
      <c r="B3239" s="940">
        <v>875</v>
      </c>
      <c r="C3239" t="s">
        <v>7937</v>
      </c>
      <c r="D3239" s="940" t="s">
        <v>7938</v>
      </c>
      <c r="E3239" t="s">
        <v>83</v>
      </c>
    </row>
    <row r="3240" spans="1:5" x14ac:dyDescent="0.25">
      <c r="A3240" s="940">
        <v>177</v>
      </c>
      <c r="B3240" s="940">
        <v>933</v>
      </c>
      <c r="C3240" t="s">
        <v>322</v>
      </c>
      <c r="D3240" s="940" t="s">
        <v>7939</v>
      </c>
      <c r="E3240" t="s">
        <v>163</v>
      </c>
    </row>
    <row r="3241" spans="1:5" x14ac:dyDescent="0.25">
      <c r="A3241" s="940">
        <v>694</v>
      </c>
      <c r="B3241" s="940">
        <v>350</v>
      </c>
      <c r="C3241" t="s">
        <v>7940</v>
      </c>
      <c r="D3241" s="940" t="s">
        <v>7941</v>
      </c>
      <c r="E3241" t="s">
        <v>120</v>
      </c>
    </row>
    <row r="3242" spans="1:5" x14ac:dyDescent="0.25">
      <c r="A3242" s="940">
        <v>697</v>
      </c>
      <c r="B3242" s="940">
        <v>348</v>
      </c>
      <c r="C3242" t="s">
        <v>7942</v>
      </c>
      <c r="D3242" s="940" t="s">
        <v>7943</v>
      </c>
      <c r="E3242" t="s">
        <v>120</v>
      </c>
    </row>
    <row r="3243" spans="1:5" x14ac:dyDescent="0.25">
      <c r="A3243" s="940">
        <v>92</v>
      </c>
      <c r="B3243" s="940">
        <v>1146</v>
      </c>
      <c r="C3243" t="s">
        <v>7944</v>
      </c>
      <c r="D3243" s="940" t="s">
        <v>7945</v>
      </c>
      <c r="E3243" t="s">
        <v>83</v>
      </c>
    </row>
    <row r="3244" spans="1:5" x14ac:dyDescent="0.25">
      <c r="A3244" s="940">
        <v>713</v>
      </c>
      <c r="B3244" s="940">
        <v>342</v>
      </c>
      <c r="C3244" t="s">
        <v>7946</v>
      </c>
      <c r="D3244" s="940" t="s">
        <v>5861</v>
      </c>
      <c r="E3244" t="s">
        <v>1435</v>
      </c>
    </row>
    <row r="3245" spans="1:5" x14ac:dyDescent="0.25">
      <c r="A3245" s="940">
        <v>2883</v>
      </c>
      <c r="B3245" s="940">
        <v>11</v>
      </c>
      <c r="C3245" t="s">
        <v>7947</v>
      </c>
      <c r="D3245" s="940" t="s">
        <v>4925</v>
      </c>
      <c r="E3245" t="s">
        <v>117</v>
      </c>
    </row>
    <row r="3246" spans="1:5" x14ac:dyDescent="0.25">
      <c r="A3246" s="940">
        <v>2714</v>
      </c>
      <c r="B3246" s="940">
        <v>16</v>
      </c>
      <c r="C3246" t="s">
        <v>7948</v>
      </c>
      <c r="D3246" s="940" t="s">
        <v>7949</v>
      </c>
      <c r="E3246" t="s">
        <v>1211</v>
      </c>
    </row>
    <row r="3247" spans="1:5" x14ac:dyDescent="0.25">
      <c r="A3247" s="940">
        <v>2626</v>
      </c>
      <c r="B3247" s="940">
        <v>19</v>
      </c>
      <c r="C3247" t="s">
        <v>7950</v>
      </c>
      <c r="D3247" s="940" t="s">
        <v>7951</v>
      </c>
      <c r="E3247" t="s">
        <v>5846</v>
      </c>
    </row>
    <row r="3248" spans="1:5" x14ac:dyDescent="0.25">
      <c r="A3248" s="940">
        <v>2152</v>
      </c>
      <c r="B3248" s="940">
        <v>45</v>
      </c>
      <c r="C3248" t="s">
        <v>7952</v>
      </c>
      <c r="D3248" s="940" t="s">
        <v>7953</v>
      </c>
      <c r="E3248" t="s">
        <v>4470</v>
      </c>
    </row>
    <row r="3249" spans="1:5" x14ac:dyDescent="0.25">
      <c r="A3249" s="940">
        <v>3490</v>
      </c>
      <c r="B3249" s="940">
        <v>0</v>
      </c>
      <c r="C3249" t="s">
        <v>7954</v>
      </c>
      <c r="D3249" s="940" t="s">
        <v>3484</v>
      </c>
      <c r="E3249" t="s">
        <v>186</v>
      </c>
    </row>
    <row r="3250" spans="1:5" x14ac:dyDescent="0.25">
      <c r="A3250" s="940">
        <v>2106</v>
      </c>
      <c r="B3250" s="940">
        <v>48</v>
      </c>
      <c r="C3250" t="s">
        <v>7955</v>
      </c>
      <c r="D3250" s="940" t="s">
        <v>4007</v>
      </c>
      <c r="E3250" t="s">
        <v>1214</v>
      </c>
    </row>
    <row r="3251" spans="1:5" x14ac:dyDescent="0.25">
      <c r="A3251" s="940">
        <v>2221</v>
      </c>
      <c r="B3251" s="940">
        <v>41</v>
      </c>
      <c r="C3251" t="s">
        <v>323</v>
      </c>
      <c r="D3251" s="940" t="s">
        <v>7956</v>
      </c>
      <c r="E3251" t="s">
        <v>1171</v>
      </c>
    </row>
    <row r="3252" spans="1:5" x14ac:dyDescent="0.25">
      <c r="A3252" s="940">
        <v>3490</v>
      </c>
      <c r="B3252" s="940">
        <v>0</v>
      </c>
      <c r="C3252" t="s">
        <v>7957</v>
      </c>
      <c r="D3252" s="940" t="s">
        <v>7958</v>
      </c>
      <c r="E3252" t="s">
        <v>99</v>
      </c>
    </row>
    <row r="3253" spans="1:5" x14ac:dyDescent="0.25">
      <c r="A3253" s="940">
        <v>1067</v>
      </c>
      <c r="B3253" s="940">
        <v>194</v>
      </c>
      <c r="C3253" t="s">
        <v>7959</v>
      </c>
      <c r="D3253" s="940" t="s">
        <v>7960</v>
      </c>
      <c r="E3253" t="s">
        <v>7961</v>
      </c>
    </row>
    <row r="3254" spans="1:5" x14ac:dyDescent="0.25">
      <c r="A3254" s="940">
        <v>3490</v>
      </c>
      <c r="B3254" s="940">
        <v>0</v>
      </c>
      <c r="C3254" t="s">
        <v>7962</v>
      </c>
      <c r="D3254" s="940" t="s">
        <v>7963</v>
      </c>
      <c r="E3254" t="s">
        <v>99</v>
      </c>
    </row>
    <row r="3255" spans="1:5" x14ac:dyDescent="0.25">
      <c r="A3255" s="940">
        <v>3490</v>
      </c>
      <c r="B3255" s="940">
        <v>0</v>
      </c>
      <c r="C3255" t="s">
        <v>7964</v>
      </c>
      <c r="D3255" s="940" t="s">
        <v>7965</v>
      </c>
      <c r="E3255" t="s">
        <v>1236</v>
      </c>
    </row>
    <row r="3256" spans="1:5" x14ac:dyDescent="0.25">
      <c r="A3256" s="940">
        <v>837</v>
      </c>
      <c r="B3256" s="940">
        <v>280</v>
      </c>
      <c r="C3256" t="s">
        <v>7966</v>
      </c>
      <c r="D3256" s="940" t="s">
        <v>5581</v>
      </c>
      <c r="E3256" t="s">
        <v>140</v>
      </c>
    </row>
    <row r="3257" spans="1:5" x14ac:dyDescent="0.25">
      <c r="A3257" s="940">
        <v>1581</v>
      </c>
      <c r="B3257" s="940">
        <v>97</v>
      </c>
      <c r="C3257" t="s">
        <v>7967</v>
      </c>
      <c r="D3257" s="940" t="s">
        <v>7968</v>
      </c>
      <c r="E3257" t="s">
        <v>1493</v>
      </c>
    </row>
    <row r="3258" spans="1:5" x14ac:dyDescent="0.25">
      <c r="A3258" s="940">
        <v>3490</v>
      </c>
      <c r="B3258" s="940">
        <v>0</v>
      </c>
      <c r="C3258" t="s">
        <v>7969</v>
      </c>
      <c r="D3258" s="940" t="s">
        <v>7970</v>
      </c>
      <c r="E3258" t="s">
        <v>165</v>
      </c>
    </row>
    <row r="3259" spans="1:5" x14ac:dyDescent="0.25">
      <c r="A3259" s="940">
        <v>2996</v>
      </c>
      <c r="B3259" s="940">
        <v>8</v>
      </c>
      <c r="C3259" t="s">
        <v>7971</v>
      </c>
      <c r="D3259" s="940" t="s">
        <v>5554</v>
      </c>
      <c r="E3259" t="s">
        <v>165</v>
      </c>
    </row>
    <row r="3260" spans="1:5" x14ac:dyDescent="0.25">
      <c r="A3260" s="940">
        <v>2416</v>
      </c>
      <c r="B3260" s="940">
        <v>29</v>
      </c>
      <c r="C3260" t="s">
        <v>7972</v>
      </c>
      <c r="D3260" s="940" t="s">
        <v>7973</v>
      </c>
      <c r="E3260" t="s">
        <v>129</v>
      </c>
    </row>
    <row r="3261" spans="1:5" x14ac:dyDescent="0.25">
      <c r="A3261" s="940">
        <v>3490</v>
      </c>
      <c r="B3261" s="940">
        <v>0</v>
      </c>
      <c r="C3261" t="s">
        <v>7974</v>
      </c>
      <c r="D3261" s="940" t="s">
        <v>2886</v>
      </c>
      <c r="E3261" t="s">
        <v>170</v>
      </c>
    </row>
    <row r="3262" spans="1:5" x14ac:dyDescent="0.25">
      <c r="A3262" s="940">
        <v>2381</v>
      </c>
      <c r="B3262" s="940">
        <v>31</v>
      </c>
      <c r="C3262" t="s">
        <v>7975</v>
      </c>
      <c r="D3262" s="940" t="s">
        <v>7976</v>
      </c>
      <c r="E3262" t="s">
        <v>115</v>
      </c>
    </row>
    <row r="3263" spans="1:5" x14ac:dyDescent="0.25">
      <c r="A3263" s="940">
        <v>3265</v>
      </c>
      <c r="B3263" s="940">
        <v>3</v>
      </c>
      <c r="C3263" t="s">
        <v>7977</v>
      </c>
      <c r="D3263" s="940" t="s">
        <v>7978</v>
      </c>
      <c r="E3263" t="s">
        <v>99</v>
      </c>
    </row>
    <row r="3264" spans="1:5" x14ac:dyDescent="0.25">
      <c r="A3264" s="940">
        <v>428</v>
      </c>
      <c r="B3264" s="940">
        <v>548</v>
      </c>
      <c r="C3264" t="s">
        <v>7979</v>
      </c>
      <c r="D3264" s="940" t="s">
        <v>7980</v>
      </c>
      <c r="E3264" t="s">
        <v>165</v>
      </c>
    </row>
    <row r="3265" spans="1:5" x14ac:dyDescent="0.25">
      <c r="A3265" s="940">
        <v>315</v>
      </c>
      <c r="B3265" s="940">
        <v>689</v>
      </c>
      <c r="C3265" t="s">
        <v>7981</v>
      </c>
      <c r="D3265" s="940" t="s">
        <v>7982</v>
      </c>
      <c r="E3265" t="s">
        <v>121</v>
      </c>
    </row>
    <row r="3266" spans="1:5" x14ac:dyDescent="0.25">
      <c r="A3266" s="940">
        <v>323</v>
      </c>
      <c r="B3266" s="940">
        <v>678</v>
      </c>
      <c r="C3266" t="s">
        <v>7983</v>
      </c>
      <c r="D3266" s="940" t="s">
        <v>7984</v>
      </c>
      <c r="E3266" t="s">
        <v>105</v>
      </c>
    </row>
    <row r="3267" spans="1:5" x14ac:dyDescent="0.25">
      <c r="A3267" s="940">
        <v>2558</v>
      </c>
      <c r="B3267" s="940">
        <v>22</v>
      </c>
      <c r="C3267" t="s">
        <v>7985</v>
      </c>
      <c r="D3267" s="940" t="s">
        <v>3376</v>
      </c>
      <c r="E3267" t="s">
        <v>138</v>
      </c>
    </row>
    <row r="3268" spans="1:5" x14ac:dyDescent="0.25">
      <c r="A3268" s="940">
        <v>2690</v>
      </c>
      <c r="B3268" s="940">
        <v>17</v>
      </c>
      <c r="C3268" t="s">
        <v>7986</v>
      </c>
      <c r="D3268" s="940" t="s">
        <v>7098</v>
      </c>
      <c r="E3268" t="s">
        <v>469</v>
      </c>
    </row>
    <row r="3269" spans="1:5" x14ac:dyDescent="0.25">
      <c r="A3269" s="940">
        <v>3490</v>
      </c>
      <c r="B3269" s="940">
        <v>0</v>
      </c>
      <c r="C3269" t="s">
        <v>7987</v>
      </c>
      <c r="D3269" s="940" t="s">
        <v>4558</v>
      </c>
      <c r="E3269" t="s">
        <v>1460</v>
      </c>
    </row>
    <row r="3270" spans="1:5" x14ac:dyDescent="0.25">
      <c r="A3270" s="940">
        <v>60</v>
      </c>
      <c r="B3270" s="940">
        <v>1252</v>
      </c>
      <c r="C3270" t="s">
        <v>2186</v>
      </c>
      <c r="D3270" s="940" t="s">
        <v>7988</v>
      </c>
      <c r="E3270" t="s">
        <v>120</v>
      </c>
    </row>
    <row r="3271" spans="1:5" x14ac:dyDescent="0.25">
      <c r="A3271" s="940">
        <v>2461</v>
      </c>
      <c r="B3271" s="940">
        <v>27</v>
      </c>
      <c r="C3271" t="s">
        <v>2186</v>
      </c>
      <c r="D3271" s="940" t="s">
        <v>7989</v>
      </c>
      <c r="E3271" t="s">
        <v>3218</v>
      </c>
    </row>
    <row r="3272" spans="1:5" x14ac:dyDescent="0.25">
      <c r="A3272" s="940">
        <v>1433</v>
      </c>
      <c r="B3272" s="940">
        <v>115</v>
      </c>
      <c r="C3272" t="s">
        <v>7990</v>
      </c>
      <c r="D3272" s="940" t="s">
        <v>7991</v>
      </c>
      <c r="E3272" t="s">
        <v>112</v>
      </c>
    </row>
    <row r="3273" spans="1:5" x14ac:dyDescent="0.25">
      <c r="A3273" s="940">
        <v>3490</v>
      </c>
      <c r="B3273" s="940">
        <v>0</v>
      </c>
      <c r="C3273" t="s">
        <v>7992</v>
      </c>
      <c r="D3273" s="940" t="s">
        <v>7993</v>
      </c>
      <c r="E3273" t="s">
        <v>111</v>
      </c>
    </row>
    <row r="3274" spans="1:5" x14ac:dyDescent="0.25">
      <c r="A3274" s="940">
        <v>3141</v>
      </c>
      <c r="B3274" s="940">
        <v>5</v>
      </c>
      <c r="C3274" t="s">
        <v>7994</v>
      </c>
      <c r="D3274" s="940" t="s">
        <v>7995</v>
      </c>
      <c r="E3274" t="s">
        <v>99</v>
      </c>
    </row>
    <row r="3275" spans="1:5" x14ac:dyDescent="0.25">
      <c r="A3275" s="940">
        <v>1836</v>
      </c>
      <c r="B3275" s="940">
        <v>69</v>
      </c>
      <c r="C3275" t="s">
        <v>7996</v>
      </c>
      <c r="D3275" s="940" t="s">
        <v>4647</v>
      </c>
      <c r="E3275" t="s">
        <v>83</v>
      </c>
    </row>
    <row r="3276" spans="1:5" x14ac:dyDescent="0.25">
      <c r="A3276" s="940">
        <v>2060</v>
      </c>
      <c r="B3276" s="940">
        <v>51</v>
      </c>
      <c r="C3276" t="s">
        <v>7997</v>
      </c>
      <c r="D3276" s="940" t="s">
        <v>4039</v>
      </c>
      <c r="E3276" t="s">
        <v>1286</v>
      </c>
    </row>
    <row r="3277" spans="1:5" x14ac:dyDescent="0.25">
      <c r="A3277" s="940">
        <v>2996</v>
      </c>
      <c r="B3277" s="940">
        <v>8</v>
      </c>
      <c r="C3277" t="s">
        <v>7997</v>
      </c>
      <c r="D3277" s="940" t="s">
        <v>7595</v>
      </c>
      <c r="E3277" t="s">
        <v>1460</v>
      </c>
    </row>
    <row r="3278" spans="1:5" x14ac:dyDescent="0.25">
      <c r="A3278" s="940">
        <v>3395</v>
      </c>
      <c r="B3278" s="940">
        <v>1</v>
      </c>
      <c r="C3278" t="s">
        <v>7998</v>
      </c>
      <c r="D3278" s="940" t="s">
        <v>7999</v>
      </c>
      <c r="E3278" t="s">
        <v>4722</v>
      </c>
    </row>
    <row r="3279" spans="1:5" x14ac:dyDescent="0.25">
      <c r="A3279" s="940">
        <v>2441</v>
      </c>
      <c r="B3279" s="940">
        <v>28</v>
      </c>
      <c r="C3279" t="s">
        <v>8000</v>
      </c>
      <c r="D3279" s="940" t="s">
        <v>3882</v>
      </c>
      <c r="E3279" t="s">
        <v>1341</v>
      </c>
    </row>
    <row r="3280" spans="1:5" x14ac:dyDescent="0.25">
      <c r="A3280" s="940">
        <v>2032</v>
      </c>
      <c r="B3280" s="940">
        <v>53</v>
      </c>
      <c r="C3280" t="s">
        <v>8001</v>
      </c>
      <c r="D3280" s="940" t="s">
        <v>8002</v>
      </c>
      <c r="E3280" t="s">
        <v>105</v>
      </c>
    </row>
    <row r="3281" spans="1:5" x14ac:dyDescent="0.25">
      <c r="A3281" s="940">
        <v>3089</v>
      </c>
      <c r="B3281" s="940">
        <v>6</v>
      </c>
      <c r="C3281" t="s">
        <v>8003</v>
      </c>
      <c r="D3281" s="940" t="s">
        <v>8004</v>
      </c>
      <c r="E3281" t="s">
        <v>74</v>
      </c>
    </row>
    <row r="3282" spans="1:5" x14ac:dyDescent="0.25">
      <c r="A3282" s="940">
        <v>2416</v>
      </c>
      <c r="B3282" s="940">
        <v>29</v>
      </c>
      <c r="C3282" t="s">
        <v>8005</v>
      </c>
      <c r="D3282" s="940" t="s">
        <v>8006</v>
      </c>
      <c r="E3282" t="s">
        <v>120</v>
      </c>
    </row>
    <row r="3283" spans="1:5" x14ac:dyDescent="0.25">
      <c r="A3283" s="940">
        <v>3395</v>
      </c>
      <c r="B3283" s="940">
        <v>1</v>
      </c>
      <c r="C3283" t="s">
        <v>8007</v>
      </c>
      <c r="D3283" s="940" t="s">
        <v>8008</v>
      </c>
      <c r="E3283" t="s">
        <v>163</v>
      </c>
    </row>
    <row r="3284" spans="1:5" x14ac:dyDescent="0.25">
      <c r="A3284" s="940">
        <v>3490</v>
      </c>
      <c r="B3284" s="940">
        <v>0</v>
      </c>
      <c r="C3284" t="s">
        <v>8009</v>
      </c>
      <c r="D3284" s="940" t="s">
        <v>6526</v>
      </c>
      <c r="E3284" t="s">
        <v>163</v>
      </c>
    </row>
    <row r="3285" spans="1:5" x14ac:dyDescent="0.25">
      <c r="A3285" s="940">
        <v>2907</v>
      </c>
      <c r="B3285" s="940">
        <v>10</v>
      </c>
      <c r="C3285" t="s">
        <v>8010</v>
      </c>
      <c r="D3285" s="940" t="s">
        <v>8011</v>
      </c>
      <c r="E3285" t="s">
        <v>111</v>
      </c>
    </row>
    <row r="3286" spans="1:5" x14ac:dyDescent="0.25">
      <c r="A3286" s="940">
        <v>1643</v>
      </c>
      <c r="B3286" s="940">
        <v>90</v>
      </c>
      <c r="C3286" t="s">
        <v>8012</v>
      </c>
      <c r="D3286" s="940" t="s">
        <v>8013</v>
      </c>
      <c r="E3286" t="s">
        <v>171</v>
      </c>
    </row>
    <row r="3287" spans="1:5" x14ac:dyDescent="0.25">
      <c r="A3287" s="940">
        <v>2907</v>
      </c>
      <c r="B3287" s="940">
        <v>10</v>
      </c>
      <c r="C3287" t="s">
        <v>8014</v>
      </c>
      <c r="D3287" s="940" t="s">
        <v>3170</v>
      </c>
      <c r="E3287" t="s">
        <v>105</v>
      </c>
    </row>
    <row r="3288" spans="1:5" x14ac:dyDescent="0.25">
      <c r="A3288" s="940">
        <v>3395</v>
      </c>
      <c r="B3288" s="940">
        <v>1</v>
      </c>
      <c r="C3288" t="s">
        <v>8015</v>
      </c>
      <c r="D3288" s="940" t="s">
        <v>8016</v>
      </c>
      <c r="E3288" t="s">
        <v>120</v>
      </c>
    </row>
    <row r="3289" spans="1:5" x14ac:dyDescent="0.25">
      <c r="A3289" s="940">
        <v>1433</v>
      </c>
      <c r="B3289" s="940">
        <v>115</v>
      </c>
      <c r="C3289" t="s">
        <v>329</v>
      </c>
      <c r="D3289" s="940" t="s">
        <v>8017</v>
      </c>
      <c r="E3289" t="s">
        <v>1332</v>
      </c>
    </row>
    <row r="3290" spans="1:5" x14ac:dyDescent="0.25">
      <c r="A3290" s="940">
        <v>503</v>
      </c>
      <c r="B3290" s="940">
        <v>466</v>
      </c>
      <c r="C3290" t="s">
        <v>8018</v>
      </c>
      <c r="D3290" s="940" t="s">
        <v>8019</v>
      </c>
      <c r="E3290" t="s">
        <v>1248</v>
      </c>
    </row>
    <row r="3291" spans="1:5" x14ac:dyDescent="0.25">
      <c r="A3291" s="940">
        <v>625</v>
      </c>
      <c r="B3291" s="940">
        <v>385</v>
      </c>
      <c r="C3291" t="s">
        <v>2193</v>
      </c>
      <c r="D3291" s="940" t="s">
        <v>8020</v>
      </c>
      <c r="E3291" t="s">
        <v>1267</v>
      </c>
    </row>
    <row r="3292" spans="1:5" x14ac:dyDescent="0.25">
      <c r="A3292" s="940">
        <v>365</v>
      </c>
      <c r="B3292" s="940">
        <v>617</v>
      </c>
      <c r="C3292" t="s">
        <v>8021</v>
      </c>
      <c r="D3292" s="940" t="s">
        <v>2862</v>
      </c>
      <c r="E3292" t="s">
        <v>130</v>
      </c>
    </row>
    <row r="3293" spans="1:5" x14ac:dyDescent="0.25">
      <c r="A3293" s="940">
        <v>3327</v>
      </c>
      <c r="B3293" s="940">
        <v>2</v>
      </c>
      <c r="C3293" t="s">
        <v>8022</v>
      </c>
      <c r="D3293" s="940" t="s">
        <v>8023</v>
      </c>
      <c r="E3293" t="s">
        <v>99</v>
      </c>
    </row>
    <row r="3294" spans="1:5" x14ac:dyDescent="0.25">
      <c r="A3294" s="940">
        <v>3490</v>
      </c>
      <c r="B3294" s="940">
        <v>0</v>
      </c>
      <c r="C3294" t="s">
        <v>8024</v>
      </c>
      <c r="D3294" s="940" t="s">
        <v>4440</v>
      </c>
      <c r="E3294" t="s">
        <v>4572</v>
      </c>
    </row>
    <row r="3295" spans="1:5" x14ac:dyDescent="0.25">
      <c r="A3295" s="940">
        <v>2256</v>
      </c>
      <c r="B3295" s="940">
        <v>39</v>
      </c>
      <c r="C3295" t="s">
        <v>8025</v>
      </c>
      <c r="D3295" s="940" t="s">
        <v>8026</v>
      </c>
      <c r="E3295" t="s">
        <v>105</v>
      </c>
    </row>
    <row r="3296" spans="1:5" x14ac:dyDescent="0.25">
      <c r="A3296" s="940">
        <v>1339</v>
      </c>
      <c r="B3296" s="940">
        <v>128</v>
      </c>
      <c r="C3296" t="s">
        <v>8027</v>
      </c>
      <c r="D3296" s="940" t="s">
        <v>8028</v>
      </c>
      <c r="E3296" t="s">
        <v>1171</v>
      </c>
    </row>
    <row r="3297" spans="1:5" x14ac:dyDescent="0.25">
      <c r="A3297" s="940">
        <v>363</v>
      </c>
      <c r="B3297" s="940">
        <v>619</v>
      </c>
      <c r="C3297" t="s">
        <v>8029</v>
      </c>
      <c r="D3297" s="940" t="s">
        <v>2664</v>
      </c>
      <c r="E3297" t="s">
        <v>99</v>
      </c>
    </row>
    <row r="3298" spans="1:5" x14ac:dyDescent="0.25">
      <c r="A3298" s="940">
        <v>3327</v>
      </c>
      <c r="B3298" s="940">
        <v>2</v>
      </c>
      <c r="C3298" t="s">
        <v>8030</v>
      </c>
      <c r="D3298" s="940" t="s">
        <v>4877</v>
      </c>
      <c r="E3298" t="s">
        <v>2561</v>
      </c>
    </row>
    <row r="3299" spans="1:5" x14ac:dyDescent="0.25">
      <c r="A3299" s="940">
        <v>152</v>
      </c>
      <c r="B3299" s="940">
        <v>972</v>
      </c>
      <c r="C3299" t="s">
        <v>8031</v>
      </c>
      <c r="D3299" s="940" t="s">
        <v>8032</v>
      </c>
      <c r="E3299" t="s">
        <v>120</v>
      </c>
    </row>
    <row r="3300" spans="1:5" x14ac:dyDescent="0.25">
      <c r="A3300" s="940">
        <v>2515</v>
      </c>
      <c r="B3300" s="940">
        <v>24</v>
      </c>
      <c r="C3300" t="s">
        <v>8033</v>
      </c>
      <c r="D3300" s="940" t="s">
        <v>8034</v>
      </c>
      <c r="E3300" t="s">
        <v>1170</v>
      </c>
    </row>
    <row r="3301" spans="1:5" x14ac:dyDescent="0.25">
      <c r="A3301" s="940">
        <v>637</v>
      </c>
      <c r="B3301" s="940">
        <v>381</v>
      </c>
      <c r="C3301" t="s">
        <v>742</v>
      </c>
      <c r="D3301" s="940" t="s">
        <v>5617</v>
      </c>
      <c r="E3301" t="s">
        <v>99</v>
      </c>
    </row>
    <row r="3302" spans="1:5" x14ac:dyDescent="0.25">
      <c r="A3302" s="940">
        <v>1514</v>
      </c>
      <c r="B3302" s="940">
        <v>104</v>
      </c>
      <c r="C3302" t="s">
        <v>8035</v>
      </c>
      <c r="D3302" s="940" t="s">
        <v>3667</v>
      </c>
      <c r="E3302" t="s">
        <v>1493</v>
      </c>
    </row>
    <row r="3303" spans="1:5" x14ac:dyDescent="0.25">
      <c r="A3303" s="940">
        <v>1872</v>
      </c>
      <c r="B3303" s="940">
        <v>66</v>
      </c>
      <c r="C3303" t="s">
        <v>8036</v>
      </c>
      <c r="D3303" s="940" t="s">
        <v>8037</v>
      </c>
      <c r="E3303" t="s">
        <v>2613</v>
      </c>
    </row>
    <row r="3304" spans="1:5" x14ac:dyDescent="0.25">
      <c r="A3304" s="940">
        <v>669</v>
      </c>
      <c r="B3304" s="940">
        <v>367</v>
      </c>
      <c r="C3304" t="s">
        <v>8038</v>
      </c>
      <c r="D3304" s="940" t="s">
        <v>8039</v>
      </c>
      <c r="E3304" t="s">
        <v>661</v>
      </c>
    </row>
    <row r="3305" spans="1:5" x14ac:dyDescent="0.25">
      <c r="A3305" s="940">
        <v>2272</v>
      </c>
      <c r="B3305" s="940">
        <v>38</v>
      </c>
      <c r="C3305" t="s">
        <v>8040</v>
      </c>
      <c r="D3305" s="940" t="s">
        <v>6135</v>
      </c>
      <c r="E3305" t="s">
        <v>1156</v>
      </c>
    </row>
    <row r="3306" spans="1:5" x14ac:dyDescent="0.25">
      <c r="A3306" s="940">
        <v>2839</v>
      </c>
      <c r="B3306" s="940">
        <v>12</v>
      </c>
      <c r="C3306" t="s">
        <v>8041</v>
      </c>
      <c r="D3306" s="940" t="s">
        <v>5793</v>
      </c>
      <c r="E3306" t="s">
        <v>99</v>
      </c>
    </row>
    <row r="3307" spans="1:5" x14ac:dyDescent="0.25">
      <c r="A3307" s="940">
        <v>1500</v>
      </c>
      <c r="B3307" s="940">
        <v>106</v>
      </c>
      <c r="C3307" t="s">
        <v>8042</v>
      </c>
      <c r="D3307" s="940" t="s">
        <v>5613</v>
      </c>
      <c r="E3307" t="s">
        <v>1906</v>
      </c>
    </row>
    <row r="3308" spans="1:5" x14ac:dyDescent="0.25">
      <c r="A3308" s="940">
        <v>3490</v>
      </c>
      <c r="B3308" s="940">
        <v>0</v>
      </c>
      <c r="C3308" t="s">
        <v>8043</v>
      </c>
      <c r="D3308" s="940" t="s">
        <v>6097</v>
      </c>
      <c r="E3308" t="s">
        <v>117</v>
      </c>
    </row>
    <row r="3309" spans="1:5" x14ac:dyDescent="0.25">
      <c r="A3309" s="940">
        <v>842</v>
      </c>
      <c r="B3309" s="940">
        <v>277</v>
      </c>
      <c r="C3309" t="s">
        <v>2198</v>
      </c>
      <c r="D3309" s="940" t="s">
        <v>8044</v>
      </c>
      <c r="E3309" t="s">
        <v>1171</v>
      </c>
    </row>
    <row r="3310" spans="1:5" x14ac:dyDescent="0.25">
      <c r="A3310" s="940">
        <v>218</v>
      </c>
      <c r="B3310" s="940">
        <v>871</v>
      </c>
      <c r="C3310" t="s">
        <v>8045</v>
      </c>
      <c r="D3310" s="940" t="s">
        <v>3334</v>
      </c>
      <c r="E3310" t="s">
        <v>147</v>
      </c>
    </row>
    <row r="3311" spans="1:5" x14ac:dyDescent="0.25">
      <c r="A3311" s="940">
        <v>2416</v>
      </c>
      <c r="B3311" s="940">
        <v>29</v>
      </c>
      <c r="C3311" t="s">
        <v>8046</v>
      </c>
      <c r="D3311" s="940" t="s">
        <v>8047</v>
      </c>
      <c r="E3311" t="s">
        <v>140</v>
      </c>
    </row>
    <row r="3312" spans="1:5" x14ac:dyDescent="0.25">
      <c r="A3312" s="940">
        <v>10</v>
      </c>
      <c r="B3312" s="940">
        <v>1593</v>
      </c>
      <c r="C3312" t="s">
        <v>8048</v>
      </c>
      <c r="D3312" s="940" t="s">
        <v>8049</v>
      </c>
      <c r="E3312" t="s">
        <v>130</v>
      </c>
    </row>
    <row r="3313" spans="1:5" x14ac:dyDescent="0.25">
      <c r="A3313" s="940">
        <v>1021</v>
      </c>
      <c r="B3313" s="940">
        <v>208</v>
      </c>
      <c r="C3313" t="s">
        <v>2199</v>
      </c>
      <c r="D3313" s="940" t="s">
        <v>8050</v>
      </c>
      <c r="E3313" t="s">
        <v>136</v>
      </c>
    </row>
    <row r="3314" spans="1:5" x14ac:dyDescent="0.25">
      <c r="A3314" s="940">
        <v>3265</v>
      </c>
      <c r="B3314" s="940">
        <v>3</v>
      </c>
      <c r="C3314" t="s">
        <v>8051</v>
      </c>
      <c r="D3314" s="940" t="s">
        <v>4054</v>
      </c>
      <c r="E3314" t="s">
        <v>74</v>
      </c>
    </row>
    <row r="3315" spans="1:5" x14ac:dyDescent="0.25">
      <c r="A3315" s="940">
        <v>3490</v>
      </c>
      <c r="B3315" s="940">
        <v>0</v>
      </c>
      <c r="C3315" t="s">
        <v>8052</v>
      </c>
      <c r="D3315" s="940" t="s">
        <v>8053</v>
      </c>
      <c r="E3315" t="s">
        <v>179</v>
      </c>
    </row>
    <row r="3316" spans="1:5" x14ac:dyDescent="0.25">
      <c r="A3316" s="940">
        <v>1602</v>
      </c>
      <c r="B3316" s="940">
        <v>94</v>
      </c>
      <c r="C3316" t="s">
        <v>8054</v>
      </c>
      <c r="D3316" s="940" t="s">
        <v>8055</v>
      </c>
      <c r="E3316" t="s">
        <v>107</v>
      </c>
    </row>
    <row r="3317" spans="1:5" x14ac:dyDescent="0.25">
      <c r="A3317" s="940">
        <v>566</v>
      </c>
      <c r="B3317" s="940">
        <v>424</v>
      </c>
      <c r="C3317" t="s">
        <v>8056</v>
      </c>
      <c r="D3317" s="940" t="s">
        <v>8057</v>
      </c>
      <c r="E3317" t="s">
        <v>112</v>
      </c>
    </row>
    <row r="3318" spans="1:5" x14ac:dyDescent="0.25">
      <c r="A3318" s="940">
        <v>3490</v>
      </c>
      <c r="B3318" s="940">
        <v>0</v>
      </c>
      <c r="C3318" t="s">
        <v>8058</v>
      </c>
      <c r="D3318" s="940" t="s">
        <v>7346</v>
      </c>
      <c r="E3318" t="s">
        <v>1236</v>
      </c>
    </row>
    <row r="3319" spans="1:5" x14ac:dyDescent="0.25">
      <c r="A3319" s="940">
        <v>1417</v>
      </c>
      <c r="B3319" s="940">
        <v>117</v>
      </c>
      <c r="C3319" t="s">
        <v>8059</v>
      </c>
      <c r="D3319" s="940" t="s">
        <v>8060</v>
      </c>
      <c r="E3319" t="s">
        <v>2732</v>
      </c>
    </row>
    <row r="3320" spans="1:5" x14ac:dyDescent="0.25">
      <c r="A3320" s="940">
        <v>3490</v>
      </c>
      <c r="B3320" s="940">
        <v>0</v>
      </c>
      <c r="C3320" t="s">
        <v>8061</v>
      </c>
      <c r="D3320" s="940" t="s">
        <v>4997</v>
      </c>
      <c r="E3320" t="s">
        <v>251</v>
      </c>
    </row>
    <row r="3321" spans="1:5" x14ac:dyDescent="0.25">
      <c r="A3321" s="940">
        <v>2782</v>
      </c>
      <c r="B3321" s="940">
        <v>14</v>
      </c>
      <c r="C3321" t="s">
        <v>8062</v>
      </c>
      <c r="D3321" s="940" t="s">
        <v>3501</v>
      </c>
      <c r="E3321" t="s">
        <v>1236</v>
      </c>
    </row>
    <row r="3322" spans="1:5" x14ac:dyDescent="0.25">
      <c r="A3322" s="940">
        <v>3490</v>
      </c>
      <c r="B3322" s="940">
        <v>0</v>
      </c>
      <c r="C3322" t="s">
        <v>8063</v>
      </c>
      <c r="D3322" s="940" t="s">
        <v>4925</v>
      </c>
      <c r="E3322" t="s">
        <v>1236</v>
      </c>
    </row>
    <row r="3323" spans="1:5" x14ac:dyDescent="0.25">
      <c r="A3323" s="940">
        <v>3395</v>
      </c>
      <c r="B3323" s="940">
        <v>1</v>
      </c>
      <c r="C3323" t="s">
        <v>8064</v>
      </c>
      <c r="D3323" s="940" t="s">
        <v>3890</v>
      </c>
      <c r="E3323" t="s">
        <v>5156</v>
      </c>
    </row>
    <row r="3324" spans="1:5" x14ac:dyDescent="0.25">
      <c r="A3324" s="940">
        <v>2320</v>
      </c>
      <c r="B3324" s="940">
        <v>35</v>
      </c>
      <c r="C3324" t="s">
        <v>8065</v>
      </c>
      <c r="D3324" s="940" t="s">
        <v>6284</v>
      </c>
      <c r="E3324" t="s">
        <v>8066</v>
      </c>
    </row>
    <row r="3325" spans="1:5" x14ac:dyDescent="0.25">
      <c r="A3325" s="940">
        <v>1872</v>
      </c>
      <c r="B3325" s="940">
        <v>66</v>
      </c>
      <c r="C3325" t="s">
        <v>8067</v>
      </c>
      <c r="D3325" s="940" t="s">
        <v>2632</v>
      </c>
      <c r="E3325" t="s">
        <v>105</v>
      </c>
    </row>
    <row r="3326" spans="1:5" x14ac:dyDescent="0.25">
      <c r="A3326" s="940">
        <v>1898</v>
      </c>
      <c r="B3326" s="940">
        <v>64</v>
      </c>
      <c r="C3326" t="s">
        <v>8068</v>
      </c>
      <c r="D3326" s="940" t="s">
        <v>7360</v>
      </c>
      <c r="E3326" t="s">
        <v>3986</v>
      </c>
    </row>
    <row r="3327" spans="1:5" x14ac:dyDescent="0.25">
      <c r="A3327" s="940">
        <v>204</v>
      </c>
      <c r="B3327" s="940">
        <v>888</v>
      </c>
      <c r="C3327" t="s">
        <v>8069</v>
      </c>
      <c r="D3327" s="940" t="s">
        <v>8070</v>
      </c>
      <c r="E3327" t="s">
        <v>3090</v>
      </c>
    </row>
    <row r="3328" spans="1:5" x14ac:dyDescent="0.25">
      <c r="A3328" s="940">
        <v>974</v>
      </c>
      <c r="B3328" s="940">
        <v>226</v>
      </c>
      <c r="C3328" t="s">
        <v>2203</v>
      </c>
      <c r="D3328" s="940" t="s">
        <v>8071</v>
      </c>
      <c r="E3328" t="s">
        <v>1232</v>
      </c>
    </row>
    <row r="3329" spans="1:5" x14ac:dyDescent="0.25">
      <c r="A3329" s="940">
        <v>1562</v>
      </c>
      <c r="B3329" s="940">
        <v>99</v>
      </c>
      <c r="C3329" t="s">
        <v>8072</v>
      </c>
      <c r="D3329" s="940" t="s">
        <v>8073</v>
      </c>
      <c r="E3329" t="s">
        <v>105</v>
      </c>
    </row>
    <row r="3330" spans="1:5" x14ac:dyDescent="0.25">
      <c r="A3330" s="940">
        <v>2782</v>
      </c>
      <c r="B3330" s="940">
        <v>14</v>
      </c>
      <c r="C3330" t="s">
        <v>8074</v>
      </c>
      <c r="D3330" s="940" t="s">
        <v>2653</v>
      </c>
      <c r="E3330" t="s">
        <v>99</v>
      </c>
    </row>
    <row r="3331" spans="1:5" x14ac:dyDescent="0.25">
      <c r="A3331" s="940">
        <v>2370</v>
      </c>
      <c r="B3331" s="940">
        <v>32</v>
      </c>
      <c r="C3331" t="s">
        <v>8075</v>
      </c>
      <c r="D3331" s="940" t="s">
        <v>3152</v>
      </c>
      <c r="E3331" t="s">
        <v>6856</v>
      </c>
    </row>
    <row r="3332" spans="1:5" x14ac:dyDescent="0.25">
      <c r="A3332" s="940">
        <v>3490</v>
      </c>
      <c r="B3332" s="940">
        <v>0</v>
      </c>
      <c r="C3332" t="s">
        <v>8076</v>
      </c>
      <c r="D3332" s="940" t="s">
        <v>8077</v>
      </c>
      <c r="E3332" t="s">
        <v>74</v>
      </c>
    </row>
    <row r="3333" spans="1:5" x14ac:dyDescent="0.25">
      <c r="A3333" s="940">
        <v>1672</v>
      </c>
      <c r="B3333" s="940">
        <v>86</v>
      </c>
      <c r="C3333" t="s">
        <v>8078</v>
      </c>
      <c r="D3333" s="940" t="s">
        <v>8079</v>
      </c>
      <c r="E3333" t="s">
        <v>3098</v>
      </c>
    </row>
    <row r="3334" spans="1:5" x14ac:dyDescent="0.25">
      <c r="A3334" s="940">
        <v>1333</v>
      </c>
      <c r="B3334" s="940">
        <v>129</v>
      </c>
      <c r="C3334" t="s">
        <v>8080</v>
      </c>
      <c r="D3334" s="940" t="s">
        <v>8081</v>
      </c>
      <c r="E3334" t="s">
        <v>120</v>
      </c>
    </row>
    <row r="3335" spans="1:5" x14ac:dyDescent="0.25">
      <c r="A3335" s="940">
        <v>3089</v>
      </c>
      <c r="B3335" s="940">
        <v>6</v>
      </c>
      <c r="C3335" t="s">
        <v>8082</v>
      </c>
      <c r="D3335" s="940" t="s">
        <v>8083</v>
      </c>
      <c r="E3335" t="s">
        <v>3487</v>
      </c>
    </row>
    <row r="3336" spans="1:5" x14ac:dyDescent="0.25">
      <c r="A3336" s="940">
        <v>2883</v>
      </c>
      <c r="B3336" s="940">
        <v>11</v>
      </c>
      <c r="C3336" t="s">
        <v>8084</v>
      </c>
      <c r="D3336" s="940" t="s">
        <v>7280</v>
      </c>
      <c r="E3336" t="s">
        <v>170</v>
      </c>
    </row>
    <row r="3337" spans="1:5" x14ac:dyDescent="0.25">
      <c r="A3337" s="940">
        <v>531</v>
      </c>
      <c r="B3337" s="940">
        <v>444</v>
      </c>
      <c r="C3337" t="s">
        <v>8085</v>
      </c>
      <c r="D3337" s="940" t="s">
        <v>8086</v>
      </c>
      <c r="E3337" t="s">
        <v>3098</v>
      </c>
    </row>
    <row r="3338" spans="1:5" x14ac:dyDescent="0.25">
      <c r="A3338" s="940">
        <v>1898</v>
      </c>
      <c r="B3338" s="940">
        <v>64</v>
      </c>
      <c r="C3338" t="s">
        <v>8087</v>
      </c>
      <c r="D3338" s="940" t="s">
        <v>8088</v>
      </c>
      <c r="E3338" t="s">
        <v>5318</v>
      </c>
    </row>
    <row r="3339" spans="1:5" x14ac:dyDescent="0.25">
      <c r="A3339" s="940">
        <v>1525</v>
      </c>
      <c r="B3339" s="940">
        <v>103</v>
      </c>
      <c r="C3339" t="s">
        <v>8089</v>
      </c>
      <c r="D3339" s="940" t="s">
        <v>8090</v>
      </c>
      <c r="E3339" t="s">
        <v>120</v>
      </c>
    </row>
    <row r="3340" spans="1:5" x14ac:dyDescent="0.25">
      <c r="A3340" s="940">
        <v>3265</v>
      </c>
      <c r="B3340" s="940">
        <v>3</v>
      </c>
      <c r="C3340" t="s">
        <v>8091</v>
      </c>
      <c r="D3340" s="940" t="s">
        <v>3659</v>
      </c>
      <c r="E3340" t="s">
        <v>1236</v>
      </c>
    </row>
    <row r="3341" spans="1:5" x14ac:dyDescent="0.25">
      <c r="A3341" s="940">
        <v>815</v>
      </c>
      <c r="B3341" s="940">
        <v>292</v>
      </c>
      <c r="C3341" t="s">
        <v>2205</v>
      </c>
      <c r="D3341" s="940" t="s">
        <v>8092</v>
      </c>
      <c r="E3341" t="s">
        <v>120</v>
      </c>
    </row>
    <row r="3342" spans="1:5" x14ac:dyDescent="0.25">
      <c r="A3342" s="940">
        <v>3490</v>
      </c>
      <c r="B3342" s="940">
        <v>0</v>
      </c>
      <c r="C3342" t="s">
        <v>2205</v>
      </c>
      <c r="D3342" s="940" t="s">
        <v>8093</v>
      </c>
      <c r="E3342" t="s">
        <v>2654</v>
      </c>
    </row>
    <row r="3343" spans="1:5" x14ac:dyDescent="0.25">
      <c r="A3343" s="940">
        <v>8</v>
      </c>
      <c r="B3343" s="940">
        <v>1603</v>
      </c>
      <c r="C3343" t="s">
        <v>8094</v>
      </c>
      <c r="D3343" s="940" t="s">
        <v>8095</v>
      </c>
      <c r="E3343" t="s">
        <v>130</v>
      </c>
    </row>
    <row r="3344" spans="1:5" x14ac:dyDescent="0.25">
      <c r="A3344" s="940">
        <v>534</v>
      </c>
      <c r="B3344" s="940">
        <v>441</v>
      </c>
      <c r="C3344" t="s">
        <v>8094</v>
      </c>
      <c r="D3344" s="940" t="s">
        <v>8096</v>
      </c>
      <c r="E3344" t="s">
        <v>8097</v>
      </c>
    </row>
    <row r="3345" spans="1:5" x14ac:dyDescent="0.25">
      <c r="A3345" s="940">
        <v>389</v>
      </c>
      <c r="B3345" s="940">
        <v>581</v>
      </c>
      <c r="C3345" t="s">
        <v>2206</v>
      </c>
      <c r="D3345" s="940" t="s">
        <v>4512</v>
      </c>
      <c r="E3345" t="s">
        <v>110</v>
      </c>
    </row>
    <row r="3346" spans="1:5" x14ac:dyDescent="0.25">
      <c r="A3346" s="940">
        <v>1251</v>
      </c>
      <c r="B3346" s="940">
        <v>145</v>
      </c>
      <c r="C3346" t="s">
        <v>8098</v>
      </c>
      <c r="D3346" s="940" t="s">
        <v>7191</v>
      </c>
      <c r="E3346" t="s">
        <v>1162</v>
      </c>
    </row>
    <row r="3347" spans="1:5" x14ac:dyDescent="0.25">
      <c r="A3347" s="940">
        <v>2405</v>
      </c>
      <c r="B3347" s="940">
        <v>30</v>
      </c>
      <c r="C3347" t="s">
        <v>2207</v>
      </c>
      <c r="D3347" s="940" t="s">
        <v>5044</v>
      </c>
      <c r="E3347" t="s">
        <v>110</v>
      </c>
    </row>
    <row r="3348" spans="1:5" x14ac:dyDescent="0.25">
      <c r="A3348" s="940">
        <v>2272</v>
      </c>
      <c r="B3348" s="940">
        <v>38</v>
      </c>
      <c r="C3348" t="s">
        <v>8099</v>
      </c>
      <c r="D3348" s="940" t="s">
        <v>8100</v>
      </c>
      <c r="E3348" t="s">
        <v>106</v>
      </c>
    </row>
    <row r="3349" spans="1:5" x14ac:dyDescent="0.25">
      <c r="A3349" s="940">
        <v>1862</v>
      </c>
      <c r="B3349" s="940">
        <v>67</v>
      </c>
      <c r="C3349" t="s">
        <v>8101</v>
      </c>
      <c r="D3349" s="940" t="s">
        <v>6244</v>
      </c>
      <c r="E3349" t="s">
        <v>4660</v>
      </c>
    </row>
    <row r="3350" spans="1:5" x14ac:dyDescent="0.25">
      <c r="A3350" s="940">
        <v>1800</v>
      </c>
      <c r="B3350" s="940">
        <v>73</v>
      </c>
      <c r="C3350" t="s">
        <v>8102</v>
      </c>
      <c r="D3350" s="940" t="s">
        <v>8103</v>
      </c>
      <c r="E3350" t="s">
        <v>1211</v>
      </c>
    </row>
    <row r="3351" spans="1:5" x14ac:dyDescent="0.25">
      <c r="A3351" s="940">
        <v>1962</v>
      </c>
      <c r="B3351" s="940">
        <v>60</v>
      </c>
      <c r="C3351" t="s">
        <v>8104</v>
      </c>
      <c r="D3351" s="940" t="s">
        <v>8105</v>
      </c>
      <c r="E3351" t="s">
        <v>1330</v>
      </c>
    </row>
    <row r="3352" spans="1:5" x14ac:dyDescent="0.25">
      <c r="A3352" s="940">
        <v>3490</v>
      </c>
      <c r="B3352" s="940">
        <v>0</v>
      </c>
      <c r="C3352" t="s">
        <v>8106</v>
      </c>
      <c r="D3352" s="940" t="s">
        <v>8107</v>
      </c>
      <c r="E3352" t="s">
        <v>1423</v>
      </c>
    </row>
    <row r="3353" spans="1:5" x14ac:dyDescent="0.25">
      <c r="A3353" s="940">
        <v>704</v>
      </c>
      <c r="B3353" s="940">
        <v>347</v>
      </c>
      <c r="C3353" t="s">
        <v>409</v>
      </c>
      <c r="D3353" s="940" t="s">
        <v>8108</v>
      </c>
      <c r="E3353" t="s">
        <v>1286</v>
      </c>
    </row>
    <row r="3354" spans="1:5" x14ac:dyDescent="0.25">
      <c r="A3354" s="940">
        <v>986</v>
      </c>
      <c r="B3354" s="940">
        <v>222</v>
      </c>
      <c r="C3354" t="s">
        <v>409</v>
      </c>
      <c r="D3354" s="940" t="s">
        <v>8109</v>
      </c>
      <c r="E3354" t="s">
        <v>120</v>
      </c>
    </row>
    <row r="3355" spans="1:5" x14ac:dyDescent="0.25">
      <c r="A3355" s="940">
        <v>620</v>
      </c>
      <c r="B3355" s="940">
        <v>390</v>
      </c>
      <c r="C3355" t="s">
        <v>8110</v>
      </c>
      <c r="D3355" s="940" t="s">
        <v>8111</v>
      </c>
      <c r="E3355" t="s">
        <v>2735</v>
      </c>
    </row>
    <row r="3356" spans="1:5" x14ac:dyDescent="0.25">
      <c r="A3356" s="940">
        <v>1615</v>
      </c>
      <c r="B3356" s="940">
        <v>93</v>
      </c>
      <c r="C3356" t="s">
        <v>8110</v>
      </c>
      <c r="D3356" s="940" t="s">
        <v>3215</v>
      </c>
      <c r="E3356" t="s">
        <v>109</v>
      </c>
    </row>
    <row r="3357" spans="1:5" x14ac:dyDescent="0.25">
      <c r="A3357" s="940">
        <v>664</v>
      </c>
      <c r="B3357" s="940">
        <v>368</v>
      </c>
      <c r="C3357" t="s">
        <v>2577</v>
      </c>
      <c r="D3357" s="940" t="s">
        <v>8112</v>
      </c>
      <c r="E3357" t="s">
        <v>1286</v>
      </c>
    </row>
    <row r="3358" spans="1:5" x14ac:dyDescent="0.25">
      <c r="A3358" s="940">
        <v>3490</v>
      </c>
      <c r="B3358" s="940">
        <v>0</v>
      </c>
      <c r="C3358" t="s">
        <v>8113</v>
      </c>
      <c r="D3358" s="940" t="s">
        <v>3592</v>
      </c>
      <c r="E3358" t="s">
        <v>160</v>
      </c>
    </row>
    <row r="3359" spans="1:5" x14ac:dyDescent="0.25">
      <c r="A3359" s="940">
        <v>1827</v>
      </c>
      <c r="B3359" s="940">
        <v>70</v>
      </c>
      <c r="C3359" t="s">
        <v>2208</v>
      </c>
      <c r="D3359" s="940" t="s">
        <v>8114</v>
      </c>
      <c r="E3359" t="s">
        <v>120</v>
      </c>
    </row>
    <row r="3360" spans="1:5" x14ac:dyDescent="0.25">
      <c r="A3360" s="940">
        <v>1076</v>
      </c>
      <c r="B3360" s="940">
        <v>190</v>
      </c>
      <c r="C3360" t="s">
        <v>8115</v>
      </c>
      <c r="D3360" s="940" t="s">
        <v>8116</v>
      </c>
      <c r="E3360" t="s">
        <v>111</v>
      </c>
    </row>
    <row r="3361" spans="1:5" x14ac:dyDescent="0.25">
      <c r="A3361" s="940">
        <v>3196</v>
      </c>
      <c r="B3361" s="940">
        <v>4</v>
      </c>
      <c r="C3361" t="s">
        <v>8117</v>
      </c>
      <c r="D3361" s="940" t="s">
        <v>8118</v>
      </c>
      <c r="E3361" t="s">
        <v>120</v>
      </c>
    </row>
    <row r="3362" spans="1:5" x14ac:dyDescent="0.25">
      <c r="A3362" s="940">
        <v>3141</v>
      </c>
      <c r="B3362" s="940">
        <v>5</v>
      </c>
      <c r="C3362" t="s">
        <v>8119</v>
      </c>
      <c r="D3362" s="940" t="s">
        <v>4543</v>
      </c>
      <c r="E3362" t="s">
        <v>74</v>
      </c>
    </row>
    <row r="3363" spans="1:5" x14ac:dyDescent="0.25">
      <c r="A3363" s="940">
        <v>3490</v>
      </c>
      <c r="B3363" s="940">
        <v>0</v>
      </c>
      <c r="C3363" t="s">
        <v>8120</v>
      </c>
      <c r="D3363" s="940" t="s">
        <v>3210</v>
      </c>
      <c r="E3363" t="s">
        <v>105</v>
      </c>
    </row>
    <row r="3364" spans="1:5" x14ac:dyDescent="0.25">
      <c r="A3364" s="940">
        <v>512</v>
      </c>
      <c r="B3364" s="940">
        <v>457</v>
      </c>
      <c r="C3364" t="s">
        <v>8121</v>
      </c>
      <c r="D3364" s="940" t="s">
        <v>8122</v>
      </c>
      <c r="E3364" t="s">
        <v>175</v>
      </c>
    </row>
    <row r="3365" spans="1:5" x14ac:dyDescent="0.25">
      <c r="A3365" s="940">
        <v>660</v>
      </c>
      <c r="B3365" s="940">
        <v>370</v>
      </c>
      <c r="C3365" t="s">
        <v>8123</v>
      </c>
      <c r="D3365" s="940" t="s">
        <v>8124</v>
      </c>
      <c r="E3365" t="s">
        <v>2880</v>
      </c>
    </row>
    <row r="3366" spans="1:5" x14ac:dyDescent="0.25">
      <c r="A3366" s="940">
        <v>2996</v>
      </c>
      <c r="B3366" s="940">
        <v>8</v>
      </c>
      <c r="C3366" t="s">
        <v>8125</v>
      </c>
      <c r="D3366" s="940" t="s">
        <v>3981</v>
      </c>
      <c r="E3366" t="s">
        <v>111</v>
      </c>
    </row>
    <row r="3367" spans="1:5" x14ac:dyDescent="0.25">
      <c r="A3367" s="940">
        <v>2187</v>
      </c>
      <c r="B3367" s="940">
        <v>43</v>
      </c>
      <c r="C3367" t="s">
        <v>8126</v>
      </c>
      <c r="D3367" s="940" t="s">
        <v>6524</v>
      </c>
      <c r="E3367" t="s">
        <v>105</v>
      </c>
    </row>
    <row r="3368" spans="1:5" x14ac:dyDescent="0.25">
      <c r="A3368" s="940">
        <v>3490</v>
      </c>
      <c r="B3368" s="940">
        <v>0</v>
      </c>
      <c r="C3368" t="s">
        <v>8127</v>
      </c>
      <c r="D3368" s="940" t="s">
        <v>8128</v>
      </c>
      <c r="E3368" t="s">
        <v>111</v>
      </c>
    </row>
    <row r="3369" spans="1:5" x14ac:dyDescent="0.25">
      <c r="A3369" s="940">
        <v>2659</v>
      </c>
      <c r="B3369" s="940">
        <v>18</v>
      </c>
      <c r="C3369" t="s">
        <v>8129</v>
      </c>
      <c r="D3369" s="940" t="s">
        <v>6429</v>
      </c>
      <c r="E3369" t="s">
        <v>1236</v>
      </c>
    </row>
    <row r="3370" spans="1:5" x14ac:dyDescent="0.25">
      <c r="A3370" s="940">
        <v>1862</v>
      </c>
      <c r="B3370" s="940">
        <v>67</v>
      </c>
      <c r="C3370" t="s">
        <v>8130</v>
      </c>
      <c r="D3370" s="940" t="s">
        <v>8131</v>
      </c>
      <c r="E3370" t="s">
        <v>74</v>
      </c>
    </row>
    <row r="3371" spans="1:5" x14ac:dyDescent="0.25">
      <c r="A3371" s="940">
        <v>497</v>
      </c>
      <c r="B3371" s="940">
        <v>472</v>
      </c>
      <c r="C3371" t="s">
        <v>8132</v>
      </c>
      <c r="D3371" s="940" t="s">
        <v>2615</v>
      </c>
      <c r="E3371" t="s">
        <v>105</v>
      </c>
    </row>
    <row r="3372" spans="1:5" x14ac:dyDescent="0.25">
      <c r="A3372" s="940">
        <v>3490</v>
      </c>
      <c r="B3372" s="940">
        <v>0</v>
      </c>
      <c r="C3372" t="s">
        <v>8133</v>
      </c>
      <c r="D3372" s="940" t="s">
        <v>8134</v>
      </c>
      <c r="E3372" t="s">
        <v>164</v>
      </c>
    </row>
    <row r="3373" spans="1:5" x14ac:dyDescent="0.25">
      <c r="A3373" s="940">
        <v>1615</v>
      </c>
      <c r="B3373" s="940">
        <v>93</v>
      </c>
      <c r="C3373" t="s">
        <v>8135</v>
      </c>
      <c r="D3373" s="940" t="s">
        <v>8136</v>
      </c>
      <c r="E3373" t="s">
        <v>3597</v>
      </c>
    </row>
    <row r="3374" spans="1:5" x14ac:dyDescent="0.25">
      <c r="A3374" s="940">
        <v>2996</v>
      </c>
      <c r="B3374" s="940">
        <v>8</v>
      </c>
      <c r="C3374" t="s">
        <v>8137</v>
      </c>
      <c r="D3374" s="940" t="s">
        <v>4100</v>
      </c>
      <c r="E3374" t="s">
        <v>1236</v>
      </c>
    </row>
    <row r="3375" spans="1:5" x14ac:dyDescent="0.25">
      <c r="A3375" s="940">
        <v>3265</v>
      </c>
      <c r="B3375" s="940">
        <v>3</v>
      </c>
      <c r="C3375" t="s">
        <v>8138</v>
      </c>
      <c r="D3375" s="940" t="s">
        <v>8139</v>
      </c>
      <c r="E3375" t="s">
        <v>1675</v>
      </c>
    </row>
    <row r="3376" spans="1:5" x14ac:dyDescent="0.25">
      <c r="A3376" s="940">
        <v>1672</v>
      </c>
      <c r="B3376" s="940">
        <v>86</v>
      </c>
      <c r="C3376" t="s">
        <v>2213</v>
      </c>
      <c r="D3376" s="940" t="s">
        <v>8140</v>
      </c>
      <c r="E3376" t="s">
        <v>1372</v>
      </c>
    </row>
    <row r="3377" spans="1:5" x14ac:dyDescent="0.25">
      <c r="A3377" s="940">
        <v>1262</v>
      </c>
      <c r="B3377" s="940">
        <v>143</v>
      </c>
      <c r="C3377" t="s">
        <v>8141</v>
      </c>
      <c r="D3377" s="940" t="s">
        <v>4275</v>
      </c>
      <c r="E3377" t="s">
        <v>2877</v>
      </c>
    </row>
    <row r="3378" spans="1:5" x14ac:dyDescent="0.25">
      <c r="A3378" s="940">
        <v>406</v>
      </c>
      <c r="B3378" s="940">
        <v>564</v>
      </c>
      <c r="C3378" t="s">
        <v>2215</v>
      </c>
      <c r="D3378" s="940" t="s">
        <v>4919</v>
      </c>
      <c r="E3378" t="s">
        <v>1171</v>
      </c>
    </row>
    <row r="3379" spans="1:5" x14ac:dyDescent="0.25">
      <c r="A3379" s="940">
        <v>1201</v>
      </c>
      <c r="B3379" s="940">
        <v>156</v>
      </c>
      <c r="C3379" t="s">
        <v>332</v>
      </c>
      <c r="D3379" s="940" t="s">
        <v>7991</v>
      </c>
      <c r="E3379" t="s">
        <v>105</v>
      </c>
    </row>
    <row r="3380" spans="1:5" x14ac:dyDescent="0.25">
      <c r="A3380" s="940">
        <v>3327</v>
      </c>
      <c r="B3380" s="940">
        <v>2</v>
      </c>
      <c r="C3380" t="s">
        <v>332</v>
      </c>
      <c r="D3380" s="940" t="s">
        <v>3792</v>
      </c>
      <c r="E3380" t="s">
        <v>3098</v>
      </c>
    </row>
    <row r="3381" spans="1:5" x14ac:dyDescent="0.25">
      <c r="A3381" s="940">
        <v>3490</v>
      </c>
      <c r="B3381" s="940">
        <v>0</v>
      </c>
      <c r="C3381" t="s">
        <v>8142</v>
      </c>
      <c r="D3381" s="940" t="s">
        <v>8143</v>
      </c>
      <c r="E3381" t="s">
        <v>186</v>
      </c>
    </row>
    <row r="3382" spans="1:5" x14ac:dyDescent="0.25">
      <c r="A3382" s="940">
        <v>3490</v>
      </c>
      <c r="B3382" s="940">
        <v>0</v>
      </c>
      <c r="C3382" t="s">
        <v>8144</v>
      </c>
      <c r="D3382" s="940" t="s">
        <v>3808</v>
      </c>
      <c r="E3382" t="s">
        <v>144</v>
      </c>
    </row>
    <row r="3383" spans="1:5" x14ac:dyDescent="0.25">
      <c r="A3383" s="940">
        <v>1400</v>
      </c>
      <c r="B3383" s="940">
        <v>120</v>
      </c>
      <c r="C3383" t="s">
        <v>333</v>
      </c>
      <c r="D3383" s="940" t="s">
        <v>4784</v>
      </c>
      <c r="E3383" t="s">
        <v>110</v>
      </c>
    </row>
    <row r="3384" spans="1:5" x14ac:dyDescent="0.25">
      <c r="A3384" s="940">
        <v>370</v>
      </c>
      <c r="B3384" s="940">
        <v>611</v>
      </c>
      <c r="C3384" t="s">
        <v>8145</v>
      </c>
      <c r="D3384" s="940" t="s">
        <v>8146</v>
      </c>
      <c r="E3384" t="s">
        <v>110</v>
      </c>
    </row>
    <row r="3385" spans="1:5" x14ac:dyDescent="0.25">
      <c r="A3385" s="940">
        <v>3490</v>
      </c>
      <c r="B3385" s="940">
        <v>0</v>
      </c>
      <c r="C3385" t="s">
        <v>8147</v>
      </c>
      <c r="D3385" s="940" t="s">
        <v>5016</v>
      </c>
      <c r="E3385" t="s">
        <v>110</v>
      </c>
    </row>
    <row r="3386" spans="1:5" x14ac:dyDescent="0.25">
      <c r="A3386" s="940">
        <v>2743</v>
      </c>
      <c r="B3386" s="940">
        <v>15</v>
      </c>
      <c r="C3386" t="s">
        <v>8148</v>
      </c>
      <c r="D3386" s="940" t="s">
        <v>8149</v>
      </c>
      <c r="E3386" t="s">
        <v>4868</v>
      </c>
    </row>
    <row r="3387" spans="1:5" x14ac:dyDescent="0.25">
      <c r="A3387" s="940">
        <v>1765</v>
      </c>
      <c r="B3387" s="940">
        <v>77</v>
      </c>
      <c r="C3387" t="s">
        <v>8150</v>
      </c>
      <c r="D3387" s="940" t="s">
        <v>4672</v>
      </c>
      <c r="E3387" t="s">
        <v>130</v>
      </c>
    </row>
    <row r="3388" spans="1:5" x14ac:dyDescent="0.25">
      <c r="A3388" s="940">
        <v>607</v>
      </c>
      <c r="B3388" s="940">
        <v>398</v>
      </c>
      <c r="C3388" t="s">
        <v>8151</v>
      </c>
      <c r="D3388" s="940" t="s">
        <v>8152</v>
      </c>
      <c r="E3388" t="s">
        <v>3098</v>
      </c>
    </row>
    <row r="3389" spans="1:5" x14ac:dyDescent="0.25">
      <c r="A3389" s="940">
        <v>539</v>
      </c>
      <c r="B3389" s="940">
        <v>440</v>
      </c>
      <c r="C3389" t="s">
        <v>2220</v>
      </c>
      <c r="D3389" s="940" t="s">
        <v>8153</v>
      </c>
      <c r="E3389" t="s">
        <v>290</v>
      </c>
    </row>
    <row r="3390" spans="1:5" x14ac:dyDescent="0.25">
      <c r="A3390" s="940">
        <v>1602</v>
      </c>
      <c r="B3390" s="940">
        <v>94</v>
      </c>
      <c r="C3390" t="s">
        <v>8154</v>
      </c>
      <c r="D3390" s="940" t="s">
        <v>8155</v>
      </c>
      <c r="E3390" t="s">
        <v>2613</v>
      </c>
    </row>
    <row r="3391" spans="1:5" x14ac:dyDescent="0.25">
      <c r="A3391" s="940">
        <v>1730</v>
      </c>
      <c r="B3391" s="940">
        <v>80</v>
      </c>
      <c r="C3391" t="s">
        <v>8156</v>
      </c>
      <c r="D3391" s="940" t="s">
        <v>3592</v>
      </c>
      <c r="E3391" t="s">
        <v>105</v>
      </c>
    </row>
    <row r="3392" spans="1:5" x14ac:dyDescent="0.25">
      <c r="A3392" s="940">
        <v>1672</v>
      </c>
      <c r="B3392" s="940">
        <v>86</v>
      </c>
      <c r="C3392" t="s">
        <v>8157</v>
      </c>
      <c r="D3392" s="940" t="s">
        <v>8158</v>
      </c>
      <c r="E3392" t="s">
        <v>1358</v>
      </c>
    </row>
    <row r="3393" spans="1:5" x14ac:dyDescent="0.25">
      <c r="A3393" s="940">
        <v>2959</v>
      </c>
      <c r="B3393" s="940">
        <v>9</v>
      </c>
      <c r="C3393" t="s">
        <v>8159</v>
      </c>
      <c r="D3393" s="940" t="s">
        <v>8160</v>
      </c>
      <c r="E3393" t="s">
        <v>1803</v>
      </c>
    </row>
    <row r="3394" spans="1:5" x14ac:dyDescent="0.25">
      <c r="A3394" s="940">
        <v>561</v>
      </c>
      <c r="B3394" s="940">
        <v>426</v>
      </c>
      <c r="C3394" t="s">
        <v>8161</v>
      </c>
      <c r="D3394" s="940" t="s">
        <v>8162</v>
      </c>
      <c r="E3394" t="s">
        <v>120</v>
      </c>
    </row>
    <row r="3395" spans="1:5" x14ac:dyDescent="0.25">
      <c r="A3395" s="940">
        <v>2098</v>
      </c>
      <c r="B3395" s="940">
        <v>49</v>
      </c>
      <c r="C3395" t="s">
        <v>8163</v>
      </c>
      <c r="D3395" s="940" t="s">
        <v>3747</v>
      </c>
      <c r="E3395" t="s">
        <v>99</v>
      </c>
    </row>
    <row r="3396" spans="1:5" x14ac:dyDescent="0.25">
      <c r="A3396" s="940">
        <v>1148</v>
      </c>
      <c r="B3396" s="940">
        <v>168</v>
      </c>
      <c r="C3396" t="s">
        <v>591</v>
      </c>
      <c r="D3396" s="940" t="s">
        <v>8164</v>
      </c>
      <c r="E3396" t="s">
        <v>105</v>
      </c>
    </row>
    <row r="3397" spans="1:5" x14ac:dyDescent="0.25">
      <c r="A3397" s="940">
        <v>2312</v>
      </c>
      <c r="B3397" s="940">
        <v>36</v>
      </c>
      <c r="C3397" t="s">
        <v>8165</v>
      </c>
      <c r="D3397" s="940" t="s">
        <v>8166</v>
      </c>
      <c r="E3397" t="s">
        <v>1236</v>
      </c>
    </row>
    <row r="3398" spans="1:5" x14ac:dyDescent="0.25">
      <c r="A3398" s="940">
        <v>1898</v>
      </c>
      <c r="B3398" s="940">
        <v>64</v>
      </c>
      <c r="C3398" t="s">
        <v>8167</v>
      </c>
      <c r="D3398" s="940" t="s">
        <v>2678</v>
      </c>
      <c r="E3398" t="s">
        <v>1156</v>
      </c>
    </row>
    <row r="3399" spans="1:5" x14ac:dyDescent="0.25">
      <c r="A3399" s="940">
        <v>843</v>
      </c>
      <c r="B3399" s="940">
        <v>276</v>
      </c>
      <c r="C3399" t="s">
        <v>8168</v>
      </c>
      <c r="D3399" s="940" t="s">
        <v>8169</v>
      </c>
      <c r="E3399" t="s">
        <v>246</v>
      </c>
    </row>
    <row r="3400" spans="1:5" x14ac:dyDescent="0.25">
      <c r="A3400" s="940">
        <v>3265</v>
      </c>
      <c r="B3400" s="940">
        <v>3</v>
      </c>
      <c r="C3400" t="s">
        <v>8170</v>
      </c>
      <c r="D3400" s="940" t="s">
        <v>8171</v>
      </c>
      <c r="E3400" t="s">
        <v>111</v>
      </c>
    </row>
    <row r="3401" spans="1:5" x14ac:dyDescent="0.25">
      <c r="A3401" s="940">
        <v>2441</v>
      </c>
      <c r="B3401" s="940">
        <v>28</v>
      </c>
      <c r="C3401" t="s">
        <v>8172</v>
      </c>
      <c r="D3401" s="940" t="s">
        <v>7046</v>
      </c>
      <c r="E3401" t="s">
        <v>122</v>
      </c>
    </row>
    <row r="3402" spans="1:5" x14ac:dyDescent="0.25">
      <c r="A3402" s="940">
        <v>2996</v>
      </c>
      <c r="B3402" s="940">
        <v>8</v>
      </c>
      <c r="C3402" t="s">
        <v>8173</v>
      </c>
      <c r="D3402" s="940" t="s">
        <v>8174</v>
      </c>
      <c r="E3402" t="s">
        <v>99</v>
      </c>
    </row>
    <row r="3403" spans="1:5" x14ac:dyDescent="0.25">
      <c r="A3403" s="940">
        <v>2907</v>
      </c>
      <c r="B3403" s="940">
        <v>10</v>
      </c>
      <c r="C3403" t="s">
        <v>8175</v>
      </c>
      <c r="D3403" s="940" t="s">
        <v>3555</v>
      </c>
      <c r="E3403" t="s">
        <v>74</v>
      </c>
    </row>
    <row r="3404" spans="1:5" x14ac:dyDescent="0.25">
      <c r="A3404" s="940">
        <v>2714</v>
      </c>
      <c r="B3404" s="940">
        <v>16</v>
      </c>
      <c r="C3404" t="s">
        <v>8176</v>
      </c>
      <c r="D3404" s="940" t="s">
        <v>7650</v>
      </c>
      <c r="E3404" t="s">
        <v>1491</v>
      </c>
    </row>
    <row r="3405" spans="1:5" x14ac:dyDescent="0.25">
      <c r="A3405" s="940">
        <v>3490</v>
      </c>
      <c r="B3405" s="940">
        <v>0</v>
      </c>
      <c r="C3405" t="s">
        <v>8177</v>
      </c>
      <c r="D3405" s="940" t="s">
        <v>8178</v>
      </c>
      <c r="E3405" t="s">
        <v>3383</v>
      </c>
    </row>
    <row r="3406" spans="1:5" x14ac:dyDescent="0.25">
      <c r="A3406" s="940">
        <v>887</v>
      </c>
      <c r="B3406" s="940">
        <v>259</v>
      </c>
      <c r="C3406" t="s">
        <v>8179</v>
      </c>
      <c r="D3406" s="940" t="s">
        <v>8180</v>
      </c>
      <c r="E3406" t="s">
        <v>1327</v>
      </c>
    </row>
    <row r="3407" spans="1:5" x14ac:dyDescent="0.25">
      <c r="A3407" s="940">
        <v>117</v>
      </c>
      <c r="B3407" s="940">
        <v>1055</v>
      </c>
      <c r="C3407" t="s">
        <v>8181</v>
      </c>
      <c r="D3407" s="940" t="s">
        <v>8182</v>
      </c>
      <c r="E3407" t="s">
        <v>4679</v>
      </c>
    </row>
    <row r="3408" spans="1:5" x14ac:dyDescent="0.25">
      <c r="A3408" s="940">
        <v>3490</v>
      </c>
      <c r="B3408" s="940">
        <v>0</v>
      </c>
      <c r="C3408" t="s">
        <v>8183</v>
      </c>
      <c r="D3408" s="940" t="s">
        <v>4908</v>
      </c>
      <c r="E3408" t="s">
        <v>1507</v>
      </c>
    </row>
    <row r="3409" spans="1:5" x14ac:dyDescent="0.25">
      <c r="A3409" s="940">
        <v>1862</v>
      </c>
      <c r="B3409" s="940">
        <v>67</v>
      </c>
      <c r="C3409" t="s">
        <v>8184</v>
      </c>
      <c r="D3409" s="940" t="s">
        <v>5186</v>
      </c>
      <c r="E3409" t="s">
        <v>128</v>
      </c>
    </row>
    <row r="3410" spans="1:5" x14ac:dyDescent="0.25">
      <c r="A3410" s="940">
        <v>3141</v>
      </c>
      <c r="B3410" s="940">
        <v>5</v>
      </c>
      <c r="C3410" t="s">
        <v>8185</v>
      </c>
      <c r="D3410" s="940" t="s">
        <v>3250</v>
      </c>
      <c r="E3410" t="s">
        <v>120</v>
      </c>
    </row>
    <row r="3411" spans="1:5" x14ac:dyDescent="0.25">
      <c r="A3411" s="940">
        <v>2996</v>
      </c>
      <c r="B3411" s="940">
        <v>8</v>
      </c>
      <c r="C3411" t="s">
        <v>8186</v>
      </c>
      <c r="D3411" s="940" t="s">
        <v>2888</v>
      </c>
      <c r="E3411" t="s">
        <v>1939</v>
      </c>
    </row>
    <row r="3412" spans="1:5" x14ac:dyDescent="0.25">
      <c r="A3412" s="940">
        <v>413</v>
      </c>
      <c r="B3412" s="940">
        <v>558</v>
      </c>
      <c r="C3412" t="s">
        <v>8187</v>
      </c>
      <c r="D3412" s="940" t="s">
        <v>8188</v>
      </c>
      <c r="E3412" t="s">
        <v>1232</v>
      </c>
    </row>
    <row r="3413" spans="1:5" x14ac:dyDescent="0.25">
      <c r="A3413" s="940">
        <v>1968</v>
      </c>
      <c r="B3413" s="940">
        <v>59</v>
      </c>
      <c r="C3413" t="s">
        <v>8189</v>
      </c>
      <c r="D3413" s="940" t="s">
        <v>4633</v>
      </c>
      <c r="E3413" t="s">
        <v>1609</v>
      </c>
    </row>
    <row r="3414" spans="1:5" x14ac:dyDescent="0.25">
      <c r="A3414" s="940">
        <v>3490</v>
      </c>
      <c r="B3414" s="940">
        <v>0</v>
      </c>
      <c r="C3414" t="s">
        <v>8190</v>
      </c>
      <c r="D3414" s="940" t="s">
        <v>8191</v>
      </c>
      <c r="E3414" t="s">
        <v>1214</v>
      </c>
    </row>
    <row r="3415" spans="1:5" x14ac:dyDescent="0.25">
      <c r="A3415" s="940">
        <v>3265</v>
      </c>
      <c r="B3415" s="940">
        <v>3</v>
      </c>
      <c r="C3415" t="s">
        <v>8192</v>
      </c>
      <c r="D3415" s="940" t="s">
        <v>8193</v>
      </c>
      <c r="E3415" t="s">
        <v>1638</v>
      </c>
    </row>
    <row r="3416" spans="1:5" x14ac:dyDescent="0.25">
      <c r="A3416" s="940">
        <v>2959</v>
      </c>
      <c r="B3416" s="940">
        <v>9</v>
      </c>
      <c r="C3416" t="s">
        <v>8194</v>
      </c>
      <c r="D3416" s="940" t="s">
        <v>4091</v>
      </c>
      <c r="E3416" t="s">
        <v>120</v>
      </c>
    </row>
    <row r="3417" spans="1:5" x14ac:dyDescent="0.25">
      <c r="A3417" s="940">
        <v>3490</v>
      </c>
      <c r="B3417" s="940">
        <v>0</v>
      </c>
      <c r="C3417" t="s">
        <v>8195</v>
      </c>
      <c r="D3417" s="940" t="s">
        <v>2753</v>
      </c>
      <c r="E3417" t="s">
        <v>2549</v>
      </c>
    </row>
    <row r="3418" spans="1:5" x14ac:dyDescent="0.25">
      <c r="A3418" s="940">
        <v>974</v>
      </c>
      <c r="B3418" s="940">
        <v>226</v>
      </c>
      <c r="C3418" t="s">
        <v>8196</v>
      </c>
      <c r="D3418" s="940" t="s">
        <v>8197</v>
      </c>
      <c r="E3418" t="s">
        <v>2525</v>
      </c>
    </row>
    <row r="3419" spans="1:5" x14ac:dyDescent="0.25">
      <c r="A3419" s="940">
        <v>2016</v>
      </c>
      <c r="B3419" s="940">
        <v>54</v>
      </c>
      <c r="C3419" t="s">
        <v>8198</v>
      </c>
      <c r="D3419" s="940" t="s">
        <v>6621</v>
      </c>
      <c r="E3419" t="s">
        <v>111</v>
      </c>
    </row>
    <row r="3420" spans="1:5" x14ac:dyDescent="0.25">
      <c r="A3420" s="940">
        <v>3490</v>
      </c>
      <c r="B3420" s="940">
        <v>0</v>
      </c>
      <c r="C3420" t="s">
        <v>8199</v>
      </c>
      <c r="D3420" s="940" t="s">
        <v>3731</v>
      </c>
      <c r="E3420" t="s">
        <v>1491</v>
      </c>
    </row>
    <row r="3421" spans="1:5" x14ac:dyDescent="0.25">
      <c r="A3421" s="940">
        <v>2814</v>
      </c>
      <c r="B3421" s="940">
        <v>13</v>
      </c>
      <c r="C3421" t="s">
        <v>2229</v>
      </c>
      <c r="D3421" s="940" t="s">
        <v>7309</v>
      </c>
      <c r="E3421" t="s">
        <v>105</v>
      </c>
    </row>
    <row r="3422" spans="1:5" x14ac:dyDescent="0.25">
      <c r="A3422" s="940">
        <v>2714</v>
      </c>
      <c r="B3422" s="940">
        <v>16</v>
      </c>
      <c r="C3422" t="s">
        <v>8200</v>
      </c>
      <c r="D3422" s="940" t="s">
        <v>3077</v>
      </c>
      <c r="E3422" t="s">
        <v>113</v>
      </c>
    </row>
    <row r="3423" spans="1:5" x14ac:dyDescent="0.25">
      <c r="A3423" s="940">
        <v>3490</v>
      </c>
      <c r="B3423" s="940">
        <v>0</v>
      </c>
      <c r="C3423" t="s">
        <v>8201</v>
      </c>
      <c r="D3423" s="940" t="s">
        <v>3043</v>
      </c>
      <c r="E3423" t="s">
        <v>4104</v>
      </c>
    </row>
    <row r="3424" spans="1:5" x14ac:dyDescent="0.25">
      <c r="A3424" s="940">
        <v>2626</v>
      </c>
      <c r="B3424" s="940">
        <v>19</v>
      </c>
      <c r="C3424" t="s">
        <v>8202</v>
      </c>
      <c r="D3424" s="940" t="s">
        <v>3775</v>
      </c>
      <c r="E3424" t="s">
        <v>3098</v>
      </c>
    </row>
    <row r="3425" spans="1:5" x14ac:dyDescent="0.25">
      <c r="A3425" s="940">
        <v>3490</v>
      </c>
      <c r="B3425" s="940">
        <v>0</v>
      </c>
      <c r="C3425" t="s">
        <v>8203</v>
      </c>
      <c r="D3425" s="940" t="s">
        <v>5632</v>
      </c>
      <c r="E3425" t="s">
        <v>2913</v>
      </c>
    </row>
    <row r="3426" spans="1:5" x14ac:dyDescent="0.25">
      <c r="A3426" s="940">
        <v>1811</v>
      </c>
      <c r="B3426" s="940">
        <v>72</v>
      </c>
      <c r="C3426" t="s">
        <v>2234</v>
      </c>
      <c r="D3426" s="940" t="s">
        <v>8204</v>
      </c>
      <c r="E3426" t="s">
        <v>1200</v>
      </c>
    </row>
    <row r="3427" spans="1:5" x14ac:dyDescent="0.25">
      <c r="A3427" s="940">
        <v>1898</v>
      </c>
      <c r="B3427" s="940">
        <v>64</v>
      </c>
      <c r="C3427" t="s">
        <v>2235</v>
      </c>
      <c r="D3427" s="940" t="s">
        <v>8205</v>
      </c>
      <c r="E3427" t="s">
        <v>1214</v>
      </c>
    </row>
    <row r="3428" spans="1:5" x14ac:dyDescent="0.25">
      <c r="A3428" s="940">
        <v>1525</v>
      </c>
      <c r="B3428" s="940">
        <v>103</v>
      </c>
      <c r="C3428" t="s">
        <v>8206</v>
      </c>
      <c r="D3428" s="940" t="s">
        <v>8207</v>
      </c>
      <c r="E3428" t="s">
        <v>120</v>
      </c>
    </row>
    <row r="3429" spans="1:5" x14ac:dyDescent="0.25">
      <c r="A3429" s="940">
        <v>3089</v>
      </c>
      <c r="B3429" s="940">
        <v>6</v>
      </c>
      <c r="C3429" t="s">
        <v>8208</v>
      </c>
      <c r="D3429" s="940" t="s">
        <v>3299</v>
      </c>
      <c r="E3429" t="s">
        <v>120</v>
      </c>
    </row>
    <row r="3430" spans="1:5" x14ac:dyDescent="0.25">
      <c r="A3430" s="940">
        <v>3490</v>
      </c>
      <c r="B3430" s="940">
        <v>0</v>
      </c>
      <c r="C3430" t="s">
        <v>8209</v>
      </c>
      <c r="D3430" s="940" t="s">
        <v>6429</v>
      </c>
      <c r="E3430" t="s">
        <v>103</v>
      </c>
    </row>
    <row r="3431" spans="1:5" x14ac:dyDescent="0.25">
      <c r="A3431" s="940">
        <v>3089</v>
      </c>
      <c r="B3431" s="940">
        <v>6</v>
      </c>
      <c r="C3431" t="s">
        <v>8210</v>
      </c>
      <c r="D3431" s="940" t="s">
        <v>5302</v>
      </c>
      <c r="E3431" t="s">
        <v>1236</v>
      </c>
    </row>
    <row r="3432" spans="1:5" x14ac:dyDescent="0.25">
      <c r="A3432" s="940">
        <v>2782</v>
      </c>
      <c r="B3432" s="940">
        <v>14</v>
      </c>
      <c r="C3432" t="s">
        <v>8211</v>
      </c>
      <c r="D3432" s="940" t="s">
        <v>5248</v>
      </c>
      <c r="E3432" t="s">
        <v>1311</v>
      </c>
    </row>
    <row r="3433" spans="1:5" x14ac:dyDescent="0.25">
      <c r="A3433" s="940">
        <v>534</v>
      </c>
      <c r="B3433" s="940">
        <v>441</v>
      </c>
      <c r="C3433" t="s">
        <v>2236</v>
      </c>
      <c r="D3433" s="940" t="s">
        <v>8212</v>
      </c>
      <c r="E3433" t="s">
        <v>2237</v>
      </c>
    </row>
    <row r="3434" spans="1:5" x14ac:dyDescent="0.25">
      <c r="A3434" s="940">
        <v>1666</v>
      </c>
      <c r="B3434" s="940">
        <v>87</v>
      </c>
      <c r="C3434" t="s">
        <v>8213</v>
      </c>
      <c r="D3434" s="940" t="s">
        <v>8214</v>
      </c>
      <c r="E3434" t="s">
        <v>99</v>
      </c>
    </row>
    <row r="3435" spans="1:5" x14ac:dyDescent="0.25">
      <c r="A3435" s="940">
        <v>2272</v>
      </c>
      <c r="B3435" s="940">
        <v>38</v>
      </c>
      <c r="C3435" t="s">
        <v>8215</v>
      </c>
      <c r="D3435" s="940" t="s">
        <v>8216</v>
      </c>
      <c r="E3435" t="s">
        <v>8217</v>
      </c>
    </row>
    <row r="3436" spans="1:5" x14ac:dyDescent="0.25">
      <c r="A3436" s="940">
        <v>1121</v>
      </c>
      <c r="B3436" s="940">
        <v>175</v>
      </c>
      <c r="C3436" t="s">
        <v>2238</v>
      </c>
      <c r="D3436" s="940" t="s">
        <v>4068</v>
      </c>
      <c r="E3436" t="s">
        <v>113</v>
      </c>
    </row>
    <row r="3437" spans="1:5" x14ac:dyDescent="0.25">
      <c r="A3437" s="940">
        <v>220</v>
      </c>
      <c r="B3437" s="940">
        <v>866</v>
      </c>
      <c r="C3437" t="s">
        <v>8218</v>
      </c>
      <c r="D3437" s="940" t="s">
        <v>8219</v>
      </c>
      <c r="E3437" t="s">
        <v>113</v>
      </c>
    </row>
    <row r="3438" spans="1:5" x14ac:dyDescent="0.25">
      <c r="A3438" s="940">
        <v>2782</v>
      </c>
      <c r="B3438" s="940">
        <v>14</v>
      </c>
      <c r="C3438" t="s">
        <v>8220</v>
      </c>
      <c r="D3438" s="940" t="s">
        <v>5356</v>
      </c>
      <c r="E3438" t="s">
        <v>120</v>
      </c>
    </row>
    <row r="3439" spans="1:5" x14ac:dyDescent="0.25">
      <c r="A3439" s="940">
        <v>1178</v>
      </c>
      <c r="B3439" s="940">
        <v>162</v>
      </c>
      <c r="C3439" t="s">
        <v>337</v>
      </c>
      <c r="D3439" s="940" t="s">
        <v>4423</v>
      </c>
      <c r="E3439" t="s">
        <v>1214</v>
      </c>
    </row>
    <row r="3440" spans="1:5" x14ac:dyDescent="0.25">
      <c r="A3440" s="940">
        <v>3490</v>
      </c>
      <c r="B3440" s="940">
        <v>0</v>
      </c>
      <c r="C3440" t="s">
        <v>8221</v>
      </c>
      <c r="D3440" s="940" t="s">
        <v>5878</v>
      </c>
      <c r="E3440" t="s">
        <v>1460</v>
      </c>
    </row>
    <row r="3441" spans="1:5" x14ac:dyDescent="0.25">
      <c r="A3441" s="940">
        <v>3490</v>
      </c>
      <c r="B3441" s="940">
        <v>0</v>
      </c>
      <c r="C3441" t="s">
        <v>8222</v>
      </c>
      <c r="D3441" s="940" t="s">
        <v>8223</v>
      </c>
      <c r="E3441" t="s">
        <v>127</v>
      </c>
    </row>
    <row r="3442" spans="1:5" x14ac:dyDescent="0.25">
      <c r="A3442" s="940">
        <v>3141</v>
      </c>
      <c r="B3442" s="940">
        <v>5</v>
      </c>
      <c r="C3442" t="s">
        <v>8224</v>
      </c>
      <c r="D3442" s="940" t="s">
        <v>8225</v>
      </c>
      <c r="E3442" t="s">
        <v>139</v>
      </c>
    </row>
    <row r="3443" spans="1:5" x14ac:dyDescent="0.25">
      <c r="A3443" s="940">
        <v>3490</v>
      </c>
      <c r="B3443" s="940">
        <v>0</v>
      </c>
      <c r="C3443" t="s">
        <v>8226</v>
      </c>
      <c r="D3443" s="940" t="s">
        <v>2647</v>
      </c>
      <c r="E3443" t="s">
        <v>179</v>
      </c>
    </row>
    <row r="3444" spans="1:5" x14ac:dyDescent="0.25">
      <c r="A3444" s="940">
        <v>2174</v>
      </c>
      <c r="B3444" s="940">
        <v>44</v>
      </c>
      <c r="C3444" t="s">
        <v>746</v>
      </c>
      <c r="D3444" s="940" t="s">
        <v>8227</v>
      </c>
      <c r="E3444" t="s">
        <v>128</v>
      </c>
    </row>
    <row r="3445" spans="1:5" x14ac:dyDescent="0.25">
      <c r="A3445" s="940">
        <v>2782</v>
      </c>
      <c r="B3445" s="940">
        <v>14</v>
      </c>
      <c r="C3445" t="s">
        <v>8228</v>
      </c>
      <c r="D3445" s="940" t="s">
        <v>8081</v>
      </c>
      <c r="E3445" t="s">
        <v>103</v>
      </c>
    </row>
    <row r="3446" spans="1:5" x14ac:dyDescent="0.25">
      <c r="A3446" s="940">
        <v>3490</v>
      </c>
      <c r="B3446" s="940">
        <v>0</v>
      </c>
      <c r="C3446" t="s">
        <v>8229</v>
      </c>
      <c r="D3446" s="940" t="s">
        <v>3739</v>
      </c>
      <c r="E3446" t="s">
        <v>1236</v>
      </c>
    </row>
    <row r="3447" spans="1:5" x14ac:dyDescent="0.25">
      <c r="A3447" s="940">
        <v>2320</v>
      </c>
      <c r="B3447" s="940">
        <v>35</v>
      </c>
      <c r="C3447" t="s">
        <v>8230</v>
      </c>
      <c r="D3447" s="940" t="s">
        <v>2714</v>
      </c>
      <c r="E3447" t="s">
        <v>8231</v>
      </c>
    </row>
    <row r="3448" spans="1:5" x14ac:dyDescent="0.25">
      <c r="A3448" s="940">
        <v>697</v>
      </c>
      <c r="B3448" s="940">
        <v>348</v>
      </c>
      <c r="C3448" t="s">
        <v>8232</v>
      </c>
      <c r="D3448" s="940" t="s">
        <v>8233</v>
      </c>
      <c r="E3448" t="s">
        <v>105</v>
      </c>
    </row>
    <row r="3449" spans="1:5" x14ac:dyDescent="0.25">
      <c r="A3449" s="940">
        <v>3490</v>
      </c>
      <c r="B3449" s="940">
        <v>0</v>
      </c>
      <c r="C3449" t="s">
        <v>8234</v>
      </c>
      <c r="D3449" s="940" t="s">
        <v>5098</v>
      </c>
      <c r="E3449" t="s">
        <v>2846</v>
      </c>
    </row>
    <row r="3450" spans="1:5" x14ac:dyDescent="0.25">
      <c r="A3450" s="940">
        <v>3490</v>
      </c>
      <c r="B3450" s="940">
        <v>0</v>
      </c>
      <c r="C3450" t="s">
        <v>8235</v>
      </c>
      <c r="D3450" s="940" t="s">
        <v>8236</v>
      </c>
      <c r="E3450" t="s">
        <v>1590</v>
      </c>
    </row>
    <row r="3451" spans="1:5" x14ac:dyDescent="0.25">
      <c r="A3451" s="940">
        <v>473</v>
      </c>
      <c r="B3451" s="940">
        <v>501</v>
      </c>
      <c r="C3451" t="s">
        <v>8237</v>
      </c>
      <c r="D3451" s="940" t="s">
        <v>8238</v>
      </c>
      <c r="E3451" t="s">
        <v>1524</v>
      </c>
    </row>
    <row r="3452" spans="1:5" x14ac:dyDescent="0.25">
      <c r="A3452" s="940">
        <v>2032</v>
      </c>
      <c r="B3452" s="940">
        <v>53</v>
      </c>
      <c r="C3452" t="s">
        <v>8239</v>
      </c>
      <c r="D3452" s="940" t="s">
        <v>4968</v>
      </c>
      <c r="E3452" t="s">
        <v>7743</v>
      </c>
    </row>
    <row r="3453" spans="1:5" x14ac:dyDescent="0.25">
      <c r="A3453" s="940">
        <v>599</v>
      </c>
      <c r="B3453" s="940">
        <v>406</v>
      </c>
      <c r="C3453" t="s">
        <v>8240</v>
      </c>
      <c r="D3453" s="940" t="s">
        <v>8241</v>
      </c>
      <c r="E3453" t="s">
        <v>142</v>
      </c>
    </row>
    <row r="3454" spans="1:5" x14ac:dyDescent="0.25">
      <c r="A3454" s="940">
        <v>2883</v>
      </c>
      <c r="B3454" s="940">
        <v>11</v>
      </c>
      <c r="C3454" t="s">
        <v>8240</v>
      </c>
      <c r="D3454" s="940" t="s">
        <v>5442</v>
      </c>
      <c r="E3454" t="s">
        <v>83</v>
      </c>
    </row>
    <row r="3455" spans="1:5" x14ac:dyDescent="0.25">
      <c r="A3455" s="940">
        <v>3327</v>
      </c>
      <c r="B3455" s="940">
        <v>2</v>
      </c>
      <c r="C3455" t="s">
        <v>8242</v>
      </c>
      <c r="D3455" s="940" t="s">
        <v>8243</v>
      </c>
      <c r="E3455" t="s">
        <v>7818</v>
      </c>
    </row>
    <row r="3456" spans="1:5" x14ac:dyDescent="0.25">
      <c r="A3456" s="940">
        <v>2743</v>
      </c>
      <c r="B3456" s="940">
        <v>15</v>
      </c>
      <c r="C3456" t="s">
        <v>8244</v>
      </c>
      <c r="D3456" s="940" t="s">
        <v>8245</v>
      </c>
      <c r="E3456" t="s">
        <v>105</v>
      </c>
    </row>
    <row r="3457" spans="1:5" x14ac:dyDescent="0.25">
      <c r="A3457" s="940">
        <v>136</v>
      </c>
      <c r="B3457" s="940">
        <v>1009</v>
      </c>
      <c r="C3457" t="s">
        <v>8246</v>
      </c>
      <c r="D3457" s="940" t="s">
        <v>8247</v>
      </c>
      <c r="E3457" t="s">
        <v>74</v>
      </c>
    </row>
    <row r="3458" spans="1:5" x14ac:dyDescent="0.25">
      <c r="A3458" s="940">
        <v>2839</v>
      </c>
      <c r="B3458" s="940">
        <v>12</v>
      </c>
      <c r="C3458" t="s">
        <v>8248</v>
      </c>
      <c r="D3458" s="940" t="s">
        <v>8249</v>
      </c>
      <c r="E3458" t="s">
        <v>3140</v>
      </c>
    </row>
    <row r="3459" spans="1:5" x14ac:dyDescent="0.25">
      <c r="A3459" s="940">
        <v>1730</v>
      </c>
      <c r="B3459" s="940">
        <v>80</v>
      </c>
      <c r="C3459" t="s">
        <v>8250</v>
      </c>
      <c r="D3459" s="940" t="s">
        <v>8251</v>
      </c>
      <c r="E3459" t="s">
        <v>1248</v>
      </c>
    </row>
    <row r="3460" spans="1:5" x14ac:dyDescent="0.25">
      <c r="A3460" s="940">
        <v>3490</v>
      </c>
      <c r="B3460" s="940">
        <v>0</v>
      </c>
      <c r="C3460" t="s">
        <v>8252</v>
      </c>
      <c r="D3460" s="940" t="s">
        <v>8249</v>
      </c>
      <c r="E3460" t="s">
        <v>164</v>
      </c>
    </row>
    <row r="3461" spans="1:5" x14ac:dyDescent="0.25">
      <c r="A3461" s="940">
        <v>20</v>
      </c>
      <c r="B3461" s="940">
        <v>1446</v>
      </c>
      <c r="C3461" t="s">
        <v>8253</v>
      </c>
      <c r="D3461" s="940" t="s">
        <v>8254</v>
      </c>
      <c r="E3461" t="s">
        <v>120</v>
      </c>
    </row>
    <row r="3462" spans="1:5" x14ac:dyDescent="0.25">
      <c r="A3462" s="940">
        <v>3327</v>
      </c>
      <c r="B3462" s="940">
        <v>2</v>
      </c>
      <c r="C3462" t="s">
        <v>8255</v>
      </c>
      <c r="D3462" s="940" t="s">
        <v>8256</v>
      </c>
      <c r="E3462" t="s">
        <v>130</v>
      </c>
    </row>
    <row r="3463" spans="1:5" x14ac:dyDescent="0.25">
      <c r="A3463" s="940">
        <v>392</v>
      </c>
      <c r="B3463" s="940">
        <v>579</v>
      </c>
      <c r="C3463" t="s">
        <v>8257</v>
      </c>
      <c r="D3463" s="940" t="s">
        <v>8258</v>
      </c>
      <c r="E3463" t="s">
        <v>120</v>
      </c>
    </row>
    <row r="3464" spans="1:5" x14ac:dyDescent="0.25">
      <c r="A3464" s="940">
        <v>3089</v>
      </c>
      <c r="B3464" s="940">
        <v>6</v>
      </c>
      <c r="C3464" t="s">
        <v>8259</v>
      </c>
      <c r="D3464" s="940" t="s">
        <v>8260</v>
      </c>
      <c r="E3464" t="s">
        <v>1200</v>
      </c>
    </row>
    <row r="3465" spans="1:5" x14ac:dyDescent="0.25">
      <c r="A3465" s="940">
        <v>1424</v>
      </c>
      <c r="B3465" s="940">
        <v>116</v>
      </c>
      <c r="C3465" t="s">
        <v>8261</v>
      </c>
      <c r="D3465" s="940" t="s">
        <v>8262</v>
      </c>
      <c r="E3465" t="s">
        <v>2880</v>
      </c>
    </row>
    <row r="3466" spans="1:5" x14ac:dyDescent="0.25">
      <c r="A3466" s="940">
        <v>1548</v>
      </c>
      <c r="B3466" s="940">
        <v>101</v>
      </c>
      <c r="C3466" t="s">
        <v>8263</v>
      </c>
      <c r="D3466" s="940" t="s">
        <v>5062</v>
      </c>
      <c r="E3466" t="s">
        <v>147</v>
      </c>
    </row>
    <row r="3467" spans="1:5" x14ac:dyDescent="0.25">
      <c r="A3467" s="940">
        <v>446</v>
      </c>
      <c r="B3467" s="940">
        <v>524</v>
      </c>
      <c r="C3467" t="s">
        <v>8264</v>
      </c>
      <c r="D3467" s="940" t="s">
        <v>8265</v>
      </c>
      <c r="E3467" t="s">
        <v>120</v>
      </c>
    </row>
    <row r="3468" spans="1:5" x14ac:dyDescent="0.25">
      <c r="A3468" s="940">
        <v>3327</v>
      </c>
      <c r="B3468" s="940">
        <v>2</v>
      </c>
      <c r="C3468" t="s">
        <v>8266</v>
      </c>
      <c r="D3468" s="940" t="s">
        <v>2837</v>
      </c>
      <c r="E3468" t="s">
        <v>1236</v>
      </c>
    </row>
    <row r="3469" spans="1:5" x14ac:dyDescent="0.25">
      <c r="A3469" s="940">
        <v>2174</v>
      </c>
      <c r="B3469" s="940">
        <v>44</v>
      </c>
      <c r="C3469" t="s">
        <v>2578</v>
      </c>
      <c r="D3469" s="940" t="s">
        <v>3882</v>
      </c>
      <c r="E3469" t="s">
        <v>1483</v>
      </c>
    </row>
    <row r="3470" spans="1:5" x14ac:dyDescent="0.25">
      <c r="A3470" s="940">
        <v>2206</v>
      </c>
      <c r="B3470" s="940">
        <v>42</v>
      </c>
      <c r="C3470" t="s">
        <v>8267</v>
      </c>
      <c r="D3470" s="940" t="s">
        <v>2906</v>
      </c>
      <c r="E3470" t="s">
        <v>4373</v>
      </c>
    </row>
    <row r="3471" spans="1:5" x14ac:dyDescent="0.25">
      <c r="A3471" s="940">
        <v>3490</v>
      </c>
      <c r="B3471" s="940">
        <v>0</v>
      </c>
      <c r="C3471" t="s">
        <v>8268</v>
      </c>
      <c r="D3471" s="940" t="s">
        <v>7995</v>
      </c>
      <c r="E3471" t="s">
        <v>74</v>
      </c>
    </row>
    <row r="3472" spans="1:5" x14ac:dyDescent="0.25">
      <c r="A3472" s="940">
        <v>2032</v>
      </c>
      <c r="B3472" s="940">
        <v>53</v>
      </c>
      <c r="C3472" t="s">
        <v>2579</v>
      </c>
      <c r="D3472" s="940" t="s">
        <v>8269</v>
      </c>
      <c r="E3472" t="s">
        <v>83</v>
      </c>
    </row>
    <row r="3473" spans="1:5" x14ac:dyDescent="0.25">
      <c r="A3473" s="940">
        <v>3490</v>
      </c>
      <c r="B3473" s="940">
        <v>0</v>
      </c>
      <c r="C3473" t="s">
        <v>8270</v>
      </c>
      <c r="D3473" s="940" t="s">
        <v>8271</v>
      </c>
      <c r="E3473" t="s">
        <v>160</v>
      </c>
    </row>
    <row r="3474" spans="1:5" x14ac:dyDescent="0.25">
      <c r="A3474" s="940">
        <v>622</v>
      </c>
      <c r="B3474" s="940">
        <v>389</v>
      </c>
      <c r="C3474" t="s">
        <v>8272</v>
      </c>
      <c r="D3474" s="940" t="s">
        <v>8273</v>
      </c>
      <c r="E3474" t="s">
        <v>122</v>
      </c>
    </row>
    <row r="3475" spans="1:5" x14ac:dyDescent="0.25">
      <c r="A3475" s="940">
        <v>1913</v>
      </c>
      <c r="B3475" s="940">
        <v>63</v>
      </c>
      <c r="C3475" t="s">
        <v>2245</v>
      </c>
      <c r="D3475" s="940" t="s">
        <v>8274</v>
      </c>
      <c r="E3475" t="s">
        <v>1214</v>
      </c>
    </row>
    <row r="3476" spans="1:5" x14ac:dyDescent="0.25">
      <c r="A3476" s="940">
        <v>1389</v>
      </c>
      <c r="B3476" s="940">
        <v>122</v>
      </c>
      <c r="C3476" t="s">
        <v>8275</v>
      </c>
      <c r="D3476" s="940" t="s">
        <v>2991</v>
      </c>
      <c r="E3476" t="s">
        <v>1156</v>
      </c>
    </row>
    <row r="3477" spans="1:5" x14ac:dyDescent="0.25">
      <c r="A3477" s="940">
        <v>29</v>
      </c>
      <c r="B3477" s="940">
        <v>1415</v>
      </c>
      <c r="C3477" t="s">
        <v>8276</v>
      </c>
      <c r="D3477" s="940" t="s">
        <v>8277</v>
      </c>
      <c r="E3477" t="s">
        <v>120</v>
      </c>
    </row>
    <row r="3478" spans="1:5" x14ac:dyDescent="0.25">
      <c r="A3478" s="940">
        <v>1363</v>
      </c>
      <c r="B3478" s="940">
        <v>125</v>
      </c>
      <c r="C3478" t="s">
        <v>8278</v>
      </c>
      <c r="D3478" s="940" t="s">
        <v>8279</v>
      </c>
      <c r="E3478" t="s">
        <v>8280</v>
      </c>
    </row>
    <row r="3479" spans="1:5" x14ac:dyDescent="0.25">
      <c r="A3479" s="940">
        <v>2515</v>
      </c>
      <c r="B3479" s="940">
        <v>24</v>
      </c>
      <c r="C3479" t="s">
        <v>8281</v>
      </c>
      <c r="D3479" s="940" t="s">
        <v>4494</v>
      </c>
      <c r="E3479" t="s">
        <v>2558</v>
      </c>
    </row>
    <row r="3480" spans="1:5" x14ac:dyDescent="0.25">
      <c r="A3480" s="940">
        <v>3490</v>
      </c>
      <c r="B3480" s="940">
        <v>0</v>
      </c>
      <c r="C3480" t="s">
        <v>8282</v>
      </c>
      <c r="D3480" s="940" t="s">
        <v>8283</v>
      </c>
      <c r="E3480" t="s">
        <v>72</v>
      </c>
    </row>
    <row r="3481" spans="1:5" x14ac:dyDescent="0.25">
      <c r="A3481" s="940">
        <v>3089</v>
      </c>
      <c r="B3481" s="940">
        <v>6</v>
      </c>
      <c r="C3481" t="s">
        <v>8284</v>
      </c>
      <c r="D3481" s="940" t="s">
        <v>3258</v>
      </c>
      <c r="E3481" t="s">
        <v>74</v>
      </c>
    </row>
    <row r="3482" spans="1:5" x14ac:dyDescent="0.25">
      <c r="A3482" s="940">
        <v>1433</v>
      </c>
      <c r="B3482" s="940">
        <v>115</v>
      </c>
      <c r="C3482" t="s">
        <v>2249</v>
      </c>
      <c r="D3482" s="940" t="s">
        <v>5778</v>
      </c>
      <c r="E3482" t="s">
        <v>120</v>
      </c>
    </row>
    <row r="3483" spans="1:5" x14ac:dyDescent="0.25">
      <c r="A3483" s="940">
        <v>2690</v>
      </c>
      <c r="B3483" s="940">
        <v>17</v>
      </c>
      <c r="C3483" t="s">
        <v>2250</v>
      </c>
      <c r="D3483" s="940" t="s">
        <v>3289</v>
      </c>
      <c r="E3483" t="s">
        <v>126</v>
      </c>
    </row>
    <row r="3484" spans="1:5" x14ac:dyDescent="0.25">
      <c r="A3484" s="940">
        <v>1379</v>
      </c>
      <c r="B3484" s="940">
        <v>123</v>
      </c>
      <c r="C3484" t="s">
        <v>8285</v>
      </c>
      <c r="D3484" s="940" t="s">
        <v>8286</v>
      </c>
      <c r="E3484" t="s">
        <v>1311</v>
      </c>
    </row>
    <row r="3485" spans="1:5" x14ac:dyDescent="0.25">
      <c r="A3485" s="940">
        <v>656</v>
      </c>
      <c r="B3485" s="940">
        <v>372</v>
      </c>
      <c r="C3485" t="s">
        <v>8287</v>
      </c>
      <c r="D3485" s="940" t="s">
        <v>8288</v>
      </c>
      <c r="E3485" t="s">
        <v>1158</v>
      </c>
    </row>
    <row r="3486" spans="1:5" x14ac:dyDescent="0.25">
      <c r="A3486" s="940">
        <v>1913</v>
      </c>
      <c r="B3486" s="940">
        <v>63</v>
      </c>
      <c r="C3486" t="s">
        <v>8289</v>
      </c>
      <c r="D3486" s="940" t="s">
        <v>4353</v>
      </c>
      <c r="E3486" t="s">
        <v>1158</v>
      </c>
    </row>
    <row r="3487" spans="1:5" x14ac:dyDescent="0.25">
      <c r="A3487" s="940">
        <v>857</v>
      </c>
      <c r="B3487" s="940">
        <v>270</v>
      </c>
      <c r="C3487" t="s">
        <v>2254</v>
      </c>
      <c r="D3487" s="940" t="s">
        <v>8290</v>
      </c>
      <c r="E3487" t="s">
        <v>72</v>
      </c>
    </row>
    <row r="3488" spans="1:5" x14ac:dyDescent="0.25">
      <c r="A3488" s="940">
        <v>910</v>
      </c>
      <c r="B3488" s="940">
        <v>251</v>
      </c>
      <c r="C3488" t="s">
        <v>2580</v>
      </c>
      <c r="D3488" s="940" t="s">
        <v>8291</v>
      </c>
      <c r="E3488" t="s">
        <v>2550</v>
      </c>
    </row>
    <row r="3489" spans="1:5" x14ac:dyDescent="0.25">
      <c r="A3489" s="940">
        <v>3490</v>
      </c>
      <c r="B3489" s="940">
        <v>0</v>
      </c>
      <c r="C3489" t="s">
        <v>8292</v>
      </c>
      <c r="D3489" s="940" t="s">
        <v>3341</v>
      </c>
      <c r="E3489" t="s">
        <v>111</v>
      </c>
    </row>
    <row r="3490" spans="1:5" x14ac:dyDescent="0.25">
      <c r="A3490" s="940">
        <v>3196</v>
      </c>
      <c r="B3490" s="940">
        <v>4</v>
      </c>
      <c r="C3490" t="s">
        <v>8293</v>
      </c>
      <c r="D3490" s="940" t="s">
        <v>5431</v>
      </c>
      <c r="E3490" t="s">
        <v>128</v>
      </c>
    </row>
    <row r="3491" spans="1:5" x14ac:dyDescent="0.25">
      <c r="A3491" s="940">
        <v>396</v>
      </c>
      <c r="B3491" s="940">
        <v>573</v>
      </c>
      <c r="C3491" t="s">
        <v>8294</v>
      </c>
      <c r="D3491" s="940" t="s">
        <v>8295</v>
      </c>
      <c r="E3491" t="s">
        <v>105</v>
      </c>
    </row>
    <row r="3492" spans="1:5" x14ac:dyDescent="0.25">
      <c r="A3492" s="940">
        <v>1114</v>
      </c>
      <c r="B3492" s="940">
        <v>176</v>
      </c>
      <c r="C3492" t="s">
        <v>2259</v>
      </c>
      <c r="D3492" s="940" t="s">
        <v>4930</v>
      </c>
      <c r="E3492" t="s">
        <v>105</v>
      </c>
    </row>
    <row r="3493" spans="1:5" x14ac:dyDescent="0.25">
      <c r="A3493" s="940">
        <v>2626</v>
      </c>
      <c r="B3493" s="940">
        <v>19</v>
      </c>
      <c r="C3493" t="s">
        <v>8296</v>
      </c>
      <c r="D3493" s="940" t="s">
        <v>8297</v>
      </c>
      <c r="E3493" t="s">
        <v>128</v>
      </c>
    </row>
    <row r="3494" spans="1:5" x14ac:dyDescent="0.25">
      <c r="A3494" s="940">
        <v>2079</v>
      </c>
      <c r="B3494" s="940">
        <v>50</v>
      </c>
      <c r="C3494" t="s">
        <v>8298</v>
      </c>
      <c r="D3494" s="940" t="s">
        <v>4125</v>
      </c>
      <c r="E3494" t="s">
        <v>1939</v>
      </c>
    </row>
    <row r="3495" spans="1:5" x14ac:dyDescent="0.25">
      <c r="A3495" s="940">
        <v>3490</v>
      </c>
      <c r="B3495" s="940">
        <v>0</v>
      </c>
      <c r="C3495" t="s">
        <v>8299</v>
      </c>
      <c r="D3495" s="940" t="s">
        <v>3773</v>
      </c>
      <c r="E3495" t="s">
        <v>99</v>
      </c>
    </row>
    <row r="3496" spans="1:5" x14ac:dyDescent="0.25">
      <c r="A3496" s="940">
        <v>409</v>
      </c>
      <c r="B3496" s="940">
        <v>562</v>
      </c>
      <c r="C3496" t="s">
        <v>8300</v>
      </c>
      <c r="D3496" s="940" t="s">
        <v>8301</v>
      </c>
      <c r="E3496" t="s">
        <v>1236</v>
      </c>
    </row>
    <row r="3497" spans="1:5" x14ac:dyDescent="0.25">
      <c r="A3497" s="940">
        <v>3490</v>
      </c>
      <c r="B3497" s="940">
        <v>0</v>
      </c>
      <c r="C3497" t="s">
        <v>8302</v>
      </c>
      <c r="D3497" s="940" t="s">
        <v>3594</v>
      </c>
      <c r="E3497" t="s">
        <v>168</v>
      </c>
    </row>
    <row r="3498" spans="1:5" x14ac:dyDescent="0.25">
      <c r="A3498" s="940">
        <v>957</v>
      </c>
      <c r="B3498" s="940">
        <v>232</v>
      </c>
      <c r="C3498" t="s">
        <v>8303</v>
      </c>
      <c r="D3498" s="940" t="s">
        <v>2780</v>
      </c>
      <c r="E3498" t="s">
        <v>1171</v>
      </c>
    </row>
    <row r="3499" spans="1:5" x14ac:dyDescent="0.25">
      <c r="A3499" s="940">
        <v>3490</v>
      </c>
      <c r="B3499" s="940">
        <v>0</v>
      </c>
      <c r="C3499" t="s">
        <v>8304</v>
      </c>
      <c r="D3499" s="940" t="s">
        <v>8305</v>
      </c>
      <c r="E3499" t="s">
        <v>103</v>
      </c>
    </row>
    <row r="3500" spans="1:5" x14ac:dyDescent="0.25">
      <c r="A3500" s="940">
        <v>3490</v>
      </c>
      <c r="B3500" s="940">
        <v>0</v>
      </c>
      <c r="C3500" t="s">
        <v>8306</v>
      </c>
      <c r="D3500" s="940" t="s">
        <v>2753</v>
      </c>
      <c r="E3500" t="s">
        <v>251</v>
      </c>
    </row>
    <row r="3501" spans="1:5" x14ac:dyDescent="0.25">
      <c r="A3501" s="940">
        <v>1085</v>
      </c>
      <c r="B3501" s="940">
        <v>186</v>
      </c>
      <c r="C3501" t="s">
        <v>8307</v>
      </c>
      <c r="D3501" s="940" t="s">
        <v>8308</v>
      </c>
      <c r="E3501" t="s">
        <v>3951</v>
      </c>
    </row>
    <row r="3502" spans="1:5" x14ac:dyDescent="0.25">
      <c r="A3502" s="940">
        <v>3490</v>
      </c>
      <c r="B3502" s="940">
        <v>0</v>
      </c>
      <c r="C3502" t="s">
        <v>8309</v>
      </c>
      <c r="D3502" s="940" t="s">
        <v>8310</v>
      </c>
      <c r="E3502" t="s">
        <v>99</v>
      </c>
    </row>
    <row r="3503" spans="1:5" x14ac:dyDescent="0.25">
      <c r="A3503" s="940">
        <v>2152</v>
      </c>
      <c r="B3503" s="940">
        <v>45</v>
      </c>
      <c r="C3503" t="s">
        <v>8311</v>
      </c>
      <c r="D3503" s="940" t="s">
        <v>5983</v>
      </c>
      <c r="E3503" t="s">
        <v>4572</v>
      </c>
    </row>
    <row r="3504" spans="1:5" x14ac:dyDescent="0.25">
      <c r="A3504" s="940">
        <v>2626</v>
      </c>
      <c r="B3504" s="940">
        <v>19</v>
      </c>
      <c r="C3504" t="s">
        <v>8312</v>
      </c>
      <c r="D3504" s="940" t="s">
        <v>8313</v>
      </c>
      <c r="E3504" t="s">
        <v>1844</v>
      </c>
    </row>
    <row r="3505" spans="1:5" x14ac:dyDescent="0.25">
      <c r="A3505" s="940">
        <v>2609</v>
      </c>
      <c r="B3505" s="940">
        <v>20</v>
      </c>
      <c r="C3505" t="s">
        <v>8314</v>
      </c>
      <c r="D3505" s="940" t="s">
        <v>8315</v>
      </c>
      <c r="E3505" t="s">
        <v>3066</v>
      </c>
    </row>
    <row r="3506" spans="1:5" x14ac:dyDescent="0.25">
      <c r="A3506" s="940">
        <v>1800</v>
      </c>
      <c r="B3506" s="940">
        <v>73</v>
      </c>
      <c r="C3506" t="s">
        <v>8316</v>
      </c>
      <c r="D3506" s="940" t="s">
        <v>2908</v>
      </c>
      <c r="E3506" t="s">
        <v>105</v>
      </c>
    </row>
    <row r="3507" spans="1:5" x14ac:dyDescent="0.25">
      <c r="A3507" s="940">
        <v>2609</v>
      </c>
      <c r="B3507" s="940">
        <v>20</v>
      </c>
      <c r="C3507" t="s">
        <v>8317</v>
      </c>
      <c r="D3507" s="940" t="s">
        <v>8034</v>
      </c>
      <c r="E3507" t="s">
        <v>105</v>
      </c>
    </row>
    <row r="3508" spans="1:5" x14ac:dyDescent="0.25">
      <c r="A3508" s="940">
        <v>2782</v>
      </c>
      <c r="B3508" s="940">
        <v>14</v>
      </c>
      <c r="C3508" t="s">
        <v>8318</v>
      </c>
      <c r="D3508" s="940" t="s">
        <v>4555</v>
      </c>
      <c r="E3508" t="s">
        <v>75</v>
      </c>
    </row>
    <row r="3509" spans="1:5" x14ac:dyDescent="0.25">
      <c r="A3509" s="940">
        <v>3490</v>
      </c>
      <c r="B3509" s="940">
        <v>0</v>
      </c>
      <c r="C3509" t="s">
        <v>8319</v>
      </c>
      <c r="D3509" s="940" t="s">
        <v>7828</v>
      </c>
      <c r="E3509" t="s">
        <v>133</v>
      </c>
    </row>
    <row r="3510" spans="1:5" x14ac:dyDescent="0.25">
      <c r="A3510" s="940">
        <v>1458</v>
      </c>
      <c r="B3510" s="940">
        <v>112</v>
      </c>
      <c r="C3510" t="s">
        <v>8320</v>
      </c>
      <c r="D3510" s="940" t="s">
        <v>6621</v>
      </c>
      <c r="E3510" t="s">
        <v>1182</v>
      </c>
    </row>
    <row r="3511" spans="1:5" x14ac:dyDescent="0.25">
      <c r="A3511" s="940">
        <v>3265</v>
      </c>
      <c r="B3511" s="940">
        <v>3</v>
      </c>
      <c r="C3511" t="s">
        <v>8321</v>
      </c>
      <c r="D3511" s="940" t="s">
        <v>3047</v>
      </c>
      <c r="E3511" t="s">
        <v>1192</v>
      </c>
    </row>
    <row r="3512" spans="1:5" x14ac:dyDescent="0.25">
      <c r="A3512" s="940">
        <v>1659</v>
      </c>
      <c r="B3512" s="940">
        <v>88</v>
      </c>
      <c r="C3512" t="s">
        <v>8322</v>
      </c>
      <c r="D3512" s="940" t="s">
        <v>8323</v>
      </c>
      <c r="E3512" t="s">
        <v>5527</v>
      </c>
    </row>
    <row r="3513" spans="1:5" x14ac:dyDescent="0.25">
      <c r="A3513" s="940">
        <v>951</v>
      </c>
      <c r="B3513" s="940">
        <v>235</v>
      </c>
      <c r="C3513" t="s">
        <v>8324</v>
      </c>
      <c r="D3513" s="940" t="s">
        <v>8325</v>
      </c>
      <c r="E3513" t="s">
        <v>1507</v>
      </c>
    </row>
    <row r="3514" spans="1:5" x14ac:dyDescent="0.25">
      <c r="A3514" s="940">
        <v>1174</v>
      </c>
      <c r="B3514" s="940">
        <v>163</v>
      </c>
      <c r="C3514" t="s">
        <v>8326</v>
      </c>
      <c r="D3514" s="940" t="s">
        <v>8327</v>
      </c>
      <c r="E3514" t="s">
        <v>6361</v>
      </c>
    </row>
    <row r="3515" spans="1:5" x14ac:dyDescent="0.25">
      <c r="A3515" s="940">
        <v>2609</v>
      </c>
      <c r="B3515" s="940">
        <v>20</v>
      </c>
      <c r="C3515" t="s">
        <v>8328</v>
      </c>
      <c r="D3515" s="940" t="s">
        <v>3173</v>
      </c>
      <c r="E3515" t="s">
        <v>1158</v>
      </c>
    </row>
    <row r="3516" spans="1:5" x14ac:dyDescent="0.25">
      <c r="A3516" s="940">
        <v>135</v>
      </c>
      <c r="B3516" s="940">
        <v>1010</v>
      </c>
      <c r="C3516" t="s">
        <v>8329</v>
      </c>
      <c r="D3516" s="940" t="s">
        <v>8330</v>
      </c>
      <c r="E3516" t="s">
        <v>128</v>
      </c>
    </row>
    <row r="3517" spans="1:5" x14ac:dyDescent="0.25">
      <c r="A3517" s="940">
        <v>2996</v>
      </c>
      <c r="B3517" s="940">
        <v>8</v>
      </c>
      <c r="C3517" t="s">
        <v>8331</v>
      </c>
      <c r="D3517" s="940" t="s">
        <v>6111</v>
      </c>
      <c r="E3517" t="s">
        <v>107</v>
      </c>
    </row>
    <row r="3518" spans="1:5" x14ac:dyDescent="0.25">
      <c r="A3518" s="940">
        <v>325</v>
      </c>
      <c r="B3518" s="940">
        <v>672</v>
      </c>
      <c r="C3518" t="s">
        <v>8332</v>
      </c>
      <c r="D3518" s="940" t="s">
        <v>8333</v>
      </c>
      <c r="E3518" t="s">
        <v>120</v>
      </c>
    </row>
    <row r="3519" spans="1:5" x14ac:dyDescent="0.25">
      <c r="A3519" s="940">
        <v>1701</v>
      </c>
      <c r="B3519" s="940">
        <v>83</v>
      </c>
      <c r="C3519" t="s">
        <v>8334</v>
      </c>
      <c r="D3519" s="940" t="s">
        <v>4477</v>
      </c>
      <c r="E3519" t="s">
        <v>4104</v>
      </c>
    </row>
    <row r="3520" spans="1:5" x14ac:dyDescent="0.25">
      <c r="A3520" s="940">
        <v>3490</v>
      </c>
      <c r="B3520" s="940">
        <v>0</v>
      </c>
      <c r="C3520" t="s">
        <v>8335</v>
      </c>
      <c r="D3520" s="940" t="s">
        <v>5698</v>
      </c>
      <c r="E3520" t="s">
        <v>113</v>
      </c>
    </row>
    <row r="3521" spans="1:5" x14ac:dyDescent="0.25">
      <c r="A3521" s="940">
        <v>3490</v>
      </c>
      <c r="B3521" s="940">
        <v>0</v>
      </c>
      <c r="C3521" t="s">
        <v>8336</v>
      </c>
      <c r="D3521" s="940" t="s">
        <v>8216</v>
      </c>
      <c r="E3521" t="s">
        <v>120</v>
      </c>
    </row>
    <row r="3522" spans="1:5" x14ac:dyDescent="0.25">
      <c r="A3522" s="940">
        <v>3327</v>
      </c>
      <c r="B3522" s="940">
        <v>2</v>
      </c>
      <c r="C3522" t="s">
        <v>8337</v>
      </c>
      <c r="D3522" s="940" t="s">
        <v>4348</v>
      </c>
      <c r="E3522" t="s">
        <v>5756</v>
      </c>
    </row>
    <row r="3523" spans="1:5" x14ac:dyDescent="0.25">
      <c r="A3523" s="940">
        <v>2152</v>
      </c>
      <c r="B3523" s="940">
        <v>45</v>
      </c>
      <c r="C3523" t="s">
        <v>8338</v>
      </c>
      <c r="D3523" s="940" t="s">
        <v>8339</v>
      </c>
      <c r="E3523" t="s">
        <v>138</v>
      </c>
    </row>
    <row r="3524" spans="1:5" x14ac:dyDescent="0.25">
      <c r="A3524" s="940">
        <v>1356</v>
      </c>
      <c r="B3524" s="940">
        <v>126</v>
      </c>
      <c r="C3524" t="s">
        <v>8340</v>
      </c>
      <c r="D3524" s="940" t="s">
        <v>8341</v>
      </c>
      <c r="E3524" t="s">
        <v>1176</v>
      </c>
    </row>
    <row r="3525" spans="1:5" x14ac:dyDescent="0.25">
      <c r="A3525" s="940">
        <v>585</v>
      </c>
      <c r="B3525" s="940">
        <v>412</v>
      </c>
      <c r="C3525" t="s">
        <v>8342</v>
      </c>
      <c r="D3525" s="940" t="s">
        <v>8343</v>
      </c>
      <c r="E3525" t="s">
        <v>1483</v>
      </c>
    </row>
    <row r="3526" spans="1:5" x14ac:dyDescent="0.25">
      <c r="A3526" s="940">
        <v>2405</v>
      </c>
      <c r="B3526" s="940">
        <v>30</v>
      </c>
      <c r="C3526" t="s">
        <v>8344</v>
      </c>
      <c r="D3526" s="940" t="s">
        <v>4316</v>
      </c>
      <c r="E3526" t="s">
        <v>1330</v>
      </c>
    </row>
    <row r="3527" spans="1:5" x14ac:dyDescent="0.25">
      <c r="A3527" s="940">
        <v>1562</v>
      </c>
      <c r="B3527" s="940">
        <v>99</v>
      </c>
      <c r="C3527" t="s">
        <v>868</v>
      </c>
      <c r="D3527" s="940" t="s">
        <v>8345</v>
      </c>
      <c r="E3527" t="s">
        <v>1204</v>
      </c>
    </row>
    <row r="3528" spans="1:5" x14ac:dyDescent="0.25">
      <c r="A3528" s="940">
        <v>2996</v>
      </c>
      <c r="B3528" s="940">
        <v>8</v>
      </c>
      <c r="C3528" t="s">
        <v>8346</v>
      </c>
      <c r="D3528" s="940" t="s">
        <v>8347</v>
      </c>
      <c r="E3528" t="s">
        <v>6850</v>
      </c>
    </row>
    <row r="3529" spans="1:5" x14ac:dyDescent="0.25">
      <c r="A3529" s="940">
        <v>3490</v>
      </c>
      <c r="B3529" s="940">
        <v>0</v>
      </c>
      <c r="C3529" t="s">
        <v>8346</v>
      </c>
      <c r="D3529" s="940" t="s">
        <v>7439</v>
      </c>
      <c r="E3529" t="s">
        <v>8348</v>
      </c>
    </row>
    <row r="3530" spans="1:5" x14ac:dyDescent="0.25">
      <c r="A3530" s="940">
        <v>679</v>
      </c>
      <c r="B3530" s="940">
        <v>360</v>
      </c>
      <c r="C3530" t="s">
        <v>2269</v>
      </c>
      <c r="D3530" s="940" t="s">
        <v>8349</v>
      </c>
      <c r="E3530" t="s">
        <v>1493</v>
      </c>
    </row>
    <row r="3531" spans="1:5" x14ac:dyDescent="0.25">
      <c r="A3531" s="940">
        <v>3395</v>
      </c>
      <c r="B3531" s="940">
        <v>1</v>
      </c>
      <c r="C3531" t="s">
        <v>2269</v>
      </c>
      <c r="D3531" s="940" t="s">
        <v>3065</v>
      </c>
      <c r="E3531" t="s">
        <v>120</v>
      </c>
    </row>
    <row r="3532" spans="1:5" x14ac:dyDescent="0.25">
      <c r="A3532" s="940">
        <v>1986</v>
      </c>
      <c r="B3532" s="940">
        <v>57</v>
      </c>
      <c r="C3532" t="s">
        <v>8350</v>
      </c>
      <c r="D3532" s="940" t="s">
        <v>8308</v>
      </c>
      <c r="E3532" t="s">
        <v>1311</v>
      </c>
    </row>
    <row r="3533" spans="1:5" x14ac:dyDescent="0.25">
      <c r="A3533" s="940">
        <v>3045</v>
      </c>
      <c r="B3533" s="940">
        <v>7</v>
      </c>
      <c r="C3533" t="s">
        <v>8350</v>
      </c>
      <c r="D3533" s="940" t="s">
        <v>8351</v>
      </c>
      <c r="E3533" t="s">
        <v>1372</v>
      </c>
    </row>
    <row r="3534" spans="1:5" x14ac:dyDescent="0.25">
      <c r="A3534" s="940">
        <v>2743</v>
      </c>
      <c r="B3534" s="940">
        <v>15</v>
      </c>
      <c r="C3534" t="s">
        <v>8352</v>
      </c>
      <c r="D3534" s="940" t="s">
        <v>5272</v>
      </c>
      <c r="E3534" t="s">
        <v>111</v>
      </c>
    </row>
    <row r="3535" spans="1:5" x14ac:dyDescent="0.25">
      <c r="A3535" s="940">
        <v>244</v>
      </c>
      <c r="B3535" s="940">
        <v>828</v>
      </c>
      <c r="C3535" t="s">
        <v>8353</v>
      </c>
      <c r="D3535" s="940" t="s">
        <v>8354</v>
      </c>
      <c r="E3535" t="s">
        <v>1179</v>
      </c>
    </row>
    <row r="3536" spans="1:5" x14ac:dyDescent="0.25">
      <c r="A3536" s="940">
        <v>3265</v>
      </c>
      <c r="B3536" s="940">
        <v>3</v>
      </c>
      <c r="C3536" t="s">
        <v>8355</v>
      </c>
      <c r="D3536" s="940" t="s">
        <v>4778</v>
      </c>
      <c r="E3536" t="s">
        <v>120</v>
      </c>
    </row>
    <row r="3537" spans="1:5" x14ac:dyDescent="0.25">
      <c r="A3537" s="940">
        <v>1562</v>
      </c>
      <c r="B3537" s="940">
        <v>99</v>
      </c>
      <c r="C3537" t="s">
        <v>8356</v>
      </c>
      <c r="D3537" s="940" t="s">
        <v>3873</v>
      </c>
      <c r="E3537" t="s">
        <v>130</v>
      </c>
    </row>
    <row r="3538" spans="1:5" x14ac:dyDescent="0.25">
      <c r="A3538" s="940">
        <v>327</v>
      </c>
      <c r="B3538" s="940">
        <v>669</v>
      </c>
      <c r="C3538" t="s">
        <v>8357</v>
      </c>
      <c r="D3538" s="940" t="s">
        <v>8358</v>
      </c>
      <c r="E3538" t="s">
        <v>105</v>
      </c>
    </row>
    <row r="3539" spans="1:5" x14ac:dyDescent="0.25">
      <c r="A3539" s="940">
        <v>127</v>
      </c>
      <c r="B3539" s="940">
        <v>1032</v>
      </c>
      <c r="C3539" t="s">
        <v>2272</v>
      </c>
      <c r="D3539" s="940" t="s">
        <v>4905</v>
      </c>
      <c r="E3539" t="s">
        <v>166</v>
      </c>
    </row>
    <row r="3540" spans="1:5" x14ac:dyDescent="0.25">
      <c r="A3540" s="940">
        <v>1749</v>
      </c>
      <c r="B3540" s="940">
        <v>79</v>
      </c>
      <c r="C3540" t="s">
        <v>869</v>
      </c>
      <c r="D3540" s="940" t="s">
        <v>8359</v>
      </c>
      <c r="E3540" t="s">
        <v>179</v>
      </c>
    </row>
    <row r="3541" spans="1:5" x14ac:dyDescent="0.25">
      <c r="A3541" s="940">
        <v>3490</v>
      </c>
      <c r="B3541" s="940">
        <v>0</v>
      </c>
      <c r="C3541" t="s">
        <v>8360</v>
      </c>
      <c r="D3541" s="940" t="s">
        <v>4236</v>
      </c>
      <c r="E3541" t="s">
        <v>106</v>
      </c>
    </row>
    <row r="3542" spans="1:5" x14ac:dyDescent="0.25">
      <c r="A3542" s="940">
        <v>3490</v>
      </c>
      <c r="B3542" s="940">
        <v>0</v>
      </c>
      <c r="C3542" t="s">
        <v>8361</v>
      </c>
      <c r="D3542" s="940" t="s">
        <v>8362</v>
      </c>
      <c r="E3542" t="s">
        <v>179</v>
      </c>
    </row>
    <row r="3543" spans="1:5" x14ac:dyDescent="0.25">
      <c r="A3543" s="940">
        <v>3490</v>
      </c>
      <c r="B3543" s="940">
        <v>0</v>
      </c>
      <c r="C3543" t="s">
        <v>8363</v>
      </c>
      <c r="D3543" s="940" t="s">
        <v>3489</v>
      </c>
      <c r="E3543" t="s">
        <v>137</v>
      </c>
    </row>
    <row r="3544" spans="1:5" x14ac:dyDescent="0.25">
      <c r="A3544" s="940">
        <v>1183</v>
      </c>
      <c r="B3544" s="940">
        <v>161</v>
      </c>
      <c r="C3544" t="s">
        <v>8364</v>
      </c>
      <c r="D3544" s="940" t="s">
        <v>8214</v>
      </c>
      <c r="E3544" t="s">
        <v>132</v>
      </c>
    </row>
    <row r="3545" spans="1:5" x14ac:dyDescent="0.25">
      <c r="A3545" s="940">
        <v>2839</v>
      </c>
      <c r="B3545" s="940">
        <v>12</v>
      </c>
      <c r="C3545" t="s">
        <v>8365</v>
      </c>
      <c r="D3545" s="940" t="s">
        <v>6389</v>
      </c>
      <c r="E3545" t="s">
        <v>1182</v>
      </c>
    </row>
    <row r="3546" spans="1:5" x14ac:dyDescent="0.25">
      <c r="A3546" s="940">
        <v>2381</v>
      </c>
      <c r="B3546" s="940">
        <v>31</v>
      </c>
      <c r="C3546" t="s">
        <v>8366</v>
      </c>
      <c r="D3546" s="940" t="s">
        <v>4072</v>
      </c>
      <c r="E3546" t="s">
        <v>2558</v>
      </c>
    </row>
    <row r="3547" spans="1:5" x14ac:dyDescent="0.25">
      <c r="A3547" s="940">
        <v>3490</v>
      </c>
      <c r="B3547" s="940">
        <v>0</v>
      </c>
      <c r="C3547" t="s">
        <v>8367</v>
      </c>
      <c r="D3547" s="940" t="s">
        <v>3552</v>
      </c>
      <c r="E3547" t="s">
        <v>105</v>
      </c>
    </row>
    <row r="3548" spans="1:5" x14ac:dyDescent="0.25">
      <c r="A3548" s="940">
        <v>529</v>
      </c>
      <c r="B3548" s="940">
        <v>445</v>
      </c>
      <c r="C3548" t="s">
        <v>8368</v>
      </c>
      <c r="D3548" s="940" t="s">
        <v>8369</v>
      </c>
      <c r="E3548" t="s">
        <v>1214</v>
      </c>
    </row>
    <row r="3549" spans="1:5" x14ac:dyDescent="0.25">
      <c r="A3549" s="940">
        <v>1602</v>
      </c>
      <c r="B3549" s="940">
        <v>94</v>
      </c>
      <c r="C3549" t="s">
        <v>8370</v>
      </c>
      <c r="D3549" s="940" t="s">
        <v>8371</v>
      </c>
      <c r="E3549" t="s">
        <v>120</v>
      </c>
    </row>
    <row r="3550" spans="1:5" x14ac:dyDescent="0.25">
      <c r="A3550" s="940">
        <v>1114</v>
      </c>
      <c r="B3550" s="940">
        <v>176</v>
      </c>
      <c r="C3550" t="s">
        <v>342</v>
      </c>
      <c r="D3550" s="940" t="s">
        <v>8372</v>
      </c>
      <c r="E3550" t="s">
        <v>1364</v>
      </c>
    </row>
    <row r="3551" spans="1:5" x14ac:dyDescent="0.25">
      <c r="A3551" s="940">
        <v>3196</v>
      </c>
      <c r="B3551" s="940">
        <v>4</v>
      </c>
      <c r="C3551" t="s">
        <v>8373</v>
      </c>
      <c r="D3551" s="940" t="s">
        <v>8374</v>
      </c>
      <c r="E3551" t="s">
        <v>105</v>
      </c>
    </row>
    <row r="3552" spans="1:5" x14ac:dyDescent="0.25">
      <c r="A3552" s="940">
        <v>2291</v>
      </c>
      <c r="B3552" s="940">
        <v>37</v>
      </c>
      <c r="C3552" t="s">
        <v>8375</v>
      </c>
      <c r="D3552" s="940" t="s">
        <v>8233</v>
      </c>
      <c r="E3552" t="s">
        <v>72</v>
      </c>
    </row>
    <row r="3553" spans="1:5" x14ac:dyDescent="0.25">
      <c r="A3553" s="940">
        <v>3045</v>
      </c>
      <c r="B3553" s="940">
        <v>7</v>
      </c>
      <c r="C3553" t="s">
        <v>8376</v>
      </c>
      <c r="D3553" s="940" t="s">
        <v>3327</v>
      </c>
      <c r="E3553" t="s">
        <v>105</v>
      </c>
    </row>
    <row r="3554" spans="1:5" x14ac:dyDescent="0.25">
      <c r="A3554" s="940">
        <v>1489</v>
      </c>
      <c r="B3554" s="940">
        <v>107</v>
      </c>
      <c r="C3554" t="s">
        <v>2274</v>
      </c>
      <c r="D3554" s="940" t="s">
        <v>8377</v>
      </c>
      <c r="E3554" t="s">
        <v>120</v>
      </c>
    </row>
    <row r="3555" spans="1:5" x14ac:dyDescent="0.25">
      <c r="A3555" s="940">
        <v>714</v>
      </c>
      <c r="B3555" s="940">
        <v>341</v>
      </c>
      <c r="C3555" t="s">
        <v>594</v>
      </c>
      <c r="D3555" s="940" t="s">
        <v>4916</v>
      </c>
      <c r="E3555" t="s">
        <v>165</v>
      </c>
    </row>
    <row r="3556" spans="1:5" x14ac:dyDescent="0.25">
      <c r="A3556" s="940">
        <v>3490</v>
      </c>
      <c r="B3556" s="940">
        <v>0</v>
      </c>
      <c r="C3556" t="s">
        <v>8378</v>
      </c>
      <c r="D3556" s="940" t="s">
        <v>7318</v>
      </c>
      <c r="E3556" t="s">
        <v>165</v>
      </c>
    </row>
    <row r="3557" spans="1:5" x14ac:dyDescent="0.25">
      <c r="A3557" s="940">
        <v>3395</v>
      </c>
      <c r="B3557" s="940">
        <v>1</v>
      </c>
      <c r="C3557" t="s">
        <v>8379</v>
      </c>
      <c r="D3557" s="940" t="s">
        <v>6597</v>
      </c>
      <c r="E3557" t="s">
        <v>120</v>
      </c>
    </row>
    <row r="3558" spans="1:5" x14ac:dyDescent="0.25">
      <c r="A3558" s="940">
        <v>1848</v>
      </c>
      <c r="B3558" s="940">
        <v>68</v>
      </c>
      <c r="C3558" t="s">
        <v>8380</v>
      </c>
      <c r="D3558" s="940" t="s">
        <v>4489</v>
      </c>
      <c r="E3558" t="s">
        <v>120</v>
      </c>
    </row>
    <row r="3559" spans="1:5" x14ac:dyDescent="0.25">
      <c r="A3559" s="940">
        <v>2060</v>
      </c>
      <c r="B3559" s="940">
        <v>51</v>
      </c>
      <c r="C3559" t="s">
        <v>8381</v>
      </c>
      <c r="D3559" s="940" t="s">
        <v>8382</v>
      </c>
      <c r="E3559" t="s">
        <v>1311</v>
      </c>
    </row>
    <row r="3560" spans="1:5" x14ac:dyDescent="0.25">
      <c r="A3560" s="940">
        <v>3490</v>
      </c>
      <c r="B3560" s="940">
        <v>0</v>
      </c>
      <c r="C3560" t="s">
        <v>8383</v>
      </c>
      <c r="D3560" s="940" t="s">
        <v>7218</v>
      </c>
      <c r="E3560" t="s">
        <v>133</v>
      </c>
    </row>
    <row r="3561" spans="1:5" x14ac:dyDescent="0.25">
      <c r="A3561" s="940">
        <v>2461</v>
      </c>
      <c r="B3561" s="940">
        <v>27</v>
      </c>
      <c r="C3561" t="s">
        <v>8384</v>
      </c>
      <c r="D3561" s="940" t="s">
        <v>5427</v>
      </c>
      <c r="E3561" t="s">
        <v>105</v>
      </c>
    </row>
    <row r="3562" spans="1:5" x14ac:dyDescent="0.25">
      <c r="A3562" s="940">
        <v>3045</v>
      </c>
      <c r="B3562" s="940">
        <v>7</v>
      </c>
      <c r="C3562" t="s">
        <v>8385</v>
      </c>
      <c r="D3562" s="940" t="s">
        <v>8386</v>
      </c>
      <c r="E3562" t="s">
        <v>1327</v>
      </c>
    </row>
    <row r="3563" spans="1:5" x14ac:dyDescent="0.25">
      <c r="A3563" s="940">
        <v>2174</v>
      </c>
      <c r="B3563" s="940">
        <v>44</v>
      </c>
      <c r="C3563" t="s">
        <v>8387</v>
      </c>
      <c r="D3563" s="940" t="s">
        <v>3462</v>
      </c>
      <c r="E3563" t="s">
        <v>122</v>
      </c>
    </row>
    <row r="3564" spans="1:5" x14ac:dyDescent="0.25">
      <c r="A3564" s="940">
        <v>637</v>
      </c>
      <c r="B3564" s="940">
        <v>381</v>
      </c>
      <c r="C3564" t="s">
        <v>2276</v>
      </c>
      <c r="D3564" s="940" t="s">
        <v>8388</v>
      </c>
      <c r="E3564" t="s">
        <v>8389</v>
      </c>
    </row>
    <row r="3565" spans="1:5" x14ac:dyDescent="0.25">
      <c r="A3565" s="940">
        <v>765</v>
      </c>
      <c r="B3565" s="940">
        <v>311</v>
      </c>
      <c r="C3565" t="s">
        <v>8390</v>
      </c>
      <c r="D3565" s="940" t="s">
        <v>8391</v>
      </c>
      <c r="E3565" t="s">
        <v>8392</v>
      </c>
    </row>
    <row r="3566" spans="1:5" x14ac:dyDescent="0.25">
      <c r="A3566" s="940">
        <v>1433</v>
      </c>
      <c r="B3566" s="940">
        <v>115</v>
      </c>
      <c r="C3566" t="s">
        <v>2532</v>
      </c>
      <c r="D3566" s="940" t="s">
        <v>8393</v>
      </c>
      <c r="E3566" t="s">
        <v>120</v>
      </c>
    </row>
    <row r="3567" spans="1:5" x14ac:dyDescent="0.25">
      <c r="A3567" s="940">
        <v>3490</v>
      </c>
      <c r="B3567" s="940">
        <v>0</v>
      </c>
      <c r="C3567" t="s">
        <v>8394</v>
      </c>
      <c r="D3567" s="940" t="s">
        <v>8395</v>
      </c>
      <c r="E3567" t="s">
        <v>74</v>
      </c>
    </row>
    <row r="3568" spans="1:5" x14ac:dyDescent="0.25">
      <c r="A3568" s="940">
        <v>866</v>
      </c>
      <c r="B3568" s="940">
        <v>267</v>
      </c>
      <c r="C3568" t="s">
        <v>8396</v>
      </c>
      <c r="D3568" s="940" t="s">
        <v>8397</v>
      </c>
      <c r="E3568" t="s">
        <v>120</v>
      </c>
    </row>
    <row r="3569" spans="1:5" x14ac:dyDescent="0.25">
      <c r="A3569" s="940">
        <v>3490</v>
      </c>
      <c r="B3569" s="940">
        <v>0</v>
      </c>
      <c r="C3569" t="s">
        <v>8398</v>
      </c>
      <c r="D3569" s="940" t="s">
        <v>4456</v>
      </c>
      <c r="E3569" t="s">
        <v>5156</v>
      </c>
    </row>
    <row r="3570" spans="1:5" x14ac:dyDescent="0.25">
      <c r="A3570" s="940">
        <v>499</v>
      </c>
      <c r="B3570" s="940">
        <v>469</v>
      </c>
      <c r="C3570" t="s">
        <v>8399</v>
      </c>
      <c r="D3570" s="940" t="s">
        <v>8400</v>
      </c>
      <c r="E3570" t="s">
        <v>163</v>
      </c>
    </row>
    <row r="3571" spans="1:5" x14ac:dyDescent="0.25">
      <c r="A3571" s="940">
        <v>774</v>
      </c>
      <c r="B3571" s="940">
        <v>307</v>
      </c>
      <c r="C3571" t="s">
        <v>2284</v>
      </c>
      <c r="D3571" s="940" t="s">
        <v>8401</v>
      </c>
      <c r="E3571" t="s">
        <v>74</v>
      </c>
    </row>
    <row r="3572" spans="1:5" x14ac:dyDescent="0.25">
      <c r="A3572" s="940">
        <v>3490</v>
      </c>
      <c r="B3572" s="940">
        <v>0</v>
      </c>
      <c r="C3572" t="s">
        <v>8402</v>
      </c>
      <c r="D3572" s="940" t="s">
        <v>2962</v>
      </c>
      <c r="E3572" t="s">
        <v>163</v>
      </c>
    </row>
    <row r="3573" spans="1:5" x14ac:dyDescent="0.25">
      <c r="A3573" s="940">
        <v>664</v>
      </c>
      <c r="B3573" s="940">
        <v>368</v>
      </c>
      <c r="C3573" t="s">
        <v>8403</v>
      </c>
      <c r="D3573" s="940" t="s">
        <v>8404</v>
      </c>
      <c r="E3573" t="s">
        <v>3396</v>
      </c>
    </row>
    <row r="3574" spans="1:5" x14ac:dyDescent="0.25">
      <c r="A3574" s="940">
        <v>2152</v>
      </c>
      <c r="B3574" s="940">
        <v>45</v>
      </c>
      <c r="C3574" t="s">
        <v>8403</v>
      </c>
      <c r="D3574" s="940" t="s">
        <v>4288</v>
      </c>
      <c r="E3574" t="s">
        <v>147</v>
      </c>
    </row>
    <row r="3575" spans="1:5" x14ac:dyDescent="0.25">
      <c r="A3575" s="940">
        <v>517</v>
      </c>
      <c r="B3575" s="940">
        <v>454</v>
      </c>
      <c r="C3575" t="s">
        <v>870</v>
      </c>
      <c r="D3575" s="940" t="s">
        <v>3967</v>
      </c>
      <c r="E3575" t="s">
        <v>147</v>
      </c>
    </row>
    <row r="3576" spans="1:5" x14ac:dyDescent="0.25">
      <c r="A3576" s="940">
        <v>188</v>
      </c>
      <c r="B3576" s="940">
        <v>917</v>
      </c>
      <c r="C3576" t="s">
        <v>8405</v>
      </c>
      <c r="D3576" s="940" t="s">
        <v>8406</v>
      </c>
      <c r="E3576" t="s">
        <v>103</v>
      </c>
    </row>
    <row r="3577" spans="1:5" x14ac:dyDescent="0.25">
      <c r="A3577" s="940">
        <v>2370</v>
      </c>
      <c r="B3577" s="940">
        <v>32</v>
      </c>
      <c r="C3577" t="s">
        <v>8405</v>
      </c>
      <c r="D3577" s="940" t="s">
        <v>8407</v>
      </c>
      <c r="E3577" t="s">
        <v>73</v>
      </c>
    </row>
    <row r="3578" spans="1:5" x14ac:dyDescent="0.25">
      <c r="A3578" s="940">
        <v>2272</v>
      </c>
      <c r="B3578" s="940">
        <v>38</v>
      </c>
      <c r="C3578" t="s">
        <v>8408</v>
      </c>
      <c r="D3578" s="940" t="s">
        <v>8409</v>
      </c>
      <c r="E3578" t="s">
        <v>105</v>
      </c>
    </row>
    <row r="3579" spans="1:5" x14ac:dyDescent="0.25">
      <c r="A3579" s="940">
        <v>3490</v>
      </c>
      <c r="B3579" s="940">
        <v>0</v>
      </c>
      <c r="C3579" t="s">
        <v>8410</v>
      </c>
      <c r="D3579" s="940" t="s">
        <v>8411</v>
      </c>
      <c r="E3579" t="s">
        <v>1248</v>
      </c>
    </row>
    <row r="3580" spans="1:5" x14ac:dyDescent="0.25">
      <c r="A3580" s="940">
        <v>2152</v>
      </c>
      <c r="B3580" s="940">
        <v>45</v>
      </c>
      <c r="C3580" t="s">
        <v>8412</v>
      </c>
      <c r="D3580" s="940" t="s">
        <v>7794</v>
      </c>
      <c r="E3580" t="s">
        <v>1156</v>
      </c>
    </row>
    <row r="3581" spans="1:5" x14ac:dyDescent="0.25">
      <c r="A3581" s="940">
        <v>2659</v>
      </c>
      <c r="B3581" s="940">
        <v>18</v>
      </c>
      <c r="C3581" t="s">
        <v>8413</v>
      </c>
      <c r="D3581" s="940" t="s">
        <v>6111</v>
      </c>
      <c r="E3581" t="s">
        <v>1803</v>
      </c>
    </row>
    <row r="3582" spans="1:5" x14ac:dyDescent="0.25">
      <c r="A3582" s="940">
        <v>2461</v>
      </c>
      <c r="B3582" s="940">
        <v>27</v>
      </c>
      <c r="C3582" t="s">
        <v>8414</v>
      </c>
      <c r="D3582" s="940" t="s">
        <v>5503</v>
      </c>
      <c r="E3582" t="s">
        <v>1372</v>
      </c>
    </row>
    <row r="3583" spans="1:5" x14ac:dyDescent="0.25">
      <c r="A3583" s="940">
        <v>1643</v>
      </c>
      <c r="B3583" s="940">
        <v>90</v>
      </c>
      <c r="C3583" t="s">
        <v>8415</v>
      </c>
      <c r="D3583" s="940" t="s">
        <v>8416</v>
      </c>
      <c r="E3583" t="s">
        <v>3597</v>
      </c>
    </row>
    <row r="3584" spans="1:5" x14ac:dyDescent="0.25">
      <c r="A3584" s="940">
        <v>3490</v>
      </c>
      <c r="B3584" s="940">
        <v>0</v>
      </c>
      <c r="C3584" t="s">
        <v>8417</v>
      </c>
      <c r="D3584" s="940" t="s">
        <v>3303</v>
      </c>
      <c r="E3584" t="s">
        <v>105</v>
      </c>
    </row>
    <row r="3585" spans="1:5" x14ac:dyDescent="0.25">
      <c r="A3585" s="940">
        <v>1367</v>
      </c>
      <c r="B3585" s="940">
        <v>124</v>
      </c>
      <c r="C3585" t="s">
        <v>8418</v>
      </c>
      <c r="D3585" s="940" t="s">
        <v>8419</v>
      </c>
      <c r="E3585" t="s">
        <v>1214</v>
      </c>
    </row>
    <row r="3586" spans="1:5" x14ac:dyDescent="0.25">
      <c r="A3586" s="940">
        <v>2004</v>
      </c>
      <c r="B3586" s="940">
        <v>55</v>
      </c>
      <c r="C3586" t="s">
        <v>8420</v>
      </c>
      <c r="D3586" s="940" t="s">
        <v>8421</v>
      </c>
      <c r="E3586" t="s">
        <v>2654</v>
      </c>
    </row>
    <row r="3587" spans="1:5" x14ac:dyDescent="0.25">
      <c r="A3587" s="940">
        <v>1643</v>
      </c>
      <c r="B3587" s="940">
        <v>90</v>
      </c>
      <c r="C3587" t="s">
        <v>8422</v>
      </c>
      <c r="D3587" s="940" t="s">
        <v>3241</v>
      </c>
      <c r="E3587" t="s">
        <v>80</v>
      </c>
    </row>
    <row r="3588" spans="1:5" x14ac:dyDescent="0.25">
      <c r="A3588" s="940">
        <v>2079</v>
      </c>
      <c r="B3588" s="940">
        <v>50</v>
      </c>
      <c r="C3588" t="s">
        <v>8423</v>
      </c>
      <c r="D3588" s="940" t="s">
        <v>5040</v>
      </c>
      <c r="E3588" t="s">
        <v>105</v>
      </c>
    </row>
    <row r="3589" spans="1:5" x14ac:dyDescent="0.25">
      <c r="A3589" s="940">
        <v>160</v>
      </c>
      <c r="B3589" s="940">
        <v>952</v>
      </c>
      <c r="C3589" t="s">
        <v>346</v>
      </c>
      <c r="D3589" s="940" t="s">
        <v>8424</v>
      </c>
      <c r="E3589" t="s">
        <v>1171</v>
      </c>
    </row>
    <row r="3590" spans="1:5" x14ac:dyDescent="0.25">
      <c r="A3590" s="940">
        <v>2883</v>
      </c>
      <c r="B3590" s="940">
        <v>11</v>
      </c>
      <c r="C3590" t="s">
        <v>8425</v>
      </c>
      <c r="D3590" s="940" t="s">
        <v>8426</v>
      </c>
      <c r="E3590" t="s">
        <v>1307</v>
      </c>
    </row>
    <row r="3591" spans="1:5" x14ac:dyDescent="0.25">
      <c r="A3591" s="940">
        <v>1197</v>
      </c>
      <c r="B3591" s="940">
        <v>157</v>
      </c>
      <c r="C3591" t="s">
        <v>8427</v>
      </c>
      <c r="D3591" s="940" t="s">
        <v>7489</v>
      </c>
      <c r="E3591" t="s">
        <v>2880</v>
      </c>
    </row>
    <row r="3592" spans="1:5" x14ac:dyDescent="0.25">
      <c r="A3592" s="940">
        <v>1514</v>
      </c>
      <c r="B3592" s="940">
        <v>104</v>
      </c>
      <c r="C3592" t="s">
        <v>8428</v>
      </c>
      <c r="D3592" s="940" t="s">
        <v>7329</v>
      </c>
      <c r="E3592" t="s">
        <v>122</v>
      </c>
    </row>
    <row r="3593" spans="1:5" x14ac:dyDescent="0.25">
      <c r="A3593" s="940">
        <v>251</v>
      </c>
      <c r="B3593" s="940">
        <v>812</v>
      </c>
      <c r="C3593" t="s">
        <v>347</v>
      </c>
      <c r="D3593" s="940" t="s">
        <v>8345</v>
      </c>
      <c r="E3593" t="s">
        <v>166</v>
      </c>
    </row>
    <row r="3594" spans="1:5" x14ac:dyDescent="0.25">
      <c r="A3594" s="940">
        <v>150</v>
      </c>
      <c r="B3594" s="940">
        <v>975</v>
      </c>
      <c r="C3594" t="s">
        <v>8429</v>
      </c>
      <c r="D3594" s="940" t="s">
        <v>8430</v>
      </c>
      <c r="E3594" t="s">
        <v>99</v>
      </c>
    </row>
    <row r="3595" spans="1:5" x14ac:dyDescent="0.25">
      <c r="A3595" s="940">
        <v>1986</v>
      </c>
      <c r="B3595" s="940">
        <v>57</v>
      </c>
      <c r="C3595" t="s">
        <v>8431</v>
      </c>
      <c r="D3595" s="940" t="s">
        <v>7782</v>
      </c>
      <c r="E3595" t="s">
        <v>142</v>
      </c>
    </row>
    <row r="3596" spans="1:5" x14ac:dyDescent="0.25">
      <c r="A3596" s="940">
        <v>1021</v>
      </c>
      <c r="B3596" s="940">
        <v>208</v>
      </c>
      <c r="C3596" t="s">
        <v>8432</v>
      </c>
      <c r="D3596" s="940" t="s">
        <v>8433</v>
      </c>
      <c r="E3596" t="s">
        <v>105</v>
      </c>
    </row>
    <row r="3597" spans="1:5" x14ac:dyDescent="0.25">
      <c r="A3597" s="940">
        <v>3196</v>
      </c>
      <c r="B3597" s="940">
        <v>4</v>
      </c>
      <c r="C3597" t="s">
        <v>8432</v>
      </c>
      <c r="D3597" s="940" t="s">
        <v>3988</v>
      </c>
      <c r="E3597" t="s">
        <v>170</v>
      </c>
    </row>
    <row r="3598" spans="1:5" x14ac:dyDescent="0.25">
      <c r="A3598" s="940">
        <v>2907</v>
      </c>
      <c r="B3598" s="940">
        <v>10</v>
      </c>
      <c r="C3598" t="s">
        <v>8434</v>
      </c>
      <c r="D3598" s="940" t="s">
        <v>6048</v>
      </c>
      <c r="E3598" t="s">
        <v>175</v>
      </c>
    </row>
    <row r="3599" spans="1:5" x14ac:dyDescent="0.25">
      <c r="A3599" s="940">
        <v>2515</v>
      </c>
      <c r="B3599" s="940">
        <v>24</v>
      </c>
      <c r="C3599" t="s">
        <v>8435</v>
      </c>
      <c r="D3599" s="940" t="s">
        <v>4318</v>
      </c>
      <c r="E3599" t="s">
        <v>99</v>
      </c>
    </row>
    <row r="3600" spans="1:5" x14ac:dyDescent="0.25">
      <c r="A3600" s="940">
        <v>1836</v>
      </c>
      <c r="B3600" s="940">
        <v>69</v>
      </c>
      <c r="C3600" t="s">
        <v>8436</v>
      </c>
      <c r="D3600" s="940" t="s">
        <v>3136</v>
      </c>
      <c r="E3600" t="s">
        <v>1897</v>
      </c>
    </row>
    <row r="3601" spans="1:5" x14ac:dyDescent="0.25">
      <c r="A3601" s="940">
        <v>3490</v>
      </c>
      <c r="B3601" s="940">
        <v>0</v>
      </c>
      <c r="C3601" t="s">
        <v>8437</v>
      </c>
      <c r="D3601" s="940" t="s">
        <v>5956</v>
      </c>
      <c r="E3601" t="s">
        <v>74</v>
      </c>
    </row>
    <row r="3602" spans="1:5" x14ac:dyDescent="0.25">
      <c r="A3602" s="940">
        <v>1272</v>
      </c>
      <c r="B3602" s="940">
        <v>141</v>
      </c>
      <c r="C3602" t="s">
        <v>8438</v>
      </c>
      <c r="D3602" s="940" t="s">
        <v>6307</v>
      </c>
      <c r="E3602" t="s">
        <v>128</v>
      </c>
    </row>
    <row r="3603" spans="1:5" x14ac:dyDescent="0.25">
      <c r="A3603" s="940">
        <v>3490</v>
      </c>
      <c r="B3603" s="940">
        <v>0</v>
      </c>
      <c r="C3603" t="s">
        <v>8439</v>
      </c>
      <c r="D3603" s="940" t="s">
        <v>5698</v>
      </c>
      <c r="E3603" t="s">
        <v>1182</v>
      </c>
    </row>
    <row r="3604" spans="1:5" x14ac:dyDescent="0.25">
      <c r="A3604" s="940">
        <v>3045</v>
      </c>
      <c r="B3604" s="940">
        <v>7</v>
      </c>
      <c r="C3604" t="s">
        <v>8440</v>
      </c>
      <c r="D3604" s="940" t="s">
        <v>7046</v>
      </c>
      <c r="E3604" t="s">
        <v>5555</v>
      </c>
    </row>
    <row r="3605" spans="1:5" x14ac:dyDescent="0.25">
      <c r="A3605" s="940">
        <v>1885</v>
      </c>
      <c r="B3605" s="940">
        <v>65</v>
      </c>
      <c r="C3605" t="s">
        <v>8441</v>
      </c>
      <c r="D3605" s="940" t="s">
        <v>8442</v>
      </c>
      <c r="E3605" t="s">
        <v>2913</v>
      </c>
    </row>
    <row r="3606" spans="1:5" x14ac:dyDescent="0.25">
      <c r="A3606" s="940">
        <v>236</v>
      </c>
      <c r="B3606" s="940">
        <v>843</v>
      </c>
      <c r="C3606" t="s">
        <v>8443</v>
      </c>
      <c r="D3606" s="940" t="s">
        <v>8444</v>
      </c>
      <c r="E3606" t="s">
        <v>3330</v>
      </c>
    </row>
    <row r="3607" spans="1:5" x14ac:dyDescent="0.25">
      <c r="A3607" s="940">
        <v>2839</v>
      </c>
      <c r="B3607" s="940">
        <v>12</v>
      </c>
      <c r="C3607" t="s">
        <v>8445</v>
      </c>
      <c r="D3607" s="940" t="s">
        <v>7240</v>
      </c>
      <c r="E3607" t="s">
        <v>112</v>
      </c>
    </row>
    <row r="3608" spans="1:5" x14ac:dyDescent="0.25">
      <c r="A3608" s="940">
        <v>777</v>
      </c>
      <c r="B3608" s="940">
        <v>306</v>
      </c>
      <c r="C3608" t="s">
        <v>8446</v>
      </c>
      <c r="D3608" s="940" t="s">
        <v>6508</v>
      </c>
      <c r="E3608" t="s">
        <v>1236</v>
      </c>
    </row>
    <row r="3609" spans="1:5" x14ac:dyDescent="0.25">
      <c r="A3609" s="940">
        <v>3327</v>
      </c>
      <c r="B3609" s="940">
        <v>2</v>
      </c>
      <c r="C3609" t="s">
        <v>8446</v>
      </c>
      <c r="D3609" s="940" t="s">
        <v>6572</v>
      </c>
      <c r="E3609" t="s">
        <v>2660</v>
      </c>
    </row>
    <row r="3610" spans="1:5" x14ac:dyDescent="0.25">
      <c r="A3610" s="940">
        <v>2079</v>
      </c>
      <c r="B3610" s="940">
        <v>50</v>
      </c>
      <c r="C3610" t="s">
        <v>8447</v>
      </c>
      <c r="D3610" s="940" t="s">
        <v>2936</v>
      </c>
      <c r="E3610" t="s">
        <v>1236</v>
      </c>
    </row>
    <row r="3611" spans="1:5" x14ac:dyDescent="0.25">
      <c r="A3611" s="940">
        <v>521</v>
      </c>
      <c r="B3611" s="940">
        <v>450</v>
      </c>
      <c r="C3611" t="s">
        <v>8448</v>
      </c>
      <c r="D3611" s="940" t="s">
        <v>8449</v>
      </c>
      <c r="E3611" t="s">
        <v>1156</v>
      </c>
    </row>
    <row r="3612" spans="1:5" x14ac:dyDescent="0.25">
      <c r="A3612" s="940">
        <v>3490</v>
      </c>
      <c r="B3612" s="940">
        <v>0</v>
      </c>
      <c r="C3612" t="s">
        <v>8450</v>
      </c>
      <c r="D3612" s="940" t="s">
        <v>5973</v>
      </c>
      <c r="E3612" t="s">
        <v>1315</v>
      </c>
    </row>
    <row r="3613" spans="1:5" x14ac:dyDescent="0.25">
      <c r="A3613" s="940">
        <v>3490</v>
      </c>
      <c r="B3613" s="940">
        <v>0</v>
      </c>
      <c r="C3613" t="s">
        <v>8451</v>
      </c>
      <c r="D3613" s="940" t="s">
        <v>8452</v>
      </c>
      <c r="E3613" t="s">
        <v>1221</v>
      </c>
    </row>
    <row r="3614" spans="1:5" x14ac:dyDescent="0.25">
      <c r="A3614" s="940">
        <v>2272</v>
      </c>
      <c r="B3614" s="940">
        <v>38</v>
      </c>
      <c r="C3614" t="s">
        <v>8453</v>
      </c>
      <c r="D3614" s="940" t="s">
        <v>8454</v>
      </c>
      <c r="E3614" t="s">
        <v>1221</v>
      </c>
    </row>
    <row r="3615" spans="1:5" x14ac:dyDescent="0.25">
      <c r="A3615" s="940">
        <v>529</v>
      </c>
      <c r="B3615" s="940">
        <v>445</v>
      </c>
      <c r="C3615" t="s">
        <v>8455</v>
      </c>
      <c r="D3615" s="940" t="s">
        <v>8456</v>
      </c>
      <c r="E3615" t="s">
        <v>1311</v>
      </c>
    </row>
    <row r="3616" spans="1:5" x14ac:dyDescent="0.25">
      <c r="A3616" s="940">
        <v>804</v>
      </c>
      <c r="B3616" s="940">
        <v>295</v>
      </c>
      <c r="C3616" t="s">
        <v>8457</v>
      </c>
      <c r="D3616" s="940" t="s">
        <v>8458</v>
      </c>
      <c r="E3616" t="s">
        <v>105</v>
      </c>
    </row>
    <row r="3617" spans="1:5" x14ac:dyDescent="0.25">
      <c r="A3617" s="940">
        <v>3089</v>
      </c>
      <c r="B3617" s="940">
        <v>6</v>
      </c>
      <c r="C3617" t="s">
        <v>8459</v>
      </c>
      <c r="D3617" s="940" t="s">
        <v>7248</v>
      </c>
      <c r="E3617" t="s">
        <v>122</v>
      </c>
    </row>
    <row r="3618" spans="1:5" x14ac:dyDescent="0.25">
      <c r="A3618" s="940">
        <v>403</v>
      </c>
      <c r="B3618" s="940">
        <v>566</v>
      </c>
      <c r="C3618" t="s">
        <v>8460</v>
      </c>
      <c r="D3618" s="940" t="s">
        <v>8461</v>
      </c>
      <c r="E3618" t="s">
        <v>1286</v>
      </c>
    </row>
    <row r="3619" spans="1:5" x14ac:dyDescent="0.25">
      <c r="A3619" s="940">
        <v>3490</v>
      </c>
      <c r="B3619" s="940">
        <v>0</v>
      </c>
      <c r="C3619" t="s">
        <v>8462</v>
      </c>
      <c r="D3619" s="940" t="s">
        <v>6355</v>
      </c>
      <c r="E3619" t="s">
        <v>105</v>
      </c>
    </row>
    <row r="3620" spans="1:5" x14ac:dyDescent="0.25">
      <c r="A3620" s="940">
        <v>1254</v>
      </c>
      <c r="B3620" s="940">
        <v>144</v>
      </c>
      <c r="C3620" t="s">
        <v>8463</v>
      </c>
      <c r="D3620" s="940" t="s">
        <v>8464</v>
      </c>
      <c r="E3620" t="s">
        <v>138</v>
      </c>
    </row>
    <row r="3621" spans="1:5" x14ac:dyDescent="0.25">
      <c r="A3621" s="940">
        <v>394</v>
      </c>
      <c r="B3621" s="940">
        <v>576</v>
      </c>
      <c r="C3621" t="s">
        <v>348</v>
      </c>
      <c r="D3621" s="940" t="s">
        <v>8465</v>
      </c>
      <c r="E3621" t="s">
        <v>1214</v>
      </c>
    </row>
    <row r="3622" spans="1:5" x14ac:dyDescent="0.25">
      <c r="A3622" s="940">
        <v>3490</v>
      </c>
      <c r="B3622" s="940">
        <v>0</v>
      </c>
      <c r="C3622" t="s">
        <v>8466</v>
      </c>
      <c r="D3622" s="940" t="s">
        <v>3496</v>
      </c>
      <c r="E3622" t="s">
        <v>99</v>
      </c>
    </row>
    <row r="3623" spans="1:5" x14ac:dyDescent="0.25">
      <c r="A3623" s="940">
        <v>3196</v>
      </c>
      <c r="B3623" s="940">
        <v>4</v>
      </c>
      <c r="C3623" t="s">
        <v>8467</v>
      </c>
      <c r="D3623" s="940" t="s">
        <v>5438</v>
      </c>
      <c r="E3623" t="s">
        <v>1221</v>
      </c>
    </row>
    <row r="3624" spans="1:5" x14ac:dyDescent="0.25">
      <c r="A3624" s="940">
        <v>3490</v>
      </c>
      <c r="B3624" s="940">
        <v>0</v>
      </c>
      <c r="C3624" t="s">
        <v>8468</v>
      </c>
      <c r="D3624" s="940" t="s">
        <v>3256</v>
      </c>
      <c r="E3624" t="s">
        <v>105</v>
      </c>
    </row>
    <row r="3625" spans="1:5" x14ac:dyDescent="0.25">
      <c r="A3625" s="940">
        <v>305</v>
      </c>
      <c r="B3625" s="940">
        <v>706</v>
      </c>
      <c r="C3625" t="s">
        <v>8469</v>
      </c>
      <c r="D3625" s="940" t="s">
        <v>8470</v>
      </c>
      <c r="E3625" t="s">
        <v>105</v>
      </c>
    </row>
    <row r="3626" spans="1:5" x14ac:dyDescent="0.25">
      <c r="A3626" s="940">
        <v>484</v>
      </c>
      <c r="B3626" s="940">
        <v>488</v>
      </c>
      <c r="C3626" t="s">
        <v>8471</v>
      </c>
      <c r="D3626" s="940" t="s">
        <v>8472</v>
      </c>
      <c r="E3626" t="s">
        <v>1246</v>
      </c>
    </row>
    <row r="3627" spans="1:5" x14ac:dyDescent="0.25">
      <c r="A3627" s="940">
        <v>481</v>
      </c>
      <c r="B3627" s="940">
        <v>492</v>
      </c>
      <c r="C3627" t="s">
        <v>8473</v>
      </c>
      <c r="D3627" s="940" t="s">
        <v>8474</v>
      </c>
      <c r="E3627" t="s">
        <v>1182</v>
      </c>
    </row>
    <row r="3628" spans="1:5" x14ac:dyDescent="0.25">
      <c r="A3628" s="940">
        <v>2839</v>
      </c>
      <c r="B3628" s="940">
        <v>12</v>
      </c>
      <c r="C3628" t="s">
        <v>8475</v>
      </c>
      <c r="D3628" s="940" t="s">
        <v>2684</v>
      </c>
      <c r="E3628" t="s">
        <v>165</v>
      </c>
    </row>
    <row r="3629" spans="1:5" x14ac:dyDescent="0.25">
      <c r="A3629" s="940">
        <v>56</v>
      </c>
      <c r="B3629" s="940">
        <v>1264</v>
      </c>
      <c r="C3629" t="s">
        <v>8476</v>
      </c>
      <c r="D3629" s="940" t="s">
        <v>8477</v>
      </c>
      <c r="E3629" t="s">
        <v>99</v>
      </c>
    </row>
    <row r="3630" spans="1:5" x14ac:dyDescent="0.25">
      <c r="A3630" s="940">
        <v>1339</v>
      </c>
      <c r="B3630" s="940">
        <v>128</v>
      </c>
      <c r="C3630" t="s">
        <v>8478</v>
      </c>
      <c r="D3630" s="940" t="s">
        <v>4487</v>
      </c>
      <c r="E3630" t="s">
        <v>2237</v>
      </c>
    </row>
    <row r="3631" spans="1:5" x14ac:dyDescent="0.25">
      <c r="A3631" s="940">
        <v>2256</v>
      </c>
      <c r="B3631" s="940">
        <v>39</v>
      </c>
      <c r="C3631" t="s">
        <v>8479</v>
      </c>
      <c r="D3631" s="940" t="s">
        <v>3981</v>
      </c>
      <c r="E3631" t="s">
        <v>1176</v>
      </c>
    </row>
    <row r="3632" spans="1:5" x14ac:dyDescent="0.25">
      <c r="A3632" s="940">
        <v>349</v>
      </c>
      <c r="B3632" s="940">
        <v>632</v>
      </c>
      <c r="C3632" t="s">
        <v>8480</v>
      </c>
      <c r="D3632" s="940" t="s">
        <v>8481</v>
      </c>
      <c r="E3632" t="s">
        <v>105</v>
      </c>
    </row>
    <row r="3633" spans="1:5" x14ac:dyDescent="0.25">
      <c r="A3633" s="940">
        <v>2416</v>
      </c>
      <c r="B3633" s="940">
        <v>29</v>
      </c>
      <c r="C3633" t="s">
        <v>8482</v>
      </c>
      <c r="D3633" s="940" t="s">
        <v>4376</v>
      </c>
      <c r="E3633" t="s">
        <v>109</v>
      </c>
    </row>
    <row r="3634" spans="1:5" x14ac:dyDescent="0.25">
      <c r="A3634" s="940">
        <v>3490</v>
      </c>
      <c r="B3634" s="940">
        <v>0</v>
      </c>
      <c r="C3634" t="s">
        <v>8483</v>
      </c>
      <c r="D3634" s="940" t="s">
        <v>2807</v>
      </c>
      <c r="E3634" t="s">
        <v>133</v>
      </c>
    </row>
    <row r="3635" spans="1:5" x14ac:dyDescent="0.25">
      <c r="A3635" s="940">
        <v>3490</v>
      </c>
      <c r="B3635" s="940">
        <v>0</v>
      </c>
      <c r="C3635" t="s">
        <v>8484</v>
      </c>
      <c r="D3635" s="940" t="s">
        <v>8485</v>
      </c>
      <c r="E3635" t="s">
        <v>213</v>
      </c>
    </row>
    <row r="3636" spans="1:5" x14ac:dyDescent="0.25">
      <c r="A3636" s="940">
        <v>2174</v>
      </c>
      <c r="B3636" s="940">
        <v>44</v>
      </c>
      <c r="C3636" t="s">
        <v>8486</v>
      </c>
      <c r="D3636" s="940" t="s">
        <v>8487</v>
      </c>
      <c r="E3636" t="s">
        <v>1156</v>
      </c>
    </row>
    <row r="3637" spans="1:5" x14ac:dyDescent="0.25">
      <c r="A3637" s="940">
        <v>3089</v>
      </c>
      <c r="B3637" s="940">
        <v>6</v>
      </c>
      <c r="C3637" t="s">
        <v>8488</v>
      </c>
      <c r="D3637" s="940" t="s">
        <v>5238</v>
      </c>
      <c r="E3637" t="s">
        <v>1599</v>
      </c>
    </row>
    <row r="3638" spans="1:5" x14ac:dyDescent="0.25">
      <c r="A3638" s="940">
        <v>1367</v>
      </c>
      <c r="B3638" s="940">
        <v>124</v>
      </c>
      <c r="C3638" t="s">
        <v>8489</v>
      </c>
      <c r="D3638" s="940" t="s">
        <v>8490</v>
      </c>
      <c r="E3638" t="s">
        <v>3951</v>
      </c>
    </row>
    <row r="3639" spans="1:5" x14ac:dyDescent="0.25">
      <c r="A3639" s="940">
        <v>1836</v>
      </c>
      <c r="B3639" s="940">
        <v>69</v>
      </c>
      <c r="C3639" t="s">
        <v>8491</v>
      </c>
      <c r="D3639" s="940" t="s">
        <v>6147</v>
      </c>
      <c r="E3639" t="s">
        <v>170</v>
      </c>
    </row>
    <row r="3640" spans="1:5" x14ac:dyDescent="0.25">
      <c r="A3640" s="940">
        <v>1003</v>
      </c>
      <c r="B3640" s="940">
        <v>214</v>
      </c>
      <c r="C3640" t="s">
        <v>8492</v>
      </c>
      <c r="D3640" s="940" t="s">
        <v>8493</v>
      </c>
      <c r="E3640" t="s">
        <v>3098</v>
      </c>
    </row>
    <row r="3641" spans="1:5" x14ac:dyDescent="0.25">
      <c r="A3641" s="940">
        <v>2174</v>
      </c>
      <c r="B3641" s="940">
        <v>44</v>
      </c>
      <c r="C3641" t="s">
        <v>2303</v>
      </c>
      <c r="D3641" s="940" t="s">
        <v>8494</v>
      </c>
      <c r="E3641" t="s">
        <v>1156</v>
      </c>
    </row>
    <row r="3642" spans="1:5" x14ac:dyDescent="0.25">
      <c r="A3642" s="940">
        <v>3395</v>
      </c>
      <c r="B3642" s="940">
        <v>1</v>
      </c>
      <c r="C3642" t="s">
        <v>8495</v>
      </c>
      <c r="D3642" s="940" t="s">
        <v>7881</v>
      </c>
      <c r="E3642" t="s">
        <v>74</v>
      </c>
    </row>
    <row r="3643" spans="1:5" x14ac:dyDescent="0.25">
      <c r="A3643" s="940">
        <v>2582</v>
      </c>
      <c r="B3643" s="940">
        <v>21</v>
      </c>
      <c r="C3643" t="s">
        <v>8496</v>
      </c>
      <c r="D3643" s="940" t="s">
        <v>8497</v>
      </c>
      <c r="E3643" t="s">
        <v>120</v>
      </c>
    </row>
    <row r="3644" spans="1:5" x14ac:dyDescent="0.25">
      <c r="A3644" s="940">
        <v>2515</v>
      </c>
      <c r="B3644" s="940">
        <v>24</v>
      </c>
      <c r="C3644" t="s">
        <v>8498</v>
      </c>
      <c r="D3644" s="940" t="s">
        <v>5118</v>
      </c>
      <c r="E3644" t="s">
        <v>74</v>
      </c>
    </row>
    <row r="3645" spans="1:5" x14ac:dyDescent="0.25">
      <c r="A3645" s="940">
        <v>3490</v>
      </c>
      <c r="B3645" s="940">
        <v>0</v>
      </c>
      <c r="C3645" t="s">
        <v>8499</v>
      </c>
      <c r="D3645" s="940" t="s">
        <v>5034</v>
      </c>
      <c r="E3645" t="s">
        <v>1171</v>
      </c>
    </row>
    <row r="3646" spans="1:5" x14ac:dyDescent="0.25">
      <c r="A3646" s="940">
        <v>3490</v>
      </c>
      <c r="B3646" s="940">
        <v>0</v>
      </c>
      <c r="C3646" t="s">
        <v>8500</v>
      </c>
      <c r="D3646" s="940" t="s">
        <v>8501</v>
      </c>
      <c r="E3646" t="s">
        <v>4461</v>
      </c>
    </row>
    <row r="3647" spans="1:5" x14ac:dyDescent="0.25">
      <c r="A3647" s="940">
        <v>2659</v>
      </c>
      <c r="B3647" s="940">
        <v>18</v>
      </c>
      <c r="C3647" t="s">
        <v>8502</v>
      </c>
      <c r="D3647" s="940" t="s">
        <v>5701</v>
      </c>
      <c r="E3647" t="s">
        <v>2880</v>
      </c>
    </row>
    <row r="3648" spans="1:5" x14ac:dyDescent="0.25">
      <c r="A3648" s="940">
        <v>985</v>
      </c>
      <c r="B3648" s="940">
        <v>223</v>
      </c>
      <c r="C3648" t="s">
        <v>2305</v>
      </c>
      <c r="D3648" s="940" t="s">
        <v>4121</v>
      </c>
      <c r="E3648" t="s">
        <v>99</v>
      </c>
    </row>
    <row r="3649" spans="1:5" x14ac:dyDescent="0.25">
      <c r="A3649" s="940">
        <v>3196</v>
      </c>
      <c r="B3649" s="940">
        <v>4</v>
      </c>
      <c r="C3649" t="s">
        <v>8503</v>
      </c>
      <c r="D3649" s="940" t="s">
        <v>3210</v>
      </c>
      <c r="E3649" t="s">
        <v>164</v>
      </c>
    </row>
    <row r="3650" spans="1:5" x14ac:dyDescent="0.25">
      <c r="A3650" s="940">
        <v>3327</v>
      </c>
      <c r="B3650" s="940">
        <v>2</v>
      </c>
      <c r="C3650" t="s">
        <v>8504</v>
      </c>
      <c r="D3650" s="940" t="s">
        <v>7685</v>
      </c>
      <c r="E3650" t="s">
        <v>7818</v>
      </c>
    </row>
    <row r="3651" spans="1:5" x14ac:dyDescent="0.25">
      <c r="A3651" s="940">
        <v>1581</v>
      </c>
      <c r="B3651" s="940">
        <v>97</v>
      </c>
      <c r="C3651" t="s">
        <v>8505</v>
      </c>
      <c r="D3651" s="940" t="s">
        <v>8506</v>
      </c>
      <c r="E3651" t="s">
        <v>103</v>
      </c>
    </row>
    <row r="3652" spans="1:5" x14ac:dyDescent="0.25">
      <c r="A3652" s="940">
        <v>781</v>
      </c>
      <c r="B3652" s="940">
        <v>305</v>
      </c>
      <c r="C3652" t="s">
        <v>8507</v>
      </c>
      <c r="D3652" s="940" t="s">
        <v>8508</v>
      </c>
      <c r="E3652" t="s">
        <v>120</v>
      </c>
    </row>
    <row r="3653" spans="1:5" x14ac:dyDescent="0.25">
      <c r="A3653" s="940">
        <v>2743</v>
      </c>
      <c r="B3653" s="940">
        <v>15</v>
      </c>
      <c r="C3653" t="s">
        <v>8509</v>
      </c>
      <c r="D3653" s="940" t="s">
        <v>8510</v>
      </c>
      <c r="E3653" t="s">
        <v>2654</v>
      </c>
    </row>
    <row r="3654" spans="1:5" x14ac:dyDescent="0.25">
      <c r="A3654" s="940">
        <v>2743</v>
      </c>
      <c r="B3654" s="940">
        <v>15</v>
      </c>
      <c r="C3654" t="s">
        <v>8509</v>
      </c>
      <c r="D3654" s="940" t="s">
        <v>6135</v>
      </c>
      <c r="E3654" t="s">
        <v>111</v>
      </c>
    </row>
    <row r="3655" spans="1:5" x14ac:dyDescent="0.25">
      <c r="A3655" s="940">
        <v>3490</v>
      </c>
      <c r="B3655" s="940">
        <v>0</v>
      </c>
      <c r="C3655" t="s">
        <v>8511</v>
      </c>
      <c r="D3655" s="940" t="s">
        <v>3346</v>
      </c>
      <c r="E3655" t="s">
        <v>105</v>
      </c>
    </row>
    <row r="3656" spans="1:5" x14ac:dyDescent="0.25">
      <c r="A3656" s="940">
        <v>234</v>
      </c>
      <c r="B3656" s="940">
        <v>844</v>
      </c>
      <c r="C3656" t="s">
        <v>8512</v>
      </c>
      <c r="D3656" s="940" t="s">
        <v>3820</v>
      </c>
      <c r="E3656" t="s">
        <v>120</v>
      </c>
    </row>
    <row r="3657" spans="1:5" x14ac:dyDescent="0.25">
      <c r="A3657" s="940">
        <v>694</v>
      </c>
      <c r="B3657" s="940">
        <v>350</v>
      </c>
      <c r="C3657" t="s">
        <v>8513</v>
      </c>
      <c r="D3657" s="940" t="s">
        <v>8514</v>
      </c>
      <c r="E3657" t="s">
        <v>112</v>
      </c>
    </row>
    <row r="3658" spans="1:5" x14ac:dyDescent="0.25">
      <c r="A3658" s="940">
        <v>919</v>
      </c>
      <c r="B3658" s="940">
        <v>248</v>
      </c>
      <c r="C3658" t="s">
        <v>8515</v>
      </c>
      <c r="D3658" s="940" t="s">
        <v>8516</v>
      </c>
      <c r="E3658" t="s">
        <v>3863</v>
      </c>
    </row>
    <row r="3659" spans="1:5" x14ac:dyDescent="0.25">
      <c r="A3659" s="940">
        <v>1280</v>
      </c>
      <c r="B3659" s="940">
        <v>140</v>
      </c>
      <c r="C3659" t="s">
        <v>8517</v>
      </c>
      <c r="D3659" s="940" t="s">
        <v>8518</v>
      </c>
      <c r="E3659" t="s">
        <v>3863</v>
      </c>
    </row>
    <row r="3660" spans="1:5" x14ac:dyDescent="0.25">
      <c r="A3660" s="940">
        <v>1185</v>
      </c>
      <c r="B3660" s="940">
        <v>160</v>
      </c>
      <c r="C3660" t="s">
        <v>8519</v>
      </c>
      <c r="D3660" s="940" t="s">
        <v>7635</v>
      </c>
      <c r="E3660" t="s">
        <v>1507</v>
      </c>
    </row>
    <row r="3661" spans="1:5" x14ac:dyDescent="0.25">
      <c r="A3661" s="940">
        <v>1153</v>
      </c>
      <c r="B3661" s="940">
        <v>167</v>
      </c>
      <c r="C3661" t="s">
        <v>2309</v>
      </c>
      <c r="D3661" s="940" t="s">
        <v>7530</v>
      </c>
      <c r="E3661" t="s">
        <v>74</v>
      </c>
    </row>
    <row r="3662" spans="1:5" x14ac:dyDescent="0.25">
      <c r="A3662" s="940">
        <v>1643</v>
      </c>
      <c r="B3662" s="940">
        <v>90</v>
      </c>
      <c r="C3662" t="s">
        <v>8520</v>
      </c>
      <c r="D3662" s="940" t="s">
        <v>7426</v>
      </c>
      <c r="E3662" t="s">
        <v>74</v>
      </c>
    </row>
    <row r="3663" spans="1:5" x14ac:dyDescent="0.25">
      <c r="A3663" s="940">
        <v>1977</v>
      </c>
      <c r="B3663" s="940">
        <v>58</v>
      </c>
      <c r="C3663" t="s">
        <v>8521</v>
      </c>
      <c r="D3663" s="940" t="s">
        <v>3222</v>
      </c>
      <c r="E3663" t="s">
        <v>1246</v>
      </c>
    </row>
    <row r="3664" spans="1:5" x14ac:dyDescent="0.25">
      <c r="A3664" s="940">
        <v>3490</v>
      </c>
      <c r="B3664" s="940">
        <v>0</v>
      </c>
      <c r="C3664" t="s">
        <v>8522</v>
      </c>
      <c r="D3664" s="940" t="s">
        <v>7956</v>
      </c>
      <c r="E3664" t="s">
        <v>105</v>
      </c>
    </row>
    <row r="3665" spans="1:5" x14ac:dyDescent="0.25">
      <c r="A3665" s="940">
        <v>672</v>
      </c>
      <c r="B3665" s="940">
        <v>364</v>
      </c>
      <c r="C3665" t="s">
        <v>8523</v>
      </c>
      <c r="D3665" s="940" t="s">
        <v>8524</v>
      </c>
      <c r="E3665" t="s">
        <v>1332</v>
      </c>
    </row>
    <row r="3666" spans="1:5" x14ac:dyDescent="0.25">
      <c r="A3666" s="940">
        <v>1962</v>
      </c>
      <c r="B3666" s="940">
        <v>60</v>
      </c>
      <c r="C3666" t="s">
        <v>8525</v>
      </c>
      <c r="D3666" s="940" t="s">
        <v>8526</v>
      </c>
      <c r="E3666" t="s">
        <v>1158</v>
      </c>
    </row>
    <row r="3667" spans="1:5" x14ac:dyDescent="0.25">
      <c r="A3667" s="940">
        <v>3490</v>
      </c>
      <c r="B3667" s="940">
        <v>0</v>
      </c>
      <c r="C3667" t="s">
        <v>8527</v>
      </c>
      <c r="D3667" s="940" t="s">
        <v>8528</v>
      </c>
      <c r="E3667" t="s">
        <v>1284</v>
      </c>
    </row>
    <row r="3668" spans="1:5" x14ac:dyDescent="0.25">
      <c r="A3668" s="940">
        <v>3490</v>
      </c>
      <c r="B3668" s="940">
        <v>0</v>
      </c>
      <c r="C3668" t="s">
        <v>8529</v>
      </c>
      <c r="D3668" s="940" t="s">
        <v>8530</v>
      </c>
      <c r="E3668" t="s">
        <v>3597</v>
      </c>
    </row>
    <row r="3669" spans="1:5" x14ac:dyDescent="0.25">
      <c r="A3669" s="940">
        <v>3490</v>
      </c>
      <c r="B3669" s="940">
        <v>0</v>
      </c>
      <c r="C3669" t="s">
        <v>8531</v>
      </c>
      <c r="D3669" s="940" t="s">
        <v>8532</v>
      </c>
      <c r="E3669" t="s">
        <v>165</v>
      </c>
    </row>
    <row r="3670" spans="1:5" x14ac:dyDescent="0.25">
      <c r="A3670" s="940">
        <v>2016</v>
      </c>
      <c r="B3670" s="940">
        <v>54</v>
      </c>
      <c r="C3670" t="s">
        <v>8533</v>
      </c>
      <c r="D3670" s="940" t="s">
        <v>8534</v>
      </c>
      <c r="E3670" t="s">
        <v>142</v>
      </c>
    </row>
    <row r="3671" spans="1:5" x14ac:dyDescent="0.25">
      <c r="A3671" s="940">
        <v>3490</v>
      </c>
      <c r="B3671" s="940">
        <v>0</v>
      </c>
      <c r="C3671" t="s">
        <v>8535</v>
      </c>
      <c r="D3671" s="940" t="s">
        <v>6777</v>
      </c>
      <c r="E3671" t="s">
        <v>1171</v>
      </c>
    </row>
    <row r="3672" spans="1:5" x14ac:dyDescent="0.25">
      <c r="A3672" s="940">
        <v>1188</v>
      </c>
      <c r="B3672" s="940">
        <v>159</v>
      </c>
      <c r="C3672" t="s">
        <v>8536</v>
      </c>
      <c r="D3672" s="940" t="s">
        <v>8537</v>
      </c>
      <c r="E3672" t="s">
        <v>103</v>
      </c>
    </row>
    <row r="3673" spans="1:5" x14ac:dyDescent="0.25">
      <c r="A3673" s="940">
        <v>1659</v>
      </c>
      <c r="B3673" s="940">
        <v>88</v>
      </c>
      <c r="C3673" t="s">
        <v>8538</v>
      </c>
      <c r="D3673" s="940" t="s">
        <v>2727</v>
      </c>
      <c r="E3673" t="s">
        <v>1214</v>
      </c>
    </row>
    <row r="3674" spans="1:5" x14ac:dyDescent="0.25">
      <c r="A3674" s="940">
        <v>3490</v>
      </c>
      <c r="B3674" s="940">
        <v>0</v>
      </c>
      <c r="C3674" t="s">
        <v>8539</v>
      </c>
      <c r="D3674" s="940" t="s">
        <v>8540</v>
      </c>
      <c r="E3674" t="s">
        <v>4381</v>
      </c>
    </row>
    <row r="3675" spans="1:5" x14ac:dyDescent="0.25">
      <c r="A3675" s="940">
        <v>3490</v>
      </c>
      <c r="B3675" s="940">
        <v>0</v>
      </c>
      <c r="C3675" t="s">
        <v>8541</v>
      </c>
      <c r="D3675" s="940" t="s">
        <v>4440</v>
      </c>
      <c r="E3675" t="s">
        <v>105</v>
      </c>
    </row>
    <row r="3676" spans="1:5" x14ac:dyDescent="0.25">
      <c r="A3676" s="940">
        <v>792</v>
      </c>
      <c r="B3676" s="940">
        <v>300</v>
      </c>
      <c r="C3676" t="s">
        <v>414</v>
      </c>
      <c r="D3676" s="940" t="s">
        <v>8542</v>
      </c>
      <c r="E3676" t="s">
        <v>1221</v>
      </c>
    </row>
    <row r="3677" spans="1:5" x14ac:dyDescent="0.25">
      <c r="A3677" s="940">
        <v>3490</v>
      </c>
      <c r="B3677" s="940">
        <v>0</v>
      </c>
      <c r="C3677" t="s">
        <v>414</v>
      </c>
      <c r="D3677" s="940" t="s">
        <v>4555</v>
      </c>
      <c r="E3677" t="s">
        <v>99</v>
      </c>
    </row>
    <row r="3678" spans="1:5" x14ac:dyDescent="0.25">
      <c r="A3678" s="940">
        <v>1363</v>
      </c>
      <c r="B3678" s="940">
        <v>125</v>
      </c>
      <c r="C3678" t="s">
        <v>8543</v>
      </c>
      <c r="D3678" s="940" t="s">
        <v>8544</v>
      </c>
      <c r="E3678" t="s">
        <v>99</v>
      </c>
    </row>
    <row r="3679" spans="1:5" x14ac:dyDescent="0.25">
      <c r="A3679" s="940">
        <v>70</v>
      </c>
      <c r="B3679" s="940">
        <v>1219</v>
      </c>
      <c r="C3679" t="s">
        <v>8545</v>
      </c>
      <c r="D3679" s="940" t="s">
        <v>8546</v>
      </c>
      <c r="E3679" t="s">
        <v>1171</v>
      </c>
    </row>
    <row r="3680" spans="1:5" x14ac:dyDescent="0.25">
      <c r="A3680" s="940">
        <v>2659</v>
      </c>
      <c r="B3680" s="940">
        <v>18</v>
      </c>
      <c r="C3680" t="s">
        <v>8547</v>
      </c>
      <c r="D3680" s="940" t="s">
        <v>4263</v>
      </c>
      <c r="E3680" t="s">
        <v>74</v>
      </c>
    </row>
    <row r="3681" spans="1:5" x14ac:dyDescent="0.25">
      <c r="A3681" s="940">
        <v>3395</v>
      </c>
      <c r="B3681" s="940">
        <v>1</v>
      </c>
      <c r="C3681" t="s">
        <v>8548</v>
      </c>
      <c r="D3681" s="940" t="s">
        <v>4263</v>
      </c>
      <c r="E3681" t="s">
        <v>74</v>
      </c>
    </row>
    <row r="3682" spans="1:5" x14ac:dyDescent="0.25">
      <c r="A3682" s="940">
        <v>1379</v>
      </c>
      <c r="B3682" s="940">
        <v>123</v>
      </c>
      <c r="C3682" t="s">
        <v>8549</v>
      </c>
      <c r="D3682" s="940" t="s">
        <v>8550</v>
      </c>
      <c r="E3682" t="s">
        <v>1493</v>
      </c>
    </row>
    <row r="3683" spans="1:5" x14ac:dyDescent="0.25">
      <c r="A3683" s="940">
        <v>1836</v>
      </c>
      <c r="B3683" s="940">
        <v>69</v>
      </c>
      <c r="C3683" t="s">
        <v>8551</v>
      </c>
      <c r="D3683" s="940" t="s">
        <v>8552</v>
      </c>
      <c r="E3683" t="s">
        <v>1584</v>
      </c>
    </row>
    <row r="3684" spans="1:5" x14ac:dyDescent="0.25">
      <c r="A3684" s="940">
        <v>2996</v>
      </c>
      <c r="B3684" s="940">
        <v>8</v>
      </c>
      <c r="C3684" t="s">
        <v>8553</v>
      </c>
      <c r="D3684" s="940" t="s">
        <v>8554</v>
      </c>
      <c r="E3684" t="s">
        <v>1198</v>
      </c>
    </row>
    <row r="3685" spans="1:5" x14ac:dyDescent="0.25">
      <c r="A3685" s="940">
        <v>1765</v>
      </c>
      <c r="B3685" s="940">
        <v>77</v>
      </c>
      <c r="C3685" t="s">
        <v>8555</v>
      </c>
      <c r="D3685" s="940" t="s">
        <v>5297</v>
      </c>
      <c r="E3685" t="s">
        <v>1160</v>
      </c>
    </row>
    <row r="3686" spans="1:5" x14ac:dyDescent="0.25">
      <c r="A3686" s="940">
        <v>2539</v>
      </c>
      <c r="B3686" s="940">
        <v>23</v>
      </c>
      <c r="C3686" t="s">
        <v>8556</v>
      </c>
      <c r="D3686" s="940" t="s">
        <v>4062</v>
      </c>
      <c r="E3686" t="s">
        <v>141</v>
      </c>
    </row>
    <row r="3687" spans="1:5" x14ac:dyDescent="0.25">
      <c r="A3687" s="940">
        <v>379</v>
      </c>
      <c r="B3687" s="940">
        <v>598</v>
      </c>
      <c r="C3687" t="s">
        <v>8557</v>
      </c>
      <c r="D3687" s="940" t="s">
        <v>8558</v>
      </c>
      <c r="E3687" t="s">
        <v>1860</v>
      </c>
    </row>
    <row r="3688" spans="1:5" x14ac:dyDescent="0.25">
      <c r="A3688" s="940">
        <v>1178</v>
      </c>
      <c r="B3688" s="940">
        <v>162</v>
      </c>
      <c r="C3688" t="s">
        <v>8559</v>
      </c>
      <c r="D3688" s="940" t="s">
        <v>8560</v>
      </c>
      <c r="E3688" t="s">
        <v>141</v>
      </c>
    </row>
    <row r="3689" spans="1:5" x14ac:dyDescent="0.25">
      <c r="A3689" s="940">
        <v>1167</v>
      </c>
      <c r="B3689" s="940">
        <v>164</v>
      </c>
      <c r="C3689" t="s">
        <v>8561</v>
      </c>
      <c r="D3689" s="940" t="s">
        <v>8562</v>
      </c>
      <c r="E3689" t="s">
        <v>863</v>
      </c>
    </row>
    <row r="3690" spans="1:5" x14ac:dyDescent="0.25">
      <c r="A3690" s="940">
        <v>1078</v>
      </c>
      <c r="B3690" s="940">
        <v>189</v>
      </c>
      <c r="C3690" t="s">
        <v>8563</v>
      </c>
      <c r="D3690" s="940" t="s">
        <v>8564</v>
      </c>
      <c r="E3690" t="s">
        <v>2735</v>
      </c>
    </row>
    <row r="3691" spans="1:5" x14ac:dyDescent="0.25">
      <c r="A3691" s="940">
        <v>341</v>
      </c>
      <c r="B3691" s="940">
        <v>646</v>
      </c>
      <c r="C3691" t="s">
        <v>8565</v>
      </c>
      <c r="D3691" s="940" t="s">
        <v>8566</v>
      </c>
      <c r="E3691" t="s">
        <v>8567</v>
      </c>
    </row>
    <row r="3692" spans="1:5" x14ac:dyDescent="0.25">
      <c r="A3692" s="940">
        <v>61</v>
      </c>
      <c r="B3692" s="940">
        <v>1246</v>
      </c>
      <c r="C3692" t="s">
        <v>8568</v>
      </c>
      <c r="D3692" s="940" t="s">
        <v>8569</v>
      </c>
      <c r="E3692" t="s">
        <v>4735</v>
      </c>
    </row>
    <row r="3693" spans="1:5" x14ac:dyDescent="0.25">
      <c r="A3693" s="940">
        <v>3490</v>
      </c>
      <c r="B3693" s="940">
        <v>0</v>
      </c>
      <c r="C3693" t="s">
        <v>8568</v>
      </c>
      <c r="D3693" s="940" t="s">
        <v>2834</v>
      </c>
      <c r="E3693" t="s">
        <v>105</v>
      </c>
    </row>
    <row r="3694" spans="1:5" x14ac:dyDescent="0.25">
      <c r="A3694" s="940">
        <v>2814</v>
      </c>
      <c r="B3694" s="940">
        <v>13</v>
      </c>
      <c r="C3694" t="s">
        <v>8570</v>
      </c>
      <c r="D3694" s="940" t="s">
        <v>8571</v>
      </c>
      <c r="E3694" t="s">
        <v>127</v>
      </c>
    </row>
    <row r="3695" spans="1:5" x14ac:dyDescent="0.25">
      <c r="A3695" s="940">
        <v>2098</v>
      </c>
      <c r="B3695" s="940">
        <v>49</v>
      </c>
      <c r="C3695" t="s">
        <v>2317</v>
      </c>
      <c r="D3695" s="940" t="s">
        <v>5987</v>
      </c>
      <c r="E3695" t="s">
        <v>1578</v>
      </c>
    </row>
    <row r="3696" spans="1:5" x14ac:dyDescent="0.25">
      <c r="A3696" s="940">
        <v>2416</v>
      </c>
      <c r="B3696" s="940">
        <v>29</v>
      </c>
      <c r="C3696" t="s">
        <v>8572</v>
      </c>
      <c r="D3696" s="940" t="s">
        <v>8573</v>
      </c>
      <c r="E3696" t="s">
        <v>1214</v>
      </c>
    </row>
    <row r="3697" spans="1:5" x14ac:dyDescent="0.25">
      <c r="A3697" s="940">
        <v>2883</v>
      </c>
      <c r="B3697" s="940">
        <v>11</v>
      </c>
      <c r="C3697" t="s">
        <v>8574</v>
      </c>
      <c r="D3697" s="940" t="s">
        <v>4463</v>
      </c>
      <c r="E3697" t="s">
        <v>1204</v>
      </c>
    </row>
    <row r="3698" spans="1:5" x14ac:dyDescent="0.25">
      <c r="A3698" s="940">
        <v>3141</v>
      </c>
      <c r="B3698" s="940">
        <v>5</v>
      </c>
      <c r="C3698" t="s">
        <v>8575</v>
      </c>
      <c r="D3698" s="940" t="s">
        <v>8576</v>
      </c>
      <c r="E3698" t="s">
        <v>1248</v>
      </c>
    </row>
    <row r="3699" spans="1:5" x14ac:dyDescent="0.25">
      <c r="A3699" s="940">
        <v>708</v>
      </c>
      <c r="B3699" s="940">
        <v>345</v>
      </c>
      <c r="C3699" t="s">
        <v>872</v>
      </c>
      <c r="D3699" s="940" t="s">
        <v>4859</v>
      </c>
      <c r="E3699" t="s">
        <v>109</v>
      </c>
    </row>
    <row r="3700" spans="1:5" x14ac:dyDescent="0.25">
      <c r="A3700" s="940">
        <v>2416</v>
      </c>
      <c r="B3700" s="940">
        <v>29</v>
      </c>
      <c r="C3700" t="s">
        <v>8577</v>
      </c>
      <c r="D3700" s="940" t="s">
        <v>8578</v>
      </c>
      <c r="E3700" t="s">
        <v>120</v>
      </c>
    </row>
    <row r="3701" spans="1:5" x14ac:dyDescent="0.25">
      <c r="A3701" s="940">
        <v>3490</v>
      </c>
      <c r="B3701" s="940">
        <v>0</v>
      </c>
      <c r="C3701" t="s">
        <v>8579</v>
      </c>
      <c r="D3701" s="940" t="s">
        <v>3697</v>
      </c>
      <c r="E3701" t="s">
        <v>105</v>
      </c>
    </row>
    <row r="3702" spans="1:5" x14ac:dyDescent="0.25">
      <c r="A3702" s="940">
        <v>2079</v>
      </c>
      <c r="B3702" s="940">
        <v>50</v>
      </c>
      <c r="C3702" t="s">
        <v>8580</v>
      </c>
      <c r="D3702" s="940" t="s">
        <v>4139</v>
      </c>
      <c r="E3702" t="s">
        <v>1507</v>
      </c>
    </row>
    <row r="3703" spans="1:5" x14ac:dyDescent="0.25">
      <c r="A3703" s="940">
        <v>310</v>
      </c>
      <c r="B3703" s="940">
        <v>691</v>
      </c>
      <c r="C3703" t="s">
        <v>8581</v>
      </c>
      <c r="D3703" s="940" t="s">
        <v>8582</v>
      </c>
      <c r="E3703" t="s">
        <v>165</v>
      </c>
    </row>
    <row r="3704" spans="1:5" x14ac:dyDescent="0.25">
      <c r="A3704" s="940">
        <v>1615</v>
      </c>
      <c r="B3704" s="940">
        <v>93</v>
      </c>
      <c r="C3704" t="s">
        <v>8583</v>
      </c>
      <c r="D3704" s="940" t="s">
        <v>4819</v>
      </c>
      <c r="E3704" t="s">
        <v>163</v>
      </c>
    </row>
    <row r="3705" spans="1:5" x14ac:dyDescent="0.25">
      <c r="A3705" s="940">
        <v>1393</v>
      </c>
      <c r="B3705" s="940">
        <v>121</v>
      </c>
      <c r="C3705" t="s">
        <v>8584</v>
      </c>
      <c r="D3705" s="940" t="s">
        <v>8585</v>
      </c>
      <c r="E3705" t="s">
        <v>1170</v>
      </c>
    </row>
    <row r="3706" spans="1:5" x14ac:dyDescent="0.25">
      <c r="A3706" s="940">
        <v>188</v>
      </c>
      <c r="B3706" s="940">
        <v>917</v>
      </c>
      <c r="C3706" t="s">
        <v>8586</v>
      </c>
      <c r="D3706" s="940" t="s">
        <v>8587</v>
      </c>
      <c r="E3706" t="s">
        <v>132</v>
      </c>
    </row>
    <row r="3707" spans="1:5" x14ac:dyDescent="0.25">
      <c r="A3707" s="940">
        <v>3490</v>
      </c>
      <c r="B3707" s="940">
        <v>0</v>
      </c>
      <c r="C3707" t="s">
        <v>8588</v>
      </c>
      <c r="D3707" s="940" t="s">
        <v>8589</v>
      </c>
      <c r="E3707" t="s">
        <v>127</v>
      </c>
    </row>
    <row r="3708" spans="1:5" x14ac:dyDescent="0.25">
      <c r="A3708" s="940">
        <v>3490</v>
      </c>
      <c r="B3708" s="940">
        <v>0</v>
      </c>
      <c r="C3708" t="s">
        <v>8590</v>
      </c>
      <c r="D3708" s="940" t="s">
        <v>8591</v>
      </c>
      <c r="E3708" t="s">
        <v>661</v>
      </c>
    </row>
    <row r="3709" spans="1:5" x14ac:dyDescent="0.25">
      <c r="A3709" s="940">
        <v>938</v>
      </c>
      <c r="B3709" s="940">
        <v>243</v>
      </c>
      <c r="C3709" t="s">
        <v>352</v>
      </c>
      <c r="D3709" s="940" t="s">
        <v>7565</v>
      </c>
      <c r="E3709" t="s">
        <v>165</v>
      </c>
    </row>
    <row r="3710" spans="1:5" x14ac:dyDescent="0.25">
      <c r="A3710" s="940">
        <v>3490</v>
      </c>
      <c r="B3710" s="940">
        <v>0</v>
      </c>
      <c r="C3710" t="s">
        <v>8592</v>
      </c>
      <c r="D3710" s="940" t="s">
        <v>8593</v>
      </c>
      <c r="E3710" t="s">
        <v>137</v>
      </c>
    </row>
    <row r="3711" spans="1:5" x14ac:dyDescent="0.25">
      <c r="A3711" s="940">
        <v>2582</v>
      </c>
      <c r="B3711" s="940">
        <v>21</v>
      </c>
      <c r="C3711" t="s">
        <v>8594</v>
      </c>
      <c r="D3711" s="940" t="s">
        <v>3391</v>
      </c>
      <c r="E3711" t="s">
        <v>130</v>
      </c>
    </row>
    <row r="3712" spans="1:5" x14ac:dyDescent="0.25">
      <c r="A3712" s="940">
        <v>2907</v>
      </c>
      <c r="B3712" s="940">
        <v>10</v>
      </c>
      <c r="C3712" t="s">
        <v>8595</v>
      </c>
      <c r="D3712" s="940" t="s">
        <v>8596</v>
      </c>
      <c r="E3712" t="s">
        <v>111</v>
      </c>
    </row>
    <row r="3713" spans="1:5" x14ac:dyDescent="0.25">
      <c r="A3713" s="940">
        <v>1862</v>
      </c>
      <c r="B3713" s="940">
        <v>67</v>
      </c>
      <c r="C3713" t="s">
        <v>8597</v>
      </c>
      <c r="D3713" s="940" t="s">
        <v>8598</v>
      </c>
      <c r="E3713" t="s">
        <v>1609</v>
      </c>
    </row>
    <row r="3714" spans="1:5" x14ac:dyDescent="0.25">
      <c r="A3714" s="940">
        <v>1514</v>
      </c>
      <c r="B3714" s="940">
        <v>104</v>
      </c>
      <c r="C3714" t="s">
        <v>8599</v>
      </c>
      <c r="D3714" s="940" t="s">
        <v>8554</v>
      </c>
      <c r="E3714" t="s">
        <v>1609</v>
      </c>
    </row>
    <row r="3715" spans="1:5" x14ac:dyDescent="0.25">
      <c r="A3715" s="940">
        <v>3490</v>
      </c>
      <c r="B3715" s="940">
        <v>0</v>
      </c>
      <c r="C3715" t="s">
        <v>8600</v>
      </c>
      <c r="D3715" s="940" t="s">
        <v>3136</v>
      </c>
      <c r="E3715" t="s">
        <v>136</v>
      </c>
    </row>
    <row r="3716" spans="1:5" x14ac:dyDescent="0.25">
      <c r="A3716" s="940">
        <v>2079</v>
      </c>
      <c r="B3716" s="940">
        <v>50</v>
      </c>
      <c r="C3716" t="s">
        <v>8601</v>
      </c>
      <c r="D3716" s="940" t="s">
        <v>4603</v>
      </c>
      <c r="E3716" t="s">
        <v>4470</v>
      </c>
    </row>
    <row r="3717" spans="1:5" x14ac:dyDescent="0.25">
      <c r="A3717" s="940">
        <v>3490</v>
      </c>
      <c r="B3717" s="940">
        <v>0</v>
      </c>
      <c r="C3717" t="s">
        <v>873</v>
      </c>
      <c r="D3717" s="940" t="s">
        <v>8602</v>
      </c>
      <c r="E3717" t="s">
        <v>74</v>
      </c>
    </row>
    <row r="3718" spans="1:5" x14ac:dyDescent="0.25">
      <c r="A3718" s="940">
        <v>3265</v>
      </c>
      <c r="B3718" s="940">
        <v>3</v>
      </c>
      <c r="C3718" t="s">
        <v>8603</v>
      </c>
      <c r="D3718" s="940" t="s">
        <v>8604</v>
      </c>
      <c r="E3718" t="s">
        <v>112</v>
      </c>
    </row>
    <row r="3719" spans="1:5" x14ac:dyDescent="0.25">
      <c r="A3719" s="940">
        <v>2461</v>
      </c>
      <c r="B3719" s="940">
        <v>27</v>
      </c>
      <c r="C3719" t="s">
        <v>8605</v>
      </c>
      <c r="D3719" s="940" t="s">
        <v>6621</v>
      </c>
      <c r="E3719" t="s">
        <v>243</v>
      </c>
    </row>
    <row r="3720" spans="1:5" x14ac:dyDescent="0.25">
      <c r="A3720" s="940">
        <v>2106</v>
      </c>
      <c r="B3720" s="940">
        <v>48</v>
      </c>
      <c r="C3720" t="s">
        <v>8606</v>
      </c>
      <c r="D3720" s="940" t="s">
        <v>8607</v>
      </c>
      <c r="E3720" t="s">
        <v>376</v>
      </c>
    </row>
    <row r="3721" spans="1:5" x14ac:dyDescent="0.25">
      <c r="A3721" s="940">
        <v>3490</v>
      </c>
      <c r="B3721" s="940">
        <v>0</v>
      </c>
      <c r="C3721" t="s">
        <v>8608</v>
      </c>
      <c r="D3721" s="940" t="s">
        <v>3166</v>
      </c>
      <c r="E3721" t="s">
        <v>1467</v>
      </c>
    </row>
    <row r="3722" spans="1:5" x14ac:dyDescent="0.25">
      <c r="A3722" s="940">
        <v>3490</v>
      </c>
      <c r="B3722" s="940">
        <v>0</v>
      </c>
      <c r="C3722" t="s">
        <v>8609</v>
      </c>
      <c r="D3722" s="940" t="s">
        <v>3001</v>
      </c>
      <c r="E3722" t="s">
        <v>3114</v>
      </c>
    </row>
    <row r="3723" spans="1:5" x14ac:dyDescent="0.25">
      <c r="A3723" s="940">
        <v>3395</v>
      </c>
      <c r="B3723" s="940">
        <v>1</v>
      </c>
      <c r="C3723" t="s">
        <v>8610</v>
      </c>
      <c r="D3723" s="940" t="s">
        <v>3480</v>
      </c>
      <c r="E3723" t="s">
        <v>1341</v>
      </c>
    </row>
    <row r="3724" spans="1:5" x14ac:dyDescent="0.25">
      <c r="A3724" s="940">
        <v>1287</v>
      </c>
      <c r="B3724" s="940">
        <v>138</v>
      </c>
      <c r="C3724" t="s">
        <v>8611</v>
      </c>
      <c r="D3724" s="940" t="s">
        <v>4651</v>
      </c>
      <c r="E3724" t="s">
        <v>8612</v>
      </c>
    </row>
    <row r="3725" spans="1:5" x14ac:dyDescent="0.25">
      <c r="A3725" s="940">
        <v>1201</v>
      </c>
      <c r="B3725" s="940">
        <v>156</v>
      </c>
      <c r="C3725" t="s">
        <v>2322</v>
      </c>
      <c r="D3725" s="940" t="s">
        <v>8613</v>
      </c>
      <c r="E3725" t="s">
        <v>122</v>
      </c>
    </row>
    <row r="3726" spans="1:5" x14ac:dyDescent="0.25">
      <c r="A3726" s="940">
        <v>2152</v>
      </c>
      <c r="B3726" s="940">
        <v>45</v>
      </c>
      <c r="C3726" t="s">
        <v>8614</v>
      </c>
      <c r="D3726" s="940" t="s">
        <v>8615</v>
      </c>
      <c r="E3726" t="s">
        <v>1171</v>
      </c>
    </row>
    <row r="3727" spans="1:5" x14ac:dyDescent="0.25">
      <c r="A3727" s="940">
        <v>913</v>
      </c>
      <c r="B3727" s="940">
        <v>249</v>
      </c>
      <c r="C3727" t="s">
        <v>8616</v>
      </c>
      <c r="D3727" s="940" t="s">
        <v>8617</v>
      </c>
      <c r="E3727" t="s">
        <v>4574</v>
      </c>
    </row>
    <row r="3728" spans="1:5" x14ac:dyDescent="0.25">
      <c r="A3728" s="940">
        <v>2996</v>
      </c>
      <c r="B3728" s="940">
        <v>8</v>
      </c>
      <c r="C3728" t="s">
        <v>8618</v>
      </c>
      <c r="D3728" s="940" t="s">
        <v>8619</v>
      </c>
      <c r="E3728" t="s">
        <v>138</v>
      </c>
    </row>
    <row r="3729" spans="1:5" x14ac:dyDescent="0.25">
      <c r="A3729" s="940">
        <v>1313</v>
      </c>
      <c r="B3729" s="940">
        <v>133</v>
      </c>
      <c r="C3729" t="s">
        <v>8620</v>
      </c>
      <c r="D3729" s="940" t="s">
        <v>8621</v>
      </c>
      <c r="E3729" t="s">
        <v>2979</v>
      </c>
    </row>
    <row r="3730" spans="1:5" x14ac:dyDescent="0.25">
      <c r="A3730" s="940">
        <v>2839</v>
      </c>
      <c r="B3730" s="940">
        <v>12</v>
      </c>
      <c r="C3730" t="s">
        <v>8622</v>
      </c>
      <c r="D3730" s="940" t="s">
        <v>7956</v>
      </c>
      <c r="E3730" t="s">
        <v>138</v>
      </c>
    </row>
    <row r="3731" spans="1:5" x14ac:dyDescent="0.25">
      <c r="A3731" s="940">
        <v>2907</v>
      </c>
      <c r="B3731" s="940">
        <v>10</v>
      </c>
      <c r="C3731" t="s">
        <v>8623</v>
      </c>
      <c r="D3731" s="940" t="s">
        <v>8624</v>
      </c>
      <c r="E3731" t="s">
        <v>8625</v>
      </c>
    </row>
    <row r="3732" spans="1:5" x14ac:dyDescent="0.25">
      <c r="A3732" s="940">
        <v>3265</v>
      </c>
      <c r="B3732" s="940">
        <v>3</v>
      </c>
      <c r="C3732" t="s">
        <v>8626</v>
      </c>
      <c r="D3732" s="940" t="s">
        <v>3317</v>
      </c>
      <c r="E3732" t="s">
        <v>1803</v>
      </c>
    </row>
    <row r="3733" spans="1:5" x14ac:dyDescent="0.25">
      <c r="A3733" s="940">
        <v>2714</v>
      </c>
      <c r="B3733" s="940">
        <v>16</v>
      </c>
      <c r="C3733" t="s">
        <v>8627</v>
      </c>
      <c r="D3733" s="940" t="s">
        <v>4681</v>
      </c>
      <c r="E3733" t="s">
        <v>126</v>
      </c>
    </row>
    <row r="3734" spans="1:5" x14ac:dyDescent="0.25">
      <c r="A3734" s="940">
        <v>2626</v>
      </c>
      <c r="B3734" s="940">
        <v>19</v>
      </c>
      <c r="C3734" t="s">
        <v>8628</v>
      </c>
      <c r="D3734" s="940" t="s">
        <v>8629</v>
      </c>
      <c r="E3734" t="s">
        <v>1435</v>
      </c>
    </row>
    <row r="3735" spans="1:5" x14ac:dyDescent="0.25">
      <c r="A3735" s="940">
        <v>2370</v>
      </c>
      <c r="B3735" s="940">
        <v>32</v>
      </c>
      <c r="C3735" t="s">
        <v>8630</v>
      </c>
      <c r="D3735" s="940" t="s">
        <v>4054</v>
      </c>
      <c r="E3735" t="s">
        <v>8631</v>
      </c>
    </row>
    <row r="3736" spans="1:5" x14ac:dyDescent="0.25">
      <c r="A3736" s="940">
        <v>3265</v>
      </c>
      <c r="B3736" s="940">
        <v>3</v>
      </c>
      <c r="C3736" t="s">
        <v>8632</v>
      </c>
      <c r="D3736" s="940" t="s">
        <v>2837</v>
      </c>
      <c r="E3736" t="s">
        <v>1290</v>
      </c>
    </row>
    <row r="3737" spans="1:5" x14ac:dyDescent="0.25">
      <c r="A3737" s="940">
        <v>2256</v>
      </c>
      <c r="B3737" s="940">
        <v>39</v>
      </c>
      <c r="C3737" t="s">
        <v>8633</v>
      </c>
      <c r="D3737" s="940" t="s">
        <v>8634</v>
      </c>
      <c r="E3737" t="s">
        <v>130</v>
      </c>
    </row>
    <row r="3738" spans="1:5" x14ac:dyDescent="0.25">
      <c r="A3738" s="940">
        <v>3490</v>
      </c>
      <c r="B3738" s="940">
        <v>0</v>
      </c>
      <c r="C3738" t="s">
        <v>8635</v>
      </c>
      <c r="D3738" s="940" t="s">
        <v>8636</v>
      </c>
      <c r="E3738" t="s">
        <v>111</v>
      </c>
    </row>
    <row r="3739" spans="1:5" x14ac:dyDescent="0.25">
      <c r="A3739" s="940">
        <v>2690</v>
      </c>
      <c r="B3739" s="940">
        <v>17</v>
      </c>
      <c r="C3739" t="s">
        <v>8637</v>
      </c>
      <c r="D3739" s="940" t="s">
        <v>8638</v>
      </c>
      <c r="E3739" t="s">
        <v>1214</v>
      </c>
    </row>
    <row r="3740" spans="1:5" x14ac:dyDescent="0.25">
      <c r="A3740" s="940">
        <v>2959</v>
      </c>
      <c r="B3740" s="940">
        <v>9</v>
      </c>
      <c r="C3740" t="s">
        <v>8639</v>
      </c>
      <c r="D3740" s="940" t="s">
        <v>8640</v>
      </c>
      <c r="E3740" t="s">
        <v>74</v>
      </c>
    </row>
    <row r="3741" spans="1:5" x14ac:dyDescent="0.25">
      <c r="A3741" s="940">
        <v>3490</v>
      </c>
      <c r="B3741" s="940">
        <v>0</v>
      </c>
      <c r="C3741" t="s">
        <v>8641</v>
      </c>
      <c r="D3741" s="940" t="s">
        <v>2888</v>
      </c>
      <c r="E3741" t="s">
        <v>1311</v>
      </c>
    </row>
    <row r="3742" spans="1:5" x14ac:dyDescent="0.25">
      <c r="A3742" s="940">
        <v>543</v>
      </c>
      <c r="B3742" s="940">
        <v>439</v>
      </c>
      <c r="C3742" t="s">
        <v>354</v>
      </c>
      <c r="D3742" s="940" t="s">
        <v>8465</v>
      </c>
      <c r="E3742" t="s">
        <v>165</v>
      </c>
    </row>
    <row r="3743" spans="1:5" x14ac:dyDescent="0.25">
      <c r="A3743" s="940">
        <v>3089</v>
      </c>
      <c r="B3743" s="940">
        <v>6</v>
      </c>
      <c r="C3743" t="s">
        <v>8642</v>
      </c>
      <c r="D3743" s="940" t="s">
        <v>5554</v>
      </c>
      <c r="E3743" t="s">
        <v>105</v>
      </c>
    </row>
    <row r="3744" spans="1:5" x14ac:dyDescent="0.25">
      <c r="A3744" s="940">
        <v>835</v>
      </c>
      <c r="B3744" s="940">
        <v>282</v>
      </c>
      <c r="C3744" t="s">
        <v>8643</v>
      </c>
      <c r="D3744" s="940" t="s">
        <v>8238</v>
      </c>
      <c r="E3744" t="s">
        <v>1200</v>
      </c>
    </row>
    <row r="3745" spans="1:5" x14ac:dyDescent="0.25">
      <c r="A3745" s="940">
        <v>1685</v>
      </c>
      <c r="B3745" s="940">
        <v>85</v>
      </c>
      <c r="C3745" t="s">
        <v>8644</v>
      </c>
      <c r="D3745" s="940" t="s">
        <v>4182</v>
      </c>
      <c r="E3745" t="s">
        <v>2913</v>
      </c>
    </row>
    <row r="3746" spans="1:5" x14ac:dyDescent="0.25">
      <c r="A3746" s="940">
        <v>654</v>
      </c>
      <c r="B3746" s="940">
        <v>374</v>
      </c>
      <c r="C3746" t="s">
        <v>355</v>
      </c>
      <c r="D3746" s="940" t="s">
        <v>8645</v>
      </c>
      <c r="E3746" t="s">
        <v>222</v>
      </c>
    </row>
    <row r="3747" spans="1:5" x14ac:dyDescent="0.25">
      <c r="A3747" s="940">
        <v>2241</v>
      </c>
      <c r="B3747" s="940">
        <v>40</v>
      </c>
      <c r="C3747" t="s">
        <v>8646</v>
      </c>
      <c r="D3747" s="940" t="s">
        <v>4242</v>
      </c>
      <c r="E3747" t="s">
        <v>120</v>
      </c>
    </row>
    <row r="3748" spans="1:5" x14ac:dyDescent="0.25">
      <c r="A3748" s="940">
        <v>2060</v>
      </c>
      <c r="B3748" s="940">
        <v>51</v>
      </c>
      <c r="C3748" t="s">
        <v>8647</v>
      </c>
      <c r="D3748" s="940" t="s">
        <v>2690</v>
      </c>
      <c r="E3748" t="s">
        <v>128</v>
      </c>
    </row>
    <row r="3749" spans="1:5" x14ac:dyDescent="0.25">
      <c r="A3749" s="940">
        <v>982</v>
      </c>
      <c r="B3749" s="940">
        <v>225</v>
      </c>
      <c r="C3749" t="s">
        <v>8648</v>
      </c>
      <c r="D3749" s="940" t="s">
        <v>8649</v>
      </c>
      <c r="E3749" t="s">
        <v>105</v>
      </c>
    </row>
    <row r="3750" spans="1:5" x14ac:dyDescent="0.25">
      <c r="A3750" s="940">
        <v>3395</v>
      </c>
      <c r="B3750" s="940">
        <v>1</v>
      </c>
      <c r="C3750" t="s">
        <v>8648</v>
      </c>
      <c r="D3750" s="940" t="s">
        <v>7103</v>
      </c>
      <c r="E3750" t="s">
        <v>1363</v>
      </c>
    </row>
    <row r="3751" spans="1:5" x14ac:dyDescent="0.25">
      <c r="A3751" s="940">
        <v>1292</v>
      </c>
      <c r="B3751" s="940">
        <v>137</v>
      </c>
      <c r="C3751" t="s">
        <v>8650</v>
      </c>
      <c r="D3751" s="940" t="s">
        <v>7900</v>
      </c>
      <c r="E3751" t="s">
        <v>120</v>
      </c>
    </row>
    <row r="3752" spans="1:5" x14ac:dyDescent="0.25">
      <c r="A3752" s="940">
        <v>445</v>
      </c>
      <c r="B3752" s="940">
        <v>526</v>
      </c>
      <c r="C3752" t="s">
        <v>2328</v>
      </c>
      <c r="D3752" s="940" t="s">
        <v>7465</v>
      </c>
      <c r="E3752" t="s">
        <v>105</v>
      </c>
    </row>
    <row r="3753" spans="1:5" x14ac:dyDescent="0.25">
      <c r="A3753" s="940">
        <v>1962</v>
      </c>
      <c r="B3753" s="940">
        <v>60</v>
      </c>
      <c r="C3753" t="s">
        <v>8651</v>
      </c>
      <c r="D3753" s="940" t="s">
        <v>8652</v>
      </c>
      <c r="E3753" t="s">
        <v>4699</v>
      </c>
    </row>
    <row r="3754" spans="1:5" x14ac:dyDescent="0.25">
      <c r="A3754" s="940">
        <v>2539</v>
      </c>
      <c r="B3754" s="940">
        <v>23</v>
      </c>
      <c r="C3754" t="s">
        <v>8651</v>
      </c>
      <c r="D3754" s="940" t="s">
        <v>7257</v>
      </c>
      <c r="E3754" t="s">
        <v>105</v>
      </c>
    </row>
    <row r="3755" spans="1:5" x14ac:dyDescent="0.25">
      <c r="A3755" s="940">
        <v>1898</v>
      </c>
      <c r="B3755" s="940">
        <v>64</v>
      </c>
      <c r="C3755" t="s">
        <v>8653</v>
      </c>
      <c r="D3755" s="940" t="s">
        <v>4778</v>
      </c>
      <c r="E3755" t="s">
        <v>469</v>
      </c>
    </row>
    <row r="3756" spans="1:5" x14ac:dyDescent="0.25">
      <c r="A3756" s="940">
        <v>3490</v>
      </c>
      <c r="B3756" s="940">
        <v>0</v>
      </c>
      <c r="C3756" t="s">
        <v>8653</v>
      </c>
      <c r="D3756" s="940" t="s">
        <v>3222</v>
      </c>
      <c r="E3756" t="s">
        <v>120</v>
      </c>
    </row>
    <row r="3757" spans="1:5" x14ac:dyDescent="0.25">
      <c r="A3757" s="940">
        <v>3089</v>
      </c>
      <c r="B3757" s="940">
        <v>6</v>
      </c>
      <c r="C3757" t="s">
        <v>8654</v>
      </c>
      <c r="D3757" s="940" t="s">
        <v>3739</v>
      </c>
      <c r="E3757" t="s">
        <v>1286</v>
      </c>
    </row>
    <row r="3758" spans="1:5" x14ac:dyDescent="0.25">
      <c r="A3758" s="940">
        <v>2690</v>
      </c>
      <c r="B3758" s="940">
        <v>17</v>
      </c>
      <c r="C3758" t="s">
        <v>8655</v>
      </c>
      <c r="D3758" s="940" t="s">
        <v>8656</v>
      </c>
      <c r="E3758" t="s">
        <v>1198</v>
      </c>
    </row>
    <row r="3759" spans="1:5" x14ac:dyDescent="0.25">
      <c r="A3759" s="940">
        <v>2582</v>
      </c>
      <c r="B3759" s="940">
        <v>21</v>
      </c>
      <c r="C3759" t="s">
        <v>8657</v>
      </c>
      <c r="D3759" s="940" t="s">
        <v>8658</v>
      </c>
      <c r="E3759" t="s">
        <v>1214</v>
      </c>
    </row>
    <row r="3760" spans="1:5" x14ac:dyDescent="0.25">
      <c r="A3760" s="940">
        <v>3490</v>
      </c>
      <c r="B3760" s="940">
        <v>0</v>
      </c>
      <c r="C3760" t="s">
        <v>8659</v>
      </c>
      <c r="D3760" s="940" t="s">
        <v>3739</v>
      </c>
      <c r="E3760" t="s">
        <v>120</v>
      </c>
    </row>
    <row r="3761" spans="1:5" x14ac:dyDescent="0.25">
      <c r="A3761" s="940">
        <v>1533</v>
      </c>
      <c r="B3761" s="940">
        <v>102</v>
      </c>
      <c r="C3761" t="s">
        <v>8660</v>
      </c>
      <c r="D3761" s="940" t="s">
        <v>2740</v>
      </c>
      <c r="E3761" t="s">
        <v>1493</v>
      </c>
    </row>
    <row r="3762" spans="1:5" x14ac:dyDescent="0.25">
      <c r="A3762" s="940">
        <v>3265</v>
      </c>
      <c r="B3762" s="940">
        <v>3</v>
      </c>
      <c r="C3762" t="s">
        <v>8661</v>
      </c>
      <c r="D3762" s="940" t="s">
        <v>8662</v>
      </c>
      <c r="E3762" t="s">
        <v>74</v>
      </c>
    </row>
    <row r="3763" spans="1:5" x14ac:dyDescent="0.25">
      <c r="A3763" s="940">
        <v>2484</v>
      </c>
      <c r="B3763" s="940">
        <v>26</v>
      </c>
      <c r="C3763" t="s">
        <v>8663</v>
      </c>
      <c r="D3763" s="940" t="s">
        <v>5561</v>
      </c>
      <c r="E3763" t="s">
        <v>109</v>
      </c>
    </row>
    <row r="3764" spans="1:5" x14ac:dyDescent="0.25">
      <c r="A3764" s="940">
        <v>3490</v>
      </c>
      <c r="B3764" s="940">
        <v>0</v>
      </c>
      <c r="C3764" t="s">
        <v>8664</v>
      </c>
      <c r="D3764" s="940" t="s">
        <v>5372</v>
      </c>
      <c r="E3764" t="s">
        <v>117</v>
      </c>
    </row>
    <row r="3765" spans="1:5" x14ac:dyDescent="0.25">
      <c r="A3765" s="940">
        <v>2016</v>
      </c>
      <c r="B3765" s="940">
        <v>54</v>
      </c>
      <c r="C3765" t="s">
        <v>8665</v>
      </c>
      <c r="D3765" s="940" t="s">
        <v>8666</v>
      </c>
      <c r="E3765" t="s">
        <v>117</v>
      </c>
    </row>
    <row r="3766" spans="1:5" x14ac:dyDescent="0.25">
      <c r="A3766" s="940">
        <v>804</v>
      </c>
      <c r="B3766" s="940">
        <v>295</v>
      </c>
      <c r="C3766" t="s">
        <v>8667</v>
      </c>
      <c r="D3766" s="940" t="s">
        <v>6326</v>
      </c>
      <c r="E3766" t="s">
        <v>120</v>
      </c>
    </row>
    <row r="3767" spans="1:5" x14ac:dyDescent="0.25">
      <c r="A3767" s="940">
        <v>1627</v>
      </c>
      <c r="B3767" s="940">
        <v>92</v>
      </c>
      <c r="C3767" t="s">
        <v>8668</v>
      </c>
      <c r="D3767" s="940" t="s">
        <v>8669</v>
      </c>
      <c r="E3767" t="s">
        <v>133</v>
      </c>
    </row>
    <row r="3768" spans="1:5" x14ac:dyDescent="0.25">
      <c r="A3768" s="940">
        <v>2347</v>
      </c>
      <c r="B3768" s="940">
        <v>33</v>
      </c>
      <c r="C3768" t="s">
        <v>8670</v>
      </c>
      <c r="D3768" s="940" t="s">
        <v>6573</v>
      </c>
      <c r="E3768" t="s">
        <v>1599</v>
      </c>
    </row>
    <row r="3769" spans="1:5" x14ac:dyDescent="0.25">
      <c r="A3769" s="940">
        <v>97</v>
      </c>
      <c r="B3769" s="940">
        <v>1123</v>
      </c>
      <c r="C3769" t="s">
        <v>8671</v>
      </c>
      <c r="D3769" s="940" t="s">
        <v>8672</v>
      </c>
      <c r="E3769" t="s">
        <v>120</v>
      </c>
    </row>
    <row r="3770" spans="1:5" x14ac:dyDescent="0.25">
      <c r="A3770" s="940">
        <v>1774</v>
      </c>
      <c r="B3770" s="940">
        <v>76</v>
      </c>
      <c r="C3770" t="s">
        <v>8673</v>
      </c>
      <c r="D3770" s="940" t="s">
        <v>4510</v>
      </c>
      <c r="E3770" t="s">
        <v>133</v>
      </c>
    </row>
    <row r="3771" spans="1:5" x14ac:dyDescent="0.25">
      <c r="A3771" s="940">
        <v>3490</v>
      </c>
      <c r="B3771" s="940">
        <v>0</v>
      </c>
      <c r="C3771" t="s">
        <v>8674</v>
      </c>
      <c r="D3771" s="940" t="s">
        <v>8675</v>
      </c>
      <c r="E3771" t="s">
        <v>170</v>
      </c>
    </row>
    <row r="3772" spans="1:5" x14ac:dyDescent="0.25">
      <c r="A3772" s="940">
        <v>315</v>
      </c>
      <c r="B3772" s="940">
        <v>689</v>
      </c>
      <c r="C3772" t="s">
        <v>8676</v>
      </c>
      <c r="D3772" s="940" t="s">
        <v>8677</v>
      </c>
      <c r="E3772" t="s">
        <v>122</v>
      </c>
    </row>
    <row r="3773" spans="1:5" x14ac:dyDescent="0.25">
      <c r="A3773" s="940">
        <v>2743</v>
      </c>
      <c r="B3773" s="940">
        <v>15</v>
      </c>
      <c r="C3773" t="s">
        <v>8678</v>
      </c>
      <c r="D3773" s="940" t="s">
        <v>6670</v>
      </c>
      <c r="E3773" t="s">
        <v>142</v>
      </c>
    </row>
    <row r="3774" spans="1:5" x14ac:dyDescent="0.25">
      <c r="A3774" s="940">
        <v>2048</v>
      </c>
      <c r="B3774" s="940">
        <v>52</v>
      </c>
      <c r="C3774" t="s">
        <v>8679</v>
      </c>
      <c r="D3774" s="940" t="s">
        <v>8680</v>
      </c>
      <c r="E3774" t="s">
        <v>109</v>
      </c>
    </row>
    <row r="3775" spans="1:5" x14ac:dyDescent="0.25">
      <c r="A3775" s="940">
        <v>3490</v>
      </c>
      <c r="B3775" s="940">
        <v>0</v>
      </c>
      <c r="C3775" t="s">
        <v>8681</v>
      </c>
      <c r="D3775" s="940" t="s">
        <v>2783</v>
      </c>
      <c r="E3775" t="s">
        <v>120</v>
      </c>
    </row>
    <row r="3776" spans="1:5" x14ac:dyDescent="0.25">
      <c r="A3776" s="940">
        <v>3490</v>
      </c>
      <c r="B3776" s="940">
        <v>0</v>
      </c>
      <c r="C3776" t="s">
        <v>8682</v>
      </c>
      <c r="D3776" s="940" t="s">
        <v>8683</v>
      </c>
      <c r="E3776" t="s">
        <v>6758</v>
      </c>
    </row>
    <row r="3777" spans="1:5" x14ac:dyDescent="0.25">
      <c r="A3777" s="940">
        <v>3265</v>
      </c>
      <c r="B3777" s="940">
        <v>3</v>
      </c>
      <c r="C3777" t="s">
        <v>8684</v>
      </c>
      <c r="D3777" s="940" t="s">
        <v>3537</v>
      </c>
      <c r="E3777" t="s">
        <v>105</v>
      </c>
    </row>
    <row r="3778" spans="1:5" x14ac:dyDescent="0.25">
      <c r="A3778" s="940">
        <v>3141</v>
      </c>
      <c r="B3778" s="940">
        <v>5</v>
      </c>
      <c r="C3778" t="s">
        <v>8685</v>
      </c>
      <c r="D3778" s="940" t="s">
        <v>8686</v>
      </c>
      <c r="E3778" t="s">
        <v>120</v>
      </c>
    </row>
    <row r="3779" spans="1:5" x14ac:dyDescent="0.25">
      <c r="A3779" s="940">
        <v>3490</v>
      </c>
      <c r="B3779" s="940">
        <v>0</v>
      </c>
      <c r="C3779" t="s">
        <v>8685</v>
      </c>
      <c r="D3779" s="940" t="s">
        <v>8687</v>
      </c>
      <c r="E3779" t="s">
        <v>120</v>
      </c>
    </row>
    <row r="3780" spans="1:5" x14ac:dyDescent="0.25">
      <c r="A3780" s="940">
        <v>38</v>
      </c>
      <c r="B3780" s="940">
        <v>1380</v>
      </c>
      <c r="C3780" t="s">
        <v>8688</v>
      </c>
      <c r="D3780" s="940" t="s">
        <v>8689</v>
      </c>
      <c r="E3780" t="s">
        <v>142</v>
      </c>
    </row>
    <row r="3781" spans="1:5" x14ac:dyDescent="0.25">
      <c r="A3781" s="940">
        <v>2416</v>
      </c>
      <c r="B3781" s="940">
        <v>29</v>
      </c>
      <c r="C3781" t="s">
        <v>8690</v>
      </c>
      <c r="D3781" s="940" t="s">
        <v>6866</v>
      </c>
      <c r="E3781" t="s">
        <v>1315</v>
      </c>
    </row>
    <row r="3782" spans="1:5" x14ac:dyDescent="0.25">
      <c r="A3782" s="940">
        <v>595</v>
      </c>
      <c r="B3782" s="940">
        <v>407</v>
      </c>
      <c r="C3782" t="s">
        <v>356</v>
      </c>
      <c r="D3782" s="940" t="s">
        <v>8691</v>
      </c>
      <c r="E3782" t="s">
        <v>186</v>
      </c>
    </row>
    <row r="3783" spans="1:5" x14ac:dyDescent="0.25">
      <c r="A3783" s="940">
        <v>767</v>
      </c>
      <c r="B3783" s="940">
        <v>309</v>
      </c>
      <c r="C3783" t="s">
        <v>8692</v>
      </c>
      <c r="D3783" s="940" t="s">
        <v>8693</v>
      </c>
      <c r="E3783" t="s">
        <v>109</v>
      </c>
    </row>
    <row r="3784" spans="1:5" x14ac:dyDescent="0.25">
      <c r="A3784" s="940">
        <v>3490</v>
      </c>
      <c r="B3784" s="940">
        <v>0</v>
      </c>
      <c r="C3784" t="s">
        <v>8694</v>
      </c>
      <c r="D3784" s="940" t="s">
        <v>3478</v>
      </c>
      <c r="E3784" t="s">
        <v>1315</v>
      </c>
    </row>
    <row r="3785" spans="1:5" x14ac:dyDescent="0.25">
      <c r="A3785" s="940">
        <v>3490</v>
      </c>
      <c r="B3785" s="940">
        <v>0</v>
      </c>
      <c r="C3785" t="s">
        <v>8695</v>
      </c>
      <c r="D3785" s="940" t="s">
        <v>7808</v>
      </c>
      <c r="E3785" t="s">
        <v>120</v>
      </c>
    </row>
    <row r="3786" spans="1:5" x14ac:dyDescent="0.25">
      <c r="A3786" s="940">
        <v>2335</v>
      </c>
      <c r="B3786" s="940">
        <v>34</v>
      </c>
      <c r="C3786" t="s">
        <v>8696</v>
      </c>
      <c r="D3786" s="940" t="s">
        <v>4456</v>
      </c>
      <c r="E3786" t="s">
        <v>104</v>
      </c>
    </row>
    <row r="3787" spans="1:5" x14ac:dyDescent="0.25">
      <c r="A3787" s="940">
        <v>251</v>
      </c>
      <c r="B3787" s="940">
        <v>812</v>
      </c>
      <c r="C3787" t="s">
        <v>357</v>
      </c>
      <c r="D3787" s="940" t="s">
        <v>4259</v>
      </c>
      <c r="E3787" t="s">
        <v>120</v>
      </c>
    </row>
    <row r="3788" spans="1:5" x14ac:dyDescent="0.25">
      <c r="A3788" s="940">
        <v>716</v>
      </c>
      <c r="B3788" s="940">
        <v>339</v>
      </c>
      <c r="C3788" t="s">
        <v>2333</v>
      </c>
      <c r="D3788" s="940" t="s">
        <v>8697</v>
      </c>
      <c r="E3788" t="s">
        <v>120</v>
      </c>
    </row>
    <row r="3789" spans="1:5" x14ac:dyDescent="0.25">
      <c r="A3789" s="940">
        <v>3089</v>
      </c>
      <c r="B3789" s="940">
        <v>6</v>
      </c>
      <c r="C3789" t="s">
        <v>8698</v>
      </c>
      <c r="D3789" s="940" t="s">
        <v>3818</v>
      </c>
      <c r="E3789" t="s">
        <v>120</v>
      </c>
    </row>
    <row r="3790" spans="1:5" x14ac:dyDescent="0.25">
      <c r="A3790" s="940">
        <v>2499</v>
      </c>
      <c r="B3790" s="940">
        <v>25</v>
      </c>
      <c r="C3790" t="s">
        <v>8699</v>
      </c>
      <c r="D3790" s="940" t="s">
        <v>6054</v>
      </c>
      <c r="E3790" t="s">
        <v>99</v>
      </c>
    </row>
    <row r="3791" spans="1:5" x14ac:dyDescent="0.25">
      <c r="A3791" s="940">
        <v>3490</v>
      </c>
      <c r="B3791" s="940">
        <v>0</v>
      </c>
      <c r="C3791" t="s">
        <v>8699</v>
      </c>
      <c r="D3791" s="940" t="s">
        <v>8700</v>
      </c>
      <c r="E3791" t="s">
        <v>170</v>
      </c>
    </row>
    <row r="3792" spans="1:5" x14ac:dyDescent="0.25">
      <c r="A3792" s="940">
        <v>3089</v>
      </c>
      <c r="B3792" s="940">
        <v>6</v>
      </c>
      <c r="C3792" t="s">
        <v>8701</v>
      </c>
      <c r="D3792" s="940" t="s">
        <v>8702</v>
      </c>
      <c r="E3792" t="s">
        <v>120</v>
      </c>
    </row>
    <row r="3793" spans="1:5" x14ac:dyDescent="0.25">
      <c r="A3793" s="940">
        <v>1317</v>
      </c>
      <c r="B3793" s="940">
        <v>132</v>
      </c>
      <c r="C3793" t="s">
        <v>8703</v>
      </c>
      <c r="D3793" s="940" t="s">
        <v>8704</v>
      </c>
      <c r="E3793" t="s">
        <v>1214</v>
      </c>
    </row>
    <row r="3794" spans="1:5" x14ac:dyDescent="0.25">
      <c r="A3794" s="940">
        <v>80</v>
      </c>
      <c r="B3794" s="940">
        <v>1166</v>
      </c>
      <c r="C3794" t="s">
        <v>8705</v>
      </c>
      <c r="D3794" s="940" t="s">
        <v>8706</v>
      </c>
      <c r="E3794" t="s">
        <v>120</v>
      </c>
    </row>
    <row r="3795" spans="1:5" x14ac:dyDescent="0.25">
      <c r="A3795" s="940">
        <v>1836</v>
      </c>
      <c r="B3795" s="940">
        <v>69</v>
      </c>
      <c r="C3795" t="s">
        <v>8707</v>
      </c>
      <c r="D3795" s="940" t="s">
        <v>2763</v>
      </c>
      <c r="E3795" t="s">
        <v>1311</v>
      </c>
    </row>
    <row r="3796" spans="1:5" x14ac:dyDescent="0.25">
      <c r="A3796" s="940">
        <v>3045</v>
      </c>
      <c r="B3796" s="940">
        <v>7</v>
      </c>
      <c r="C3796" t="s">
        <v>8708</v>
      </c>
      <c r="D3796" s="940" t="s">
        <v>3572</v>
      </c>
      <c r="E3796" t="s">
        <v>1311</v>
      </c>
    </row>
    <row r="3797" spans="1:5" x14ac:dyDescent="0.25">
      <c r="A3797" s="940">
        <v>1161</v>
      </c>
      <c r="B3797" s="940">
        <v>166</v>
      </c>
      <c r="C3797" t="s">
        <v>749</v>
      </c>
      <c r="D3797" s="940" t="s">
        <v>8709</v>
      </c>
      <c r="E3797" t="s">
        <v>120</v>
      </c>
    </row>
    <row r="3798" spans="1:5" x14ac:dyDescent="0.25">
      <c r="A3798" s="940">
        <v>50</v>
      </c>
      <c r="B3798" s="940">
        <v>1290</v>
      </c>
      <c r="C3798" t="s">
        <v>8710</v>
      </c>
      <c r="D3798" s="940" t="s">
        <v>8711</v>
      </c>
      <c r="E3798" t="s">
        <v>118</v>
      </c>
    </row>
    <row r="3799" spans="1:5" x14ac:dyDescent="0.25">
      <c r="A3799" s="940">
        <v>3327</v>
      </c>
      <c r="B3799" s="940">
        <v>2</v>
      </c>
      <c r="C3799" t="s">
        <v>8712</v>
      </c>
      <c r="D3799" s="940" t="s">
        <v>4870</v>
      </c>
      <c r="E3799" t="s">
        <v>111</v>
      </c>
    </row>
    <row r="3800" spans="1:5" x14ac:dyDescent="0.25">
      <c r="A3800" s="940">
        <v>1924</v>
      </c>
      <c r="B3800" s="940">
        <v>62</v>
      </c>
      <c r="C3800" t="s">
        <v>8713</v>
      </c>
      <c r="D3800" s="940" t="s">
        <v>8714</v>
      </c>
      <c r="E3800" t="s">
        <v>105</v>
      </c>
    </row>
    <row r="3801" spans="1:5" x14ac:dyDescent="0.25">
      <c r="A3801" s="940">
        <v>3490</v>
      </c>
      <c r="B3801" s="940">
        <v>0</v>
      </c>
      <c r="C3801" t="s">
        <v>8715</v>
      </c>
      <c r="D3801" s="940" t="s">
        <v>3724</v>
      </c>
      <c r="E3801" t="s">
        <v>133</v>
      </c>
    </row>
    <row r="3802" spans="1:5" x14ac:dyDescent="0.25">
      <c r="A3802" s="940">
        <v>3490</v>
      </c>
      <c r="B3802" s="940">
        <v>0</v>
      </c>
      <c r="C3802" t="s">
        <v>8716</v>
      </c>
      <c r="D3802" s="940" t="s">
        <v>6276</v>
      </c>
      <c r="E3802" t="s">
        <v>117</v>
      </c>
    </row>
    <row r="3803" spans="1:5" x14ac:dyDescent="0.25">
      <c r="A3803" s="940">
        <v>1811</v>
      </c>
      <c r="B3803" s="940">
        <v>72</v>
      </c>
      <c r="C3803" t="s">
        <v>8717</v>
      </c>
      <c r="D3803" s="940" t="s">
        <v>3170</v>
      </c>
      <c r="E3803" t="s">
        <v>147</v>
      </c>
    </row>
    <row r="3804" spans="1:5" x14ac:dyDescent="0.25">
      <c r="A3804" s="940">
        <v>399</v>
      </c>
      <c r="B3804" s="940">
        <v>572</v>
      </c>
      <c r="C3804" t="s">
        <v>8718</v>
      </c>
      <c r="D3804" s="940" t="s">
        <v>8719</v>
      </c>
      <c r="E3804" t="s">
        <v>1170</v>
      </c>
    </row>
    <row r="3805" spans="1:5" x14ac:dyDescent="0.25">
      <c r="A3805" s="940">
        <v>2883</v>
      </c>
      <c r="B3805" s="940">
        <v>11</v>
      </c>
      <c r="C3805" t="s">
        <v>8720</v>
      </c>
      <c r="D3805" s="940" t="s">
        <v>8721</v>
      </c>
      <c r="E3805" t="s">
        <v>99</v>
      </c>
    </row>
    <row r="3806" spans="1:5" x14ac:dyDescent="0.25">
      <c r="A3806" s="940">
        <v>403</v>
      </c>
      <c r="B3806" s="940">
        <v>566</v>
      </c>
      <c r="C3806" t="s">
        <v>8722</v>
      </c>
      <c r="D3806" s="940" t="s">
        <v>8723</v>
      </c>
      <c r="E3806" t="s">
        <v>2735</v>
      </c>
    </row>
    <row r="3807" spans="1:5" x14ac:dyDescent="0.25">
      <c r="A3807" s="940">
        <v>2743</v>
      </c>
      <c r="B3807" s="940">
        <v>15</v>
      </c>
      <c r="C3807" t="s">
        <v>8724</v>
      </c>
      <c r="D3807" s="940" t="s">
        <v>8725</v>
      </c>
      <c r="E3807" t="s">
        <v>1182</v>
      </c>
    </row>
    <row r="3808" spans="1:5" x14ac:dyDescent="0.25">
      <c r="A3808" s="940">
        <v>831</v>
      </c>
      <c r="B3808" s="940">
        <v>285</v>
      </c>
      <c r="C3808" t="s">
        <v>8726</v>
      </c>
      <c r="D3808" s="940" t="s">
        <v>8727</v>
      </c>
      <c r="E3808" t="s">
        <v>3518</v>
      </c>
    </row>
    <row r="3809" spans="1:5" x14ac:dyDescent="0.25">
      <c r="A3809" s="940">
        <v>3490</v>
      </c>
      <c r="B3809" s="940">
        <v>0</v>
      </c>
      <c r="C3809" t="s">
        <v>8728</v>
      </c>
      <c r="D3809" s="940" t="s">
        <v>6889</v>
      </c>
      <c r="E3809" t="s">
        <v>2654</v>
      </c>
    </row>
    <row r="3810" spans="1:5" x14ac:dyDescent="0.25">
      <c r="A3810" s="940">
        <v>1800</v>
      </c>
      <c r="B3810" s="940">
        <v>73</v>
      </c>
      <c r="C3810" t="s">
        <v>8729</v>
      </c>
      <c r="D3810" s="940" t="s">
        <v>4797</v>
      </c>
      <c r="E3810" t="s">
        <v>73</v>
      </c>
    </row>
    <row r="3811" spans="1:5" x14ac:dyDescent="0.25">
      <c r="A3811" s="940">
        <v>2515</v>
      </c>
      <c r="B3811" s="940">
        <v>24</v>
      </c>
      <c r="C3811" t="s">
        <v>8730</v>
      </c>
      <c r="D3811" s="940" t="s">
        <v>4877</v>
      </c>
      <c r="E3811" t="s">
        <v>3137</v>
      </c>
    </row>
    <row r="3812" spans="1:5" x14ac:dyDescent="0.25">
      <c r="A3812" s="940">
        <v>521</v>
      </c>
      <c r="B3812" s="940">
        <v>450</v>
      </c>
      <c r="C3812" t="s">
        <v>601</v>
      </c>
      <c r="D3812" s="940" t="s">
        <v>8731</v>
      </c>
      <c r="E3812" t="s">
        <v>74</v>
      </c>
    </row>
    <row r="3813" spans="1:5" x14ac:dyDescent="0.25">
      <c r="A3813" s="940">
        <v>320</v>
      </c>
      <c r="B3813" s="940">
        <v>683</v>
      </c>
      <c r="C3813" t="s">
        <v>8732</v>
      </c>
      <c r="D3813" s="940" t="s">
        <v>8733</v>
      </c>
      <c r="E3813" t="s">
        <v>1171</v>
      </c>
    </row>
    <row r="3814" spans="1:5" x14ac:dyDescent="0.25">
      <c r="A3814" s="940">
        <v>1243</v>
      </c>
      <c r="B3814" s="940">
        <v>147</v>
      </c>
      <c r="C3814" t="s">
        <v>8734</v>
      </c>
      <c r="D3814" s="940" t="s">
        <v>3279</v>
      </c>
      <c r="E3814" t="s">
        <v>83</v>
      </c>
    </row>
    <row r="3815" spans="1:5" x14ac:dyDescent="0.25">
      <c r="A3815" s="940">
        <v>3490</v>
      </c>
      <c r="B3815" s="940">
        <v>0</v>
      </c>
      <c r="C3815" t="s">
        <v>8735</v>
      </c>
      <c r="D3815" s="940" t="s">
        <v>8736</v>
      </c>
      <c r="E3815" t="s">
        <v>170</v>
      </c>
    </row>
    <row r="3816" spans="1:5" x14ac:dyDescent="0.25">
      <c r="A3816" s="940">
        <v>1266</v>
      </c>
      <c r="B3816" s="940">
        <v>142</v>
      </c>
      <c r="C3816" t="s">
        <v>8737</v>
      </c>
      <c r="D3816" s="940" t="s">
        <v>8738</v>
      </c>
      <c r="E3816" t="s">
        <v>120</v>
      </c>
    </row>
    <row r="3817" spans="1:5" x14ac:dyDescent="0.25">
      <c r="A3817" s="940">
        <v>1885</v>
      </c>
      <c r="B3817" s="940">
        <v>65</v>
      </c>
      <c r="C3817" t="s">
        <v>8739</v>
      </c>
      <c r="D3817" s="940" t="s">
        <v>8077</v>
      </c>
      <c r="E3817" t="s">
        <v>120</v>
      </c>
    </row>
    <row r="3818" spans="1:5" x14ac:dyDescent="0.25">
      <c r="A3818" s="940">
        <v>2152</v>
      </c>
      <c r="B3818" s="940">
        <v>45</v>
      </c>
      <c r="C3818" t="s">
        <v>8740</v>
      </c>
      <c r="D3818" s="940" t="s">
        <v>8691</v>
      </c>
      <c r="E3818" t="s">
        <v>84</v>
      </c>
    </row>
    <row r="3819" spans="1:5" x14ac:dyDescent="0.25">
      <c r="A3819" s="940">
        <v>2256</v>
      </c>
      <c r="B3819" s="940">
        <v>39</v>
      </c>
      <c r="C3819" t="s">
        <v>8741</v>
      </c>
      <c r="D3819" s="940" t="s">
        <v>4864</v>
      </c>
      <c r="E3819" t="s">
        <v>74</v>
      </c>
    </row>
    <row r="3820" spans="1:5" x14ac:dyDescent="0.25">
      <c r="A3820" s="940">
        <v>3490</v>
      </c>
      <c r="B3820" s="940">
        <v>0</v>
      </c>
      <c r="C3820" t="s">
        <v>8742</v>
      </c>
      <c r="D3820" s="940" t="s">
        <v>8743</v>
      </c>
      <c r="E3820" t="s">
        <v>1590</v>
      </c>
    </row>
    <row r="3821" spans="1:5" x14ac:dyDescent="0.25">
      <c r="A3821" s="940">
        <v>3490</v>
      </c>
      <c r="B3821" s="940">
        <v>0</v>
      </c>
      <c r="C3821" t="s">
        <v>8744</v>
      </c>
      <c r="D3821" s="940" t="s">
        <v>6889</v>
      </c>
      <c r="E3821" t="s">
        <v>105</v>
      </c>
    </row>
    <row r="3822" spans="1:5" x14ac:dyDescent="0.25">
      <c r="A3822" s="940">
        <v>3490</v>
      </c>
      <c r="B3822" s="940">
        <v>0</v>
      </c>
      <c r="C3822" t="s">
        <v>8745</v>
      </c>
      <c r="D3822" s="940" t="s">
        <v>2682</v>
      </c>
      <c r="E3822" t="s">
        <v>469</v>
      </c>
    </row>
    <row r="3823" spans="1:5" x14ac:dyDescent="0.25">
      <c r="A3823" s="940">
        <v>2221</v>
      </c>
      <c r="B3823" s="940">
        <v>41</v>
      </c>
      <c r="C3823" t="s">
        <v>8746</v>
      </c>
      <c r="D3823" s="940" t="s">
        <v>5325</v>
      </c>
      <c r="E3823" t="s">
        <v>74</v>
      </c>
    </row>
    <row r="3824" spans="1:5" x14ac:dyDescent="0.25">
      <c r="A3824" s="940">
        <v>2907</v>
      </c>
      <c r="B3824" s="940">
        <v>10</v>
      </c>
      <c r="C3824" t="s">
        <v>8747</v>
      </c>
      <c r="D3824" s="940" t="s">
        <v>8748</v>
      </c>
      <c r="E3824" t="s">
        <v>74</v>
      </c>
    </row>
    <row r="3825" spans="1:5" x14ac:dyDescent="0.25">
      <c r="A3825" s="940">
        <v>2883</v>
      </c>
      <c r="B3825" s="940">
        <v>11</v>
      </c>
      <c r="C3825" t="s">
        <v>8749</v>
      </c>
      <c r="D3825" s="940" t="s">
        <v>3857</v>
      </c>
      <c r="E3825" t="s">
        <v>1170</v>
      </c>
    </row>
    <row r="3826" spans="1:5" x14ac:dyDescent="0.25">
      <c r="A3826" s="940">
        <v>2558</v>
      </c>
      <c r="B3826" s="940">
        <v>22</v>
      </c>
      <c r="C3826" t="s">
        <v>8750</v>
      </c>
      <c r="D3826" s="940" t="s">
        <v>4936</v>
      </c>
      <c r="E3826" t="s">
        <v>3140</v>
      </c>
    </row>
    <row r="3827" spans="1:5" x14ac:dyDescent="0.25">
      <c r="A3827" s="940">
        <v>3490</v>
      </c>
      <c r="B3827" s="940">
        <v>0</v>
      </c>
      <c r="C3827" t="s">
        <v>8751</v>
      </c>
      <c r="D3827" s="940" t="s">
        <v>5881</v>
      </c>
      <c r="E3827" t="s">
        <v>1286</v>
      </c>
    </row>
    <row r="3828" spans="1:5" x14ac:dyDescent="0.25">
      <c r="A3828" s="940">
        <v>1581</v>
      </c>
      <c r="B3828" s="940">
        <v>97</v>
      </c>
      <c r="C3828" t="s">
        <v>8752</v>
      </c>
      <c r="D3828" s="940" t="s">
        <v>4504</v>
      </c>
      <c r="E3828" t="s">
        <v>74</v>
      </c>
    </row>
    <row r="3829" spans="1:5" x14ac:dyDescent="0.25">
      <c r="A3829" s="940">
        <v>2782</v>
      </c>
      <c r="B3829" s="940">
        <v>14</v>
      </c>
      <c r="C3829" t="s">
        <v>8753</v>
      </c>
      <c r="D3829" s="940" t="s">
        <v>3464</v>
      </c>
      <c r="E3829" t="s">
        <v>179</v>
      </c>
    </row>
    <row r="3830" spans="1:5" x14ac:dyDescent="0.25">
      <c r="A3830" s="940">
        <v>3490</v>
      </c>
      <c r="B3830" s="940">
        <v>0</v>
      </c>
      <c r="C3830" t="s">
        <v>8754</v>
      </c>
      <c r="D3830" s="940" t="s">
        <v>8755</v>
      </c>
      <c r="E3830" t="s">
        <v>1171</v>
      </c>
    </row>
    <row r="3831" spans="1:5" x14ac:dyDescent="0.25">
      <c r="A3831" s="940">
        <v>2272</v>
      </c>
      <c r="B3831" s="940">
        <v>38</v>
      </c>
      <c r="C3831" t="s">
        <v>8756</v>
      </c>
      <c r="D3831" s="940" t="s">
        <v>7753</v>
      </c>
      <c r="E3831" t="s">
        <v>105</v>
      </c>
    </row>
    <row r="3832" spans="1:5" x14ac:dyDescent="0.25">
      <c r="A3832" s="940">
        <v>114</v>
      </c>
      <c r="B3832" s="940">
        <v>1066</v>
      </c>
      <c r="C3832" t="s">
        <v>8757</v>
      </c>
      <c r="D3832" s="940" t="s">
        <v>6373</v>
      </c>
      <c r="E3832" t="s">
        <v>74</v>
      </c>
    </row>
    <row r="3833" spans="1:5" x14ac:dyDescent="0.25">
      <c r="A3833" s="940">
        <v>2539</v>
      </c>
      <c r="B3833" s="940">
        <v>23</v>
      </c>
      <c r="C3833" t="s">
        <v>8758</v>
      </c>
      <c r="D3833" s="940" t="s">
        <v>4521</v>
      </c>
      <c r="E3833" t="s">
        <v>74</v>
      </c>
    </row>
    <row r="3834" spans="1:5" x14ac:dyDescent="0.25">
      <c r="A3834" s="940">
        <v>2484</v>
      </c>
      <c r="B3834" s="940">
        <v>26</v>
      </c>
      <c r="C3834" t="s">
        <v>8759</v>
      </c>
      <c r="D3834" s="940" t="s">
        <v>2854</v>
      </c>
      <c r="E3834" t="s">
        <v>1362</v>
      </c>
    </row>
    <row r="3835" spans="1:5" x14ac:dyDescent="0.25">
      <c r="A3835" s="940">
        <v>2291</v>
      </c>
      <c r="B3835" s="940">
        <v>37</v>
      </c>
      <c r="C3835" t="s">
        <v>8760</v>
      </c>
      <c r="D3835" s="940" t="s">
        <v>8761</v>
      </c>
      <c r="E3835" t="s">
        <v>128</v>
      </c>
    </row>
    <row r="3836" spans="1:5" x14ac:dyDescent="0.25">
      <c r="A3836" s="940">
        <v>3327</v>
      </c>
      <c r="B3836" s="940">
        <v>2</v>
      </c>
      <c r="C3836" t="s">
        <v>8762</v>
      </c>
      <c r="D3836" s="940" t="s">
        <v>8497</v>
      </c>
      <c r="E3836" t="s">
        <v>137</v>
      </c>
    </row>
    <row r="3837" spans="1:5" x14ac:dyDescent="0.25">
      <c r="A3837" s="940">
        <v>1505</v>
      </c>
      <c r="B3837" s="940">
        <v>105</v>
      </c>
      <c r="C3837" t="s">
        <v>8763</v>
      </c>
      <c r="D3837" s="940" t="s">
        <v>8764</v>
      </c>
      <c r="E3837" t="s">
        <v>179</v>
      </c>
    </row>
    <row r="3838" spans="1:5" x14ac:dyDescent="0.25">
      <c r="A3838" s="940">
        <v>1615</v>
      </c>
      <c r="B3838" s="940">
        <v>93</v>
      </c>
      <c r="C3838" t="s">
        <v>8765</v>
      </c>
      <c r="D3838" s="940" t="s">
        <v>3164</v>
      </c>
      <c r="E3838" t="s">
        <v>1372</v>
      </c>
    </row>
    <row r="3839" spans="1:5" x14ac:dyDescent="0.25">
      <c r="A3839" s="940">
        <v>2221</v>
      </c>
      <c r="B3839" s="940">
        <v>41</v>
      </c>
      <c r="C3839" t="s">
        <v>8766</v>
      </c>
      <c r="D3839" s="940" t="s">
        <v>8767</v>
      </c>
      <c r="E3839" t="s">
        <v>5279</v>
      </c>
    </row>
    <row r="3840" spans="1:5" x14ac:dyDescent="0.25">
      <c r="A3840" s="940">
        <v>3490</v>
      </c>
      <c r="B3840" s="940">
        <v>0</v>
      </c>
      <c r="C3840" t="s">
        <v>8768</v>
      </c>
      <c r="D3840" s="940" t="s">
        <v>8769</v>
      </c>
      <c r="E3840" t="s">
        <v>1284</v>
      </c>
    </row>
    <row r="3841" spans="1:5" x14ac:dyDescent="0.25">
      <c r="A3841" s="940">
        <v>3490</v>
      </c>
      <c r="B3841" s="940">
        <v>0</v>
      </c>
      <c r="C3841" t="s">
        <v>8770</v>
      </c>
      <c r="D3841" s="940" t="s">
        <v>3230</v>
      </c>
      <c r="E3841" t="s">
        <v>1182</v>
      </c>
    </row>
    <row r="3842" spans="1:5" x14ac:dyDescent="0.25">
      <c r="A3842" s="940">
        <v>1109</v>
      </c>
      <c r="B3842" s="940">
        <v>178</v>
      </c>
      <c r="C3842" t="s">
        <v>8771</v>
      </c>
      <c r="D3842" s="940" t="s">
        <v>4348</v>
      </c>
      <c r="E3842" t="s">
        <v>3429</v>
      </c>
    </row>
    <row r="3843" spans="1:5" x14ac:dyDescent="0.25">
      <c r="A3843" s="940">
        <v>2221</v>
      </c>
      <c r="B3843" s="940">
        <v>41</v>
      </c>
      <c r="C3843" t="s">
        <v>8772</v>
      </c>
      <c r="D3843" s="940" t="s">
        <v>8773</v>
      </c>
      <c r="E3843" t="s">
        <v>103</v>
      </c>
    </row>
    <row r="3844" spans="1:5" x14ac:dyDescent="0.25">
      <c r="A3844" s="940">
        <v>3089</v>
      </c>
      <c r="B3844" s="940">
        <v>6</v>
      </c>
      <c r="C3844" t="s">
        <v>8774</v>
      </c>
      <c r="D3844" s="940" t="s">
        <v>5420</v>
      </c>
      <c r="E3844" t="s">
        <v>105</v>
      </c>
    </row>
    <row r="3845" spans="1:5" x14ac:dyDescent="0.25">
      <c r="A3845" s="940">
        <v>361</v>
      </c>
      <c r="B3845" s="940">
        <v>620</v>
      </c>
      <c r="C3845" t="s">
        <v>8775</v>
      </c>
      <c r="D3845" s="940" t="s">
        <v>8776</v>
      </c>
      <c r="E3845" t="s">
        <v>661</v>
      </c>
    </row>
    <row r="3846" spans="1:5" x14ac:dyDescent="0.25">
      <c r="A3846" s="940">
        <v>3490</v>
      </c>
      <c r="B3846" s="940">
        <v>0</v>
      </c>
      <c r="C3846" t="s">
        <v>8777</v>
      </c>
      <c r="D3846" s="940" t="s">
        <v>8778</v>
      </c>
      <c r="E3846" t="s">
        <v>661</v>
      </c>
    </row>
    <row r="3847" spans="1:5" x14ac:dyDescent="0.25">
      <c r="A3847" s="940">
        <v>377</v>
      </c>
      <c r="B3847" s="940">
        <v>601</v>
      </c>
      <c r="C3847" t="s">
        <v>8779</v>
      </c>
      <c r="D3847" s="940" t="s">
        <v>8780</v>
      </c>
      <c r="E3847" t="s">
        <v>114</v>
      </c>
    </row>
    <row r="3848" spans="1:5" x14ac:dyDescent="0.25">
      <c r="A3848" s="940">
        <v>3490</v>
      </c>
      <c r="B3848" s="940">
        <v>0</v>
      </c>
      <c r="C3848" t="s">
        <v>8781</v>
      </c>
      <c r="D3848" s="940" t="s">
        <v>6249</v>
      </c>
      <c r="E3848" t="s">
        <v>74</v>
      </c>
    </row>
    <row r="3849" spans="1:5" x14ac:dyDescent="0.25">
      <c r="A3849" s="940">
        <v>1024</v>
      </c>
      <c r="B3849" s="940">
        <v>207</v>
      </c>
      <c r="C3849" t="s">
        <v>8782</v>
      </c>
      <c r="D3849" s="940" t="s">
        <v>6608</v>
      </c>
      <c r="E3849" t="s">
        <v>118</v>
      </c>
    </row>
    <row r="3850" spans="1:5" x14ac:dyDescent="0.25">
      <c r="A3850" s="940">
        <v>1127</v>
      </c>
      <c r="B3850" s="940">
        <v>173</v>
      </c>
      <c r="C3850" t="s">
        <v>8783</v>
      </c>
      <c r="D3850" s="940" t="s">
        <v>8784</v>
      </c>
      <c r="E3850" t="s">
        <v>118</v>
      </c>
    </row>
    <row r="3851" spans="1:5" x14ac:dyDescent="0.25">
      <c r="A3851" s="940">
        <v>2048</v>
      </c>
      <c r="B3851" s="940">
        <v>52</v>
      </c>
      <c r="C3851" t="s">
        <v>8785</v>
      </c>
      <c r="D3851" s="940" t="s">
        <v>5541</v>
      </c>
      <c r="E3851" t="s">
        <v>1675</v>
      </c>
    </row>
    <row r="3852" spans="1:5" x14ac:dyDescent="0.25">
      <c r="A3852" s="940">
        <v>2016</v>
      </c>
      <c r="B3852" s="940">
        <v>54</v>
      </c>
      <c r="C3852" t="s">
        <v>8786</v>
      </c>
      <c r="D3852" s="940" t="s">
        <v>8787</v>
      </c>
      <c r="E3852" t="s">
        <v>5145</v>
      </c>
    </row>
    <row r="3853" spans="1:5" x14ac:dyDescent="0.25">
      <c r="A3853" s="940">
        <v>241</v>
      </c>
      <c r="B3853" s="940">
        <v>832</v>
      </c>
      <c r="C3853" t="s">
        <v>8788</v>
      </c>
      <c r="D3853" s="940" t="s">
        <v>8789</v>
      </c>
      <c r="E3853" t="s">
        <v>105</v>
      </c>
    </row>
    <row r="3854" spans="1:5" x14ac:dyDescent="0.25">
      <c r="A3854" s="940">
        <v>2714</v>
      </c>
      <c r="B3854" s="940">
        <v>16</v>
      </c>
      <c r="C3854" t="s">
        <v>8790</v>
      </c>
      <c r="D3854" s="940" t="s">
        <v>5391</v>
      </c>
      <c r="E3854" t="s">
        <v>5767</v>
      </c>
    </row>
    <row r="3855" spans="1:5" x14ac:dyDescent="0.25">
      <c r="A3855" s="940">
        <v>913</v>
      </c>
      <c r="B3855" s="940">
        <v>249</v>
      </c>
      <c r="C3855" t="s">
        <v>8791</v>
      </c>
      <c r="D3855" s="940" t="s">
        <v>8604</v>
      </c>
      <c r="E3855" t="s">
        <v>129</v>
      </c>
    </row>
    <row r="3856" spans="1:5" x14ac:dyDescent="0.25">
      <c r="A3856" s="940">
        <v>1800</v>
      </c>
      <c r="B3856" s="940">
        <v>73</v>
      </c>
      <c r="C3856" t="s">
        <v>8792</v>
      </c>
      <c r="D3856" s="940" t="s">
        <v>8793</v>
      </c>
      <c r="E3856" t="s">
        <v>1372</v>
      </c>
    </row>
    <row r="3857" spans="1:5" x14ac:dyDescent="0.25">
      <c r="A3857" s="940">
        <v>2959</v>
      </c>
      <c r="B3857" s="940">
        <v>9</v>
      </c>
      <c r="C3857" t="s">
        <v>8794</v>
      </c>
      <c r="D3857" s="940" t="s">
        <v>7470</v>
      </c>
      <c r="E3857" t="s">
        <v>5756</v>
      </c>
    </row>
    <row r="3858" spans="1:5" x14ac:dyDescent="0.25">
      <c r="A3858" s="940">
        <v>2743</v>
      </c>
      <c r="B3858" s="940">
        <v>15</v>
      </c>
      <c r="C3858" t="s">
        <v>8795</v>
      </c>
      <c r="D3858" s="940" t="s">
        <v>3808</v>
      </c>
      <c r="E3858" t="s">
        <v>8796</v>
      </c>
    </row>
    <row r="3859" spans="1:5" x14ac:dyDescent="0.25">
      <c r="A3859" s="940">
        <v>2659</v>
      </c>
      <c r="B3859" s="940">
        <v>18</v>
      </c>
      <c r="C3859" t="s">
        <v>8797</v>
      </c>
      <c r="D3859" s="940" t="s">
        <v>6037</v>
      </c>
      <c r="E3859" t="s">
        <v>132</v>
      </c>
    </row>
    <row r="3860" spans="1:5" x14ac:dyDescent="0.25">
      <c r="A3860" s="940">
        <v>3395</v>
      </c>
      <c r="B3860" s="940">
        <v>1</v>
      </c>
      <c r="C3860" t="s">
        <v>8798</v>
      </c>
      <c r="D3860" s="940" t="s">
        <v>8799</v>
      </c>
      <c r="E3860" t="s">
        <v>120</v>
      </c>
    </row>
    <row r="3861" spans="1:5" x14ac:dyDescent="0.25">
      <c r="A3861" s="940">
        <v>385</v>
      </c>
      <c r="B3861" s="940">
        <v>589</v>
      </c>
      <c r="C3861" t="s">
        <v>8800</v>
      </c>
      <c r="D3861" s="940" t="s">
        <v>4070</v>
      </c>
      <c r="E3861" t="s">
        <v>2928</v>
      </c>
    </row>
    <row r="3862" spans="1:5" x14ac:dyDescent="0.25">
      <c r="A3862" s="940">
        <v>270</v>
      </c>
      <c r="B3862" s="940">
        <v>768</v>
      </c>
      <c r="C3862" t="s">
        <v>8801</v>
      </c>
      <c r="D3862" s="940" t="s">
        <v>8802</v>
      </c>
      <c r="E3862" t="s">
        <v>120</v>
      </c>
    </row>
    <row r="3863" spans="1:5" x14ac:dyDescent="0.25">
      <c r="A3863" s="940">
        <v>3490</v>
      </c>
      <c r="B3863" s="940">
        <v>0</v>
      </c>
      <c r="C3863" t="s">
        <v>8803</v>
      </c>
      <c r="D3863" s="940" t="s">
        <v>8804</v>
      </c>
      <c r="E3863" t="s">
        <v>105</v>
      </c>
    </row>
    <row r="3864" spans="1:5" x14ac:dyDescent="0.25">
      <c r="A3864" s="940">
        <v>1072</v>
      </c>
      <c r="B3864" s="940">
        <v>193</v>
      </c>
      <c r="C3864" t="s">
        <v>8805</v>
      </c>
      <c r="D3864" s="940" t="s">
        <v>8806</v>
      </c>
      <c r="E3864" t="s">
        <v>129</v>
      </c>
    </row>
    <row r="3865" spans="1:5" x14ac:dyDescent="0.25">
      <c r="A3865" s="940">
        <v>3490</v>
      </c>
      <c r="B3865" s="940">
        <v>0</v>
      </c>
      <c r="C3865" t="s">
        <v>8807</v>
      </c>
      <c r="D3865" s="940" t="s">
        <v>8808</v>
      </c>
      <c r="E3865" t="s">
        <v>213</v>
      </c>
    </row>
    <row r="3866" spans="1:5" x14ac:dyDescent="0.25">
      <c r="A3866" s="940">
        <v>3490</v>
      </c>
      <c r="B3866" s="940">
        <v>0</v>
      </c>
      <c r="C3866" t="s">
        <v>8809</v>
      </c>
      <c r="D3866" s="940" t="s">
        <v>5483</v>
      </c>
      <c r="E3866" t="s">
        <v>105</v>
      </c>
    </row>
    <row r="3867" spans="1:5" x14ac:dyDescent="0.25">
      <c r="A3867" s="940">
        <v>562</v>
      </c>
      <c r="B3867" s="940">
        <v>425</v>
      </c>
      <c r="C3867" t="s">
        <v>8810</v>
      </c>
      <c r="D3867" s="940" t="s">
        <v>8811</v>
      </c>
      <c r="E3867" t="s">
        <v>118</v>
      </c>
    </row>
    <row r="3868" spans="1:5" x14ac:dyDescent="0.25">
      <c r="A3868" s="940">
        <v>3490</v>
      </c>
      <c r="B3868" s="940">
        <v>0</v>
      </c>
      <c r="C3868" t="s">
        <v>8812</v>
      </c>
      <c r="D3868" s="940" t="s">
        <v>7606</v>
      </c>
      <c r="E3868" t="s">
        <v>163</v>
      </c>
    </row>
    <row r="3869" spans="1:5" x14ac:dyDescent="0.25">
      <c r="A3869" s="940">
        <v>2558</v>
      </c>
      <c r="B3869" s="940">
        <v>22</v>
      </c>
      <c r="C3869" t="s">
        <v>8813</v>
      </c>
      <c r="D3869" s="940" t="s">
        <v>8814</v>
      </c>
      <c r="E3869" t="s">
        <v>105</v>
      </c>
    </row>
    <row r="3870" spans="1:5" x14ac:dyDescent="0.25">
      <c r="A3870" s="940">
        <v>685</v>
      </c>
      <c r="B3870" s="940">
        <v>355</v>
      </c>
      <c r="C3870" t="s">
        <v>2581</v>
      </c>
      <c r="D3870" s="940" t="s">
        <v>4806</v>
      </c>
      <c r="E3870" t="s">
        <v>72</v>
      </c>
    </row>
    <row r="3871" spans="1:5" x14ac:dyDescent="0.25">
      <c r="A3871" s="940">
        <v>3395</v>
      </c>
      <c r="B3871" s="940">
        <v>1</v>
      </c>
      <c r="C3871" t="s">
        <v>8815</v>
      </c>
      <c r="D3871" s="940" t="s">
        <v>8816</v>
      </c>
      <c r="E3871" t="s">
        <v>1251</v>
      </c>
    </row>
    <row r="3872" spans="1:5" x14ac:dyDescent="0.25">
      <c r="A3872" s="940">
        <v>3141</v>
      </c>
      <c r="B3872" s="940">
        <v>5</v>
      </c>
      <c r="C3872" t="s">
        <v>8817</v>
      </c>
      <c r="D3872" s="940" t="s">
        <v>4151</v>
      </c>
      <c r="E3872" t="s">
        <v>105</v>
      </c>
    </row>
    <row r="3873" spans="1:5" x14ac:dyDescent="0.25">
      <c r="A3873" s="940">
        <v>2370</v>
      </c>
      <c r="B3873" s="940">
        <v>32</v>
      </c>
      <c r="C3873" t="s">
        <v>8818</v>
      </c>
      <c r="D3873" s="940" t="s">
        <v>5367</v>
      </c>
      <c r="E3873" t="s">
        <v>1590</v>
      </c>
    </row>
    <row r="3874" spans="1:5" x14ac:dyDescent="0.25">
      <c r="A3874" s="940">
        <v>2782</v>
      </c>
      <c r="B3874" s="940">
        <v>14</v>
      </c>
      <c r="C3874" t="s">
        <v>8819</v>
      </c>
      <c r="D3874" s="940" t="s">
        <v>8820</v>
      </c>
      <c r="E3874" t="s">
        <v>171</v>
      </c>
    </row>
    <row r="3875" spans="1:5" x14ac:dyDescent="0.25">
      <c r="A3875" s="940">
        <v>72</v>
      </c>
      <c r="B3875" s="940">
        <v>1208</v>
      </c>
      <c r="C3875" t="s">
        <v>8821</v>
      </c>
      <c r="D3875" s="940" t="s">
        <v>8822</v>
      </c>
      <c r="E3875" t="s">
        <v>1311</v>
      </c>
    </row>
    <row r="3876" spans="1:5" x14ac:dyDescent="0.25">
      <c r="A3876" s="940">
        <v>32</v>
      </c>
      <c r="B3876" s="940">
        <v>1406</v>
      </c>
      <c r="C3876" t="s">
        <v>8823</v>
      </c>
      <c r="D3876" s="940" t="s">
        <v>8824</v>
      </c>
      <c r="E3876" t="s">
        <v>1190</v>
      </c>
    </row>
    <row r="3877" spans="1:5" x14ac:dyDescent="0.25">
      <c r="A3877" s="940">
        <v>3490</v>
      </c>
      <c r="B3877" s="940">
        <v>0</v>
      </c>
      <c r="C3877" t="s">
        <v>8825</v>
      </c>
      <c r="D3877" s="940" t="s">
        <v>5093</v>
      </c>
      <c r="E3877" t="s">
        <v>120</v>
      </c>
    </row>
    <row r="3878" spans="1:5" x14ac:dyDescent="0.25">
      <c r="A3878" s="940">
        <v>1800</v>
      </c>
      <c r="B3878" s="940">
        <v>73</v>
      </c>
      <c r="C3878" t="s">
        <v>8826</v>
      </c>
      <c r="D3878" s="940" t="s">
        <v>7976</v>
      </c>
      <c r="E3878" t="s">
        <v>208</v>
      </c>
    </row>
    <row r="3879" spans="1:5" x14ac:dyDescent="0.25">
      <c r="A3879" s="940">
        <v>2272</v>
      </c>
      <c r="B3879" s="940">
        <v>38</v>
      </c>
      <c r="C3879" t="s">
        <v>8827</v>
      </c>
      <c r="D3879" s="940" t="s">
        <v>8828</v>
      </c>
      <c r="E3879" t="s">
        <v>99</v>
      </c>
    </row>
    <row r="3880" spans="1:5" x14ac:dyDescent="0.25">
      <c r="A3880" s="940">
        <v>3045</v>
      </c>
      <c r="B3880" s="940">
        <v>7</v>
      </c>
      <c r="C3880" t="s">
        <v>8829</v>
      </c>
      <c r="D3880" s="940" t="s">
        <v>8830</v>
      </c>
      <c r="E3880" t="s">
        <v>1156</v>
      </c>
    </row>
    <row r="3881" spans="1:5" x14ac:dyDescent="0.25">
      <c r="A3881" s="940">
        <v>91</v>
      </c>
      <c r="B3881" s="940">
        <v>1147</v>
      </c>
      <c r="C3881" t="s">
        <v>8831</v>
      </c>
      <c r="D3881" s="940" t="s">
        <v>8832</v>
      </c>
      <c r="E3881" t="s">
        <v>166</v>
      </c>
    </row>
    <row r="3882" spans="1:5" x14ac:dyDescent="0.25">
      <c r="A3882" s="940">
        <v>2312</v>
      </c>
      <c r="B3882" s="940">
        <v>36</v>
      </c>
      <c r="C3882" t="s">
        <v>8833</v>
      </c>
      <c r="D3882" s="940" t="s">
        <v>3111</v>
      </c>
      <c r="E3882" t="s">
        <v>2880</v>
      </c>
    </row>
    <row r="3883" spans="1:5" x14ac:dyDescent="0.25">
      <c r="A3883" s="940">
        <v>1848</v>
      </c>
      <c r="B3883" s="940">
        <v>68</v>
      </c>
      <c r="C3883" t="s">
        <v>8834</v>
      </c>
      <c r="D3883" s="940" t="s">
        <v>4599</v>
      </c>
      <c r="E3883" t="s">
        <v>111</v>
      </c>
    </row>
    <row r="3884" spans="1:5" x14ac:dyDescent="0.25">
      <c r="A3884" s="940">
        <v>3490</v>
      </c>
      <c r="B3884" s="940">
        <v>0</v>
      </c>
      <c r="C3884" t="s">
        <v>8835</v>
      </c>
      <c r="D3884" s="940" t="s">
        <v>3133</v>
      </c>
      <c r="E3884" t="s">
        <v>1171</v>
      </c>
    </row>
    <row r="3885" spans="1:5" x14ac:dyDescent="0.25">
      <c r="A3885" s="940">
        <v>2016</v>
      </c>
      <c r="B3885" s="940">
        <v>54</v>
      </c>
      <c r="C3885" t="s">
        <v>8836</v>
      </c>
      <c r="D3885" s="940" t="s">
        <v>4477</v>
      </c>
      <c r="E3885" t="s">
        <v>1311</v>
      </c>
    </row>
    <row r="3886" spans="1:5" x14ac:dyDescent="0.25">
      <c r="A3886" s="940">
        <v>3395</v>
      </c>
      <c r="B3886" s="940">
        <v>1</v>
      </c>
      <c r="C3886" t="s">
        <v>8837</v>
      </c>
      <c r="D3886" s="940" t="s">
        <v>8838</v>
      </c>
      <c r="E3886" t="s">
        <v>111</v>
      </c>
    </row>
    <row r="3887" spans="1:5" x14ac:dyDescent="0.25">
      <c r="A3887" s="940">
        <v>1594</v>
      </c>
      <c r="B3887" s="940">
        <v>96</v>
      </c>
      <c r="C3887" t="s">
        <v>2582</v>
      </c>
      <c r="D3887" s="940" t="s">
        <v>4551</v>
      </c>
      <c r="E3887" t="s">
        <v>120</v>
      </c>
    </row>
    <row r="3888" spans="1:5" x14ac:dyDescent="0.25">
      <c r="A3888" s="940">
        <v>40</v>
      </c>
      <c r="B3888" s="940">
        <v>1354</v>
      </c>
      <c r="C3888" t="s">
        <v>8839</v>
      </c>
      <c r="D3888" s="940" t="s">
        <v>8840</v>
      </c>
      <c r="E3888" t="s">
        <v>113</v>
      </c>
    </row>
    <row r="3889" spans="1:5" x14ac:dyDescent="0.25">
      <c r="A3889" s="940">
        <v>3490</v>
      </c>
      <c r="B3889" s="940">
        <v>0</v>
      </c>
      <c r="C3889" t="s">
        <v>8841</v>
      </c>
      <c r="D3889" s="940" t="s">
        <v>4769</v>
      </c>
      <c r="E3889" t="s">
        <v>3396</v>
      </c>
    </row>
    <row r="3890" spans="1:5" x14ac:dyDescent="0.25">
      <c r="A3890" s="940">
        <v>3395</v>
      </c>
      <c r="B3890" s="940">
        <v>1</v>
      </c>
      <c r="C3890" t="s">
        <v>8842</v>
      </c>
      <c r="D3890" s="940" t="s">
        <v>3601</v>
      </c>
      <c r="E3890" t="s">
        <v>2654</v>
      </c>
    </row>
    <row r="3891" spans="1:5" x14ac:dyDescent="0.25">
      <c r="A3891" s="940">
        <v>1627</v>
      </c>
      <c r="B3891" s="940">
        <v>92</v>
      </c>
      <c r="C3891" t="s">
        <v>8843</v>
      </c>
      <c r="D3891" s="940" t="s">
        <v>3537</v>
      </c>
      <c r="E3891" t="s">
        <v>165</v>
      </c>
    </row>
    <row r="3892" spans="1:5" x14ac:dyDescent="0.25">
      <c r="A3892" s="940">
        <v>2996</v>
      </c>
      <c r="B3892" s="940">
        <v>8</v>
      </c>
      <c r="C3892" t="s">
        <v>8844</v>
      </c>
      <c r="D3892" s="940" t="s">
        <v>6389</v>
      </c>
      <c r="E3892" t="s">
        <v>120</v>
      </c>
    </row>
    <row r="3893" spans="1:5" x14ac:dyDescent="0.25">
      <c r="A3893" s="940">
        <v>2814</v>
      </c>
      <c r="B3893" s="940">
        <v>13</v>
      </c>
      <c r="C3893" t="s">
        <v>8845</v>
      </c>
      <c r="D3893" s="940" t="s">
        <v>6802</v>
      </c>
      <c r="E3893" t="s">
        <v>120</v>
      </c>
    </row>
    <row r="3894" spans="1:5" x14ac:dyDescent="0.25">
      <c r="A3894" s="940">
        <v>2690</v>
      </c>
      <c r="B3894" s="940">
        <v>17</v>
      </c>
      <c r="C3894" t="s">
        <v>8846</v>
      </c>
      <c r="D3894" s="940" t="s">
        <v>8820</v>
      </c>
      <c r="E3894" t="s">
        <v>1211</v>
      </c>
    </row>
    <row r="3895" spans="1:5" x14ac:dyDescent="0.25">
      <c r="A3895" s="940">
        <v>1848</v>
      </c>
      <c r="B3895" s="940">
        <v>68</v>
      </c>
      <c r="C3895" t="s">
        <v>8847</v>
      </c>
      <c r="D3895" s="940" t="s">
        <v>4254</v>
      </c>
      <c r="E3895" t="s">
        <v>2916</v>
      </c>
    </row>
    <row r="3896" spans="1:5" x14ac:dyDescent="0.25">
      <c r="A3896" s="940">
        <v>3490</v>
      </c>
      <c r="B3896" s="940">
        <v>0</v>
      </c>
      <c r="C3896" t="s">
        <v>8848</v>
      </c>
      <c r="D3896" s="940" t="s">
        <v>3574</v>
      </c>
      <c r="E3896" t="s">
        <v>137</v>
      </c>
    </row>
    <row r="3897" spans="1:5" x14ac:dyDescent="0.25">
      <c r="A3897" s="940">
        <v>546</v>
      </c>
      <c r="B3897" s="940">
        <v>437</v>
      </c>
      <c r="C3897" t="s">
        <v>8849</v>
      </c>
      <c r="D3897" s="940" t="s">
        <v>8850</v>
      </c>
      <c r="E3897" t="s">
        <v>105</v>
      </c>
    </row>
    <row r="3898" spans="1:5" x14ac:dyDescent="0.25">
      <c r="A3898" s="940">
        <v>2743</v>
      </c>
      <c r="B3898" s="940">
        <v>15</v>
      </c>
      <c r="C3898" t="s">
        <v>8851</v>
      </c>
      <c r="D3898" s="940" t="s">
        <v>6200</v>
      </c>
      <c r="E3898" t="s">
        <v>661</v>
      </c>
    </row>
    <row r="3899" spans="1:5" x14ac:dyDescent="0.25">
      <c r="A3899" s="940">
        <v>2347</v>
      </c>
      <c r="B3899" s="940">
        <v>33</v>
      </c>
      <c r="C3899" t="s">
        <v>8852</v>
      </c>
      <c r="D3899" s="940" t="s">
        <v>4288</v>
      </c>
      <c r="E3899" t="s">
        <v>120</v>
      </c>
    </row>
    <row r="3900" spans="1:5" x14ac:dyDescent="0.25">
      <c r="A3900" s="940">
        <v>3490</v>
      </c>
      <c r="B3900" s="940">
        <v>0</v>
      </c>
      <c r="C3900" t="s">
        <v>8853</v>
      </c>
      <c r="D3900" s="940" t="s">
        <v>8854</v>
      </c>
      <c r="E3900" t="s">
        <v>1222</v>
      </c>
    </row>
    <row r="3901" spans="1:5" x14ac:dyDescent="0.25">
      <c r="A3901" s="940">
        <v>3490</v>
      </c>
      <c r="B3901" s="940">
        <v>0</v>
      </c>
      <c r="C3901" t="s">
        <v>8855</v>
      </c>
      <c r="D3901" s="940" t="s">
        <v>5268</v>
      </c>
      <c r="E3901" t="s">
        <v>128</v>
      </c>
    </row>
    <row r="3902" spans="1:5" x14ac:dyDescent="0.25">
      <c r="A3902" s="940">
        <v>3265</v>
      </c>
      <c r="B3902" s="940">
        <v>3</v>
      </c>
      <c r="C3902" t="s">
        <v>8856</v>
      </c>
      <c r="D3902" s="940" t="s">
        <v>6371</v>
      </c>
      <c r="E3902" t="s">
        <v>1236</v>
      </c>
    </row>
    <row r="3903" spans="1:5" x14ac:dyDescent="0.25">
      <c r="A3903" s="940">
        <v>3395</v>
      </c>
      <c r="B3903" s="940">
        <v>1</v>
      </c>
      <c r="C3903" t="s">
        <v>8857</v>
      </c>
      <c r="D3903" s="940" t="s">
        <v>3659</v>
      </c>
      <c r="E3903" t="s">
        <v>110</v>
      </c>
    </row>
    <row r="3904" spans="1:5" x14ac:dyDescent="0.25">
      <c r="A3904" s="940">
        <v>2060</v>
      </c>
      <c r="B3904" s="940">
        <v>51</v>
      </c>
      <c r="C3904" t="s">
        <v>8858</v>
      </c>
      <c r="D3904" s="940" t="s">
        <v>8859</v>
      </c>
      <c r="E3904" t="s">
        <v>119</v>
      </c>
    </row>
    <row r="3905" spans="1:5" x14ac:dyDescent="0.25">
      <c r="A3905" s="940">
        <v>3265</v>
      </c>
      <c r="B3905" s="940">
        <v>3</v>
      </c>
      <c r="C3905" t="s">
        <v>8860</v>
      </c>
      <c r="D3905" s="940" t="s">
        <v>4416</v>
      </c>
      <c r="E3905" t="s">
        <v>111</v>
      </c>
    </row>
    <row r="3906" spans="1:5" x14ac:dyDescent="0.25">
      <c r="A3906" s="940">
        <v>472</v>
      </c>
      <c r="B3906" s="940">
        <v>503</v>
      </c>
      <c r="C3906" t="s">
        <v>875</v>
      </c>
      <c r="D3906" s="940" t="s">
        <v>5886</v>
      </c>
      <c r="E3906" t="s">
        <v>105</v>
      </c>
    </row>
    <row r="3907" spans="1:5" x14ac:dyDescent="0.25">
      <c r="A3907" s="940">
        <v>1346</v>
      </c>
      <c r="B3907" s="940">
        <v>127</v>
      </c>
      <c r="C3907" t="s">
        <v>2357</v>
      </c>
      <c r="D3907" s="940" t="s">
        <v>3344</v>
      </c>
      <c r="E3907" t="s">
        <v>105</v>
      </c>
    </row>
    <row r="3908" spans="1:5" x14ac:dyDescent="0.25">
      <c r="A3908" s="940">
        <v>2320</v>
      </c>
      <c r="B3908" s="940">
        <v>35</v>
      </c>
      <c r="C3908" t="s">
        <v>8861</v>
      </c>
      <c r="D3908" s="940" t="s">
        <v>8862</v>
      </c>
      <c r="E3908" t="s">
        <v>163</v>
      </c>
    </row>
    <row r="3909" spans="1:5" x14ac:dyDescent="0.25">
      <c r="A3909" s="940">
        <v>2814</v>
      </c>
      <c r="B3909" s="940">
        <v>13</v>
      </c>
      <c r="C3909" t="s">
        <v>8863</v>
      </c>
      <c r="D3909" s="940" t="s">
        <v>7673</v>
      </c>
      <c r="E3909" t="s">
        <v>3140</v>
      </c>
    </row>
    <row r="3910" spans="1:5" x14ac:dyDescent="0.25">
      <c r="A3910" s="940">
        <v>3490</v>
      </c>
      <c r="B3910" s="940">
        <v>0</v>
      </c>
      <c r="C3910" t="s">
        <v>8864</v>
      </c>
      <c r="D3910" s="940" t="s">
        <v>3232</v>
      </c>
      <c r="E3910" t="s">
        <v>1182</v>
      </c>
    </row>
    <row r="3911" spans="1:5" x14ac:dyDescent="0.25">
      <c r="A3911" s="940">
        <v>409</v>
      </c>
      <c r="B3911" s="940">
        <v>562</v>
      </c>
      <c r="C3911" t="s">
        <v>8865</v>
      </c>
      <c r="D3911" s="940" t="s">
        <v>8866</v>
      </c>
      <c r="E3911" t="s">
        <v>120</v>
      </c>
    </row>
    <row r="3912" spans="1:5" x14ac:dyDescent="0.25">
      <c r="A3912" s="940">
        <v>1730</v>
      </c>
      <c r="B3912" s="940">
        <v>80</v>
      </c>
      <c r="C3912" t="s">
        <v>8867</v>
      </c>
      <c r="D3912" s="940" t="s">
        <v>8550</v>
      </c>
      <c r="E3912" t="s">
        <v>3986</v>
      </c>
    </row>
    <row r="3913" spans="1:5" x14ac:dyDescent="0.25">
      <c r="A3913" s="940">
        <v>3490</v>
      </c>
      <c r="B3913" s="940">
        <v>0</v>
      </c>
      <c r="C3913" t="s">
        <v>8868</v>
      </c>
      <c r="D3913" s="940" t="s">
        <v>4143</v>
      </c>
      <c r="E3913" t="s">
        <v>130</v>
      </c>
    </row>
    <row r="3914" spans="1:5" x14ac:dyDescent="0.25">
      <c r="A3914" s="940">
        <v>3490</v>
      </c>
      <c r="B3914" s="940">
        <v>0</v>
      </c>
      <c r="C3914" t="s">
        <v>8869</v>
      </c>
      <c r="D3914" s="940" t="s">
        <v>5165</v>
      </c>
      <c r="E3914" t="s">
        <v>2880</v>
      </c>
    </row>
    <row r="3915" spans="1:5" x14ac:dyDescent="0.25">
      <c r="A3915" s="940">
        <v>533</v>
      </c>
      <c r="B3915" s="940">
        <v>443</v>
      </c>
      <c r="C3915" t="s">
        <v>8870</v>
      </c>
      <c r="D3915" s="940" t="s">
        <v>8871</v>
      </c>
      <c r="E3915" t="s">
        <v>105</v>
      </c>
    </row>
    <row r="3916" spans="1:5" x14ac:dyDescent="0.25">
      <c r="A3916" s="940">
        <v>3395</v>
      </c>
      <c r="B3916" s="940">
        <v>1</v>
      </c>
      <c r="C3916" t="s">
        <v>8872</v>
      </c>
      <c r="D3916" s="940" t="s">
        <v>4445</v>
      </c>
      <c r="E3916" t="s">
        <v>120</v>
      </c>
    </row>
    <row r="3917" spans="1:5" x14ac:dyDescent="0.25">
      <c r="A3917" s="940">
        <v>1210</v>
      </c>
      <c r="B3917" s="940">
        <v>154</v>
      </c>
      <c r="C3917" t="s">
        <v>359</v>
      </c>
      <c r="D3917" s="940" t="s">
        <v>4686</v>
      </c>
      <c r="E3917" t="s">
        <v>170</v>
      </c>
    </row>
    <row r="3918" spans="1:5" x14ac:dyDescent="0.25">
      <c r="A3918" s="940">
        <v>214</v>
      </c>
      <c r="B3918" s="940">
        <v>876</v>
      </c>
      <c r="C3918" t="s">
        <v>8873</v>
      </c>
      <c r="D3918" s="940" t="s">
        <v>8874</v>
      </c>
      <c r="E3918" t="s">
        <v>105</v>
      </c>
    </row>
    <row r="3919" spans="1:5" x14ac:dyDescent="0.25">
      <c r="A3919" s="940">
        <v>411</v>
      </c>
      <c r="B3919" s="940">
        <v>561</v>
      </c>
      <c r="C3919" t="s">
        <v>8875</v>
      </c>
      <c r="D3919" s="940" t="s">
        <v>8876</v>
      </c>
      <c r="E3919" t="s">
        <v>1243</v>
      </c>
    </row>
    <row r="3920" spans="1:5" x14ac:dyDescent="0.25">
      <c r="A3920" s="940">
        <v>3490</v>
      </c>
      <c r="B3920" s="940">
        <v>0</v>
      </c>
      <c r="C3920" t="s">
        <v>8877</v>
      </c>
      <c r="D3920" s="940" t="s">
        <v>7367</v>
      </c>
      <c r="E3920" t="s">
        <v>469</v>
      </c>
    </row>
    <row r="3921" spans="1:5" x14ac:dyDescent="0.25">
      <c r="A3921" s="940">
        <v>195</v>
      </c>
      <c r="B3921" s="940">
        <v>899</v>
      </c>
      <c r="C3921" t="s">
        <v>8878</v>
      </c>
      <c r="D3921" s="940" t="s">
        <v>7765</v>
      </c>
      <c r="E3921" t="s">
        <v>1507</v>
      </c>
    </row>
    <row r="3922" spans="1:5" x14ac:dyDescent="0.25">
      <c r="A3922" s="940">
        <v>2626</v>
      </c>
      <c r="B3922" s="940">
        <v>19</v>
      </c>
      <c r="C3922" t="s">
        <v>8879</v>
      </c>
      <c r="D3922" s="940" t="s">
        <v>8880</v>
      </c>
      <c r="E3922" t="s">
        <v>1507</v>
      </c>
    </row>
    <row r="3923" spans="1:5" x14ac:dyDescent="0.25">
      <c r="A3923" s="940">
        <v>274</v>
      </c>
      <c r="B3923" s="940">
        <v>759</v>
      </c>
      <c r="C3923" t="s">
        <v>8881</v>
      </c>
      <c r="D3923" s="940" t="s">
        <v>8882</v>
      </c>
      <c r="E3923" t="s">
        <v>2880</v>
      </c>
    </row>
    <row r="3924" spans="1:5" x14ac:dyDescent="0.25">
      <c r="A3924" s="940">
        <v>2381</v>
      </c>
      <c r="B3924" s="940">
        <v>31</v>
      </c>
      <c r="C3924" t="s">
        <v>8883</v>
      </c>
      <c r="D3924" s="940" t="s">
        <v>4521</v>
      </c>
      <c r="E3924" t="s">
        <v>661</v>
      </c>
    </row>
    <row r="3925" spans="1:5" x14ac:dyDescent="0.25">
      <c r="A3925" s="940">
        <v>2347</v>
      </c>
      <c r="B3925" s="940">
        <v>33</v>
      </c>
      <c r="C3925" t="s">
        <v>8884</v>
      </c>
      <c r="D3925" s="940" t="s">
        <v>4841</v>
      </c>
      <c r="E3925" t="s">
        <v>105</v>
      </c>
    </row>
    <row r="3926" spans="1:5" x14ac:dyDescent="0.25">
      <c r="A3926" s="940">
        <v>3490</v>
      </c>
      <c r="B3926" s="940">
        <v>0</v>
      </c>
      <c r="C3926" t="s">
        <v>8885</v>
      </c>
      <c r="D3926" s="940" t="s">
        <v>2639</v>
      </c>
      <c r="E3926" t="s">
        <v>1507</v>
      </c>
    </row>
    <row r="3927" spans="1:5" x14ac:dyDescent="0.25">
      <c r="A3927" s="940">
        <v>1220</v>
      </c>
      <c r="B3927" s="940">
        <v>151</v>
      </c>
      <c r="C3927" t="s">
        <v>8886</v>
      </c>
      <c r="D3927" s="940" t="s">
        <v>8887</v>
      </c>
      <c r="E3927" t="s">
        <v>3058</v>
      </c>
    </row>
    <row r="3928" spans="1:5" x14ac:dyDescent="0.25">
      <c r="A3928" s="940">
        <v>2206</v>
      </c>
      <c r="B3928" s="940">
        <v>42</v>
      </c>
      <c r="C3928" t="s">
        <v>8888</v>
      </c>
      <c r="D3928" s="940" t="s">
        <v>4440</v>
      </c>
      <c r="E3928" t="s">
        <v>1493</v>
      </c>
    </row>
    <row r="3929" spans="1:5" x14ac:dyDescent="0.25">
      <c r="A3929" s="940">
        <v>2370</v>
      </c>
      <c r="B3929" s="940">
        <v>32</v>
      </c>
      <c r="C3929" t="s">
        <v>8889</v>
      </c>
      <c r="D3929" s="940" t="s">
        <v>8890</v>
      </c>
      <c r="E3929" t="s">
        <v>4373</v>
      </c>
    </row>
    <row r="3930" spans="1:5" x14ac:dyDescent="0.25">
      <c r="A3930" s="940">
        <v>2907</v>
      </c>
      <c r="B3930" s="940">
        <v>10</v>
      </c>
      <c r="C3930" t="s">
        <v>8891</v>
      </c>
      <c r="D3930" s="940" t="s">
        <v>8892</v>
      </c>
      <c r="E3930" t="s">
        <v>130</v>
      </c>
    </row>
    <row r="3931" spans="1:5" x14ac:dyDescent="0.25">
      <c r="A3931" s="940">
        <v>227</v>
      </c>
      <c r="B3931" s="940">
        <v>856</v>
      </c>
      <c r="C3931" t="s">
        <v>8893</v>
      </c>
      <c r="D3931" s="940" t="s">
        <v>8894</v>
      </c>
      <c r="E3931" t="s">
        <v>1160</v>
      </c>
    </row>
    <row r="3932" spans="1:5" x14ac:dyDescent="0.25">
      <c r="A3932" s="940">
        <v>3196</v>
      </c>
      <c r="B3932" s="940">
        <v>4</v>
      </c>
      <c r="C3932" t="s">
        <v>8895</v>
      </c>
      <c r="D3932" s="940" t="s">
        <v>7218</v>
      </c>
      <c r="E3932" t="s">
        <v>129</v>
      </c>
    </row>
    <row r="3933" spans="1:5" x14ac:dyDescent="0.25">
      <c r="A3933" s="940">
        <v>3196</v>
      </c>
      <c r="B3933" s="940">
        <v>4</v>
      </c>
      <c r="C3933" t="s">
        <v>8895</v>
      </c>
      <c r="D3933" s="940" t="s">
        <v>7218</v>
      </c>
      <c r="E3933" t="s">
        <v>2464</v>
      </c>
    </row>
    <row r="3934" spans="1:5" x14ac:dyDescent="0.25">
      <c r="A3934" s="940">
        <v>1562</v>
      </c>
      <c r="B3934" s="940">
        <v>99</v>
      </c>
      <c r="C3934" t="s">
        <v>2364</v>
      </c>
      <c r="D3934" s="940" t="s">
        <v>2867</v>
      </c>
      <c r="E3934" t="s">
        <v>120</v>
      </c>
    </row>
    <row r="3935" spans="1:5" x14ac:dyDescent="0.25">
      <c r="A3935" s="940">
        <v>3490</v>
      </c>
      <c r="B3935" s="940">
        <v>0</v>
      </c>
      <c r="C3935" t="s">
        <v>8896</v>
      </c>
      <c r="D3935" s="940" t="s">
        <v>8374</v>
      </c>
      <c r="E3935" t="s">
        <v>3421</v>
      </c>
    </row>
    <row r="3936" spans="1:5" x14ac:dyDescent="0.25">
      <c r="A3936" s="940">
        <v>631</v>
      </c>
      <c r="B3936" s="940">
        <v>383</v>
      </c>
      <c r="C3936" t="s">
        <v>8897</v>
      </c>
      <c r="D3936" s="940" t="s">
        <v>8898</v>
      </c>
      <c r="E3936" t="s">
        <v>105</v>
      </c>
    </row>
    <row r="3937" spans="1:5" x14ac:dyDescent="0.25">
      <c r="A3937" s="940">
        <v>3490</v>
      </c>
      <c r="B3937" s="940">
        <v>0</v>
      </c>
      <c r="C3937" t="s">
        <v>8899</v>
      </c>
      <c r="D3937" s="940" t="s">
        <v>5295</v>
      </c>
      <c r="E3937" t="s">
        <v>4289</v>
      </c>
    </row>
    <row r="3938" spans="1:5" x14ac:dyDescent="0.25">
      <c r="A3938" s="940">
        <v>3490</v>
      </c>
      <c r="B3938" s="940">
        <v>0</v>
      </c>
      <c r="C3938" t="s">
        <v>8900</v>
      </c>
      <c r="D3938" s="940" t="s">
        <v>8901</v>
      </c>
      <c r="E3938" t="s">
        <v>1282</v>
      </c>
    </row>
    <row r="3939" spans="1:5" x14ac:dyDescent="0.25">
      <c r="A3939" s="940">
        <v>1977</v>
      </c>
      <c r="B3939" s="940">
        <v>58</v>
      </c>
      <c r="C3939" t="s">
        <v>8902</v>
      </c>
      <c r="D3939" s="940" t="s">
        <v>5541</v>
      </c>
      <c r="E3939" t="s">
        <v>1236</v>
      </c>
    </row>
    <row r="3940" spans="1:5" x14ac:dyDescent="0.25">
      <c r="A3940" s="940">
        <v>843</v>
      </c>
      <c r="B3940" s="940">
        <v>276</v>
      </c>
      <c r="C3940" t="s">
        <v>8903</v>
      </c>
      <c r="D3940" s="940" t="s">
        <v>6939</v>
      </c>
      <c r="E3940" t="s">
        <v>170</v>
      </c>
    </row>
    <row r="3941" spans="1:5" x14ac:dyDescent="0.25">
      <c r="A3941" s="940">
        <v>51</v>
      </c>
      <c r="B3941" s="940">
        <v>1289</v>
      </c>
      <c r="C3941" t="s">
        <v>8904</v>
      </c>
      <c r="D3941" s="940" t="s">
        <v>2707</v>
      </c>
      <c r="E3941" t="s">
        <v>105</v>
      </c>
    </row>
    <row r="3942" spans="1:5" x14ac:dyDescent="0.25">
      <c r="A3942" s="940">
        <v>756</v>
      </c>
      <c r="B3942" s="940">
        <v>318</v>
      </c>
      <c r="C3942" t="s">
        <v>2368</v>
      </c>
      <c r="D3942" s="940" t="s">
        <v>3931</v>
      </c>
      <c r="E3942" t="s">
        <v>1214</v>
      </c>
    </row>
    <row r="3943" spans="1:5" x14ac:dyDescent="0.25">
      <c r="A3943" s="940">
        <v>3490</v>
      </c>
      <c r="B3943" s="940">
        <v>0</v>
      </c>
      <c r="C3943" t="s">
        <v>8905</v>
      </c>
      <c r="D3943" s="940" t="s">
        <v>6286</v>
      </c>
      <c r="E3943" t="s">
        <v>3114</v>
      </c>
    </row>
    <row r="3944" spans="1:5" x14ac:dyDescent="0.25">
      <c r="A3944" s="940">
        <v>3265</v>
      </c>
      <c r="B3944" s="940">
        <v>3</v>
      </c>
      <c r="C3944" t="s">
        <v>8906</v>
      </c>
      <c r="D3944" s="940" t="s">
        <v>3979</v>
      </c>
      <c r="E3944" t="s">
        <v>105</v>
      </c>
    </row>
    <row r="3945" spans="1:5" x14ac:dyDescent="0.25">
      <c r="A3945" s="940">
        <v>1885</v>
      </c>
      <c r="B3945" s="940">
        <v>65</v>
      </c>
      <c r="C3945" t="s">
        <v>8907</v>
      </c>
      <c r="D3945" s="940" t="s">
        <v>8908</v>
      </c>
      <c r="E3945" t="s">
        <v>132</v>
      </c>
    </row>
    <row r="3946" spans="1:5" x14ac:dyDescent="0.25">
      <c r="A3946" s="940">
        <v>475</v>
      </c>
      <c r="B3946" s="940">
        <v>500</v>
      </c>
      <c r="C3946" t="s">
        <v>610</v>
      </c>
      <c r="D3946" s="940" t="s">
        <v>3929</v>
      </c>
      <c r="E3946" t="s">
        <v>1162</v>
      </c>
    </row>
    <row r="3947" spans="1:5" x14ac:dyDescent="0.25">
      <c r="A3947" s="940">
        <v>3490</v>
      </c>
      <c r="B3947" s="940">
        <v>0</v>
      </c>
      <c r="C3947" t="s">
        <v>8909</v>
      </c>
      <c r="D3947" s="940" t="s">
        <v>8910</v>
      </c>
      <c r="E3947" t="s">
        <v>257</v>
      </c>
    </row>
    <row r="3948" spans="1:5" x14ac:dyDescent="0.25">
      <c r="A3948" s="940">
        <v>3490</v>
      </c>
      <c r="B3948" s="940">
        <v>0</v>
      </c>
      <c r="C3948" t="s">
        <v>8911</v>
      </c>
      <c r="D3948" s="940" t="s">
        <v>8912</v>
      </c>
      <c r="E3948" t="s">
        <v>163</v>
      </c>
    </row>
    <row r="3949" spans="1:5" x14ac:dyDescent="0.25">
      <c r="A3949" s="940">
        <v>2959</v>
      </c>
      <c r="B3949" s="940">
        <v>9</v>
      </c>
      <c r="C3949" t="s">
        <v>8913</v>
      </c>
      <c r="D3949" s="940" t="s">
        <v>8914</v>
      </c>
      <c r="E3949" t="s">
        <v>105</v>
      </c>
    </row>
    <row r="3950" spans="1:5" x14ac:dyDescent="0.25">
      <c r="A3950" s="940">
        <v>1818</v>
      </c>
      <c r="B3950" s="940">
        <v>71</v>
      </c>
      <c r="C3950" t="s">
        <v>8915</v>
      </c>
      <c r="D3950" s="940" t="s">
        <v>8916</v>
      </c>
      <c r="E3950" t="s">
        <v>104</v>
      </c>
    </row>
    <row r="3951" spans="1:5" x14ac:dyDescent="0.25">
      <c r="A3951" s="940">
        <v>3490</v>
      </c>
      <c r="B3951" s="940">
        <v>0</v>
      </c>
      <c r="C3951" t="s">
        <v>8917</v>
      </c>
      <c r="D3951" s="940" t="s">
        <v>8918</v>
      </c>
      <c r="E3951" t="s">
        <v>1236</v>
      </c>
    </row>
    <row r="3952" spans="1:5" x14ac:dyDescent="0.25">
      <c r="A3952" s="940">
        <v>3490</v>
      </c>
      <c r="B3952" s="940">
        <v>0</v>
      </c>
      <c r="C3952" t="s">
        <v>8919</v>
      </c>
      <c r="D3952" s="940" t="s">
        <v>4143</v>
      </c>
      <c r="E3952" t="s">
        <v>2744</v>
      </c>
    </row>
    <row r="3953" spans="1:5" x14ac:dyDescent="0.25">
      <c r="A3953" s="940">
        <v>1339</v>
      </c>
      <c r="B3953" s="940">
        <v>128</v>
      </c>
      <c r="C3953" t="s">
        <v>8920</v>
      </c>
      <c r="D3953" s="940" t="s">
        <v>3315</v>
      </c>
      <c r="E3953" t="s">
        <v>165</v>
      </c>
    </row>
    <row r="3954" spans="1:5" x14ac:dyDescent="0.25">
      <c r="A3954" s="940">
        <v>3490</v>
      </c>
      <c r="B3954" s="940">
        <v>0</v>
      </c>
      <c r="C3954" t="s">
        <v>8921</v>
      </c>
      <c r="D3954" s="940" t="s">
        <v>4318</v>
      </c>
      <c r="E3954" t="s">
        <v>105</v>
      </c>
    </row>
    <row r="3955" spans="1:5" x14ac:dyDescent="0.25">
      <c r="A3955" s="940">
        <v>3490</v>
      </c>
      <c r="B3955" s="940">
        <v>0</v>
      </c>
      <c r="C3955" t="s">
        <v>8922</v>
      </c>
      <c r="D3955" s="940" t="s">
        <v>2834</v>
      </c>
      <c r="E3955" t="s">
        <v>118</v>
      </c>
    </row>
    <row r="3956" spans="1:5" x14ac:dyDescent="0.25">
      <c r="A3956" s="940">
        <v>2416</v>
      </c>
      <c r="B3956" s="940">
        <v>29</v>
      </c>
      <c r="C3956" t="s">
        <v>8923</v>
      </c>
      <c r="D3956" s="940" t="s">
        <v>3025</v>
      </c>
      <c r="E3956" t="s">
        <v>2880</v>
      </c>
    </row>
    <row r="3957" spans="1:5" x14ac:dyDescent="0.25">
      <c r="A3957" s="940">
        <v>3490</v>
      </c>
      <c r="B3957" s="940">
        <v>0</v>
      </c>
      <c r="C3957" t="s">
        <v>8924</v>
      </c>
      <c r="D3957" s="940" t="s">
        <v>8925</v>
      </c>
      <c r="E3957" t="s">
        <v>2880</v>
      </c>
    </row>
    <row r="3958" spans="1:5" x14ac:dyDescent="0.25">
      <c r="A3958" s="940">
        <v>1827</v>
      </c>
      <c r="B3958" s="940">
        <v>70</v>
      </c>
      <c r="C3958" t="s">
        <v>8926</v>
      </c>
      <c r="D3958" s="940" t="s">
        <v>8778</v>
      </c>
      <c r="E3958" t="s">
        <v>130</v>
      </c>
    </row>
    <row r="3959" spans="1:5" x14ac:dyDescent="0.25">
      <c r="A3959" s="940">
        <v>1094</v>
      </c>
      <c r="B3959" s="940">
        <v>184</v>
      </c>
      <c r="C3959" t="s">
        <v>8927</v>
      </c>
      <c r="D3959" s="940" t="s">
        <v>8928</v>
      </c>
      <c r="E3959" t="s">
        <v>246</v>
      </c>
    </row>
    <row r="3960" spans="1:5" x14ac:dyDescent="0.25">
      <c r="A3960" s="940">
        <v>896</v>
      </c>
      <c r="B3960" s="940">
        <v>256</v>
      </c>
      <c r="C3960" t="s">
        <v>8929</v>
      </c>
      <c r="D3960" s="940" t="s">
        <v>8930</v>
      </c>
      <c r="E3960" t="s">
        <v>2877</v>
      </c>
    </row>
    <row r="3961" spans="1:5" x14ac:dyDescent="0.25">
      <c r="A3961" s="940">
        <v>346</v>
      </c>
      <c r="B3961" s="940">
        <v>638</v>
      </c>
      <c r="C3961" t="s">
        <v>8931</v>
      </c>
      <c r="D3961" s="940" t="s">
        <v>8932</v>
      </c>
      <c r="E3961" t="s">
        <v>104</v>
      </c>
    </row>
    <row r="3962" spans="1:5" x14ac:dyDescent="0.25">
      <c r="A3962" s="940">
        <v>1848</v>
      </c>
      <c r="B3962" s="940">
        <v>68</v>
      </c>
      <c r="C3962" t="s">
        <v>8933</v>
      </c>
      <c r="D3962" s="940" t="s">
        <v>3277</v>
      </c>
      <c r="E3962" t="s">
        <v>1609</v>
      </c>
    </row>
    <row r="3963" spans="1:5" x14ac:dyDescent="0.25">
      <c r="A3963" s="940">
        <v>1653</v>
      </c>
      <c r="B3963" s="940">
        <v>89</v>
      </c>
      <c r="C3963" t="s">
        <v>8934</v>
      </c>
      <c r="D3963" s="940" t="s">
        <v>6753</v>
      </c>
      <c r="E3963" t="s">
        <v>164</v>
      </c>
    </row>
    <row r="3964" spans="1:5" x14ac:dyDescent="0.25">
      <c r="A3964" s="940">
        <v>2626</v>
      </c>
      <c r="B3964" s="940">
        <v>19</v>
      </c>
      <c r="C3964" t="s">
        <v>8935</v>
      </c>
      <c r="D3964" s="940" t="s">
        <v>3588</v>
      </c>
      <c r="E3964" t="s">
        <v>4572</v>
      </c>
    </row>
    <row r="3965" spans="1:5" x14ac:dyDescent="0.25">
      <c r="A3965" s="940">
        <v>2839</v>
      </c>
      <c r="B3965" s="940">
        <v>12</v>
      </c>
      <c r="C3965" t="s">
        <v>8936</v>
      </c>
      <c r="D3965" s="940" t="s">
        <v>3273</v>
      </c>
      <c r="E3965" t="s">
        <v>1460</v>
      </c>
    </row>
    <row r="3966" spans="1:5" x14ac:dyDescent="0.25">
      <c r="A3966" s="940">
        <v>334</v>
      </c>
      <c r="B3966" s="940">
        <v>654</v>
      </c>
      <c r="C3966" t="s">
        <v>8937</v>
      </c>
      <c r="D3966" s="940" t="s">
        <v>8938</v>
      </c>
      <c r="E3966" t="s">
        <v>120</v>
      </c>
    </row>
    <row r="3967" spans="1:5" x14ac:dyDescent="0.25">
      <c r="A3967" s="940">
        <v>2659</v>
      </c>
      <c r="B3967" s="940">
        <v>18</v>
      </c>
      <c r="C3967" t="s">
        <v>8939</v>
      </c>
      <c r="D3967" s="940" t="s">
        <v>8940</v>
      </c>
      <c r="E3967" t="s">
        <v>2793</v>
      </c>
    </row>
    <row r="3968" spans="1:5" x14ac:dyDescent="0.25">
      <c r="A3968" s="940">
        <v>1711</v>
      </c>
      <c r="B3968" s="940">
        <v>82</v>
      </c>
      <c r="C3968" t="s">
        <v>8941</v>
      </c>
      <c r="D3968" s="940" t="s">
        <v>8942</v>
      </c>
      <c r="E3968" t="s">
        <v>1170</v>
      </c>
    </row>
    <row r="3969" spans="1:5" x14ac:dyDescent="0.25">
      <c r="A3969" s="940">
        <v>1533</v>
      </c>
      <c r="B3969" s="940">
        <v>102</v>
      </c>
      <c r="C3969" t="s">
        <v>8943</v>
      </c>
      <c r="D3969" s="940" t="s">
        <v>8944</v>
      </c>
      <c r="E3969" t="s">
        <v>105</v>
      </c>
    </row>
    <row r="3970" spans="1:5" x14ac:dyDescent="0.25">
      <c r="A3970" s="940">
        <v>2907</v>
      </c>
      <c r="B3970" s="940">
        <v>10</v>
      </c>
      <c r="C3970" t="s">
        <v>8945</v>
      </c>
      <c r="D3970" s="940" t="s">
        <v>8946</v>
      </c>
      <c r="E3970" t="s">
        <v>120</v>
      </c>
    </row>
    <row r="3971" spans="1:5" x14ac:dyDescent="0.25">
      <c r="A3971" s="940">
        <v>2032</v>
      </c>
      <c r="B3971" s="940">
        <v>53</v>
      </c>
      <c r="C3971" t="s">
        <v>8947</v>
      </c>
      <c r="D3971" s="940" t="s">
        <v>6371</v>
      </c>
      <c r="E3971" t="s">
        <v>119</v>
      </c>
    </row>
    <row r="3972" spans="1:5" x14ac:dyDescent="0.25">
      <c r="A3972" s="940">
        <v>2241</v>
      </c>
      <c r="B3972" s="940">
        <v>40</v>
      </c>
      <c r="C3972" t="s">
        <v>8948</v>
      </c>
      <c r="D3972" s="940" t="s">
        <v>8949</v>
      </c>
      <c r="E3972" t="s">
        <v>105</v>
      </c>
    </row>
    <row r="3973" spans="1:5" x14ac:dyDescent="0.25">
      <c r="A3973" s="940">
        <v>2320</v>
      </c>
      <c r="B3973" s="940">
        <v>35</v>
      </c>
      <c r="C3973" t="s">
        <v>8950</v>
      </c>
      <c r="D3973" s="940" t="s">
        <v>5207</v>
      </c>
      <c r="E3973" t="s">
        <v>72</v>
      </c>
    </row>
    <row r="3974" spans="1:5" x14ac:dyDescent="0.25">
      <c r="A3974" s="940">
        <v>454</v>
      </c>
      <c r="B3974" s="940">
        <v>518</v>
      </c>
      <c r="C3974" t="s">
        <v>2375</v>
      </c>
      <c r="D3974" s="940" t="s">
        <v>8951</v>
      </c>
      <c r="E3974" t="s">
        <v>1225</v>
      </c>
    </row>
    <row r="3975" spans="1:5" x14ac:dyDescent="0.25">
      <c r="A3975" s="940">
        <v>3490</v>
      </c>
      <c r="B3975" s="940">
        <v>0</v>
      </c>
      <c r="C3975" t="s">
        <v>8952</v>
      </c>
      <c r="D3975" s="940" t="s">
        <v>2934</v>
      </c>
      <c r="E3975" t="s">
        <v>105</v>
      </c>
    </row>
    <row r="3976" spans="1:5" x14ac:dyDescent="0.25">
      <c r="A3976" s="940">
        <v>1011</v>
      </c>
      <c r="B3976" s="940">
        <v>212</v>
      </c>
      <c r="C3976" t="s">
        <v>8953</v>
      </c>
      <c r="D3976" s="940" t="s">
        <v>8954</v>
      </c>
      <c r="E3976" t="s">
        <v>122</v>
      </c>
    </row>
    <row r="3977" spans="1:5" x14ac:dyDescent="0.25">
      <c r="A3977" s="940">
        <v>3490</v>
      </c>
      <c r="B3977" s="940">
        <v>0</v>
      </c>
      <c r="C3977" t="s">
        <v>8955</v>
      </c>
      <c r="D3977" s="940" t="s">
        <v>3974</v>
      </c>
      <c r="E3977" t="s">
        <v>1156</v>
      </c>
    </row>
    <row r="3978" spans="1:5" x14ac:dyDescent="0.25">
      <c r="A3978" s="940">
        <v>3490</v>
      </c>
      <c r="B3978" s="940">
        <v>0</v>
      </c>
      <c r="C3978" t="s">
        <v>8956</v>
      </c>
      <c r="D3978" s="940" t="s">
        <v>3667</v>
      </c>
      <c r="E3978" t="s">
        <v>1214</v>
      </c>
    </row>
    <row r="3979" spans="1:5" x14ac:dyDescent="0.25">
      <c r="A3979" s="940">
        <v>1114</v>
      </c>
      <c r="B3979" s="940">
        <v>176</v>
      </c>
      <c r="C3979" t="s">
        <v>8957</v>
      </c>
      <c r="D3979" s="940" t="s">
        <v>6543</v>
      </c>
      <c r="E3979" t="s">
        <v>103</v>
      </c>
    </row>
    <row r="3980" spans="1:5" x14ac:dyDescent="0.25">
      <c r="A3980" s="940">
        <v>3490</v>
      </c>
      <c r="B3980" s="940">
        <v>0</v>
      </c>
      <c r="C3980" t="s">
        <v>8958</v>
      </c>
      <c r="D3980" s="940" t="s">
        <v>8959</v>
      </c>
      <c r="E3980" t="s">
        <v>105</v>
      </c>
    </row>
    <row r="3981" spans="1:5" x14ac:dyDescent="0.25">
      <c r="A3981" s="940">
        <v>2405</v>
      </c>
      <c r="B3981" s="940">
        <v>30</v>
      </c>
      <c r="C3981" t="s">
        <v>8960</v>
      </c>
      <c r="D3981" s="940" t="s">
        <v>2896</v>
      </c>
      <c r="E3981" t="s">
        <v>120</v>
      </c>
    </row>
    <row r="3982" spans="1:5" x14ac:dyDescent="0.25">
      <c r="A3982" s="940">
        <v>651</v>
      </c>
      <c r="B3982" s="940">
        <v>375</v>
      </c>
      <c r="C3982" t="s">
        <v>8961</v>
      </c>
      <c r="D3982" s="940" t="s">
        <v>8962</v>
      </c>
      <c r="E3982" t="s">
        <v>1236</v>
      </c>
    </row>
    <row r="3983" spans="1:5" x14ac:dyDescent="0.25">
      <c r="A3983" s="940">
        <v>383</v>
      </c>
      <c r="B3983" s="940">
        <v>590</v>
      </c>
      <c r="C3983" t="s">
        <v>8963</v>
      </c>
      <c r="D3983" s="940" t="s">
        <v>8962</v>
      </c>
      <c r="E3983" t="s">
        <v>1236</v>
      </c>
    </row>
    <row r="3984" spans="1:5" x14ac:dyDescent="0.25">
      <c r="A3984" s="940">
        <v>196</v>
      </c>
      <c r="B3984" s="940">
        <v>897</v>
      </c>
      <c r="C3984" t="s">
        <v>8964</v>
      </c>
      <c r="D3984" s="940" t="s">
        <v>8965</v>
      </c>
      <c r="E3984" t="s">
        <v>118</v>
      </c>
    </row>
    <row r="3985" spans="1:5" x14ac:dyDescent="0.25">
      <c r="A3985" s="940">
        <v>1774</v>
      </c>
      <c r="B3985" s="940">
        <v>76</v>
      </c>
      <c r="C3985" t="s">
        <v>8966</v>
      </c>
      <c r="D3985" s="940" t="s">
        <v>3215</v>
      </c>
      <c r="E3985" t="s">
        <v>1214</v>
      </c>
    </row>
    <row r="3986" spans="1:5" x14ac:dyDescent="0.25">
      <c r="A3986" s="940">
        <v>1240</v>
      </c>
      <c r="B3986" s="940">
        <v>148</v>
      </c>
      <c r="C3986" t="s">
        <v>8967</v>
      </c>
      <c r="D3986" s="940" t="s">
        <v>8968</v>
      </c>
      <c r="E3986" t="s">
        <v>111</v>
      </c>
    </row>
    <row r="3987" spans="1:5" x14ac:dyDescent="0.25">
      <c r="A3987" s="940">
        <v>1862</v>
      </c>
      <c r="B3987" s="940">
        <v>67</v>
      </c>
      <c r="C3987" t="s">
        <v>8969</v>
      </c>
      <c r="D3987" s="940" t="s">
        <v>4936</v>
      </c>
      <c r="E3987" t="s">
        <v>117</v>
      </c>
    </row>
    <row r="3988" spans="1:5" x14ac:dyDescent="0.25">
      <c r="A3988" s="940">
        <v>1393</v>
      </c>
      <c r="B3988" s="940">
        <v>121</v>
      </c>
      <c r="C3988" t="s">
        <v>8970</v>
      </c>
      <c r="D3988" s="940" t="s">
        <v>4819</v>
      </c>
      <c r="E3988" t="s">
        <v>111</v>
      </c>
    </row>
    <row r="3989" spans="1:5" x14ac:dyDescent="0.25">
      <c r="A3989" s="940">
        <v>1036</v>
      </c>
      <c r="B3989" s="940">
        <v>204</v>
      </c>
      <c r="C3989" t="s">
        <v>362</v>
      </c>
      <c r="D3989" s="940" t="s">
        <v>8971</v>
      </c>
      <c r="E3989" t="s">
        <v>1236</v>
      </c>
    </row>
    <row r="3990" spans="1:5" x14ac:dyDescent="0.25">
      <c r="A3990" s="940">
        <v>3490</v>
      </c>
      <c r="B3990" s="940">
        <v>0</v>
      </c>
      <c r="C3990" t="s">
        <v>8972</v>
      </c>
      <c r="D3990" s="940" t="s">
        <v>7329</v>
      </c>
      <c r="E3990" t="s">
        <v>73</v>
      </c>
    </row>
    <row r="3991" spans="1:5" x14ac:dyDescent="0.25">
      <c r="A3991" s="940">
        <v>595</v>
      </c>
      <c r="B3991" s="940">
        <v>407</v>
      </c>
      <c r="C3991" t="s">
        <v>2377</v>
      </c>
      <c r="D3991" s="940" t="s">
        <v>8973</v>
      </c>
      <c r="E3991" t="s">
        <v>2558</v>
      </c>
    </row>
    <row r="3992" spans="1:5" x14ac:dyDescent="0.25">
      <c r="A3992" s="940">
        <v>2291</v>
      </c>
      <c r="B3992" s="940">
        <v>37</v>
      </c>
      <c r="C3992" t="s">
        <v>2377</v>
      </c>
      <c r="D3992" s="940" t="s">
        <v>3472</v>
      </c>
      <c r="E3992" t="s">
        <v>1221</v>
      </c>
    </row>
    <row r="3993" spans="1:5" x14ac:dyDescent="0.25">
      <c r="A3993" s="940">
        <v>3196</v>
      </c>
      <c r="B3993" s="940">
        <v>4</v>
      </c>
      <c r="C3993" t="s">
        <v>8974</v>
      </c>
      <c r="D3993" s="940" t="s">
        <v>3554</v>
      </c>
      <c r="E3993" t="s">
        <v>111</v>
      </c>
    </row>
    <row r="3994" spans="1:5" x14ac:dyDescent="0.25">
      <c r="A3994" s="940">
        <v>24</v>
      </c>
      <c r="B3994" s="940">
        <v>1441</v>
      </c>
      <c r="C3994" t="s">
        <v>8975</v>
      </c>
      <c r="D3994" s="940" t="s">
        <v>8976</v>
      </c>
      <c r="E3994" t="s">
        <v>1171</v>
      </c>
    </row>
    <row r="3995" spans="1:5" x14ac:dyDescent="0.25">
      <c r="A3995" s="940">
        <v>467</v>
      </c>
      <c r="B3995" s="940">
        <v>506</v>
      </c>
      <c r="C3995" t="s">
        <v>2380</v>
      </c>
      <c r="D3995" s="940" t="s">
        <v>8977</v>
      </c>
      <c r="E3995" t="s">
        <v>1156</v>
      </c>
    </row>
    <row r="3996" spans="1:5" x14ac:dyDescent="0.25">
      <c r="A3996" s="940">
        <v>815</v>
      </c>
      <c r="B3996" s="940">
        <v>292</v>
      </c>
      <c r="C3996" t="s">
        <v>8978</v>
      </c>
      <c r="D3996" s="940" t="s">
        <v>8979</v>
      </c>
      <c r="E3996" t="s">
        <v>122</v>
      </c>
    </row>
    <row r="3997" spans="1:5" x14ac:dyDescent="0.25">
      <c r="A3997" s="940">
        <v>881</v>
      </c>
      <c r="B3997" s="940">
        <v>260</v>
      </c>
      <c r="C3997" t="s">
        <v>2381</v>
      </c>
      <c r="D3997" s="940" t="s">
        <v>4784</v>
      </c>
      <c r="E3997" t="s">
        <v>1182</v>
      </c>
    </row>
    <row r="3998" spans="1:5" x14ac:dyDescent="0.25">
      <c r="A3998" s="940">
        <v>923</v>
      </c>
      <c r="B3998" s="940">
        <v>247</v>
      </c>
      <c r="C3998" t="s">
        <v>2583</v>
      </c>
      <c r="D3998" s="940" t="s">
        <v>3667</v>
      </c>
      <c r="E3998" t="s">
        <v>103</v>
      </c>
    </row>
    <row r="3999" spans="1:5" x14ac:dyDescent="0.25">
      <c r="A3999" s="940">
        <v>1562</v>
      </c>
      <c r="B3999" s="940">
        <v>99</v>
      </c>
      <c r="C3999" t="s">
        <v>2383</v>
      </c>
      <c r="D3999" s="940" t="s">
        <v>8980</v>
      </c>
      <c r="E3999" t="s">
        <v>120</v>
      </c>
    </row>
    <row r="4000" spans="1:5" x14ac:dyDescent="0.25">
      <c r="A4000" s="940">
        <v>1110</v>
      </c>
      <c r="B4000" s="940">
        <v>177</v>
      </c>
      <c r="C4000" t="s">
        <v>2384</v>
      </c>
      <c r="D4000" s="940" t="s">
        <v>8981</v>
      </c>
      <c r="E4000" t="s">
        <v>1340</v>
      </c>
    </row>
    <row r="4001" spans="1:5" x14ac:dyDescent="0.25">
      <c r="A4001" s="940">
        <v>852</v>
      </c>
      <c r="B4001" s="940">
        <v>272</v>
      </c>
      <c r="C4001" t="s">
        <v>8982</v>
      </c>
      <c r="D4001" s="940" t="s">
        <v>8983</v>
      </c>
      <c r="E4001" t="s">
        <v>129</v>
      </c>
    </row>
    <row r="4002" spans="1:5" x14ac:dyDescent="0.25">
      <c r="A4002" s="940">
        <v>3327</v>
      </c>
      <c r="B4002" s="940">
        <v>2</v>
      </c>
      <c r="C4002" t="s">
        <v>8984</v>
      </c>
      <c r="D4002" s="940" t="s">
        <v>6156</v>
      </c>
      <c r="E4002" t="s">
        <v>136</v>
      </c>
    </row>
    <row r="4003" spans="1:5" x14ac:dyDescent="0.25">
      <c r="A4003" s="940">
        <v>2839</v>
      </c>
      <c r="B4003" s="940">
        <v>12</v>
      </c>
      <c r="C4003" t="s">
        <v>8985</v>
      </c>
      <c r="D4003" s="940" t="s">
        <v>8986</v>
      </c>
      <c r="E4003" t="s">
        <v>72</v>
      </c>
    </row>
    <row r="4004" spans="1:5" x14ac:dyDescent="0.25">
      <c r="A4004" s="940">
        <v>39</v>
      </c>
      <c r="B4004" s="940">
        <v>1358</v>
      </c>
      <c r="C4004" t="s">
        <v>8987</v>
      </c>
      <c r="D4004" s="940" t="s">
        <v>8988</v>
      </c>
      <c r="E4004" t="s">
        <v>1236</v>
      </c>
    </row>
    <row r="4005" spans="1:5" x14ac:dyDescent="0.25">
      <c r="A4005" s="940">
        <v>3265</v>
      </c>
      <c r="B4005" s="940">
        <v>3</v>
      </c>
      <c r="C4005" t="s">
        <v>8989</v>
      </c>
      <c r="D4005" s="940" t="s">
        <v>8990</v>
      </c>
      <c r="E4005" t="s">
        <v>120</v>
      </c>
    </row>
    <row r="4006" spans="1:5" x14ac:dyDescent="0.25">
      <c r="A4006" s="940">
        <v>1433</v>
      </c>
      <c r="B4006" s="940">
        <v>115</v>
      </c>
      <c r="C4006" t="s">
        <v>878</v>
      </c>
      <c r="D4006" s="940" t="s">
        <v>8991</v>
      </c>
      <c r="E4006" t="s">
        <v>1156</v>
      </c>
    </row>
    <row r="4007" spans="1:5" x14ac:dyDescent="0.25">
      <c r="A4007" s="940">
        <v>3327</v>
      </c>
      <c r="B4007" s="940">
        <v>2</v>
      </c>
      <c r="C4007" t="s">
        <v>8992</v>
      </c>
      <c r="D4007" s="940" t="s">
        <v>4361</v>
      </c>
      <c r="E4007" t="s">
        <v>120</v>
      </c>
    </row>
    <row r="4008" spans="1:5" x14ac:dyDescent="0.25">
      <c r="A4008" s="940">
        <v>3490</v>
      </c>
      <c r="B4008" s="940">
        <v>0</v>
      </c>
      <c r="C4008" t="s">
        <v>8993</v>
      </c>
      <c r="D4008" s="940" t="s">
        <v>8994</v>
      </c>
      <c r="E4008" t="s">
        <v>4289</v>
      </c>
    </row>
    <row r="4009" spans="1:5" x14ac:dyDescent="0.25">
      <c r="A4009" s="940">
        <v>774</v>
      </c>
      <c r="B4009" s="940">
        <v>307</v>
      </c>
      <c r="C4009" t="s">
        <v>8995</v>
      </c>
      <c r="D4009" s="940" t="s">
        <v>5590</v>
      </c>
      <c r="E4009" t="s">
        <v>1190</v>
      </c>
    </row>
    <row r="4010" spans="1:5" x14ac:dyDescent="0.25">
      <c r="A4010" s="940">
        <v>3045</v>
      </c>
      <c r="B4010" s="940">
        <v>7</v>
      </c>
      <c r="C4010" t="s">
        <v>8996</v>
      </c>
      <c r="D4010" s="940" t="s">
        <v>6541</v>
      </c>
      <c r="E4010" t="s">
        <v>120</v>
      </c>
    </row>
    <row r="4011" spans="1:5" x14ac:dyDescent="0.25">
      <c r="A4011" s="940">
        <v>1484</v>
      </c>
      <c r="B4011" s="940">
        <v>108</v>
      </c>
      <c r="C4011" t="s">
        <v>8997</v>
      </c>
      <c r="D4011" s="940" t="s">
        <v>8998</v>
      </c>
      <c r="E4011" t="s">
        <v>2732</v>
      </c>
    </row>
    <row r="4012" spans="1:5" x14ac:dyDescent="0.25">
      <c r="A4012" s="940">
        <v>2539</v>
      </c>
      <c r="B4012" s="940">
        <v>23</v>
      </c>
      <c r="C4012" t="s">
        <v>8999</v>
      </c>
      <c r="D4012" s="940" t="s">
        <v>6891</v>
      </c>
      <c r="E4012" t="s">
        <v>1493</v>
      </c>
    </row>
    <row r="4013" spans="1:5" x14ac:dyDescent="0.25">
      <c r="A4013" s="940">
        <v>1417</v>
      </c>
      <c r="B4013" s="940">
        <v>117</v>
      </c>
      <c r="C4013" t="s">
        <v>9000</v>
      </c>
      <c r="D4013" s="940" t="s">
        <v>4094</v>
      </c>
      <c r="E4013" t="s">
        <v>1311</v>
      </c>
    </row>
    <row r="4014" spans="1:5" x14ac:dyDescent="0.25">
      <c r="A4014" s="940">
        <v>795</v>
      </c>
      <c r="B4014" s="940">
        <v>299</v>
      </c>
      <c r="C4014" t="s">
        <v>9001</v>
      </c>
      <c r="D4014" s="940" t="s">
        <v>7576</v>
      </c>
      <c r="E4014" t="s">
        <v>165</v>
      </c>
    </row>
    <row r="4015" spans="1:5" x14ac:dyDescent="0.25">
      <c r="A4015" s="940">
        <v>3490</v>
      </c>
      <c r="B4015" s="940">
        <v>0</v>
      </c>
      <c r="C4015" t="s">
        <v>9002</v>
      </c>
      <c r="D4015" s="940" t="s">
        <v>4724</v>
      </c>
      <c r="E4015" t="s">
        <v>9003</v>
      </c>
    </row>
    <row r="4016" spans="1:5" x14ac:dyDescent="0.25">
      <c r="A4016" s="940">
        <v>2060</v>
      </c>
      <c r="B4016" s="940">
        <v>51</v>
      </c>
      <c r="C4016" t="s">
        <v>2387</v>
      </c>
      <c r="D4016" s="940" t="s">
        <v>9004</v>
      </c>
      <c r="E4016" t="s">
        <v>170</v>
      </c>
    </row>
    <row r="4017" spans="1:5" x14ac:dyDescent="0.25">
      <c r="A4017" s="940">
        <v>324</v>
      </c>
      <c r="B4017" s="940">
        <v>675</v>
      </c>
      <c r="C4017" t="s">
        <v>9005</v>
      </c>
      <c r="D4017" s="940" t="s">
        <v>5112</v>
      </c>
      <c r="E4017" t="s">
        <v>118</v>
      </c>
    </row>
    <row r="4018" spans="1:5" x14ac:dyDescent="0.25">
      <c r="A4018" s="940">
        <v>834</v>
      </c>
      <c r="B4018" s="940">
        <v>283</v>
      </c>
      <c r="C4018" t="s">
        <v>363</v>
      </c>
      <c r="D4018" s="940" t="s">
        <v>9006</v>
      </c>
      <c r="E4018" t="s">
        <v>120</v>
      </c>
    </row>
    <row r="4019" spans="1:5" x14ac:dyDescent="0.25">
      <c r="A4019" s="940">
        <v>3490</v>
      </c>
      <c r="B4019" s="940">
        <v>0</v>
      </c>
      <c r="C4019" t="s">
        <v>9007</v>
      </c>
      <c r="D4019" s="940" t="s">
        <v>8093</v>
      </c>
      <c r="E4019" t="s">
        <v>72</v>
      </c>
    </row>
    <row r="4020" spans="1:5" x14ac:dyDescent="0.25">
      <c r="A4020" s="940">
        <v>3327</v>
      </c>
      <c r="B4020" s="940">
        <v>2</v>
      </c>
      <c r="C4020" t="s">
        <v>9008</v>
      </c>
      <c r="D4020" s="940" t="s">
        <v>9009</v>
      </c>
      <c r="E4020" t="s">
        <v>105</v>
      </c>
    </row>
    <row r="4021" spans="1:5" x14ac:dyDescent="0.25">
      <c r="A4021" s="940">
        <v>3490</v>
      </c>
      <c r="B4021" s="940">
        <v>0</v>
      </c>
      <c r="C4021" t="s">
        <v>9010</v>
      </c>
      <c r="D4021" s="940" t="s">
        <v>8093</v>
      </c>
      <c r="E4021" t="s">
        <v>105</v>
      </c>
    </row>
    <row r="4022" spans="1:5" x14ac:dyDescent="0.25">
      <c r="A4022" s="940">
        <v>95</v>
      </c>
      <c r="B4022" s="940">
        <v>1126</v>
      </c>
      <c r="C4022" t="s">
        <v>9011</v>
      </c>
      <c r="D4022" s="940" t="s">
        <v>9012</v>
      </c>
      <c r="E4022" t="s">
        <v>2877</v>
      </c>
    </row>
    <row r="4023" spans="1:5" x14ac:dyDescent="0.25">
      <c r="A4023" s="940">
        <v>356</v>
      </c>
      <c r="B4023" s="940">
        <v>627</v>
      </c>
      <c r="C4023" t="s">
        <v>9013</v>
      </c>
      <c r="D4023" s="940" t="s">
        <v>9014</v>
      </c>
      <c r="E4023" t="s">
        <v>9015</v>
      </c>
    </row>
    <row r="4024" spans="1:5" x14ac:dyDescent="0.25">
      <c r="A4024" s="940">
        <v>3490</v>
      </c>
      <c r="B4024" s="940">
        <v>0</v>
      </c>
      <c r="C4024" t="s">
        <v>9016</v>
      </c>
      <c r="D4024" s="940" t="s">
        <v>9017</v>
      </c>
      <c r="E4024" t="s">
        <v>105</v>
      </c>
    </row>
    <row r="4025" spans="1:5" x14ac:dyDescent="0.25">
      <c r="A4025" s="940">
        <v>1942</v>
      </c>
      <c r="B4025" s="940">
        <v>61</v>
      </c>
      <c r="C4025" t="s">
        <v>9018</v>
      </c>
      <c r="D4025" s="940" t="s">
        <v>4930</v>
      </c>
      <c r="E4025" t="s">
        <v>1507</v>
      </c>
    </row>
    <row r="4026" spans="1:5" x14ac:dyDescent="0.25">
      <c r="A4026" s="940">
        <v>3490</v>
      </c>
      <c r="B4026" s="940">
        <v>0</v>
      </c>
      <c r="C4026" t="s">
        <v>9019</v>
      </c>
      <c r="D4026" s="940" t="s">
        <v>4908</v>
      </c>
      <c r="E4026" t="s">
        <v>1507</v>
      </c>
    </row>
    <row r="4027" spans="1:5" x14ac:dyDescent="0.25">
      <c r="A4027" s="940">
        <v>1080</v>
      </c>
      <c r="B4027" s="940">
        <v>188</v>
      </c>
      <c r="C4027" t="s">
        <v>9020</v>
      </c>
      <c r="D4027" s="940" t="s">
        <v>5928</v>
      </c>
      <c r="E4027" t="s">
        <v>105</v>
      </c>
    </row>
    <row r="4028" spans="1:5" x14ac:dyDescent="0.25">
      <c r="A4028" s="940">
        <v>792</v>
      </c>
      <c r="B4028" s="940">
        <v>300</v>
      </c>
      <c r="C4028" t="s">
        <v>9021</v>
      </c>
      <c r="D4028" s="940" t="s">
        <v>4149</v>
      </c>
      <c r="E4028" t="s">
        <v>120</v>
      </c>
    </row>
    <row r="4029" spans="1:5" x14ac:dyDescent="0.25">
      <c r="A4029" s="940">
        <v>2320</v>
      </c>
      <c r="B4029" s="940">
        <v>35</v>
      </c>
      <c r="C4029" t="s">
        <v>9022</v>
      </c>
      <c r="D4029" s="940" t="s">
        <v>6161</v>
      </c>
      <c r="E4029" t="s">
        <v>111</v>
      </c>
    </row>
    <row r="4030" spans="1:5" x14ac:dyDescent="0.25">
      <c r="A4030" s="940">
        <v>2129</v>
      </c>
      <c r="B4030" s="940">
        <v>46</v>
      </c>
      <c r="C4030" t="s">
        <v>9023</v>
      </c>
      <c r="D4030" s="940" t="s">
        <v>9024</v>
      </c>
      <c r="E4030" t="s">
        <v>160</v>
      </c>
    </row>
    <row r="4031" spans="1:5" x14ac:dyDescent="0.25">
      <c r="A4031" s="940">
        <v>3395</v>
      </c>
      <c r="B4031" s="940">
        <v>1</v>
      </c>
      <c r="C4031" t="s">
        <v>9025</v>
      </c>
      <c r="D4031" s="940" t="s">
        <v>6802</v>
      </c>
      <c r="E4031" t="s">
        <v>251</v>
      </c>
    </row>
    <row r="4032" spans="1:5" x14ac:dyDescent="0.25">
      <c r="A4032" s="940">
        <v>2907</v>
      </c>
      <c r="B4032" s="940">
        <v>10</v>
      </c>
      <c r="C4032" t="s">
        <v>615</v>
      </c>
      <c r="D4032" s="940" t="s">
        <v>9026</v>
      </c>
      <c r="E4032" t="s">
        <v>1214</v>
      </c>
    </row>
    <row r="4033" spans="1:5" x14ac:dyDescent="0.25">
      <c r="A4033" s="940">
        <v>1185</v>
      </c>
      <c r="B4033" s="940">
        <v>160</v>
      </c>
      <c r="C4033" t="s">
        <v>2584</v>
      </c>
      <c r="D4033" s="940" t="s">
        <v>4273</v>
      </c>
      <c r="E4033" t="s">
        <v>1961</v>
      </c>
    </row>
    <row r="4034" spans="1:5" x14ac:dyDescent="0.25">
      <c r="A4034" s="940">
        <v>1121</v>
      </c>
      <c r="B4034" s="940">
        <v>175</v>
      </c>
      <c r="C4034" t="s">
        <v>616</v>
      </c>
      <c r="D4034" s="940" t="s">
        <v>8908</v>
      </c>
      <c r="E4034" t="s">
        <v>1524</v>
      </c>
    </row>
    <row r="4035" spans="1:5" x14ac:dyDescent="0.25">
      <c r="A4035" s="940">
        <v>745</v>
      </c>
      <c r="B4035" s="940">
        <v>324</v>
      </c>
      <c r="C4035" t="s">
        <v>9027</v>
      </c>
      <c r="D4035" s="940" t="s">
        <v>9028</v>
      </c>
      <c r="E4035" t="s">
        <v>2735</v>
      </c>
    </row>
    <row r="4036" spans="1:5" x14ac:dyDescent="0.25">
      <c r="A4036" s="940">
        <v>3045</v>
      </c>
      <c r="B4036" s="940">
        <v>7</v>
      </c>
      <c r="C4036" t="s">
        <v>9029</v>
      </c>
      <c r="D4036" s="940" t="s">
        <v>9030</v>
      </c>
      <c r="E4036" t="s">
        <v>1248</v>
      </c>
    </row>
    <row r="4037" spans="1:5" x14ac:dyDescent="0.25">
      <c r="A4037" s="940">
        <v>152</v>
      </c>
      <c r="B4037" s="940">
        <v>972</v>
      </c>
      <c r="C4037" t="s">
        <v>9031</v>
      </c>
      <c r="D4037" s="940" t="s">
        <v>9032</v>
      </c>
      <c r="E4037" t="s">
        <v>76</v>
      </c>
    </row>
    <row r="4038" spans="1:5" x14ac:dyDescent="0.25">
      <c r="A4038" s="940">
        <v>3490</v>
      </c>
      <c r="B4038" s="940">
        <v>0</v>
      </c>
      <c r="C4038" t="s">
        <v>9033</v>
      </c>
      <c r="D4038" s="940" t="s">
        <v>3818</v>
      </c>
      <c r="E4038" t="s">
        <v>251</v>
      </c>
    </row>
    <row r="4039" spans="1:5" x14ac:dyDescent="0.25">
      <c r="A4039" s="940">
        <v>1468</v>
      </c>
      <c r="B4039" s="940">
        <v>110</v>
      </c>
      <c r="C4039" t="s">
        <v>9034</v>
      </c>
      <c r="D4039" s="940" t="s">
        <v>9035</v>
      </c>
      <c r="E4039" t="s">
        <v>1221</v>
      </c>
    </row>
    <row r="4040" spans="1:5" x14ac:dyDescent="0.25">
      <c r="A4040" s="940">
        <v>562</v>
      </c>
      <c r="B4040" s="940">
        <v>425</v>
      </c>
      <c r="C4040" t="s">
        <v>9036</v>
      </c>
      <c r="D4040" s="940" t="s">
        <v>9037</v>
      </c>
      <c r="E4040" t="s">
        <v>3098</v>
      </c>
    </row>
    <row r="4041" spans="1:5" x14ac:dyDescent="0.25">
      <c r="A4041" s="940">
        <v>3490</v>
      </c>
      <c r="B4041" s="940">
        <v>0</v>
      </c>
      <c r="C4041" t="s">
        <v>9038</v>
      </c>
      <c r="D4041" s="940" t="s">
        <v>2834</v>
      </c>
      <c r="E4041" t="s">
        <v>614</v>
      </c>
    </row>
    <row r="4042" spans="1:5" x14ac:dyDescent="0.25">
      <c r="A4042" s="940">
        <v>3490</v>
      </c>
      <c r="B4042" s="940">
        <v>0</v>
      </c>
      <c r="C4042" t="s">
        <v>9039</v>
      </c>
      <c r="D4042" s="940" t="s">
        <v>9040</v>
      </c>
      <c r="E4042" t="s">
        <v>110</v>
      </c>
    </row>
    <row r="4043" spans="1:5" x14ac:dyDescent="0.25">
      <c r="A4043" s="940">
        <v>2582</v>
      </c>
      <c r="B4043" s="940">
        <v>21</v>
      </c>
      <c r="C4043" t="s">
        <v>9041</v>
      </c>
      <c r="D4043" s="940" t="s">
        <v>9042</v>
      </c>
      <c r="E4043" t="s">
        <v>99</v>
      </c>
    </row>
    <row r="4044" spans="1:5" x14ac:dyDescent="0.25">
      <c r="A4044" s="940">
        <v>2515</v>
      </c>
      <c r="B4044" s="940">
        <v>24</v>
      </c>
      <c r="C4044" t="s">
        <v>9043</v>
      </c>
      <c r="D4044" s="940" t="s">
        <v>9044</v>
      </c>
      <c r="E4044" t="s">
        <v>2880</v>
      </c>
    </row>
    <row r="4045" spans="1:5" x14ac:dyDescent="0.25">
      <c r="A4045" s="940">
        <v>2206</v>
      </c>
      <c r="B4045" s="940">
        <v>42</v>
      </c>
      <c r="C4045" t="s">
        <v>9045</v>
      </c>
      <c r="D4045" s="940" t="s">
        <v>4799</v>
      </c>
      <c r="E4045" t="s">
        <v>1214</v>
      </c>
    </row>
    <row r="4046" spans="1:5" x14ac:dyDescent="0.25">
      <c r="A4046" s="940">
        <v>1220</v>
      </c>
      <c r="B4046" s="940">
        <v>151</v>
      </c>
      <c r="C4046" t="s">
        <v>2392</v>
      </c>
      <c r="D4046" s="940" t="s">
        <v>7196</v>
      </c>
      <c r="E4046" t="s">
        <v>1214</v>
      </c>
    </row>
    <row r="4047" spans="1:5" x14ac:dyDescent="0.25">
      <c r="A4047" s="940">
        <v>143</v>
      </c>
      <c r="B4047" s="940">
        <v>990</v>
      </c>
      <c r="C4047" t="s">
        <v>9046</v>
      </c>
      <c r="D4047" s="940" t="s">
        <v>9047</v>
      </c>
      <c r="E4047" t="s">
        <v>1190</v>
      </c>
    </row>
    <row r="4048" spans="1:5" x14ac:dyDescent="0.25">
      <c r="A4048" s="940">
        <v>2996</v>
      </c>
      <c r="B4048" s="940">
        <v>8</v>
      </c>
      <c r="C4048" t="s">
        <v>9048</v>
      </c>
      <c r="D4048" s="940" t="s">
        <v>9049</v>
      </c>
      <c r="E4048" t="s">
        <v>2624</v>
      </c>
    </row>
    <row r="4049" spans="1:5" x14ac:dyDescent="0.25">
      <c r="A4049" s="940">
        <v>2814</v>
      </c>
      <c r="B4049" s="940">
        <v>13</v>
      </c>
      <c r="C4049" t="s">
        <v>9050</v>
      </c>
      <c r="D4049" s="940" t="s">
        <v>2908</v>
      </c>
      <c r="E4049" t="s">
        <v>188</v>
      </c>
    </row>
    <row r="4050" spans="1:5" x14ac:dyDescent="0.25">
      <c r="A4050" s="940">
        <v>720</v>
      </c>
      <c r="B4050" s="940">
        <v>336</v>
      </c>
      <c r="C4050" t="s">
        <v>2394</v>
      </c>
      <c r="D4050" s="940" t="s">
        <v>9051</v>
      </c>
      <c r="E4050" t="s">
        <v>186</v>
      </c>
    </row>
    <row r="4051" spans="1:5" x14ac:dyDescent="0.25">
      <c r="A4051" s="940">
        <v>2004</v>
      </c>
      <c r="B4051" s="940">
        <v>55</v>
      </c>
      <c r="C4051" t="s">
        <v>9052</v>
      </c>
      <c r="D4051" s="940" t="s">
        <v>5088</v>
      </c>
      <c r="E4051" t="s">
        <v>105</v>
      </c>
    </row>
    <row r="4052" spans="1:5" x14ac:dyDescent="0.25">
      <c r="A4052" s="940">
        <v>3089</v>
      </c>
      <c r="B4052" s="940">
        <v>6</v>
      </c>
      <c r="C4052" t="s">
        <v>9053</v>
      </c>
      <c r="D4052" s="940" t="s">
        <v>6150</v>
      </c>
      <c r="E4052" t="s">
        <v>1590</v>
      </c>
    </row>
    <row r="4053" spans="1:5" x14ac:dyDescent="0.25">
      <c r="A4053" s="940">
        <v>2907</v>
      </c>
      <c r="B4053" s="940">
        <v>10</v>
      </c>
      <c r="C4053" t="s">
        <v>9054</v>
      </c>
      <c r="D4053" s="940" t="s">
        <v>4589</v>
      </c>
      <c r="E4053" t="s">
        <v>105</v>
      </c>
    </row>
    <row r="4054" spans="1:5" x14ac:dyDescent="0.25">
      <c r="A4054" s="940">
        <v>769</v>
      </c>
      <c r="B4054" s="940">
        <v>308</v>
      </c>
      <c r="C4054" t="s">
        <v>9055</v>
      </c>
      <c r="D4054" s="940" t="s">
        <v>9056</v>
      </c>
      <c r="E4054" t="s">
        <v>163</v>
      </c>
    </row>
    <row r="4055" spans="1:5" x14ac:dyDescent="0.25">
      <c r="A4055" s="940">
        <v>795</v>
      </c>
      <c r="B4055" s="940">
        <v>299</v>
      </c>
      <c r="C4055" t="s">
        <v>617</v>
      </c>
      <c r="D4055" s="940" t="s">
        <v>7087</v>
      </c>
      <c r="E4055" t="s">
        <v>1236</v>
      </c>
    </row>
    <row r="4056" spans="1:5" x14ac:dyDescent="0.25">
      <c r="A4056" s="940">
        <v>3089</v>
      </c>
      <c r="B4056" s="940">
        <v>6</v>
      </c>
      <c r="C4056" t="s">
        <v>9057</v>
      </c>
      <c r="D4056" s="940" t="s">
        <v>9058</v>
      </c>
      <c r="E4056" t="s">
        <v>105</v>
      </c>
    </row>
    <row r="4057" spans="1:5" x14ac:dyDescent="0.25">
      <c r="A4057" s="940">
        <v>3141</v>
      </c>
      <c r="B4057" s="940">
        <v>5</v>
      </c>
      <c r="C4057" t="s">
        <v>9059</v>
      </c>
      <c r="D4057" s="940" t="s">
        <v>9060</v>
      </c>
      <c r="E4057" t="s">
        <v>6117</v>
      </c>
    </row>
    <row r="4058" spans="1:5" x14ac:dyDescent="0.25">
      <c r="A4058" s="940">
        <v>2558</v>
      </c>
      <c r="B4058" s="940">
        <v>22</v>
      </c>
      <c r="C4058" t="s">
        <v>9061</v>
      </c>
      <c r="D4058" s="940" t="s">
        <v>5335</v>
      </c>
      <c r="E4058" t="s">
        <v>138</v>
      </c>
    </row>
    <row r="4059" spans="1:5" x14ac:dyDescent="0.25">
      <c r="A4059" s="940">
        <v>3490</v>
      </c>
      <c r="B4059" s="940">
        <v>0</v>
      </c>
      <c r="C4059" t="s">
        <v>9062</v>
      </c>
      <c r="D4059" s="940" t="s">
        <v>9063</v>
      </c>
      <c r="E4059" t="s">
        <v>1204</v>
      </c>
    </row>
    <row r="4060" spans="1:5" x14ac:dyDescent="0.25">
      <c r="A4060" s="940">
        <v>3265</v>
      </c>
      <c r="B4060" s="940">
        <v>3</v>
      </c>
      <c r="C4060" t="s">
        <v>9064</v>
      </c>
      <c r="D4060" s="940" t="s">
        <v>3352</v>
      </c>
      <c r="E4060" t="s">
        <v>1251</v>
      </c>
    </row>
    <row r="4061" spans="1:5" x14ac:dyDescent="0.25">
      <c r="A4061" s="940">
        <v>3490</v>
      </c>
      <c r="B4061" s="940">
        <v>0</v>
      </c>
      <c r="C4061" t="s">
        <v>9065</v>
      </c>
      <c r="D4061" s="940" t="s">
        <v>9066</v>
      </c>
      <c r="E4061" t="s">
        <v>2654</v>
      </c>
    </row>
    <row r="4062" spans="1:5" x14ac:dyDescent="0.25">
      <c r="A4062" s="940">
        <v>2272</v>
      </c>
      <c r="B4062" s="940">
        <v>38</v>
      </c>
      <c r="C4062" t="s">
        <v>9067</v>
      </c>
      <c r="D4062" s="940" t="s">
        <v>6476</v>
      </c>
      <c r="E4062" t="s">
        <v>111</v>
      </c>
    </row>
    <row r="4063" spans="1:5" x14ac:dyDescent="0.25">
      <c r="A4063" s="940">
        <v>655</v>
      </c>
      <c r="B4063" s="940">
        <v>373</v>
      </c>
      <c r="C4063" t="s">
        <v>9068</v>
      </c>
      <c r="D4063" s="940" t="s">
        <v>9069</v>
      </c>
      <c r="E4063" t="s">
        <v>5767</v>
      </c>
    </row>
    <row r="4064" spans="1:5" x14ac:dyDescent="0.25">
      <c r="A4064" s="940">
        <v>3490</v>
      </c>
      <c r="B4064" s="940">
        <v>0</v>
      </c>
      <c r="C4064" t="s">
        <v>9070</v>
      </c>
      <c r="D4064" s="940" t="s">
        <v>3546</v>
      </c>
      <c r="E4064" t="s">
        <v>1171</v>
      </c>
    </row>
    <row r="4065" spans="1:5" x14ac:dyDescent="0.25">
      <c r="A4065" s="940">
        <v>970</v>
      </c>
      <c r="B4065" s="940">
        <v>228</v>
      </c>
      <c r="C4065" t="s">
        <v>2400</v>
      </c>
      <c r="D4065" s="940" t="s">
        <v>6182</v>
      </c>
      <c r="E4065" t="s">
        <v>120</v>
      </c>
    </row>
    <row r="4066" spans="1:5" x14ac:dyDescent="0.25">
      <c r="A4066" s="940">
        <v>1240</v>
      </c>
      <c r="B4066" s="940">
        <v>148</v>
      </c>
      <c r="C4066" t="s">
        <v>619</v>
      </c>
      <c r="D4066" s="940" t="s">
        <v>9071</v>
      </c>
      <c r="E4066" t="s">
        <v>1156</v>
      </c>
    </row>
    <row r="4067" spans="1:5" x14ac:dyDescent="0.25">
      <c r="A4067" s="940">
        <v>2347</v>
      </c>
      <c r="B4067" s="940">
        <v>33</v>
      </c>
      <c r="C4067" t="s">
        <v>9072</v>
      </c>
      <c r="D4067" s="940" t="s">
        <v>5207</v>
      </c>
      <c r="E4067" t="s">
        <v>145</v>
      </c>
    </row>
    <row r="4068" spans="1:5" x14ac:dyDescent="0.25">
      <c r="A4068" s="940">
        <v>1872</v>
      </c>
      <c r="B4068" s="940">
        <v>66</v>
      </c>
      <c r="C4068" t="s">
        <v>9073</v>
      </c>
      <c r="D4068" s="940" t="s">
        <v>9074</v>
      </c>
      <c r="E4068" t="s">
        <v>165</v>
      </c>
    </row>
    <row r="4069" spans="1:5" x14ac:dyDescent="0.25">
      <c r="A4069" s="940">
        <v>2221</v>
      </c>
      <c r="B4069" s="940">
        <v>41</v>
      </c>
      <c r="C4069" t="s">
        <v>9075</v>
      </c>
      <c r="D4069" s="940" t="s">
        <v>3834</v>
      </c>
      <c r="E4069" t="s">
        <v>165</v>
      </c>
    </row>
    <row r="4070" spans="1:5" x14ac:dyDescent="0.25">
      <c r="A4070" s="940">
        <v>3490</v>
      </c>
      <c r="B4070" s="940">
        <v>0</v>
      </c>
      <c r="C4070" t="s">
        <v>9076</v>
      </c>
      <c r="D4070" s="940" t="s">
        <v>2991</v>
      </c>
      <c r="E4070" t="s">
        <v>105</v>
      </c>
    </row>
    <row r="4071" spans="1:5" x14ac:dyDescent="0.25">
      <c r="A4071" s="940">
        <v>3490</v>
      </c>
      <c r="B4071" s="940">
        <v>0</v>
      </c>
      <c r="C4071" t="s">
        <v>9077</v>
      </c>
      <c r="D4071" s="940" t="s">
        <v>5919</v>
      </c>
      <c r="E4071" t="s">
        <v>1364</v>
      </c>
    </row>
    <row r="4072" spans="1:5" x14ac:dyDescent="0.25">
      <c r="A4072" s="940">
        <v>2381</v>
      </c>
      <c r="B4072" s="940">
        <v>31</v>
      </c>
      <c r="C4072" t="s">
        <v>9078</v>
      </c>
      <c r="D4072" s="940" t="s">
        <v>8112</v>
      </c>
      <c r="E4072" t="s">
        <v>120</v>
      </c>
    </row>
    <row r="4073" spans="1:5" x14ac:dyDescent="0.25">
      <c r="A4073" s="940">
        <v>3490</v>
      </c>
      <c r="B4073" s="940">
        <v>0</v>
      </c>
      <c r="C4073" t="s">
        <v>9079</v>
      </c>
      <c r="D4073" s="940" t="s">
        <v>4600</v>
      </c>
      <c r="E4073" t="s">
        <v>105</v>
      </c>
    </row>
    <row r="4074" spans="1:5" x14ac:dyDescent="0.25">
      <c r="A4074" s="940">
        <v>1730</v>
      </c>
      <c r="B4074" s="940">
        <v>80</v>
      </c>
      <c r="C4074" t="s">
        <v>9080</v>
      </c>
      <c r="D4074" s="940" t="s">
        <v>9081</v>
      </c>
      <c r="E4074" t="s">
        <v>133</v>
      </c>
    </row>
    <row r="4075" spans="1:5" x14ac:dyDescent="0.25">
      <c r="A4075" s="940">
        <v>3490</v>
      </c>
      <c r="B4075" s="940">
        <v>0</v>
      </c>
      <c r="C4075" t="s">
        <v>9082</v>
      </c>
      <c r="D4075" s="940" t="s">
        <v>9083</v>
      </c>
      <c r="E4075" t="s">
        <v>74</v>
      </c>
    </row>
    <row r="4076" spans="1:5" x14ac:dyDescent="0.25">
      <c r="A4076" s="940">
        <v>3265</v>
      </c>
      <c r="B4076" s="940">
        <v>3</v>
      </c>
      <c r="C4076" t="s">
        <v>9084</v>
      </c>
      <c r="D4076" s="940" t="s">
        <v>9085</v>
      </c>
      <c r="E4076" t="s">
        <v>1171</v>
      </c>
    </row>
    <row r="4077" spans="1:5" x14ac:dyDescent="0.25">
      <c r="A4077" s="940">
        <v>3490</v>
      </c>
      <c r="B4077" s="940">
        <v>0</v>
      </c>
      <c r="C4077" t="s">
        <v>9086</v>
      </c>
      <c r="D4077" s="940" t="s">
        <v>9087</v>
      </c>
      <c r="E4077" t="s">
        <v>74</v>
      </c>
    </row>
    <row r="4078" spans="1:5" x14ac:dyDescent="0.25">
      <c r="A4078" s="940">
        <v>3490</v>
      </c>
      <c r="B4078" s="940">
        <v>0</v>
      </c>
      <c r="C4078" t="s">
        <v>9088</v>
      </c>
      <c r="D4078" s="940" t="s">
        <v>9089</v>
      </c>
      <c r="E4078" t="s">
        <v>661</v>
      </c>
    </row>
    <row r="4079" spans="1:5" x14ac:dyDescent="0.25">
      <c r="A4079" s="940">
        <v>650</v>
      </c>
      <c r="B4079" s="940">
        <v>376</v>
      </c>
      <c r="C4079" t="s">
        <v>9090</v>
      </c>
      <c r="D4079" s="940" t="s">
        <v>4187</v>
      </c>
      <c r="E4079" t="s">
        <v>2880</v>
      </c>
    </row>
    <row r="4080" spans="1:5" x14ac:dyDescent="0.25">
      <c r="A4080" s="940">
        <v>3395</v>
      </c>
      <c r="B4080" s="940">
        <v>1</v>
      </c>
      <c r="C4080" t="s">
        <v>9091</v>
      </c>
      <c r="D4080" s="940" t="s">
        <v>9092</v>
      </c>
      <c r="E4080" t="s">
        <v>1702</v>
      </c>
    </row>
    <row r="4081" spans="1:5" x14ac:dyDescent="0.25">
      <c r="A4081" s="940">
        <v>2241</v>
      </c>
      <c r="B4081" s="940">
        <v>40</v>
      </c>
      <c r="C4081" t="s">
        <v>9093</v>
      </c>
      <c r="D4081" s="940" t="s">
        <v>5919</v>
      </c>
      <c r="E4081" t="s">
        <v>99</v>
      </c>
    </row>
    <row r="4082" spans="1:5" x14ac:dyDescent="0.25">
      <c r="A4082" s="940">
        <v>2272</v>
      </c>
      <c r="B4082" s="940">
        <v>38</v>
      </c>
      <c r="C4082" t="s">
        <v>9094</v>
      </c>
      <c r="D4082" s="940" t="s">
        <v>9095</v>
      </c>
      <c r="E4082" t="s">
        <v>179</v>
      </c>
    </row>
    <row r="4083" spans="1:5" x14ac:dyDescent="0.25">
      <c r="A4083" s="940">
        <v>427</v>
      </c>
      <c r="B4083" s="940">
        <v>549</v>
      </c>
      <c r="C4083" t="s">
        <v>620</v>
      </c>
      <c r="D4083" s="940" t="s">
        <v>3154</v>
      </c>
      <c r="E4083" t="s">
        <v>99</v>
      </c>
    </row>
    <row r="4084" spans="1:5" x14ac:dyDescent="0.25">
      <c r="A4084" s="940">
        <v>46</v>
      </c>
      <c r="B4084" s="940">
        <v>1319</v>
      </c>
      <c r="C4084" t="s">
        <v>9096</v>
      </c>
      <c r="D4084" s="940" t="s">
        <v>9097</v>
      </c>
      <c r="E4084" t="s">
        <v>105</v>
      </c>
    </row>
    <row r="4085" spans="1:5" x14ac:dyDescent="0.25">
      <c r="A4085" s="940">
        <v>2335</v>
      </c>
      <c r="B4085" s="940">
        <v>34</v>
      </c>
      <c r="C4085" t="s">
        <v>9098</v>
      </c>
      <c r="D4085" s="940" t="s">
        <v>4110</v>
      </c>
      <c r="E4085" t="s">
        <v>661</v>
      </c>
    </row>
    <row r="4086" spans="1:5" x14ac:dyDescent="0.25">
      <c r="A4086" s="940">
        <v>2121</v>
      </c>
      <c r="B4086" s="940">
        <v>47</v>
      </c>
      <c r="C4086" t="s">
        <v>9099</v>
      </c>
      <c r="D4086" s="940" t="s">
        <v>4064</v>
      </c>
      <c r="E4086" t="s">
        <v>661</v>
      </c>
    </row>
    <row r="4087" spans="1:5" x14ac:dyDescent="0.25">
      <c r="A4087" s="940">
        <v>2441</v>
      </c>
      <c r="B4087" s="940">
        <v>28</v>
      </c>
      <c r="C4087" t="s">
        <v>9100</v>
      </c>
      <c r="D4087" s="940" t="s">
        <v>5440</v>
      </c>
      <c r="E4087" t="s">
        <v>170</v>
      </c>
    </row>
    <row r="4088" spans="1:5" x14ac:dyDescent="0.25">
      <c r="A4088" s="940">
        <v>3490</v>
      </c>
      <c r="B4088" s="940">
        <v>0</v>
      </c>
      <c r="C4088" t="s">
        <v>9101</v>
      </c>
      <c r="D4088" s="940" t="s">
        <v>9102</v>
      </c>
      <c r="E4088" t="s">
        <v>1460</v>
      </c>
    </row>
    <row r="4089" spans="1:5" x14ac:dyDescent="0.25">
      <c r="A4089" s="940">
        <v>396</v>
      </c>
      <c r="B4089" s="940">
        <v>573</v>
      </c>
      <c r="C4089" t="s">
        <v>368</v>
      </c>
      <c r="D4089" s="940" t="s">
        <v>5717</v>
      </c>
      <c r="E4089" t="s">
        <v>105</v>
      </c>
    </row>
    <row r="4090" spans="1:5" x14ac:dyDescent="0.25">
      <c r="A4090" s="940">
        <v>3395</v>
      </c>
      <c r="B4090" s="940">
        <v>1</v>
      </c>
      <c r="C4090" t="s">
        <v>9103</v>
      </c>
      <c r="D4090" s="940" t="s">
        <v>4786</v>
      </c>
      <c r="E4090" t="s">
        <v>222</v>
      </c>
    </row>
    <row r="4091" spans="1:5" x14ac:dyDescent="0.25">
      <c r="A4091" s="940">
        <v>2782</v>
      </c>
      <c r="B4091" s="940">
        <v>14</v>
      </c>
      <c r="C4091" t="s">
        <v>9104</v>
      </c>
      <c r="D4091" s="940" t="s">
        <v>9105</v>
      </c>
      <c r="E4091" t="s">
        <v>1236</v>
      </c>
    </row>
    <row r="4092" spans="1:5" x14ac:dyDescent="0.25">
      <c r="A4092" s="940">
        <v>3045</v>
      </c>
      <c r="B4092" s="940">
        <v>7</v>
      </c>
      <c r="C4092" t="s">
        <v>9106</v>
      </c>
      <c r="D4092" s="940" t="s">
        <v>9107</v>
      </c>
      <c r="E4092" t="s">
        <v>1609</v>
      </c>
    </row>
    <row r="4093" spans="1:5" x14ac:dyDescent="0.25">
      <c r="A4093" s="940">
        <v>45</v>
      </c>
      <c r="B4093" s="940">
        <v>1324</v>
      </c>
      <c r="C4093" t="s">
        <v>9108</v>
      </c>
      <c r="D4093" s="940" t="s">
        <v>9109</v>
      </c>
      <c r="E4093" t="s">
        <v>105</v>
      </c>
    </row>
    <row r="4094" spans="1:5" x14ac:dyDescent="0.25">
      <c r="A4094" s="940">
        <v>3265</v>
      </c>
      <c r="B4094" s="940">
        <v>3</v>
      </c>
      <c r="C4094" t="s">
        <v>9110</v>
      </c>
      <c r="D4094" s="940" t="s">
        <v>5877</v>
      </c>
      <c r="E4094" t="s">
        <v>105</v>
      </c>
    </row>
    <row r="4095" spans="1:5" x14ac:dyDescent="0.25">
      <c r="A4095" s="940">
        <v>3490</v>
      </c>
      <c r="B4095" s="940">
        <v>0</v>
      </c>
      <c r="C4095" t="s">
        <v>9111</v>
      </c>
      <c r="D4095" s="940" t="s">
        <v>9112</v>
      </c>
      <c r="E4095" t="s">
        <v>105</v>
      </c>
    </row>
    <row r="4096" spans="1:5" x14ac:dyDescent="0.25">
      <c r="A4096" s="940">
        <v>1818</v>
      </c>
      <c r="B4096" s="940">
        <v>71</v>
      </c>
      <c r="C4096" t="s">
        <v>9113</v>
      </c>
      <c r="D4096" s="940" t="s">
        <v>3080</v>
      </c>
      <c r="E4096" t="s">
        <v>1243</v>
      </c>
    </row>
    <row r="4097" spans="1:5" x14ac:dyDescent="0.25">
      <c r="A4097" s="940">
        <v>2347</v>
      </c>
      <c r="B4097" s="940">
        <v>33</v>
      </c>
      <c r="C4097" t="s">
        <v>9114</v>
      </c>
      <c r="D4097" s="940" t="s">
        <v>3764</v>
      </c>
      <c r="E4097" t="s">
        <v>1214</v>
      </c>
    </row>
    <row r="4098" spans="1:5" x14ac:dyDescent="0.25">
      <c r="A4098" s="940">
        <v>1666</v>
      </c>
      <c r="B4098" s="940">
        <v>87</v>
      </c>
      <c r="C4098" t="s">
        <v>9115</v>
      </c>
      <c r="D4098" s="940" t="s">
        <v>9116</v>
      </c>
      <c r="E4098" t="s">
        <v>9117</v>
      </c>
    </row>
    <row r="4099" spans="1:5" x14ac:dyDescent="0.25">
      <c r="A4099" s="940">
        <v>2907</v>
      </c>
      <c r="B4099" s="940">
        <v>10</v>
      </c>
      <c r="C4099" t="s">
        <v>9118</v>
      </c>
      <c r="D4099" s="940" t="s">
        <v>3511</v>
      </c>
      <c r="E4099" t="s">
        <v>1171</v>
      </c>
    </row>
    <row r="4100" spans="1:5" x14ac:dyDescent="0.25">
      <c r="A4100" s="940">
        <v>3490</v>
      </c>
      <c r="B4100" s="940">
        <v>0</v>
      </c>
      <c r="C4100" t="s">
        <v>9119</v>
      </c>
      <c r="D4100" s="940" t="s">
        <v>5919</v>
      </c>
      <c r="E4100" t="s">
        <v>120</v>
      </c>
    </row>
    <row r="4101" spans="1:5" x14ac:dyDescent="0.25">
      <c r="A4101" s="940">
        <v>1666</v>
      </c>
      <c r="B4101" s="940">
        <v>87</v>
      </c>
      <c r="C4101" t="s">
        <v>9120</v>
      </c>
      <c r="D4101" s="940" t="s">
        <v>2974</v>
      </c>
      <c r="E4101" t="s">
        <v>128</v>
      </c>
    </row>
    <row r="4102" spans="1:5" x14ac:dyDescent="0.25">
      <c r="A4102" s="940">
        <v>2582</v>
      </c>
      <c r="B4102" s="940">
        <v>21</v>
      </c>
      <c r="C4102" t="s">
        <v>9121</v>
      </c>
      <c r="D4102" s="940" t="s">
        <v>9122</v>
      </c>
      <c r="E4102" t="s">
        <v>1408</v>
      </c>
    </row>
    <row r="4103" spans="1:5" x14ac:dyDescent="0.25">
      <c r="A4103" s="940">
        <v>1581</v>
      </c>
      <c r="B4103" s="940">
        <v>97</v>
      </c>
      <c r="C4103" t="s">
        <v>9123</v>
      </c>
      <c r="D4103" s="940" t="s">
        <v>6244</v>
      </c>
      <c r="E4103" t="s">
        <v>120</v>
      </c>
    </row>
    <row r="4104" spans="1:5" x14ac:dyDescent="0.25">
      <c r="A4104" s="940">
        <v>2048</v>
      </c>
      <c r="B4104" s="940">
        <v>52</v>
      </c>
      <c r="C4104" t="s">
        <v>9124</v>
      </c>
      <c r="D4104" s="940" t="s">
        <v>4510</v>
      </c>
      <c r="E4104" t="s">
        <v>2735</v>
      </c>
    </row>
    <row r="4105" spans="1:5" x14ac:dyDescent="0.25">
      <c r="A4105" s="940">
        <v>2959</v>
      </c>
      <c r="B4105" s="940">
        <v>9</v>
      </c>
      <c r="C4105" t="s">
        <v>9125</v>
      </c>
      <c r="D4105" s="940" t="s">
        <v>9126</v>
      </c>
      <c r="E4105" t="s">
        <v>120</v>
      </c>
    </row>
    <row r="4106" spans="1:5" x14ac:dyDescent="0.25">
      <c r="A4106" s="940">
        <v>3141</v>
      </c>
      <c r="B4106" s="940">
        <v>5</v>
      </c>
      <c r="C4106" t="s">
        <v>9127</v>
      </c>
      <c r="D4106" s="940" t="s">
        <v>9128</v>
      </c>
      <c r="E4106" t="s">
        <v>130</v>
      </c>
    </row>
    <row r="4107" spans="1:5" x14ac:dyDescent="0.25">
      <c r="A4107" s="940">
        <v>675</v>
      </c>
      <c r="B4107" s="940">
        <v>363</v>
      </c>
      <c r="C4107" t="s">
        <v>2412</v>
      </c>
      <c r="D4107" s="940" t="s">
        <v>9129</v>
      </c>
      <c r="E4107" t="s">
        <v>121</v>
      </c>
    </row>
    <row r="4108" spans="1:5" x14ac:dyDescent="0.25">
      <c r="A4108" s="940">
        <v>2782</v>
      </c>
      <c r="B4108" s="940">
        <v>14</v>
      </c>
      <c r="C4108" t="s">
        <v>9130</v>
      </c>
      <c r="D4108" s="940" t="s">
        <v>9131</v>
      </c>
      <c r="E4108" t="s">
        <v>99</v>
      </c>
    </row>
    <row r="4109" spans="1:5" x14ac:dyDescent="0.25">
      <c r="A4109" s="940">
        <v>3490</v>
      </c>
      <c r="B4109" s="940">
        <v>0</v>
      </c>
      <c r="C4109" t="s">
        <v>9132</v>
      </c>
      <c r="D4109" s="940" t="s">
        <v>4463</v>
      </c>
      <c r="E4109" t="s">
        <v>105</v>
      </c>
    </row>
    <row r="4110" spans="1:5" x14ac:dyDescent="0.25">
      <c r="A4110" s="940">
        <v>2320</v>
      </c>
      <c r="B4110" s="940">
        <v>35</v>
      </c>
      <c r="C4110" t="s">
        <v>9133</v>
      </c>
      <c r="D4110" s="940" t="s">
        <v>9134</v>
      </c>
      <c r="E4110" t="s">
        <v>130</v>
      </c>
    </row>
    <row r="4111" spans="1:5" x14ac:dyDescent="0.25">
      <c r="A4111" s="940">
        <v>1685</v>
      </c>
      <c r="B4111" s="940">
        <v>85</v>
      </c>
      <c r="C4111" t="s">
        <v>2414</v>
      </c>
      <c r="D4111" s="940" t="s">
        <v>3721</v>
      </c>
      <c r="E4111" t="s">
        <v>105</v>
      </c>
    </row>
    <row r="4112" spans="1:5" x14ac:dyDescent="0.25">
      <c r="A4112" s="940">
        <v>1602</v>
      </c>
      <c r="B4112" s="940">
        <v>94</v>
      </c>
      <c r="C4112" t="s">
        <v>9135</v>
      </c>
      <c r="D4112" s="940" t="s">
        <v>4755</v>
      </c>
      <c r="E4112" t="s">
        <v>105</v>
      </c>
    </row>
    <row r="4113" spans="1:5" x14ac:dyDescent="0.25">
      <c r="A4113" s="940">
        <v>3490</v>
      </c>
      <c r="B4113" s="940">
        <v>0</v>
      </c>
      <c r="C4113" t="s">
        <v>9136</v>
      </c>
      <c r="D4113" s="940" t="s">
        <v>7580</v>
      </c>
      <c r="E4113" t="s">
        <v>105</v>
      </c>
    </row>
    <row r="4114" spans="1:5" x14ac:dyDescent="0.25">
      <c r="A4114" s="940">
        <v>3490</v>
      </c>
      <c r="B4114" s="940">
        <v>0</v>
      </c>
      <c r="C4114" t="s">
        <v>9137</v>
      </c>
      <c r="D4114" s="940" t="s">
        <v>9138</v>
      </c>
      <c r="E4114" t="s">
        <v>105</v>
      </c>
    </row>
    <row r="4115" spans="1:5" x14ac:dyDescent="0.25">
      <c r="A4115" s="940">
        <v>2907</v>
      </c>
      <c r="B4115" s="940">
        <v>10</v>
      </c>
      <c r="C4115" t="s">
        <v>9139</v>
      </c>
      <c r="D4115" s="940" t="s">
        <v>5778</v>
      </c>
      <c r="E4115" t="s">
        <v>1612</v>
      </c>
    </row>
    <row r="4116" spans="1:5" x14ac:dyDescent="0.25">
      <c r="A4116" s="940">
        <v>1444</v>
      </c>
      <c r="B4116" s="940">
        <v>114</v>
      </c>
      <c r="C4116" t="s">
        <v>9140</v>
      </c>
      <c r="D4116" s="940" t="s">
        <v>9141</v>
      </c>
      <c r="E4116" t="s">
        <v>106</v>
      </c>
    </row>
    <row r="4117" spans="1:5" x14ac:dyDescent="0.25">
      <c r="A4117" s="940">
        <v>3141</v>
      </c>
      <c r="B4117" s="940">
        <v>5</v>
      </c>
      <c r="C4117" t="s">
        <v>9142</v>
      </c>
      <c r="D4117" s="940" t="s">
        <v>3659</v>
      </c>
      <c r="E4117" t="s">
        <v>1261</v>
      </c>
    </row>
    <row r="4118" spans="1:5" x14ac:dyDescent="0.25">
      <c r="A4118" s="940">
        <v>3490</v>
      </c>
      <c r="B4118" s="940">
        <v>0</v>
      </c>
      <c r="C4118" t="s">
        <v>9143</v>
      </c>
      <c r="D4118" s="940" t="s">
        <v>9144</v>
      </c>
      <c r="E4118" t="s">
        <v>1236</v>
      </c>
    </row>
    <row r="4119" spans="1:5" x14ac:dyDescent="0.25">
      <c r="A4119" s="940">
        <v>1942</v>
      </c>
      <c r="B4119" s="940">
        <v>61</v>
      </c>
      <c r="C4119" t="s">
        <v>9145</v>
      </c>
      <c r="D4119" s="940" t="s">
        <v>9146</v>
      </c>
      <c r="E4119" t="s">
        <v>74</v>
      </c>
    </row>
    <row r="4120" spans="1:5" x14ac:dyDescent="0.25">
      <c r="A4120" s="940">
        <v>395</v>
      </c>
      <c r="B4120" s="940">
        <v>575</v>
      </c>
      <c r="C4120" t="s">
        <v>9147</v>
      </c>
      <c r="D4120" s="940" t="s">
        <v>9148</v>
      </c>
      <c r="E4120" t="s">
        <v>120</v>
      </c>
    </row>
    <row r="4121" spans="1:5" x14ac:dyDescent="0.25">
      <c r="A4121" s="940">
        <v>1462</v>
      </c>
      <c r="B4121" s="940">
        <v>111</v>
      </c>
      <c r="C4121" t="s">
        <v>2416</v>
      </c>
      <c r="D4121" s="940" t="s">
        <v>2725</v>
      </c>
      <c r="E4121" t="s">
        <v>1214</v>
      </c>
    </row>
    <row r="4122" spans="1:5" x14ac:dyDescent="0.25">
      <c r="A4122" s="940">
        <v>506</v>
      </c>
      <c r="B4122" s="940">
        <v>461</v>
      </c>
      <c r="C4122" t="s">
        <v>9149</v>
      </c>
      <c r="D4122" s="940" t="s">
        <v>9150</v>
      </c>
      <c r="E4122" t="s">
        <v>1584</v>
      </c>
    </row>
    <row r="4123" spans="1:5" x14ac:dyDescent="0.25">
      <c r="A4123" s="940">
        <v>3490</v>
      </c>
      <c r="B4123" s="940">
        <v>0</v>
      </c>
      <c r="C4123" t="s">
        <v>9151</v>
      </c>
      <c r="D4123" s="940" t="s">
        <v>6389</v>
      </c>
      <c r="E4123" t="s">
        <v>1236</v>
      </c>
    </row>
    <row r="4124" spans="1:5" x14ac:dyDescent="0.25">
      <c r="A4124" s="940">
        <v>2558</v>
      </c>
      <c r="B4124" s="940">
        <v>22</v>
      </c>
      <c r="C4124" t="s">
        <v>9152</v>
      </c>
      <c r="D4124" s="940" t="s">
        <v>9153</v>
      </c>
      <c r="E4124" t="s">
        <v>138</v>
      </c>
    </row>
    <row r="4125" spans="1:5" x14ac:dyDescent="0.25">
      <c r="A4125" s="940">
        <v>33</v>
      </c>
      <c r="B4125" s="940">
        <v>1402</v>
      </c>
      <c r="C4125" t="s">
        <v>9154</v>
      </c>
      <c r="D4125" s="940" t="s">
        <v>9155</v>
      </c>
      <c r="E4125" t="s">
        <v>1171</v>
      </c>
    </row>
    <row r="4126" spans="1:5" x14ac:dyDescent="0.25">
      <c r="A4126" s="940">
        <v>2129</v>
      </c>
      <c r="B4126" s="940">
        <v>46</v>
      </c>
      <c r="C4126" t="s">
        <v>9156</v>
      </c>
      <c r="D4126" s="940" t="s">
        <v>8411</v>
      </c>
      <c r="E4126" t="s">
        <v>120</v>
      </c>
    </row>
    <row r="4127" spans="1:5" x14ac:dyDescent="0.25">
      <c r="A4127" s="940">
        <v>2659</v>
      </c>
      <c r="B4127" s="940">
        <v>18</v>
      </c>
      <c r="C4127" t="s">
        <v>9157</v>
      </c>
      <c r="D4127" s="940" t="s">
        <v>8944</v>
      </c>
      <c r="E4127" t="s">
        <v>74</v>
      </c>
    </row>
    <row r="4128" spans="1:5" x14ac:dyDescent="0.25">
      <c r="A4128" s="940">
        <v>3490</v>
      </c>
      <c r="B4128" s="940">
        <v>0</v>
      </c>
      <c r="C4128" t="s">
        <v>9158</v>
      </c>
      <c r="D4128" s="940" t="s">
        <v>9159</v>
      </c>
      <c r="E4128" t="s">
        <v>105</v>
      </c>
    </row>
    <row r="4129" spans="1:5" x14ac:dyDescent="0.25">
      <c r="A4129" s="940">
        <v>3490</v>
      </c>
      <c r="B4129" s="940">
        <v>0</v>
      </c>
      <c r="C4129" t="s">
        <v>9160</v>
      </c>
      <c r="D4129" s="940" t="s">
        <v>5066</v>
      </c>
      <c r="E4129" t="s">
        <v>2735</v>
      </c>
    </row>
    <row r="4130" spans="1:5" x14ac:dyDescent="0.25">
      <c r="A4130" s="940">
        <v>957</v>
      </c>
      <c r="B4130" s="940">
        <v>232</v>
      </c>
      <c r="C4130" t="s">
        <v>9161</v>
      </c>
      <c r="D4130" s="940" t="s">
        <v>2813</v>
      </c>
      <c r="E4130" t="s">
        <v>113</v>
      </c>
    </row>
    <row r="4131" spans="1:5" x14ac:dyDescent="0.25">
      <c r="A4131" s="940">
        <v>2129</v>
      </c>
      <c r="B4131" s="940">
        <v>46</v>
      </c>
      <c r="C4131" t="s">
        <v>9162</v>
      </c>
      <c r="D4131" s="940" t="s">
        <v>9163</v>
      </c>
      <c r="E4131" t="s">
        <v>115</v>
      </c>
    </row>
    <row r="4132" spans="1:5" x14ac:dyDescent="0.25">
      <c r="A4132" s="940">
        <v>161</v>
      </c>
      <c r="B4132" s="940">
        <v>951</v>
      </c>
      <c r="C4132" t="s">
        <v>9164</v>
      </c>
      <c r="D4132" s="940" t="s">
        <v>9165</v>
      </c>
      <c r="E4132" t="s">
        <v>251</v>
      </c>
    </row>
    <row r="4133" spans="1:5" x14ac:dyDescent="0.25">
      <c r="A4133" s="940">
        <v>531</v>
      </c>
      <c r="B4133" s="940">
        <v>444</v>
      </c>
      <c r="C4133" t="s">
        <v>9166</v>
      </c>
      <c r="D4133" s="940" t="s">
        <v>9167</v>
      </c>
      <c r="E4133" t="s">
        <v>4679</v>
      </c>
    </row>
    <row r="4134" spans="1:5" x14ac:dyDescent="0.25">
      <c r="A4134" s="940">
        <v>1942</v>
      </c>
      <c r="B4134" s="940">
        <v>61</v>
      </c>
      <c r="C4134" t="s">
        <v>9166</v>
      </c>
      <c r="D4134" s="940" t="s">
        <v>7953</v>
      </c>
      <c r="E4134" t="s">
        <v>115</v>
      </c>
    </row>
    <row r="4135" spans="1:5" x14ac:dyDescent="0.25">
      <c r="A4135" s="940">
        <v>1942</v>
      </c>
      <c r="B4135" s="940">
        <v>61</v>
      </c>
      <c r="C4135" t="s">
        <v>9168</v>
      </c>
      <c r="D4135" s="940" t="s">
        <v>3315</v>
      </c>
      <c r="E4135" t="s">
        <v>1609</v>
      </c>
    </row>
    <row r="4136" spans="1:5" x14ac:dyDescent="0.25">
      <c r="A4136" s="940">
        <v>954</v>
      </c>
      <c r="B4136" s="940">
        <v>234</v>
      </c>
      <c r="C4136" t="s">
        <v>2418</v>
      </c>
      <c r="D4136" s="940" t="s">
        <v>9169</v>
      </c>
      <c r="E4136" t="s">
        <v>1267</v>
      </c>
    </row>
    <row r="4137" spans="1:5" x14ac:dyDescent="0.25">
      <c r="A4137" s="940">
        <v>1701</v>
      </c>
      <c r="B4137" s="940">
        <v>83</v>
      </c>
      <c r="C4137" t="s">
        <v>9170</v>
      </c>
      <c r="D4137" s="940" t="s">
        <v>9171</v>
      </c>
      <c r="E4137" t="s">
        <v>1251</v>
      </c>
    </row>
    <row r="4138" spans="1:5" x14ac:dyDescent="0.25">
      <c r="A4138" s="940">
        <v>2129</v>
      </c>
      <c r="B4138" s="940">
        <v>46</v>
      </c>
      <c r="C4138" t="s">
        <v>9172</v>
      </c>
      <c r="D4138" s="940" t="s">
        <v>4952</v>
      </c>
      <c r="E4138" t="s">
        <v>1332</v>
      </c>
    </row>
    <row r="4139" spans="1:5" x14ac:dyDescent="0.25">
      <c r="A4139" s="940">
        <v>68</v>
      </c>
      <c r="B4139" s="940">
        <v>1224</v>
      </c>
      <c r="C4139" t="s">
        <v>9173</v>
      </c>
      <c r="D4139" s="940" t="s">
        <v>9174</v>
      </c>
      <c r="E4139" t="s">
        <v>1968</v>
      </c>
    </row>
    <row r="4140" spans="1:5" x14ac:dyDescent="0.25">
      <c r="A4140" s="940">
        <v>3141</v>
      </c>
      <c r="B4140" s="940">
        <v>5</v>
      </c>
      <c r="C4140" t="s">
        <v>9175</v>
      </c>
      <c r="D4140" s="940" t="s">
        <v>7963</v>
      </c>
      <c r="E4140" t="s">
        <v>3098</v>
      </c>
    </row>
    <row r="4141" spans="1:5" x14ac:dyDescent="0.25">
      <c r="A4141" s="940">
        <v>3395</v>
      </c>
      <c r="B4141" s="940">
        <v>1</v>
      </c>
      <c r="C4141" t="s">
        <v>9176</v>
      </c>
      <c r="D4141" s="940" t="s">
        <v>4862</v>
      </c>
      <c r="E4141" t="s">
        <v>179</v>
      </c>
    </row>
    <row r="4142" spans="1:5" x14ac:dyDescent="0.25">
      <c r="A4142" s="940">
        <v>1217</v>
      </c>
      <c r="B4142" s="940">
        <v>152</v>
      </c>
      <c r="C4142" t="s">
        <v>9177</v>
      </c>
      <c r="D4142" s="940" t="s">
        <v>5791</v>
      </c>
      <c r="E4142" t="s">
        <v>1246</v>
      </c>
    </row>
    <row r="4143" spans="1:5" x14ac:dyDescent="0.25">
      <c r="A4143" s="940">
        <v>2996</v>
      </c>
      <c r="B4143" s="940">
        <v>8</v>
      </c>
      <c r="C4143" t="s">
        <v>9178</v>
      </c>
      <c r="D4143" s="940" t="s">
        <v>3248</v>
      </c>
      <c r="E4143" t="s">
        <v>1232</v>
      </c>
    </row>
    <row r="4144" spans="1:5" x14ac:dyDescent="0.25">
      <c r="A4144" s="940">
        <v>2206</v>
      </c>
      <c r="B4144" s="940">
        <v>42</v>
      </c>
      <c r="C4144" t="s">
        <v>9179</v>
      </c>
      <c r="D4144" s="940" t="s">
        <v>5605</v>
      </c>
      <c r="E4144" t="s">
        <v>1214</v>
      </c>
    </row>
    <row r="4145" spans="1:5" x14ac:dyDescent="0.25">
      <c r="A4145" s="940">
        <v>2291</v>
      </c>
      <c r="B4145" s="940">
        <v>37</v>
      </c>
      <c r="C4145" t="s">
        <v>9180</v>
      </c>
      <c r="D4145" s="940" t="s">
        <v>4456</v>
      </c>
      <c r="E4145" t="s">
        <v>117</v>
      </c>
    </row>
    <row r="4146" spans="1:5" x14ac:dyDescent="0.25">
      <c r="A4146" s="940">
        <v>2515</v>
      </c>
      <c r="B4146" s="940">
        <v>24</v>
      </c>
      <c r="C4146" t="s">
        <v>9181</v>
      </c>
      <c r="D4146" s="940" t="s">
        <v>9182</v>
      </c>
      <c r="E4146" t="s">
        <v>120</v>
      </c>
    </row>
    <row r="4147" spans="1:5" x14ac:dyDescent="0.25">
      <c r="A4147" s="940">
        <v>318</v>
      </c>
      <c r="B4147" s="940">
        <v>685</v>
      </c>
      <c r="C4147" t="s">
        <v>369</v>
      </c>
      <c r="D4147" s="940" t="s">
        <v>9183</v>
      </c>
      <c r="E4147" t="s">
        <v>99</v>
      </c>
    </row>
    <row r="4148" spans="1:5" x14ac:dyDescent="0.25">
      <c r="A4148" s="940">
        <v>1003</v>
      </c>
      <c r="B4148" s="940">
        <v>214</v>
      </c>
      <c r="C4148" t="s">
        <v>9184</v>
      </c>
      <c r="D4148" s="940" t="s">
        <v>9185</v>
      </c>
      <c r="E4148" t="s">
        <v>1176</v>
      </c>
    </row>
    <row r="4149" spans="1:5" x14ac:dyDescent="0.25">
      <c r="A4149" s="940">
        <v>2256</v>
      </c>
      <c r="B4149" s="940">
        <v>39</v>
      </c>
      <c r="C4149" t="s">
        <v>9186</v>
      </c>
      <c r="D4149" s="940" t="s">
        <v>4600</v>
      </c>
      <c r="E4149" t="s">
        <v>1171</v>
      </c>
    </row>
    <row r="4150" spans="1:5" x14ac:dyDescent="0.25">
      <c r="A4150" s="940">
        <v>1977</v>
      </c>
      <c r="B4150" s="940">
        <v>58</v>
      </c>
      <c r="C4150" t="s">
        <v>9187</v>
      </c>
      <c r="D4150" s="940" t="s">
        <v>9188</v>
      </c>
      <c r="E4150" t="s">
        <v>99</v>
      </c>
    </row>
    <row r="4151" spans="1:5" x14ac:dyDescent="0.25">
      <c r="A4151" s="940">
        <v>237</v>
      </c>
      <c r="B4151" s="940">
        <v>842</v>
      </c>
      <c r="C4151" t="s">
        <v>9189</v>
      </c>
      <c r="D4151" s="940" t="s">
        <v>9190</v>
      </c>
      <c r="E4151" t="s">
        <v>103</v>
      </c>
    </row>
    <row r="4152" spans="1:5" x14ac:dyDescent="0.25">
      <c r="A4152" s="940">
        <v>1001</v>
      </c>
      <c r="B4152" s="940">
        <v>215</v>
      </c>
      <c r="C4152" t="s">
        <v>2585</v>
      </c>
      <c r="D4152" s="940" t="s">
        <v>4046</v>
      </c>
      <c r="E4152" t="s">
        <v>1200</v>
      </c>
    </row>
    <row r="4153" spans="1:5" x14ac:dyDescent="0.25">
      <c r="A4153" s="940">
        <v>1287</v>
      </c>
      <c r="B4153" s="940">
        <v>138</v>
      </c>
      <c r="C4153" t="s">
        <v>2420</v>
      </c>
      <c r="D4153" s="940" t="s">
        <v>9191</v>
      </c>
      <c r="E4153" t="s">
        <v>111</v>
      </c>
    </row>
    <row r="4154" spans="1:5" x14ac:dyDescent="0.25">
      <c r="A4154" s="940">
        <v>3490</v>
      </c>
      <c r="B4154" s="940">
        <v>0</v>
      </c>
      <c r="C4154" t="s">
        <v>9192</v>
      </c>
      <c r="D4154" s="940" t="s">
        <v>7173</v>
      </c>
      <c r="E4154" t="s">
        <v>3533</v>
      </c>
    </row>
    <row r="4155" spans="1:5" x14ac:dyDescent="0.25">
      <c r="A4155" s="940">
        <v>3089</v>
      </c>
      <c r="B4155" s="940">
        <v>6</v>
      </c>
      <c r="C4155" t="s">
        <v>9193</v>
      </c>
      <c r="D4155" s="940" t="s">
        <v>5638</v>
      </c>
      <c r="E4155" t="s">
        <v>1158</v>
      </c>
    </row>
    <row r="4156" spans="1:5" x14ac:dyDescent="0.25">
      <c r="A4156" s="940">
        <v>2582</v>
      </c>
      <c r="B4156" s="940">
        <v>21</v>
      </c>
      <c r="C4156" t="s">
        <v>9194</v>
      </c>
      <c r="D4156" s="940" t="s">
        <v>6293</v>
      </c>
      <c r="E4156" t="s">
        <v>1156</v>
      </c>
    </row>
    <row r="4157" spans="1:5" x14ac:dyDescent="0.25">
      <c r="A4157" s="940">
        <v>5</v>
      </c>
      <c r="B4157" s="940">
        <v>1669</v>
      </c>
      <c r="C4157" t="s">
        <v>9195</v>
      </c>
      <c r="D4157" s="940" t="s">
        <v>9196</v>
      </c>
      <c r="E4157" t="s">
        <v>74</v>
      </c>
    </row>
    <row r="4158" spans="1:5" x14ac:dyDescent="0.25">
      <c r="A4158" s="940">
        <v>717</v>
      </c>
      <c r="B4158" s="940">
        <v>338</v>
      </c>
      <c r="C4158" t="s">
        <v>9197</v>
      </c>
      <c r="D4158" s="940" t="s">
        <v>9198</v>
      </c>
      <c r="E4158" t="s">
        <v>103</v>
      </c>
    </row>
    <row r="4159" spans="1:5" x14ac:dyDescent="0.25">
      <c r="A4159" s="940">
        <v>3327</v>
      </c>
      <c r="B4159" s="940">
        <v>2</v>
      </c>
      <c r="C4159" t="s">
        <v>9199</v>
      </c>
      <c r="D4159" s="940" t="s">
        <v>4683</v>
      </c>
      <c r="E4159" t="s">
        <v>2979</v>
      </c>
    </row>
    <row r="4160" spans="1:5" x14ac:dyDescent="0.25">
      <c r="A4160" s="940">
        <v>3490</v>
      </c>
      <c r="B4160" s="940">
        <v>0</v>
      </c>
      <c r="C4160" t="s">
        <v>9200</v>
      </c>
      <c r="D4160" s="940" t="s">
        <v>2753</v>
      </c>
      <c r="E4160" t="s">
        <v>1248</v>
      </c>
    </row>
    <row r="4161" spans="1:5" x14ac:dyDescent="0.25">
      <c r="A4161" s="940">
        <v>3490</v>
      </c>
      <c r="B4161" s="940">
        <v>0</v>
      </c>
      <c r="C4161" t="s">
        <v>9201</v>
      </c>
      <c r="D4161" s="940" t="s">
        <v>3004</v>
      </c>
      <c r="E4161" t="s">
        <v>1236</v>
      </c>
    </row>
    <row r="4162" spans="1:5" x14ac:dyDescent="0.25">
      <c r="A4162" s="940">
        <v>2241</v>
      </c>
      <c r="B4162" s="940">
        <v>40</v>
      </c>
      <c r="C4162" t="s">
        <v>9202</v>
      </c>
      <c r="D4162" s="940" t="s">
        <v>9203</v>
      </c>
      <c r="E4162" t="s">
        <v>99</v>
      </c>
    </row>
    <row r="4163" spans="1:5" x14ac:dyDescent="0.25">
      <c r="A4163" s="940">
        <v>293</v>
      </c>
      <c r="B4163" s="940">
        <v>722</v>
      </c>
      <c r="C4163" t="s">
        <v>9204</v>
      </c>
      <c r="D4163" s="940" t="s">
        <v>6101</v>
      </c>
      <c r="E4163" t="s">
        <v>3098</v>
      </c>
    </row>
    <row r="4164" spans="1:5" x14ac:dyDescent="0.25">
      <c r="A4164" s="940">
        <v>380</v>
      </c>
      <c r="B4164" s="940">
        <v>596</v>
      </c>
      <c r="C4164" t="s">
        <v>370</v>
      </c>
      <c r="D4164" s="940" t="s">
        <v>7131</v>
      </c>
      <c r="E4164" t="s">
        <v>2558</v>
      </c>
    </row>
    <row r="4165" spans="1:5" x14ac:dyDescent="0.25">
      <c r="A4165" s="940">
        <v>999</v>
      </c>
      <c r="B4165" s="940">
        <v>216</v>
      </c>
      <c r="C4165" t="s">
        <v>9205</v>
      </c>
      <c r="D4165" s="940" t="s">
        <v>4769</v>
      </c>
      <c r="E4165" t="s">
        <v>213</v>
      </c>
    </row>
    <row r="4166" spans="1:5" x14ac:dyDescent="0.25">
      <c r="A4166" s="940">
        <v>3490</v>
      </c>
      <c r="B4166" s="940">
        <v>0</v>
      </c>
      <c r="C4166" t="s">
        <v>9206</v>
      </c>
      <c r="D4166" s="940" t="s">
        <v>6363</v>
      </c>
      <c r="E4166" t="s">
        <v>1844</v>
      </c>
    </row>
    <row r="4167" spans="1:5" x14ac:dyDescent="0.25">
      <c r="A4167" s="940">
        <v>2291</v>
      </c>
      <c r="B4167" s="940">
        <v>37</v>
      </c>
      <c r="C4167" t="s">
        <v>9207</v>
      </c>
      <c r="D4167" s="940" t="s">
        <v>8578</v>
      </c>
      <c r="E4167" t="s">
        <v>1286</v>
      </c>
    </row>
    <row r="4168" spans="1:5" x14ac:dyDescent="0.25">
      <c r="A4168" s="940">
        <v>555</v>
      </c>
      <c r="B4168" s="940">
        <v>435</v>
      </c>
      <c r="C4168" t="s">
        <v>9208</v>
      </c>
      <c r="D4168" s="940" t="s">
        <v>9209</v>
      </c>
      <c r="E4168" t="s">
        <v>3200</v>
      </c>
    </row>
    <row r="4169" spans="1:5" x14ac:dyDescent="0.25">
      <c r="A4169" s="940">
        <v>3490</v>
      </c>
      <c r="B4169" s="940">
        <v>0</v>
      </c>
      <c r="C4169" t="s">
        <v>9210</v>
      </c>
      <c r="D4169" s="940" t="s">
        <v>6025</v>
      </c>
      <c r="E4169" t="s">
        <v>105</v>
      </c>
    </row>
    <row r="4170" spans="1:5" x14ac:dyDescent="0.25">
      <c r="A4170" s="940">
        <v>3490</v>
      </c>
      <c r="B4170" s="940">
        <v>0</v>
      </c>
      <c r="C4170" t="s">
        <v>9211</v>
      </c>
      <c r="D4170" s="940" t="s">
        <v>3976</v>
      </c>
      <c r="E4170" t="s">
        <v>1578</v>
      </c>
    </row>
    <row r="4171" spans="1:5" x14ac:dyDescent="0.25">
      <c r="A4171" s="940">
        <v>3141</v>
      </c>
      <c r="B4171" s="940">
        <v>5</v>
      </c>
      <c r="C4171" t="s">
        <v>9212</v>
      </c>
      <c r="D4171" s="940" t="s">
        <v>4841</v>
      </c>
      <c r="E4171" t="s">
        <v>105</v>
      </c>
    </row>
    <row r="4172" spans="1:5" x14ac:dyDescent="0.25">
      <c r="A4172" s="940">
        <v>3265</v>
      </c>
      <c r="B4172" s="940">
        <v>3</v>
      </c>
      <c r="C4172" t="s">
        <v>9213</v>
      </c>
      <c r="D4172" s="940" t="s">
        <v>3119</v>
      </c>
      <c r="E4172" t="s">
        <v>1158</v>
      </c>
    </row>
    <row r="4173" spans="1:5" x14ac:dyDescent="0.25">
      <c r="A4173" s="940">
        <v>923</v>
      </c>
      <c r="B4173" s="940">
        <v>247</v>
      </c>
      <c r="C4173" t="s">
        <v>2422</v>
      </c>
      <c r="D4173" s="940" t="s">
        <v>9214</v>
      </c>
      <c r="E4173" t="s">
        <v>120</v>
      </c>
    </row>
    <row r="4174" spans="1:5" x14ac:dyDescent="0.25">
      <c r="A4174" s="940">
        <v>3490</v>
      </c>
      <c r="B4174" s="940">
        <v>0</v>
      </c>
      <c r="C4174" t="s">
        <v>9215</v>
      </c>
      <c r="D4174" s="940" t="s">
        <v>9216</v>
      </c>
      <c r="E4174" t="s">
        <v>105</v>
      </c>
    </row>
    <row r="4175" spans="1:5" x14ac:dyDescent="0.25">
      <c r="A4175" s="940">
        <v>602</v>
      </c>
      <c r="B4175" s="940">
        <v>404</v>
      </c>
      <c r="C4175" t="s">
        <v>9217</v>
      </c>
      <c r="D4175" s="940" t="s">
        <v>9218</v>
      </c>
      <c r="E4175" t="s">
        <v>2735</v>
      </c>
    </row>
    <row r="4176" spans="1:5" x14ac:dyDescent="0.25">
      <c r="A4176" s="940">
        <v>3490</v>
      </c>
      <c r="B4176" s="940">
        <v>0</v>
      </c>
      <c r="C4176" t="s">
        <v>9219</v>
      </c>
      <c r="D4176" s="940" t="s">
        <v>6017</v>
      </c>
      <c r="E4176" t="s">
        <v>1200</v>
      </c>
    </row>
    <row r="4177" spans="1:5" x14ac:dyDescent="0.25">
      <c r="A4177" s="940">
        <v>438</v>
      </c>
      <c r="B4177" s="940">
        <v>533</v>
      </c>
      <c r="C4177" t="s">
        <v>755</v>
      </c>
      <c r="D4177" s="940" t="s">
        <v>9220</v>
      </c>
      <c r="E4177" t="s">
        <v>290</v>
      </c>
    </row>
    <row r="4178" spans="1:5" x14ac:dyDescent="0.25">
      <c r="A4178" s="940">
        <v>2152</v>
      </c>
      <c r="B4178" s="940">
        <v>45</v>
      </c>
      <c r="C4178" t="s">
        <v>9221</v>
      </c>
      <c r="D4178" s="940" t="s">
        <v>6133</v>
      </c>
      <c r="E4178" t="s">
        <v>103</v>
      </c>
    </row>
    <row r="4179" spans="1:5" x14ac:dyDescent="0.25">
      <c r="A4179" s="940">
        <v>223</v>
      </c>
      <c r="B4179" s="940">
        <v>864</v>
      </c>
      <c r="C4179" t="s">
        <v>9222</v>
      </c>
      <c r="D4179" s="940" t="s">
        <v>9223</v>
      </c>
      <c r="E4179" t="s">
        <v>120</v>
      </c>
    </row>
    <row r="4180" spans="1:5" x14ac:dyDescent="0.25">
      <c r="A4180" s="940">
        <v>2582</v>
      </c>
      <c r="B4180" s="940">
        <v>21</v>
      </c>
      <c r="C4180" t="s">
        <v>9224</v>
      </c>
      <c r="D4180" s="940" t="s">
        <v>4724</v>
      </c>
      <c r="E4180" t="s">
        <v>105</v>
      </c>
    </row>
    <row r="4181" spans="1:5" x14ac:dyDescent="0.25">
      <c r="A4181" s="940">
        <v>829</v>
      </c>
      <c r="B4181" s="940">
        <v>286</v>
      </c>
      <c r="C4181" t="s">
        <v>2427</v>
      </c>
      <c r="D4181" s="940" t="s">
        <v>9225</v>
      </c>
      <c r="E4181" t="s">
        <v>130</v>
      </c>
    </row>
    <row r="4182" spans="1:5" x14ac:dyDescent="0.25">
      <c r="A4182" s="940">
        <v>2782</v>
      </c>
      <c r="B4182" s="940">
        <v>14</v>
      </c>
      <c r="C4182" t="s">
        <v>9226</v>
      </c>
      <c r="D4182" s="940" t="s">
        <v>9227</v>
      </c>
      <c r="E4182" t="s">
        <v>130</v>
      </c>
    </row>
    <row r="4183" spans="1:5" x14ac:dyDescent="0.25">
      <c r="A4183" s="940">
        <v>3045</v>
      </c>
      <c r="B4183" s="940">
        <v>7</v>
      </c>
      <c r="C4183" t="s">
        <v>9228</v>
      </c>
      <c r="D4183" s="940" t="s">
        <v>9229</v>
      </c>
      <c r="E4183" t="s">
        <v>614</v>
      </c>
    </row>
    <row r="4184" spans="1:5" x14ac:dyDescent="0.25">
      <c r="A4184" s="940">
        <v>3395</v>
      </c>
      <c r="B4184" s="940">
        <v>1</v>
      </c>
      <c r="C4184" t="s">
        <v>9230</v>
      </c>
      <c r="D4184" s="940" t="s">
        <v>8083</v>
      </c>
      <c r="E4184" t="s">
        <v>1238</v>
      </c>
    </row>
    <row r="4185" spans="1:5" x14ac:dyDescent="0.25">
      <c r="A4185" s="940">
        <v>1848</v>
      </c>
      <c r="B4185" s="940">
        <v>68</v>
      </c>
      <c r="C4185" t="s">
        <v>9231</v>
      </c>
      <c r="D4185" s="940" t="s">
        <v>5256</v>
      </c>
      <c r="E4185" t="s">
        <v>120</v>
      </c>
    </row>
    <row r="4186" spans="1:5" x14ac:dyDescent="0.25">
      <c r="A4186" s="940">
        <v>840</v>
      </c>
      <c r="B4186" s="940">
        <v>279</v>
      </c>
      <c r="C4186" t="s">
        <v>9232</v>
      </c>
      <c r="D4186" s="940" t="s">
        <v>9233</v>
      </c>
      <c r="E4186" t="s">
        <v>139</v>
      </c>
    </row>
    <row r="4187" spans="1:5" x14ac:dyDescent="0.25">
      <c r="A4187" s="940">
        <v>1197</v>
      </c>
      <c r="B4187" s="940">
        <v>157</v>
      </c>
      <c r="C4187" t="s">
        <v>880</v>
      </c>
      <c r="D4187" s="940" t="s">
        <v>9234</v>
      </c>
      <c r="E4187" t="s">
        <v>1200</v>
      </c>
    </row>
    <row r="4188" spans="1:5" x14ac:dyDescent="0.25">
      <c r="A4188" s="940">
        <v>750</v>
      </c>
      <c r="B4188" s="940">
        <v>320</v>
      </c>
      <c r="C4188" t="s">
        <v>9235</v>
      </c>
      <c r="D4188" s="940" t="s">
        <v>9236</v>
      </c>
      <c r="E4188" t="s">
        <v>5527</v>
      </c>
    </row>
    <row r="4189" spans="1:5" x14ac:dyDescent="0.25">
      <c r="A4189" s="940">
        <v>3327</v>
      </c>
      <c r="B4189" s="940">
        <v>2</v>
      </c>
      <c r="C4189" t="s">
        <v>9237</v>
      </c>
      <c r="D4189" s="940" t="s">
        <v>9238</v>
      </c>
      <c r="E4189" t="s">
        <v>1460</v>
      </c>
    </row>
    <row r="4190" spans="1:5" x14ac:dyDescent="0.25">
      <c r="A4190" s="940">
        <v>247</v>
      </c>
      <c r="B4190" s="940">
        <v>822</v>
      </c>
      <c r="C4190" t="s">
        <v>9239</v>
      </c>
      <c r="D4190" s="940" t="s">
        <v>9240</v>
      </c>
      <c r="E4190" t="s">
        <v>1156</v>
      </c>
    </row>
    <row r="4191" spans="1:5" x14ac:dyDescent="0.25">
      <c r="A4191" s="940">
        <v>377</v>
      </c>
      <c r="B4191" s="940">
        <v>601</v>
      </c>
      <c r="C4191" t="s">
        <v>757</v>
      </c>
      <c r="D4191" s="940" t="s">
        <v>9241</v>
      </c>
      <c r="E4191" t="s">
        <v>105</v>
      </c>
    </row>
    <row r="4192" spans="1:5" x14ac:dyDescent="0.25">
      <c r="A4192" s="940">
        <v>2626</v>
      </c>
      <c r="B4192" s="940">
        <v>19</v>
      </c>
      <c r="C4192" t="s">
        <v>9242</v>
      </c>
      <c r="D4192" s="940" t="s">
        <v>7040</v>
      </c>
      <c r="E4192" t="s">
        <v>3114</v>
      </c>
    </row>
    <row r="4193" spans="1:5" x14ac:dyDescent="0.25">
      <c r="A4193" s="940">
        <v>3045</v>
      </c>
      <c r="B4193" s="940">
        <v>7</v>
      </c>
      <c r="C4193" t="s">
        <v>9243</v>
      </c>
      <c r="D4193" s="940" t="s">
        <v>4175</v>
      </c>
      <c r="E4193" t="s">
        <v>103</v>
      </c>
    </row>
    <row r="4194" spans="1:5" x14ac:dyDescent="0.25">
      <c r="A4194" s="940">
        <v>2221</v>
      </c>
      <c r="B4194" s="940">
        <v>41</v>
      </c>
      <c r="C4194" t="s">
        <v>9244</v>
      </c>
      <c r="D4194" s="940" t="s">
        <v>9245</v>
      </c>
      <c r="E4194" t="s">
        <v>2793</v>
      </c>
    </row>
    <row r="4195" spans="1:5" x14ac:dyDescent="0.25">
      <c r="A4195" s="940">
        <v>3490</v>
      </c>
      <c r="B4195" s="940">
        <v>0</v>
      </c>
      <c r="C4195" t="s">
        <v>9246</v>
      </c>
      <c r="D4195" s="940" t="s">
        <v>3691</v>
      </c>
      <c r="E4195" t="s">
        <v>105</v>
      </c>
    </row>
    <row r="4196" spans="1:5" x14ac:dyDescent="0.25">
      <c r="A4196" s="940">
        <v>587</v>
      </c>
      <c r="B4196" s="940">
        <v>411</v>
      </c>
      <c r="C4196" t="s">
        <v>9247</v>
      </c>
      <c r="D4196" s="940" t="s">
        <v>9248</v>
      </c>
      <c r="E4196" t="s">
        <v>103</v>
      </c>
    </row>
    <row r="4197" spans="1:5" x14ac:dyDescent="0.25">
      <c r="A4197" s="940">
        <v>944</v>
      </c>
      <c r="B4197" s="940">
        <v>239</v>
      </c>
      <c r="C4197" t="s">
        <v>9249</v>
      </c>
      <c r="D4197" s="940" t="s">
        <v>3953</v>
      </c>
      <c r="E4197" t="s">
        <v>120</v>
      </c>
    </row>
    <row r="4198" spans="1:5" x14ac:dyDescent="0.25">
      <c r="A4198" s="940">
        <v>3265</v>
      </c>
      <c r="B4198" s="940">
        <v>3</v>
      </c>
      <c r="C4198" t="s">
        <v>9250</v>
      </c>
      <c r="D4198" s="940" t="s">
        <v>5401</v>
      </c>
      <c r="E4198" t="s">
        <v>1968</v>
      </c>
    </row>
    <row r="4199" spans="1:5" x14ac:dyDescent="0.25">
      <c r="A4199" s="940">
        <v>1233</v>
      </c>
      <c r="B4199" s="940">
        <v>149</v>
      </c>
      <c r="C4199" t="s">
        <v>2587</v>
      </c>
      <c r="D4199" s="940" t="s">
        <v>9251</v>
      </c>
      <c r="E4199" t="s">
        <v>99</v>
      </c>
    </row>
    <row r="4200" spans="1:5" x14ac:dyDescent="0.25">
      <c r="A4200" s="940">
        <v>1787</v>
      </c>
      <c r="B4200" s="940">
        <v>74</v>
      </c>
      <c r="C4200" t="s">
        <v>2435</v>
      </c>
      <c r="D4200" s="940" t="s">
        <v>9252</v>
      </c>
      <c r="E4200" t="s">
        <v>105</v>
      </c>
    </row>
    <row r="4201" spans="1:5" x14ac:dyDescent="0.25">
      <c r="A4201" s="940">
        <v>3490</v>
      </c>
      <c r="B4201" s="940">
        <v>0</v>
      </c>
      <c r="C4201" t="s">
        <v>9253</v>
      </c>
      <c r="D4201" s="940" t="s">
        <v>5529</v>
      </c>
      <c r="E4201" t="s">
        <v>122</v>
      </c>
    </row>
    <row r="4202" spans="1:5" x14ac:dyDescent="0.25">
      <c r="A4202" s="940">
        <v>3490</v>
      </c>
      <c r="B4202" s="940">
        <v>0</v>
      </c>
      <c r="C4202" t="s">
        <v>9254</v>
      </c>
      <c r="D4202" s="940" t="s">
        <v>9255</v>
      </c>
      <c r="E4202" t="s">
        <v>122</v>
      </c>
    </row>
    <row r="4203" spans="1:5" x14ac:dyDescent="0.25">
      <c r="A4203" s="940">
        <v>808</v>
      </c>
      <c r="B4203" s="940">
        <v>294</v>
      </c>
      <c r="C4203" t="s">
        <v>9256</v>
      </c>
      <c r="D4203" s="940" t="s">
        <v>9257</v>
      </c>
      <c r="E4203" t="s">
        <v>1311</v>
      </c>
    </row>
    <row r="4204" spans="1:5" x14ac:dyDescent="0.25">
      <c r="A4204" s="940">
        <v>3490</v>
      </c>
      <c r="B4204" s="940">
        <v>0</v>
      </c>
      <c r="C4204" t="s">
        <v>9258</v>
      </c>
      <c r="D4204" s="940" t="s">
        <v>9259</v>
      </c>
      <c r="E4204" t="s">
        <v>105</v>
      </c>
    </row>
    <row r="4205" spans="1:5" x14ac:dyDescent="0.25">
      <c r="A4205" s="940">
        <v>1836</v>
      </c>
      <c r="B4205" s="940">
        <v>69</v>
      </c>
      <c r="C4205" t="s">
        <v>9260</v>
      </c>
      <c r="D4205" s="940" t="s">
        <v>9261</v>
      </c>
      <c r="E4205" t="s">
        <v>104</v>
      </c>
    </row>
    <row r="4206" spans="1:5" x14ac:dyDescent="0.25">
      <c r="A4206" s="940">
        <v>2121</v>
      </c>
      <c r="B4206" s="940">
        <v>47</v>
      </c>
      <c r="C4206" t="s">
        <v>9262</v>
      </c>
      <c r="D4206" s="940" t="s">
        <v>8727</v>
      </c>
      <c r="E4206" t="s">
        <v>128</v>
      </c>
    </row>
    <row r="4207" spans="1:5" x14ac:dyDescent="0.25">
      <c r="A4207" s="940">
        <v>48</v>
      </c>
      <c r="B4207" s="940">
        <v>1315</v>
      </c>
      <c r="C4207" t="s">
        <v>9263</v>
      </c>
      <c r="D4207" s="940" t="s">
        <v>9264</v>
      </c>
      <c r="E4207" t="s">
        <v>105</v>
      </c>
    </row>
    <row r="4208" spans="1:5" x14ac:dyDescent="0.25">
      <c r="A4208" s="940">
        <v>1724</v>
      </c>
      <c r="B4208" s="940">
        <v>81</v>
      </c>
      <c r="C4208" t="s">
        <v>9265</v>
      </c>
      <c r="D4208" s="940" t="s">
        <v>5391</v>
      </c>
      <c r="E4208" t="s">
        <v>5767</v>
      </c>
    </row>
    <row r="4209" spans="1:5" x14ac:dyDescent="0.25">
      <c r="A4209" s="940">
        <v>217</v>
      </c>
      <c r="B4209" s="940">
        <v>872</v>
      </c>
      <c r="C4209" t="s">
        <v>9266</v>
      </c>
      <c r="D4209" s="940" t="s">
        <v>9267</v>
      </c>
      <c r="E4209" t="s">
        <v>251</v>
      </c>
    </row>
    <row r="4210" spans="1:5" x14ac:dyDescent="0.25">
      <c r="A4210" s="940">
        <v>624</v>
      </c>
      <c r="B4210" s="940">
        <v>386</v>
      </c>
      <c r="C4210" t="s">
        <v>9268</v>
      </c>
      <c r="D4210" s="940" t="s">
        <v>9269</v>
      </c>
      <c r="E4210" t="s">
        <v>103</v>
      </c>
    </row>
    <row r="4211" spans="1:5" x14ac:dyDescent="0.25">
      <c r="A4211" s="940">
        <v>2499</v>
      </c>
      <c r="B4211" s="940">
        <v>25</v>
      </c>
      <c r="C4211" t="s">
        <v>9270</v>
      </c>
      <c r="D4211" s="940" t="s">
        <v>8149</v>
      </c>
      <c r="E4211" t="s">
        <v>3171</v>
      </c>
    </row>
    <row r="4212" spans="1:5" x14ac:dyDescent="0.25">
      <c r="A4212" s="940">
        <v>3196</v>
      </c>
      <c r="B4212" s="940">
        <v>4</v>
      </c>
      <c r="C4212" t="s">
        <v>9271</v>
      </c>
      <c r="D4212" s="940" t="s">
        <v>5919</v>
      </c>
      <c r="E4212" t="s">
        <v>99</v>
      </c>
    </row>
    <row r="4213" spans="1:5" x14ac:dyDescent="0.25">
      <c r="A4213" s="940">
        <v>3141</v>
      </c>
      <c r="B4213" s="940">
        <v>5</v>
      </c>
      <c r="C4213" t="s">
        <v>9272</v>
      </c>
      <c r="D4213" s="940" t="s">
        <v>4407</v>
      </c>
      <c r="E4213" t="s">
        <v>122</v>
      </c>
    </row>
    <row r="4214" spans="1:5" x14ac:dyDescent="0.25">
      <c r="A4214" s="940">
        <v>841</v>
      </c>
      <c r="B4214" s="940">
        <v>278</v>
      </c>
      <c r="C4214" t="s">
        <v>9273</v>
      </c>
      <c r="D4214" s="940" t="s">
        <v>9274</v>
      </c>
      <c r="E4214" t="s">
        <v>257</v>
      </c>
    </row>
    <row r="4215" spans="1:5" x14ac:dyDescent="0.25">
      <c r="A4215" s="940">
        <v>2241</v>
      </c>
      <c r="B4215" s="940">
        <v>40</v>
      </c>
      <c r="C4215" t="s">
        <v>9275</v>
      </c>
      <c r="D4215" s="940" t="s">
        <v>8942</v>
      </c>
      <c r="E4215" t="s">
        <v>6245</v>
      </c>
    </row>
    <row r="4216" spans="1:5" x14ac:dyDescent="0.25">
      <c r="A4216" s="940">
        <v>628</v>
      </c>
      <c r="B4216" s="940">
        <v>384</v>
      </c>
      <c r="C4216" t="s">
        <v>371</v>
      </c>
      <c r="D4216" s="940" t="s">
        <v>9276</v>
      </c>
      <c r="E4216" t="s">
        <v>105</v>
      </c>
    </row>
    <row r="4217" spans="1:5" x14ac:dyDescent="0.25">
      <c r="A4217" s="940">
        <v>3395</v>
      </c>
      <c r="B4217" s="940">
        <v>1</v>
      </c>
      <c r="C4217" t="s">
        <v>9277</v>
      </c>
      <c r="D4217" s="940" t="s">
        <v>9278</v>
      </c>
      <c r="E4217" t="s">
        <v>111</v>
      </c>
    </row>
    <row r="4218" spans="1:5" x14ac:dyDescent="0.25">
      <c r="A4218" s="940">
        <v>1615</v>
      </c>
      <c r="B4218" s="940">
        <v>93</v>
      </c>
      <c r="C4218" t="s">
        <v>9279</v>
      </c>
      <c r="D4218" s="940" t="s">
        <v>8862</v>
      </c>
      <c r="E4218" t="s">
        <v>5136</v>
      </c>
    </row>
    <row r="4219" spans="1:5" x14ac:dyDescent="0.25">
      <c r="A4219" s="940">
        <v>1406</v>
      </c>
      <c r="B4219" s="940">
        <v>119</v>
      </c>
      <c r="C4219" t="s">
        <v>9280</v>
      </c>
      <c r="D4219" s="940" t="s">
        <v>9281</v>
      </c>
      <c r="E4219" t="s">
        <v>75</v>
      </c>
    </row>
    <row r="4220" spans="1:5" x14ac:dyDescent="0.25">
      <c r="A4220" s="940">
        <v>3490</v>
      </c>
      <c r="B4220" s="940">
        <v>0</v>
      </c>
      <c r="C4220" t="s">
        <v>9282</v>
      </c>
      <c r="D4220" s="940" t="s">
        <v>9283</v>
      </c>
      <c r="E4220" t="s">
        <v>144</v>
      </c>
    </row>
    <row r="4221" spans="1:5" x14ac:dyDescent="0.25">
      <c r="A4221" s="940">
        <v>2907</v>
      </c>
      <c r="B4221" s="940">
        <v>10</v>
      </c>
      <c r="C4221" t="s">
        <v>9284</v>
      </c>
      <c r="D4221" s="940" t="s">
        <v>9285</v>
      </c>
      <c r="E4221" t="s">
        <v>111</v>
      </c>
    </row>
    <row r="4222" spans="1:5" x14ac:dyDescent="0.25">
      <c r="A4222" s="940">
        <v>3490</v>
      </c>
      <c r="B4222" s="940">
        <v>0</v>
      </c>
      <c r="C4222" t="s">
        <v>9286</v>
      </c>
      <c r="D4222" s="940" t="s">
        <v>6878</v>
      </c>
      <c r="E4222" t="s">
        <v>120</v>
      </c>
    </row>
    <row r="4223" spans="1:5" x14ac:dyDescent="0.25">
      <c r="A4223" s="940">
        <v>3490</v>
      </c>
      <c r="B4223" s="940">
        <v>0</v>
      </c>
      <c r="C4223" t="s">
        <v>9287</v>
      </c>
      <c r="D4223" s="940" t="s">
        <v>2626</v>
      </c>
      <c r="E4223" t="s">
        <v>120</v>
      </c>
    </row>
    <row r="4224" spans="1:5" x14ac:dyDescent="0.25">
      <c r="A4224" s="940">
        <v>2659</v>
      </c>
      <c r="B4224" s="940">
        <v>18</v>
      </c>
      <c r="C4224" t="s">
        <v>9288</v>
      </c>
      <c r="D4224" s="940" t="s">
        <v>9289</v>
      </c>
      <c r="E4224" t="s">
        <v>74</v>
      </c>
    </row>
    <row r="4225" spans="1:5" x14ac:dyDescent="0.25">
      <c r="A4225" s="940">
        <v>1040</v>
      </c>
      <c r="B4225" s="940">
        <v>203</v>
      </c>
      <c r="C4225" t="s">
        <v>372</v>
      </c>
      <c r="D4225" s="940" t="s">
        <v>9234</v>
      </c>
      <c r="E4225" t="s">
        <v>120</v>
      </c>
    </row>
    <row r="4226" spans="1:5" x14ac:dyDescent="0.25">
      <c r="A4226" s="940">
        <v>720</v>
      </c>
      <c r="B4226" s="940">
        <v>336</v>
      </c>
      <c r="C4226" t="s">
        <v>9290</v>
      </c>
      <c r="D4226" s="940" t="s">
        <v>9291</v>
      </c>
      <c r="E4226" t="s">
        <v>9292</v>
      </c>
    </row>
    <row r="4227" spans="1:5" x14ac:dyDescent="0.25">
      <c r="A4227" s="940">
        <v>3490</v>
      </c>
      <c r="B4227" s="940">
        <v>0</v>
      </c>
      <c r="C4227" t="s">
        <v>9293</v>
      </c>
      <c r="D4227" s="940" t="s">
        <v>6097</v>
      </c>
      <c r="E4227" t="s">
        <v>2720</v>
      </c>
    </row>
    <row r="4228" spans="1:5" x14ac:dyDescent="0.25">
      <c r="A4228" s="940">
        <v>3490</v>
      </c>
      <c r="B4228" s="940">
        <v>0</v>
      </c>
      <c r="C4228" t="s">
        <v>9294</v>
      </c>
      <c r="D4228" s="940" t="s">
        <v>9295</v>
      </c>
      <c r="E4228" t="s">
        <v>4583</v>
      </c>
    </row>
    <row r="4229" spans="1:5" x14ac:dyDescent="0.25">
      <c r="A4229" s="940">
        <v>583</v>
      </c>
      <c r="B4229" s="940">
        <v>413</v>
      </c>
      <c r="C4229" t="s">
        <v>9296</v>
      </c>
      <c r="D4229" s="940" t="s">
        <v>9297</v>
      </c>
      <c r="E4229" t="s">
        <v>103</v>
      </c>
    </row>
    <row r="4230" spans="1:5" x14ac:dyDescent="0.25">
      <c r="A4230" s="940">
        <v>2659</v>
      </c>
      <c r="B4230" s="940">
        <v>18</v>
      </c>
      <c r="C4230" t="s">
        <v>9298</v>
      </c>
      <c r="D4230" s="940" t="s">
        <v>8433</v>
      </c>
      <c r="E4230" t="s">
        <v>165</v>
      </c>
    </row>
    <row r="4231" spans="1:5" x14ac:dyDescent="0.25">
      <c r="A4231" s="940">
        <v>1292</v>
      </c>
      <c r="B4231" s="940">
        <v>137</v>
      </c>
      <c r="C4231" t="s">
        <v>9299</v>
      </c>
      <c r="D4231" s="940" t="s">
        <v>7407</v>
      </c>
      <c r="E4231" t="s">
        <v>213</v>
      </c>
    </row>
    <row r="4232" spans="1:5" x14ac:dyDescent="0.25">
      <c r="A4232" s="940">
        <v>1114</v>
      </c>
      <c r="B4232" s="940">
        <v>176</v>
      </c>
      <c r="C4232" t="s">
        <v>9300</v>
      </c>
      <c r="D4232" s="940" t="s">
        <v>5741</v>
      </c>
      <c r="E4232" t="s">
        <v>1584</v>
      </c>
    </row>
    <row r="4233" spans="1:5" x14ac:dyDescent="0.25">
      <c r="A4233" s="940">
        <v>1280</v>
      </c>
      <c r="B4233" s="940">
        <v>140</v>
      </c>
      <c r="C4233" t="s">
        <v>9301</v>
      </c>
      <c r="D4233" s="940" t="s">
        <v>9302</v>
      </c>
      <c r="E4233" t="s">
        <v>1211</v>
      </c>
    </row>
    <row r="4234" spans="1:5" x14ac:dyDescent="0.25">
      <c r="A4234" s="940">
        <v>345</v>
      </c>
      <c r="B4234" s="940">
        <v>642</v>
      </c>
      <c r="C4234" t="s">
        <v>2533</v>
      </c>
      <c r="D4234" s="940" t="s">
        <v>9303</v>
      </c>
      <c r="E4234" t="s">
        <v>2558</v>
      </c>
    </row>
    <row r="4235" spans="1:5" x14ac:dyDescent="0.25">
      <c r="A4235" s="940">
        <v>2743</v>
      </c>
      <c r="B4235" s="940">
        <v>15</v>
      </c>
      <c r="C4235" t="s">
        <v>9304</v>
      </c>
      <c r="D4235" s="940" t="s">
        <v>3766</v>
      </c>
      <c r="E4235" t="s">
        <v>99</v>
      </c>
    </row>
    <row r="4236" spans="1:5" x14ac:dyDescent="0.25">
      <c r="A4236" s="940">
        <v>1424</v>
      </c>
      <c r="B4236" s="940">
        <v>116</v>
      </c>
      <c r="C4236" t="s">
        <v>9305</v>
      </c>
      <c r="D4236" s="940" t="s">
        <v>9182</v>
      </c>
      <c r="E4236" t="s">
        <v>170</v>
      </c>
    </row>
    <row r="4237" spans="1:5" x14ac:dyDescent="0.25">
      <c r="A4237" s="940">
        <v>2907</v>
      </c>
      <c r="B4237" s="940">
        <v>10</v>
      </c>
      <c r="C4237" t="s">
        <v>9306</v>
      </c>
      <c r="D4237" s="940" t="s">
        <v>4666</v>
      </c>
      <c r="E4237" t="s">
        <v>4574</v>
      </c>
    </row>
    <row r="4238" spans="1:5" x14ac:dyDescent="0.25">
      <c r="A4238" s="940">
        <v>3490</v>
      </c>
      <c r="B4238" s="940">
        <v>0</v>
      </c>
      <c r="C4238" t="s">
        <v>9307</v>
      </c>
      <c r="D4238" s="940" t="s">
        <v>3792</v>
      </c>
      <c r="E4238" t="s">
        <v>3098</v>
      </c>
    </row>
    <row r="4239" spans="1:5" x14ac:dyDescent="0.25">
      <c r="A4239" s="940">
        <v>3196</v>
      </c>
      <c r="B4239" s="940">
        <v>4</v>
      </c>
      <c r="C4239" t="s">
        <v>9308</v>
      </c>
      <c r="D4239" s="940" t="s">
        <v>7152</v>
      </c>
      <c r="E4239" t="s">
        <v>83</v>
      </c>
    </row>
    <row r="4240" spans="1:5" x14ac:dyDescent="0.25">
      <c r="A4240" s="940">
        <v>3490</v>
      </c>
      <c r="B4240" s="940">
        <v>0</v>
      </c>
      <c r="C4240" t="s">
        <v>9309</v>
      </c>
      <c r="D4240" s="940" t="s">
        <v>9310</v>
      </c>
      <c r="E4240" t="s">
        <v>9311</v>
      </c>
    </row>
    <row r="4241" spans="1:5" x14ac:dyDescent="0.25">
      <c r="A4241" s="940">
        <v>1161</v>
      </c>
      <c r="B4241" s="940">
        <v>166</v>
      </c>
      <c r="C4241" t="s">
        <v>9312</v>
      </c>
      <c r="D4241" s="940" t="s">
        <v>9313</v>
      </c>
      <c r="E4241" t="s">
        <v>1435</v>
      </c>
    </row>
    <row r="4242" spans="1:5" x14ac:dyDescent="0.25">
      <c r="A4242" s="940">
        <v>2558</v>
      </c>
      <c r="B4242" s="940">
        <v>22</v>
      </c>
      <c r="C4242" t="s">
        <v>9314</v>
      </c>
      <c r="D4242" s="940" t="s">
        <v>9315</v>
      </c>
      <c r="E4242" t="s">
        <v>145</v>
      </c>
    </row>
    <row r="4243" spans="1:5" x14ac:dyDescent="0.25">
      <c r="A4243" s="940">
        <v>2381</v>
      </c>
      <c r="B4243" s="940">
        <v>31</v>
      </c>
      <c r="C4243" t="s">
        <v>9316</v>
      </c>
      <c r="D4243" s="940" t="s">
        <v>8083</v>
      </c>
      <c r="E4243" t="s">
        <v>227</v>
      </c>
    </row>
    <row r="4244" spans="1:5" x14ac:dyDescent="0.25">
      <c r="A4244" s="940">
        <v>3490</v>
      </c>
      <c r="B4244" s="940">
        <v>0</v>
      </c>
      <c r="C4244" t="s">
        <v>9317</v>
      </c>
      <c r="D4244" s="940" t="s">
        <v>8114</v>
      </c>
      <c r="E4244" t="s">
        <v>1238</v>
      </c>
    </row>
    <row r="4245" spans="1:5" x14ac:dyDescent="0.25">
      <c r="A4245" s="940">
        <v>2839</v>
      </c>
      <c r="B4245" s="940">
        <v>12</v>
      </c>
      <c r="C4245" t="s">
        <v>9318</v>
      </c>
      <c r="D4245" s="940" t="s">
        <v>3513</v>
      </c>
      <c r="E4245" t="s">
        <v>138</v>
      </c>
    </row>
    <row r="4246" spans="1:5" x14ac:dyDescent="0.25">
      <c r="A4246" s="940">
        <v>1214</v>
      </c>
      <c r="B4246" s="940">
        <v>153</v>
      </c>
      <c r="C4246" t="s">
        <v>9319</v>
      </c>
      <c r="D4246" s="813" t="s">
        <v>9320</v>
      </c>
      <c r="E4246" t="s">
        <v>175</v>
      </c>
    </row>
    <row r="4247" spans="1:5" x14ac:dyDescent="0.25">
      <c r="A4247" s="940">
        <v>1272</v>
      </c>
      <c r="B4247" s="940">
        <v>141</v>
      </c>
      <c r="C4247" t="s">
        <v>2447</v>
      </c>
      <c r="D4247" s="940" t="s">
        <v>7624</v>
      </c>
      <c r="E4247" t="s">
        <v>1275</v>
      </c>
    </row>
    <row r="4248" spans="1:5" x14ac:dyDescent="0.25">
      <c r="A4248" s="940">
        <v>847</v>
      </c>
      <c r="B4248" s="940">
        <v>275</v>
      </c>
      <c r="C4248" t="s">
        <v>9321</v>
      </c>
      <c r="D4248" s="940" t="s">
        <v>9322</v>
      </c>
      <c r="E4248" t="s">
        <v>9323</v>
      </c>
    </row>
    <row r="4249" spans="1:5" x14ac:dyDescent="0.25">
      <c r="A4249" s="940">
        <v>683</v>
      </c>
      <c r="B4249" s="940">
        <v>356</v>
      </c>
      <c r="C4249" t="s">
        <v>9324</v>
      </c>
      <c r="D4249" s="940" t="s">
        <v>3189</v>
      </c>
      <c r="E4249" t="s">
        <v>1171</v>
      </c>
    </row>
    <row r="4250" spans="1:5" x14ac:dyDescent="0.25">
      <c r="A4250" s="940">
        <v>514</v>
      </c>
      <c r="B4250" s="940">
        <v>456</v>
      </c>
      <c r="C4250" t="s">
        <v>9325</v>
      </c>
      <c r="D4250" s="940" t="s">
        <v>9326</v>
      </c>
      <c r="E4250" t="s">
        <v>111</v>
      </c>
    </row>
    <row r="4251" spans="1:5" x14ac:dyDescent="0.25">
      <c r="A4251" s="940">
        <v>1132</v>
      </c>
      <c r="B4251" s="940">
        <v>172</v>
      </c>
      <c r="C4251" t="s">
        <v>9327</v>
      </c>
      <c r="D4251" s="940" t="s">
        <v>9328</v>
      </c>
      <c r="E4251" t="s">
        <v>3954</v>
      </c>
    </row>
    <row r="4252" spans="1:5" x14ac:dyDescent="0.25">
      <c r="A4252" s="940">
        <v>3490</v>
      </c>
      <c r="B4252" s="940">
        <v>0</v>
      </c>
      <c r="C4252" t="s">
        <v>9329</v>
      </c>
      <c r="D4252" s="940" t="s">
        <v>9330</v>
      </c>
      <c r="E4252" t="s">
        <v>111</v>
      </c>
    </row>
    <row r="4253" spans="1:5" x14ac:dyDescent="0.25">
      <c r="A4253" s="940">
        <v>2515</v>
      </c>
      <c r="B4253" s="940">
        <v>24</v>
      </c>
      <c r="C4253" t="s">
        <v>9331</v>
      </c>
      <c r="D4253" s="940" t="s">
        <v>9332</v>
      </c>
      <c r="E4253" t="s">
        <v>1200</v>
      </c>
    </row>
    <row r="4254" spans="1:5" x14ac:dyDescent="0.25">
      <c r="A4254" s="940">
        <v>3490</v>
      </c>
      <c r="B4254" s="940">
        <v>0</v>
      </c>
      <c r="C4254" t="s">
        <v>9333</v>
      </c>
      <c r="D4254" s="940" t="s">
        <v>6371</v>
      </c>
      <c r="E4254" t="s">
        <v>105</v>
      </c>
    </row>
    <row r="4255" spans="1:5" x14ac:dyDescent="0.25">
      <c r="A4255" s="940">
        <v>1781</v>
      </c>
      <c r="B4255" s="940">
        <v>75</v>
      </c>
      <c r="C4255" t="s">
        <v>9334</v>
      </c>
      <c r="D4255" s="940" t="s">
        <v>9335</v>
      </c>
      <c r="E4255" t="s">
        <v>3098</v>
      </c>
    </row>
    <row r="4256" spans="1:5" x14ac:dyDescent="0.25">
      <c r="A4256" s="940">
        <v>129</v>
      </c>
      <c r="B4256" s="940">
        <v>1028</v>
      </c>
      <c r="C4256" t="s">
        <v>9336</v>
      </c>
      <c r="D4256" s="940" t="s">
        <v>9337</v>
      </c>
      <c r="E4256" t="s">
        <v>103</v>
      </c>
    </row>
    <row r="4257" spans="1:5" x14ac:dyDescent="0.25">
      <c r="A4257" s="940">
        <v>1672</v>
      </c>
      <c r="B4257" s="940">
        <v>86</v>
      </c>
      <c r="C4257" t="s">
        <v>9338</v>
      </c>
      <c r="D4257" s="940" t="s">
        <v>2731</v>
      </c>
      <c r="E4257" t="s">
        <v>2880</v>
      </c>
    </row>
    <row r="4258" spans="1:5" x14ac:dyDescent="0.25">
      <c r="A4258" s="940">
        <v>246</v>
      </c>
      <c r="B4258" s="940">
        <v>823</v>
      </c>
      <c r="C4258" t="s">
        <v>625</v>
      </c>
      <c r="D4258" s="940" t="s">
        <v>9339</v>
      </c>
      <c r="E4258" t="s">
        <v>74</v>
      </c>
    </row>
    <row r="4259" spans="1:5" x14ac:dyDescent="0.25">
      <c r="A4259" s="940">
        <v>3395</v>
      </c>
      <c r="B4259" s="940">
        <v>1</v>
      </c>
      <c r="C4259" t="s">
        <v>9340</v>
      </c>
      <c r="D4259" s="940" t="s">
        <v>5664</v>
      </c>
      <c r="E4259" t="s">
        <v>1198</v>
      </c>
    </row>
    <row r="4260" spans="1:5" x14ac:dyDescent="0.25">
      <c r="A4260" s="940">
        <v>327</v>
      </c>
      <c r="B4260" s="940">
        <v>669</v>
      </c>
      <c r="C4260" t="s">
        <v>9341</v>
      </c>
      <c r="D4260" s="940" t="s">
        <v>9342</v>
      </c>
      <c r="E4260" t="s">
        <v>1179</v>
      </c>
    </row>
    <row r="4261" spans="1:5" x14ac:dyDescent="0.25">
      <c r="A4261" s="940">
        <v>1317</v>
      </c>
      <c r="B4261" s="940">
        <v>132</v>
      </c>
      <c r="C4261" t="s">
        <v>9343</v>
      </c>
      <c r="D4261" s="940" t="s">
        <v>9344</v>
      </c>
      <c r="E4261" t="s">
        <v>3597</v>
      </c>
    </row>
    <row r="4262" spans="1:5" x14ac:dyDescent="0.25">
      <c r="A4262" s="940">
        <v>3490</v>
      </c>
      <c r="B4262" s="940">
        <v>0</v>
      </c>
      <c r="C4262" t="s">
        <v>9345</v>
      </c>
      <c r="D4262" s="940" t="s">
        <v>9346</v>
      </c>
      <c r="E4262" t="s">
        <v>120</v>
      </c>
    </row>
    <row r="4263" spans="1:5" x14ac:dyDescent="0.25">
      <c r="A4263" s="940">
        <v>210</v>
      </c>
      <c r="B4263" s="940">
        <v>881</v>
      </c>
      <c r="C4263" t="s">
        <v>9347</v>
      </c>
      <c r="D4263" s="940" t="s">
        <v>9348</v>
      </c>
      <c r="E4263" t="s">
        <v>120</v>
      </c>
    </row>
    <row r="4264" spans="1:5" x14ac:dyDescent="0.25">
      <c r="A4264" s="940">
        <v>358</v>
      </c>
      <c r="B4264" s="940">
        <v>624</v>
      </c>
      <c r="C4264" t="s">
        <v>2452</v>
      </c>
      <c r="D4264" s="940" t="s">
        <v>5350</v>
      </c>
      <c r="E4264" t="s">
        <v>105</v>
      </c>
    </row>
    <row r="4265" spans="1:5" x14ac:dyDescent="0.25">
      <c r="A4265" s="940">
        <v>2187</v>
      </c>
      <c r="B4265" s="940">
        <v>43</v>
      </c>
      <c r="C4265" t="s">
        <v>2453</v>
      </c>
      <c r="D4265" s="940" t="s">
        <v>4233</v>
      </c>
      <c r="E4265" t="s">
        <v>2454</v>
      </c>
    </row>
    <row r="4266" spans="1:5" x14ac:dyDescent="0.25">
      <c r="A4266" s="940">
        <v>1201</v>
      </c>
      <c r="B4266" s="940">
        <v>156</v>
      </c>
      <c r="C4266" t="s">
        <v>9349</v>
      </c>
      <c r="D4266" s="940" t="s">
        <v>4463</v>
      </c>
      <c r="E4266" t="s">
        <v>103</v>
      </c>
    </row>
    <row r="4267" spans="1:5" x14ac:dyDescent="0.25">
      <c r="A4267" s="940">
        <v>1968</v>
      </c>
      <c r="B4267" s="940">
        <v>59</v>
      </c>
      <c r="C4267" t="s">
        <v>9350</v>
      </c>
      <c r="D4267" s="940" t="s">
        <v>2870</v>
      </c>
      <c r="E4267" t="s">
        <v>3078</v>
      </c>
    </row>
    <row r="4268" spans="1:5" x14ac:dyDescent="0.25">
      <c r="A4268" s="940">
        <v>1367</v>
      </c>
      <c r="B4268" s="940">
        <v>124</v>
      </c>
      <c r="C4268" t="s">
        <v>2456</v>
      </c>
      <c r="D4268" s="940" t="s">
        <v>3004</v>
      </c>
      <c r="E4268" t="s">
        <v>105</v>
      </c>
    </row>
    <row r="4269" spans="1:5" x14ac:dyDescent="0.25">
      <c r="A4269" s="940">
        <v>1406</v>
      </c>
      <c r="B4269" s="940">
        <v>119</v>
      </c>
      <c r="C4269" t="s">
        <v>9351</v>
      </c>
      <c r="D4269" s="940" t="s">
        <v>4064</v>
      </c>
      <c r="E4269" t="s">
        <v>105</v>
      </c>
    </row>
    <row r="4270" spans="1:5" x14ac:dyDescent="0.25">
      <c r="A4270" s="940">
        <v>3490</v>
      </c>
      <c r="B4270" s="940">
        <v>0</v>
      </c>
      <c r="C4270" t="s">
        <v>9352</v>
      </c>
      <c r="D4270" s="940" t="s">
        <v>5352</v>
      </c>
      <c r="E4270" t="s">
        <v>105</v>
      </c>
    </row>
    <row r="4271" spans="1:5" x14ac:dyDescent="0.25">
      <c r="A4271" s="940">
        <v>697</v>
      </c>
      <c r="B4271" s="940">
        <v>348</v>
      </c>
      <c r="C4271" t="s">
        <v>9353</v>
      </c>
      <c r="D4271" s="940" t="s">
        <v>9354</v>
      </c>
      <c r="E4271" t="s">
        <v>83</v>
      </c>
    </row>
    <row r="4272" spans="1:5" x14ac:dyDescent="0.25">
      <c r="A4272" s="940">
        <v>2907</v>
      </c>
      <c r="B4272" s="940">
        <v>10</v>
      </c>
      <c r="C4272" t="s">
        <v>9355</v>
      </c>
      <c r="D4272" s="940" t="s">
        <v>9356</v>
      </c>
      <c r="E4272" t="s">
        <v>3673</v>
      </c>
    </row>
    <row r="4273" spans="1:5" x14ac:dyDescent="0.25">
      <c r="A4273" s="940">
        <v>2048</v>
      </c>
      <c r="B4273" s="940">
        <v>52</v>
      </c>
      <c r="C4273" t="s">
        <v>9357</v>
      </c>
      <c r="D4273" s="940" t="s">
        <v>6535</v>
      </c>
      <c r="E4273" t="s">
        <v>3140</v>
      </c>
    </row>
    <row r="4274" spans="1:5" x14ac:dyDescent="0.25">
      <c r="A4274" s="940">
        <v>2659</v>
      </c>
      <c r="B4274" s="940">
        <v>18</v>
      </c>
      <c r="C4274" t="s">
        <v>9358</v>
      </c>
      <c r="D4274" s="940" t="s">
        <v>9359</v>
      </c>
      <c r="E4274" t="s">
        <v>127</v>
      </c>
    </row>
    <row r="4275" spans="1:5" x14ac:dyDescent="0.25">
      <c r="A4275" s="940">
        <v>2690</v>
      </c>
      <c r="B4275" s="940">
        <v>17</v>
      </c>
      <c r="C4275" t="s">
        <v>9358</v>
      </c>
      <c r="D4275" s="940" t="s">
        <v>2813</v>
      </c>
      <c r="E4275" t="s">
        <v>170</v>
      </c>
    </row>
    <row r="4276" spans="1:5" x14ac:dyDescent="0.25">
      <c r="A4276" s="940">
        <v>2714</v>
      </c>
      <c r="B4276" s="940">
        <v>16</v>
      </c>
      <c r="C4276" t="s">
        <v>9360</v>
      </c>
      <c r="D4276" s="940" t="s">
        <v>4551</v>
      </c>
      <c r="E4276" t="s">
        <v>164</v>
      </c>
    </row>
    <row r="4277" spans="1:5" x14ac:dyDescent="0.25">
      <c r="A4277" s="940">
        <v>2714</v>
      </c>
      <c r="B4277" s="940">
        <v>16</v>
      </c>
      <c r="C4277" t="s">
        <v>9361</v>
      </c>
      <c r="D4277" s="940" t="s">
        <v>9362</v>
      </c>
      <c r="E4277" t="s">
        <v>661</v>
      </c>
    </row>
    <row r="4278" spans="1:5" x14ac:dyDescent="0.25">
      <c r="A4278" s="940">
        <v>267</v>
      </c>
      <c r="B4278" s="940">
        <v>774</v>
      </c>
      <c r="C4278" t="s">
        <v>9363</v>
      </c>
      <c r="D4278" s="940" t="s">
        <v>9364</v>
      </c>
      <c r="E4278" t="s">
        <v>120</v>
      </c>
    </row>
    <row r="4279" spans="1:5" x14ac:dyDescent="0.25">
      <c r="A4279" s="940">
        <v>1942</v>
      </c>
      <c r="B4279" s="940">
        <v>61</v>
      </c>
      <c r="C4279" t="s">
        <v>9365</v>
      </c>
      <c r="D4279" s="940" t="s">
        <v>9366</v>
      </c>
      <c r="E4279" t="s">
        <v>120</v>
      </c>
    </row>
    <row r="4280" spans="1:5" x14ac:dyDescent="0.25">
      <c r="A4280" s="940">
        <v>781</v>
      </c>
      <c r="B4280" s="940">
        <v>305</v>
      </c>
      <c r="C4280" t="s">
        <v>9367</v>
      </c>
      <c r="D4280" s="940" t="s">
        <v>9368</v>
      </c>
      <c r="E4280" t="s">
        <v>257</v>
      </c>
    </row>
    <row r="4281" spans="1:5" x14ac:dyDescent="0.25">
      <c r="A4281" s="940">
        <v>3327</v>
      </c>
      <c r="B4281" s="940">
        <v>2</v>
      </c>
      <c r="C4281" t="s">
        <v>9369</v>
      </c>
      <c r="D4281" s="940" t="s">
        <v>6858</v>
      </c>
      <c r="E4281" t="s">
        <v>1315</v>
      </c>
    </row>
    <row r="4282" spans="1:5" x14ac:dyDescent="0.25">
      <c r="A4282" s="940">
        <v>2335</v>
      </c>
      <c r="B4282" s="940">
        <v>34</v>
      </c>
      <c r="C4282" t="s">
        <v>9370</v>
      </c>
      <c r="D4282" s="940" t="s">
        <v>2902</v>
      </c>
      <c r="E4282" t="s">
        <v>105</v>
      </c>
    </row>
    <row r="4283" spans="1:5" x14ac:dyDescent="0.25">
      <c r="A4283" s="940">
        <v>3490</v>
      </c>
      <c r="B4283" s="940">
        <v>0</v>
      </c>
      <c r="C4283" t="s">
        <v>9371</v>
      </c>
      <c r="D4283" s="940" t="s">
        <v>9372</v>
      </c>
      <c r="E4283" t="s">
        <v>133</v>
      </c>
    </row>
    <row r="4284" spans="1:5" x14ac:dyDescent="0.25">
      <c r="A4284" s="940">
        <v>367</v>
      </c>
      <c r="B4284" s="940">
        <v>615</v>
      </c>
      <c r="C4284" t="s">
        <v>627</v>
      </c>
      <c r="D4284" s="940" t="s">
        <v>9373</v>
      </c>
      <c r="E4284" t="s">
        <v>111</v>
      </c>
    </row>
    <row r="4285" spans="1:5" x14ac:dyDescent="0.25">
      <c r="A4285" s="940">
        <v>1417</v>
      </c>
      <c r="B4285" s="940">
        <v>117</v>
      </c>
      <c r="C4285" t="s">
        <v>2460</v>
      </c>
      <c r="D4285" s="940" t="s">
        <v>6073</v>
      </c>
      <c r="E4285" t="s">
        <v>120</v>
      </c>
    </row>
    <row r="4286" spans="1:5" x14ac:dyDescent="0.25">
      <c r="A4286" s="940">
        <v>3141</v>
      </c>
      <c r="B4286" s="940">
        <v>5</v>
      </c>
      <c r="C4286" t="s">
        <v>9374</v>
      </c>
      <c r="D4286" s="940" t="s">
        <v>7194</v>
      </c>
      <c r="E4286" t="s">
        <v>111</v>
      </c>
    </row>
    <row r="4287" spans="1:5" x14ac:dyDescent="0.25">
      <c r="A4287" s="940">
        <v>3490</v>
      </c>
      <c r="B4287" s="940">
        <v>0</v>
      </c>
      <c r="C4287" t="s">
        <v>9375</v>
      </c>
      <c r="D4287" s="940" t="s">
        <v>2760</v>
      </c>
      <c r="E4287" t="s">
        <v>2880</v>
      </c>
    </row>
    <row r="4288" spans="1:5" x14ac:dyDescent="0.25">
      <c r="A4288" s="940">
        <v>453</v>
      </c>
      <c r="B4288" s="940">
        <v>519</v>
      </c>
      <c r="C4288" t="s">
        <v>9376</v>
      </c>
      <c r="D4288" s="940" t="s">
        <v>9377</v>
      </c>
      <c r="E4288" t="s">
        <v>74</v>
      </c>
    </row>
    <row r="4289" spans="1:5" x14ac:dyDescent="0.25">
      <c r="A4289" s="940">
        <v>3490</v>
      </c>
      <c r="B4289" s="940">
        <v>0</v>
      </c>
      <c r="C4289" t="s">
        <v>9378</v>
      </c>
      <c r="D4289" s="940" t="s">
        <v>9379</v>
      </c>
      <c r="E4289" t="s">
        <v>661</v>
      </c>
    </row>
    <row r="4290" spans="1:5" x14ac:dyDescent="0.25">
      <c r="A4290" s="940">
        <v>2187</v>
      </c>
      <c r="B4290" s="940">
        <v>43</v>
      </c>
      <c r="C4290" t="s">
        <v>9380</v>
      </c>
      <c r="D4290" s="940" t="s">
        <v>3594</v>
      </c>
      <c r="E4290" t="s">
        <v>120</v>
      </c>
    </row>
    <row r="4291" spans="1:5" x14ac:dyDescent="0.25">
      <c r="A4291" s="940">
        <v>3490</v>
      </c>
      <c r="B4291" s="940">
        <v>0</v>
      </c>
      <c r="C4291" t="s">
        <v>9381</v>
      </c>
      <c r="D4291" s="940" t="s">
        <v>4997</v>
      </c>
      <c r="E4291" t="s">
        <v>120</v>
      </c>
    </row>
    <row r="4292" spans="1:5" x14ac:dyDescent="0.25">
      <c r="A4292" s="940">
        <v>3490</v>
      </c>
      <c r="B4292" s="940">
        <v>0</v>
      </c>
      <c r="C4292" t="s">
        <v>9382</v>
      </c>
      <c r="D4292" s="940" t="s">
        <v>4369</v>
      </c>
      <c r="E4292" t="s">
        <v>74</v>
      </c>
    </row>
    <row r="4293" spans="1:5" x14ac:dyDescent="0.25">
      <c r="A4293" s="940">
        <v>3327</v>
      </c>
      <c r="B4293" s="940">
        <v>2</v>
      </c>
      <c r="C4293" t="s">
        <v>9383</v>
      </c>
      <c r="D4293" s="940" t="s">
        <v>7391</v>
      </c>
      <c r="E4293" t="s">
        <v>130</v>
      </c>
    </row>
    <row r="4294" spans="1:5" x14ac:dyDescent="0.25">
      <c r="A4294" s="940">
        <v>2381</v>
      </c>
      <c r="B4294" s="940">
        <v>31</v>
      </c>
      <c r="C4294" t="s">
        <v>9384</v>
      </c>
      <c r="D4294" s="940" t="s">
        <v>9385</v>
      </c>
      <c r="E4294" t="s">
        <v>1214</v>
      </c>
    </row>
    <row r="4295" spans="1:5" x14ac:dyDescent="0.25">
      <c r="A4295" s="940">
        <v>2256</v>
      </c>
      <c r="B4295" s="940">
        <v>39</v>
      </c>
      <c r="C4295" t="s">
        <v>9386</v>
      </c>
      <c r="D4295" s="940" t="s">
        <v>9387</v>
      </c>
      <c r="E4295" t="s">
        <v>170</v>
      </c>
    </row>
    <row r="4296" spans="1:5" x14ac:dyDescent="0.25">
      <c r="A4296" s="940">
        <v>1132</v>
      </c>
      <c r="B4296" s="940">
        <v>172</v>
      </c>
      <c r="C4296" t="s">
        <v>2466</v>
      </c>
      <c r="D4296" s="940" t="s">
        <v>3753</v>
      </c>
      <c r="E4296" t="s">
        <v>105</v>
      </c>
    </row>
    <row r="4297" spans="1:5" x14ac:dyDescent="0.25">
      <c r="A4297" s="940">
        <v>725</v>
      </c>
      <c r="B4297" s="940">
        <v>333</v>
      </c>
      <c r="C4297" t="s">
        <v>9388</v>
      </c>
      <c r="D4297" s="940" t="s">
        <v>4995</v>
      </c>
      <c r="E4297" t="s">
        <v>75</v>
      </c>
    </row>
    <row r="4298" spans="1:5" x14ac:dyDescent="0.25">
      <c r="A4298" s="940">
        <v>2714</v>
      </c>
      <c r="B4298" s="940">
        <v>16</v>
      </c>
      <c r="C4298" t="s">
        <v>9389</v>
      </c>
      <c r="D4298" s="940" t="s">
        <v>8269</v>
      </c>
      <c r="E4298" t="s">
        <v>1702</v>
      </c>
    </row>
    <row r="4299" spans="1:5" x14ac:dyDescent="0.25">
      <c r="A4299" s="940">
        <v>2539</v>
      </c>
      <c r="B4299" s="940">
        <v>23</v>
      </c>
      <c r="C4299" t="s">
        <v>9390</v>
      </c>
      <c r="D4299" s="940" t="s">
        <v>9391</v>
      </c>
      <c r="E4299" t="s">
        <v>251</v>
      </c>
    </row>
    <row r="4300" spans="1:5" x14ac:dyDescent="0.25">
      <c r="A4300" s="940">
        <v>1602</v>
      </c>
      <c r="B4300" s="940">
        <v>94</v>
      </c>
      <c r="C4300" t="s">
        <v>9392</v>
      </c>
      <c r="D4300" s="940" t="s">
        <v>7521</v>
      </c>
      <c r="E4300" t="s">
        <v>1214</v>
      </c>
    </row>
    <row r="4301" spans="1:5" x14ac:dyDescent="0.25">
      <c r="A4301" s="940">
        <v>3490</v>
      </c>
      <c r="B4301" s="940">
        <v>0</v>
      </c>
      <c r="C4301" t="s">
        <v>9393</v>
      </c>
      <c r="D4301" s="940" t="s">
        <v>8107</v>
      </c>
      <c r="E4301" t="s">
        <v>1182</v>
      </c>
    </row>
    <row r="4302" spans="1:5" x14ac:dyDescent="0.25">
      <c r="A4302" s="940">
        <v>1691</v>
      </c>
      <c r="B4302" s="940">
        <v>84</v>
      </c>
      <c r="C4302" t="s">
        <v>9394</v>
      </c>
      <c r="D4302" s="940" t="s">
        <v>2965</v>
      </c>
      <c r="E4302" t="s">
        <v>118</v>
      </c>
    </row>
    <row r="4303" spans="1:5" x14ac:dyDescent="0.25">
      <c r="A4303" s="940">
        <v>2907</v>
      </c>
      <c r="B4303" s="940">
        <v>10</v>
      </c>
      <c r="C4303" t="s">
        <v>9395</v>
      </c>
      <c r="D4303" s="940" t="s">
        <v>5088</v>
      </c>
      <c r="E4303" t="s">
        <v>9396</v>
      </c>
    </row>
    <row r="4304" spans="1:5" x14ac:dyDescent="0.25">
      <c r="A4304" s="940">
        <v>2690</v>
      </c>
      <c r="B4304" s="940">
        <v>17</v>
      </c>
      <c r="C4304" t="s">
        <v>9397</v>
      </c>
      <c r="D4304" s="940" t="s">
        <v>9398</v>
      </c>
      <c r="E4304" t="s">
        <v>122</v>
      </c>
    </row>
    <row r="4305" spans="1:5" x14ac:dyDescent="0.25">
      <c r="A4305" s="940">
        <v>3490</v>
      </c>
      <c r="B4305" s="940">
        <v>0</v>
      </c>
      <c r="C4305" t="s">
        <v>9399</v>
      </c>
      <c r="D4305" s="940" t="s">
        <v>9400</v>
      </c>
      <c r="E4305" t="s">
        <v>108</v>
      </c>
    </row>
    <row r="4306" spans="1:5" x14ac:dyDescent="0.25">
      <c r="A4306" s="940">
        <v>3490</v>
      </c>
      <c r="B4306" s="940">
        <v>0</v>
      </c>
      <c r="C4306" t="s">
        <v>9401</v>
      </c>
      <c r="D4306" s="940" t="s">
        <v>8736</v>
      </c>
      <c r="E4306" t="s">
        <v>139</v>
      </c>
    </row>
    <row r="4307" spans="1:5" x14ac:dyDescent="0.25">
      <c r="A4307" s="940">
        <v>2416</v>
      </c>
      <c r="B4307" s="940">
        <v>29</v>
      </c>
      <c r="C4307" t="s">
        <v>9402</v>
      </c>
      <c r="D4307" s="940" t="s">
        <v>5632</v>
      </c>
      <c r="E4307" t="s">
        <v>1493</v>
      </c>
    </row>
    <row r="4308" spans="1:5" x14ac:dyDescent="0.25">
      <c r="A4308" s="940">
        <v>954</v>
      </c>
      <c r="B4308" s="940">
        <v>234</v>
      </c>
      <c r="C4308" t="s">
        <v>9403</v>
      </c>
      <c r="D4308" s="940" t="s">
        <v>3472</v>
      </c>
      <c r="E4308" t="s">
        <v>4548</v>
      </c>
    </row>
    <row r="4309" spans="1:5" x14ac:dyDescent="0.25">
      <c r="A4309" s="940">
        <v>1193</v>
      </c>
      <c r="B4309" s="940">
        <v>158</v>
      </c>
      <c r="C4309" t="s">
        <v>9404</v>
      </c>
      <c r="D4309" s="940" t="s">
        <v>9405</v>
      </c>
      <c r="E4309" t="s">
        <v>4548</v>
      </c>
    </row>
    <row r="4310" spans="1:5" x14ac:dyDescent="0.25">
      <c r="A4310" s="940">
        <v>1581</v>
      </c>
      <c r="B4310" s="940">
        <v>97</v>
      </c>
      <c r="C4310" t="s">
        <v>9406</v>
      </c>
      <c r="D4310" s="940" t="s">
        <v>4936</v>
      </c>
      <c r="E4310" t="s">
        <v>126</v>
      </c>
    </row>
    <row r="4311" spans="1:5" x14ac:dyDescent="0.25">
      <c r="A4311" s="940">
        <v>3490</v>
      </c>
      <c r="B4311" s="940">
        <v>0</v>
      </c>
      <c r="C4311" t="s">
        <v>9407</v>
      </c>
      <c r="D4311" s="940" t="s">
        <v>9408</v>
      </c>
      <c r="E4311" t="s">
        <v>122</v>
      </c>
    </row>
    <row r="4312" spans="1:5" x14ac:dyDescent="0.25">
      <c r="A4312" s="940">
        <v>725</v>
      </c>
      <c r="B4312" s="940">
        <v>333</v>
      </c>
      <c r="C4312" t="s">
        <v>2470</v>
      </c>
      <c r="D4312" s="940" t="s">
        <v>9409</v>
      </c>
      <c r="E4312" t="s">
        <v>1171</v>
      </c>
    </row>
    <row r="4313" spans="1:5" x14ac:dyDescent="0.25">
      <c r="A4313" s="940">
        <v>2996</v>
      </c>
      <c r="B4313" s="940">
        <v>8</v>
      </c>
      <c r="C4313" t="s">
        <v>9410</v>
      </c>
      <c r="D4313" s="940" t="s">
        <v>3520</v>
      </c>
      <c r="E4313" t="s">
        <v>74</v>
      </c>
    </row>
    <row r="4314" spans="1:5" x14ac:dyDescent="0.25">
      <c r="A4314" s="940">
        <v>1514</v>
      </c>
      <c r="B4314" s="940">
        <v>104</v>
      </c>
      <c r="C4314" t="s">
        <v>9411</v>
      </c>
      <c r="D4314" s="940" t="s">
        <v>4541</v>
      </c>
      <c r="E4314" t="s">
        <v>120</v>
      </c>
    </row>
    <row r="4315" spans="1:5" x14ac:dyDescent="0.25">
      <c r="A4315" s="940">
        <v>524</v>
      </c>
      <c r="B4315" s="940">
        <v>447</v>
      </c>
      <c r="C4315" t="s">
        <v>9412</v>
      </c>
      <c r="D4315" s="940" t="s">
        <v>9413</v>
      </c>
      <c r="E4315" t="s">
        <v>3383</v>
      </c>
    </row>
    <row r="4316" spans="1:5" x14ac:dyDescent="0.25">
      <c r="A4316" s="940">
        <v>2996</v>
      </c>
      <c r="B4316" s="940">
        <v>8</v>
      </c>
      <c r="C4316" t="s">
        <v>9414</v>
      </c>
      <c r="D4316" s="940" t="s">
        <v>3552</v>
      </c>
      <c r="E4316" t="s">
        <v>1214</v>
      </c>
    </row>
    <row r="4317" spans="1:5" x14ac:dyDescent="0.25">
      <c r="A4317" s="940">
        <v>1862</v>
      </c>
      <c r="B4317" s="940">
        <v>67</v>
      </c>
      <c r="C4317" t="s">
        <v>9415</v>
      </c>
      <c r="D4317" s="940" t="s">
        <v>9416</v>
      </c>
      <c r="E4317" t="s">
        <v>1214</v>
      </c>
    </row>
    <row r="4318" spans="1:5" x14ac:dyDescent="0.25">
      <c r="A4318" s="940">
        <v>2714</v>
      </c>
      <c r="B4318" s="940">
        <v>16</v>
      </c>
      <c r="C4318" t="s">
        <v>9417</v>
      </c>
      <c r="D4318" s="940" t="s">
        <v>4064</v>
      </c>
      <c r="E4318" t="s">
        <v>130</v>
      </c>
    </row>
    <row r="4319" spans="1:5" x14ac:dyDescent="0.25">
      <c r="A4319" s="940">
        <v>2782</v>
      </c>
      <c r="B4319" s="940">
        <v>14</v>
      </c>
      <c r="C4319" t="s">
        <v>9418</v>
      </c>
      <c r="D4319" s="940" t="s">
        <v>4121</v>
      </c>
      <c r="E4319" t="s">
        <v>1590</v>
      </c>
    </row>
    <row r="4320" spans="1:5" x14ac:dyDescent="0.25">
      <c r="A4320" s="940">
        <v>131</v>
      </c>
      <c r="B4320" s="940">
        <v>1015</v>
      </c>
      <c r="C4320" t="s">
        <v>9419</v>
      </c>
      <c r="D4320" s="940" t="s">
        <v>9420</v>
      </c>
      <c r="E4320" t="s">
        <v>105</v>
      </c>
    </row>
    <row r="4321" spans="1:5" x14ac:dyDescent="0.25">
      <c r="A4321" s="940">
        <v>288</v>
      </c>
      <c r="B4321" s="940">
        <v>732</v>
      </c>
      <c r="C4321" t="s">
        <v>629</v>
      </c>
      <c r="D4321" s="940" t="s">
        <v>9421</v>
      </c>
      <c r="E4321" t="s">
        <v>83</v>
      </c>
    </row>
    <row r="4322" spans="1:5" x14ac:dyDescent="0.25">
      <c r="A4322" s="940">
        <v>672</v>
      </c>
      <c r="B4322" s="940">
        <v>364</v>
      </c>
      <c r="C4322" t="s">
        <v>9422</v>
      </c>
      <c r="D4322" s="940" t="s">
        <v>9423</v>
      </c>
      <c r="E4322" t="s">
        <v>2735</v>
      </c>
    </row>
    <row r="4323" spans="1:5" x14ac:dyDescent="0.25">
      <c r="A4323" s="940">
        <v>62</v>
      </c>
      <c r="B4323" s="940">
        <v>1242</v>
      </c>
      <c r="C4323" t="s">
        <v>9424</v>
      </c>
      <c r="D4323" s="940" t="s">
        <v>4265</v>
      </c>
      <c r="E4323" t="s">
        <v>1171</v>
      </c>
    </row>
    <row r="4324" spans="1:5" x14ac:dyDescent="0.25">
      <c r="A4324" s="940">
        <v>1730</v>
      </c>
      <c r="B4324" s="940">
        <v>80</v>
      </c>
      <c r="C4324" t="s">
        <v>9425</v>
      </c>
      <c r="D4324" s="940" t="s">
        <v>2912</v>
      </c>
      <c r="E4324" t="s">
        <v>1307</v>
      </c>
    </row>
    <row r="4325" spans="1:5" x14ac:dyDescent="0.25">
      <c r="A4325" s="940">
        <v>371</v>
      </c>
      <c r="B4325" s="940">
        <v>609</v>
      </c>
      <c r="C4325" t="s">
        <v>9426</v>
      </c>
      <c r="D4325" s="940" t="s">
        <v>9427</v>
      </c>
      <c r="E4325" t="s">
        <v>132</v>
      </c>
    </row>
    <row r="4326" spans="1:5" x14ac:dyDescent="0.25">
      <c r="A4326" s="940">
        <v>2079</v>
      </c>
      <c r="B4326" s="940">
        <v>50</v>
      </c>
      <c r="C4326" t="s">
        <v>9428</v>
      </c>
      <c r="D4326" s="940" t="s">
        <v>9429</v>
      </c>
      <c r="E4326" t="s">
        <v>173</v>
      </c>
    </row>
    <row r="4327" spans="1:5" x14ac:dyDescent="0.25">
      <c r="A4327" s="940">
        <v>1247</v>
      </c>
      <c r="B4327" s="940">
        <v>146</v>
      </c>
      <c r="C4327" t="s">
        <v>9430</v>
      </c>
      <c r="D4327" s="940" t="s">
        <v>3368</v>
      </c>
      <c r="E4327" t="s">
        <v>147</v>
      </c>
    </row>
    <row r="4328" spans="1:5" x14ac:dyDescent="0.25">
      <c r="A4328" s="940">
        <v>1885</v>
      </c>
      <c r="B4328" s="940">
        <v>65</v>
      </c>
      <c r="C4328" t="s">
        <v>9431</v>
      </c>
      <c r="D4328" s="940" t="s">
        <v>3511</v>
      </c>
      <c r="E4328" t="s">
        <v>1182</v>
      </c>
    </row>
    <row r="4329" spans="1:5" x14ac:dyDescent="0.25">
      <c r="A4329" s="940">
        <v>1924</v>
      </c>
      <c r="B4329" s="940">
        <v>62</v>
      </c>
      <c r="C4329" t="s">
        <v>9432</v>
      </c>
      <c r="D4329" s="940" t="s">
        <v>9433</v>
      </c>
      <c r="E4329" t="s">
        <v>80</v>
      </c>
    </row>
    <row r="4330" spans="1:5" x14ac:dyDescent="0.25">
      <c r="A4330" s="940">
        <v>576</v>
      </c>
      <c r="B4330" s="940">
        <v>419</v>
      </c>
      <c r="C4330" t="s">
        <v>9434</v>
      </c>
      <c r="D4330" s="940" t="s">
        <v>9435</v>
      </c>
      <c r="E4330" t="s">
        <v>120</v>
      </c>
    </row>
    <row r="4331" spans="1:5" x14ac:dyDescent="0.25">
      <c r="A4331" s="940">
        <v>2004</v>
      </c>
      <c r="B4331" s="940">
        <v>55</v>
      </c>
      <c r="C4331" t="s">
        <v>9436</v>
      </c>
      <c r="D4331" s="940" t="s">
        <v>9437</v>
      </c>
      <c r="E4331" t="s">
        <v>2654</v>
      </c>
    </row>
    <row r="4332" spans="1:5" x14ac:dyDescent="0.25">
      <c r="A4332" s="940">
        <v>849</v>
      </c>
      <c r="B4332" s="940">
        <v>273</v>
      </c>
      <c r="C4332" t="s">
        <v>9438</v>
      </c>
      <c r="D4332" s="940" t="s">
        <v>7913</v>
      </c>
      <c r="E4332" t="s">
        <v>188</v>
      </c>
    </row>
    <row r="4333" spans="1:5" x14ac:dyDescent="0.25">
      <c r="A4333" s="940">
        <v>3395</v>
      </c>
      <c r="B4333" s="940">
        <v>1</v>
      </c>
      <c r="C4333" t="s">
        <v>9439</v>
      </c>
      <c r="D4333" s="940" t="s">
        <v>5268</v>
      </c>
      <c r="E4333" t="s">
        <v>105</v>
      </c>
    </row>
    <row r="4334" spans="1:5" x14ac:dyDescent="0.25">
      <c r="A4334" s="940">
        <v>3490</v>
      </c>
      <c r="B4334" s="940">
        <v>0</v>
      </c>
      <c r="C4334" t="s">
        <v>9439</v>
      </c>
      <c r="D4334" s="940" t="s">
        <v>3995</v>
      </c>
      <c r="E4334" t="s">
        <v>170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310"/>
  <sheetViews>
    <sheetView workbookViewId="0">
      <selection activeCell="G19" sqref="G19"/>
    </sheetView>
  </sheetViews>
  <sheetFormatPr defaultRowHeight="12.75" x14ac:dyDescent="0.2"/>
  <cols>
    <col min="1" max="2" width="14.83203125" style="940" customWidth="1"/>
    <col min="3" max="3" width="30" customWidth="1"/>
    <col min="4" max="4" width="20.6640625" style="940" customWidth="1"/>
    <col min="5" max="5" width="34.6640625" customWidth="1"/>
  </cols>
  <sheetData>
    <row r="1" spans="1:5" x14ac:dyDescent="0.2">
      <c r="A1" s="942" t="s">
        <v>100</v>
      </c>
      <c r="B1" s="942" t="s">
        <v>6</v>
      </c>
      <c r="C1" s="942" t="s">
        <v>101</v>
      </c>
      <c r="D1" s="942" t="s">
        <v>5</v>
      </c>
      <c r="E1" s="942" t="s">
        <v>44</v>
      </c>
    </row>
    <row r="2" spans="1:5" x14ac:dyDescent="0.2">
      <c r="A2" s="940">
        <v>923</v>
      </c>
      <c r="B2" s="940">
        <v>307</v>
      </c>
      <c r="C2" t="s">
        <v>2607</v>
      </c>
      <c r="D2" s="940" t="s">
        <v>2608</v>
      </c>
      <c r="E2" t="s">
        <v>140</v>
      </c>
    </row>
    <row r="3" spans="1:5" x14ac:dyDescent="0.2">
      <c r="A3" s="940">
        <v>3972</v>
      </c>
      <c r="B3" s="940">
        <v>3</v>
      </c>
      <c r="C3" t="s">
        <v>9454</v>
      </c>
      <c r="D3" s="940" t="s">
        <v>9455</v>
      </c>
      <c r="E3" t="s">
        <v>1182</v>
      </c>
    </row>
    <row r="4" spans="1:5" x14ac:dyDescent="0.2">
      <c r="A4" s="940">
        <v>2486</v>
      </c>
      <c r="B4" s="940">
        <v>48</v>
      </c>
      <c r="C4" t="s">
        <v>9456</v>
      </c>
      <c r="D4" s="940" t="s">
        <v>9457</v>
      </c>
      <c r="E4" t="s">
        <v>661</v>
      </c>
    </row>
    <row r="5" spans="1:5" x14ac:dyDescent="0.2">
      <c r="A5" s="940">
        <v>781</v>
      </c>
      <c r="B5" s="940">
        <v>368</v>
      </c>
      <c r="C5" t="s">
        <v>2609</v>
      </c>
      <c r="D5" s="940" t="s">
        <v>2610</v>
      </c>
      <c r="E5" t="s">
        <v>103</v>
      </c>
    </row>
    <row r="6" spans="1:5" x14ac:dyDescent="0.2">
      <c r="A6" s="940">
        <v>1403</v>
      </c>
      <c r="B6" s="940">
        <v>161</v>
      </c>
      <c r="C6" t="s">
        <v>2616</v>
      </c>
      <c r="D6" s="940" t="s">
        <v>2617</v>
      </c>
      <c r="E6" t="s">
        <v>105</v>
      </c>
    </row>
    <row r="7" spans="1:5" x14ac:dyDescent="0.2">
      <c r="A7" s="940">
        <v>3602</v>
      </c>
      <c r="B7" s="940">
        <v>8</v>
      </c>
      <c r="C7" t="s">
        <v>2618</v>
      </c>
      <c r="D7" s="940" t="s">
        <v>2619</v>
      </c>
      <c r="E7" t="s">
        <v>74</v>
      </c>
    </row>
    <row r="8" spans="1:5" x14ac:dyDescent="0.2">
      <c r="A8" s="940">
        <v>3048</v>
      </c>
      <c r="B8" s="940">
        <v>22</v>
      </c>
      <c r="C8" t="s">
        <v>2620</v>
      </c>
      <c r="D8" s="940" t="s">
        <v>2621</v>
      </c>
      <c r="E8" t="s">
        <v>72</v>
      </c>
    </row>
    <row r="9" spans="1:5" x14ac:dyDescent="0.2">
      <c r="A9" s="940">
        <v>4294</v>
      </c>
      <c r="B9" s="940">
        <v>0</v>
      </c>
      <c r="C9" t="s">
        <v>2622</v>
      </c>
      <c r="D9" s="940" t="s">
        <v>2623</v>
      </c>
      <c r="E9" t="s">
        <v>2624</v>
      </c>
    </row>
    <row r="10" spans="1:5" x14ac:dyDescent="0.2">
      <c r="A10" s="940">
        <v>1445</v>
      </c>
      <c r="B10" s="940">
        <v>155</v>
      </c>
      <c r="C10" t="s">
        <v>1157</v>
      </c>
      <c r="D10" s="940" t="s">
        <v>9458</v>
      </c>
      <c r="E10" t="s">
        <v>120</v>
      </c>
    </row>
    <row r="11" spans="1:5" x14ac:dyDescent="0.2">
      <c r="A11" s="940">
        <v>4181</v>
      </c>
      <c r="B11" s="940">
        <v>1</v>
      </c>
      <c r="C11" t="s">
        <v>2625</v>
      </c>
      <c r="D11" s="940" t="s">
        <v>2626</v>
      </c>
      <c r="E11" t="s">
        <v>99</v>
      </c>
    </row>
    <row r="12" spans="1:5" x14ac:dyDescent="0.2">
      <c r="A12" s="940">
        <v>688</v>
      </c>
      <c r="B12" s="940">
        <v>409</v>
      </c>
      <c r="C12" t="s">
        <v>2627</v>
      </c>
      <c r="D12" s="940" t="s">
        <v>2628</v>
      </c>
      <c r="E12" t="s">
        <v>107</v>
      </c>
    </row>
    <row r="13" spans="1:5" x14ac:dyDescent="0.2">
      <c r="A13" s="940">
        <v>1485</v>
      </c>
      <c r="B13" s="940">
        <v>147</v>
      </c>
      <c r="C13" t="s">
        <v>2629</v>
      </c>
      <c r="D13" s="940" t="s">
        <v>2630</v>
      </c>
      <c r="E13" t="s">
        <v>111</v>
      </c>
    </row>
    <row r="14" spans="1:5" x14ac:dyDescent="0.2">
      <c r="A14" s="940">
        <v>2745</v>
      </c>
      <c r="B14" s="940">
        <v>35</v>
      </c>
      <c r="C14" t="s">
        <v>2631</v>
      </c>
      <c r="D14" s="940" t="s">
        <v>2632</v>
      </c>
      <c r="E14" t="s">
        <v>1214</v>
      </c>
    </row>
    <row r="15" spans="1:5" x14ac:dyDescent="0.2">
      <c r="A15" s="940">
        <v>57</v>
      </c>
      <c r="B15" s="940">
        <v>1258</v>
      </c>
      <c r="C15" t="s">
        <v>1161</v>
      </c>
      <c r="D15" s="940" t="s">
        <v>2633</v>
      </c>
      <c r="E15" t="s">
        <v>1171</v>
      </c>
    </row>
    <row r="16" spans="1:5" x14ac:dyDescent="0.2">
      <c r="A16" s="940">
        <v>2434</v>
      </c>
      <c r="B16" s="940">
        <v>52</v>
      </c>
      <c r="C16" t="s">
        <v>9459</v>
      </c>
      <c r="D16" s="940" t="s">
        <v>9460</v>
      </c>
      <c r="E16" t="s">
        <v>1659</v>
      </c>
    </row>
    <row r="17" spans="1:5" x14ac:dyDescent="0.2">
      <c r="A17" s="940">
        <v>1057</v>
      </c>
      <c r="B17" s="940">
        <v>255</v>
      </c>
      <c r="C17" t="s">
        <v>1164</v>
      </c>
      <c r="D17" s="940" t="s">
        <v>2634</v>
      </c>
      <c r="E17" t="s">
        <v>118</v>
      </c>
    </row>
    <row r="18" spans="1:5" x14ac:dyDescent="0.2">
      <c r="A18" s="940">
        <v>2067</v>
      </c>
      <c r="B18" s="940">
        <v>80</v>
      </c>
      <c r="C18" t="s">
        <v>1165</v>
      </c>
      <c r="D18" s="940" t="s">
        <v>2635</v>
      </c>
      <c r="E18" t="s">
        <v>114</v>
      </c>
    </row>
    <row r="19" spans="1:5" x14ac:dyDescent="0.2">
      <c r="A19" s="940">
        <v>2367</v>
      </c>
      <c r="B19" s="940">
        <v>57</v>
      </c>
      <c r="C19" t="s">
        <v>2636</v>
      </c>
      <c r="D19" s="940" t="s">
        <v>2637</v>
      </c>
      <c r="E19" t="s">
        <v>111</v>
      </c>
    </row>
    <row r="20" spans="1:5" x14ac:dyDescent="0.2">
      <c r="A20" s="940">
        <v>3602</v>
      </c>
      <c r="B20" s="940">
        <v>8</v>
      </c>
      <c r="C20" t="s">
        <v>2640</v>
      </c>
      <c r="D20" s="940" t="s">
        <v>2641</v>
      </c>
      <c r="E20" t="s">
        <v>1460</v>
      </c>
    </row>
    <row r="21" spans="1:5" x14ac:dyDescent="0.2">
      <c r="A21" s="940">
        <v>1613</v>
      </c>
      <c r="B21" s="940">
        <v>126</v>
      </c>
      <c r="C21" t="s">
        <v>2642</v>
      </c>
      <c r="D21" s="940" t="s">
        <v>3372</v>
      </c>
      <c r="E21" t="s">
        <v>427</v>
      </c>
    </row>
    <row r="22" spans="1:5" x14ac:dyDescent="0.2">
      <c r="A22" s="940">
        <v>4294</v>
      </c>
      <c r="B22" s="940">
        <v>0</v>
      </c>
      <c r="C22" t="s">
        <v>2644</v>
      </c>
      <c r="D22" s="940" t="s">
        <v>2645</v>
      </c>
      <c r="E22" t="s">
        <v>1856</v>
      </c>
    </row>
    <row r="23" spans="1:5" x14ac:dyDescent="0.2">
      <c r="A23" s="940">
        <v>3222</v>
      </c>
      <c r="B23" s="940">
        <v>17</v>
      </c>
      <c r="C23" t="s">
        <v>2646</v>
      </c>
      <c r="D23" s="940" t="s">
        <v>2647</v>
      </c>
      <c r="E23" t="s">
        <v>105</v>
      </c>
    </row>
    <row r="24" spans="1:5" x14ac:dyDescent="0.2">
      <c r="A24" s="940">
        <v>4081</v>
      </c>
      <c r="B24" s="940">
        <v>2</v>
      </c>
      <c r="C24" t="s">
        <v>2648</v>
      </c>
      <c r="D24" s="940" t="s">
        <v>2649</v>
      </c>
      <c r="E24" t="s">
        <v>231</v>
      </c>
    </row>
    <row r="25" spans="1:5" x14ac:dyDescent="0.2">
      <c r="A25" s="940">
        <v>2745</v>
      </c>
      <c r="B25" s="940">
        <v>35</v>
      </c>
      <c r="C25" t="s">
        <v>9461</v>
      </c>
      <c r="D25" s="940" t="s">
        <v>9462</v>
      </c>
      <c r="E25" t="s">
        <v>120</v>
      </c>
    </row>
    <row r="26" spans="1:5" x14ac:dyDescent="0.2">
      <c r="A26" s="940">
        <v>2124</v>
      </c>
      <c r="B26" s="940">
        <v>75</v>
      </c>
      <c r="C26" t="s">
        <v>2650</v>
      </c>
      <c r="D26" s="940" t="s">
        <v>2651</v>
      </c>
      <c r="E26" t="s">
        <v>1221</v>
      </c>
    </row>
    <row r="27" spans="1:5" x14ac:dyDescent="0.2">
      <c r="A27" s="940">
        <v>1092</v>
      </c>
      <c r="B27" s="940">
        <v>244</v>
      </c>
      <c r="C27" t="s">
        <v>2655</v>
      </c>
      <c r="D27" s="940" t="s">
        <v>2656</v>
      </c>
      <c r="E27" t="s">
        <v>163</v>
      </c>
    </row>
    <row r="28" spans="1:5" x14ac:dyDescent="0.2">
      <c r="A28" s="940">
        <v>1285</v>
      </c>
      <c r="B28" s="940">
        <v>188</v>
      </c>
      <c r="C28" t="s">
        <v>2534</v>
      </c>
      <c r="D28" s="940" t="s">
        <v>2657</v>
      </c>
      <c r="E28" t="s">
        <v>133</v>
      </c>
    </row>
    <row r="29" spans="1:5" x14ac:dyDescent="0.2">
      <c r="A29" s="940">
        <v>3602</v>
      </c>
      <c r="B29" s="940">
        <v>8</v>
      </c>
      <c r="C29" t="s">
        <v>2658</v>
      </c>
      <c r="D29" s="940" t="s">
        <v>2659</v>
      </c>
      <c r="E29" t="s">
        <v>2660</v>
      </c>
    </row>
    <row r="30" spans="1:5" x14ac:dyDescent="0.2">
      <c r="A30" s="940">
        <v>4294</v>
      </c>
      <c r="B30" s="940">
        <v>0</v>
      </c>
      <c r="C30" t="s">
        <v>9463</v>
      </c>
      <c r="D30" s="940" t="s">
        <v>8862</v>
      </c>
      <c r="E30" t="s">
        <v>1435</v>
      </c>
    </row>
    <row r="31" spans="1:5" x14ac:dyDescent="0.2">
      <c r="A31" s="940">
        <v>1403</v>
      </c>
      <c r="B31" s="940">
        <v>161</v>
      </c>
      <c r="C31" t="s">
        <v>2661</v>
      </c>
      <c r="D31" s="940" t="s">
        <v>2662</v>
      </c>
      <c r="E31" t="s">
        <v>105</v>
      </c>
    </row>
    <row r="32" spans="1:5" x14ac:dyDescent="0.2">
      <c r="A32" s="940">
        <v>4294</v>
      </c>
      <c r="B32" s="940">
        <v>0</v>
      </c>
      <c r="C32" t="s">
        <v>2665</v>
      </c>
      <c r="D32" s="940" t="s">
        <v>2666</v>
      </c>
      <c r="E32" t="s">
        <v>2667</v>
      </c>
    </row>
    <row r="33" spans="1:5" x14ac:dyDescent="0.2">
      <c r="A33" s="940">
        <v>1729</v>
      </c>
      <c r="B33" s="940">
        <v>113</v>
      </c>
      <c r="C33" t="s">
        <v>2668</v>
      </c>
      <c r="D33" s="940" t="s">
        <v>2669</v>
      </c>
      <c r="E33" t="s">
        <v>72</v>
      </c>
    </row>
    <row r="34" spans="1:5" x14ac:dyDescent="0.2">
      <c r="A34" s="940">
        <v>1782</v>
      </c>
      <c r="B34" s="940">
        <v>107</v>
      </c>
      <c r="C34" t="s">
        <v>2670</v>
      </c>
      <c r="D34" s="940" t="s">
        <v>2671</v>
      </c>
      <c r="E34" t="s">
        <v>2672</v>
      </c>
    </row>
    <row r="35" spans="1:5" x14ac:dyDescent="0.2">
      <c r="A35" s="940">
        <v>3483</v>
      </c>
      <c r="B35" s="940">
        <v>10</v>
      </c>
      <c r="C35" t="s">
        <v>2673</v>
      </c>
      <c r="D35" s="940" t="s">
        <v>2674</v>
      </c>
      <c r="E35" t="s">
        <v>186</v>
      </c>
    </row>
    <row r="36" spans="1:5" x14ac:dyDescent="0.2">
      <c r="A36" s="940">
        <v>2725</v>
      </c>
      <c r="B36" s="940">
        <v>36</v>
      </c>
      <c r="C36" t="s">
        <v>9464</v>
      </c>
      <c r="D36" s="940" t="s">
        <v>2991</v>
      </c>
      <c r="E36" t="s">
        <v>103</v>
      </c>
    </row>
    <row r="37" spans="1:5" x14ac:dyDescent="0.2">
      <c r="A37" s="940">
        <v>2980</v>
      </c>
      <c r="B37" s="940">
        <v>24</v>
      </c>
      <c r="C37" t="s">
        <v>2677</v>
      </c>
      <c r="D37" s="940" t="s">
        <v>2678</v>
      </c>
      <c r="E37" t="s">
        <v>1358</v>
      </c>
    </row>
    <row r="38" spans="1:5" x14ac:dyDescent="0.2">
      <c r="A38" s="940">
        <v>3796</v>
      </c>
      <c r="B38" s="940">
        <v>5</v>
      </c>
      <c r="C38" t="s">
        <v>2681</v>
      </c>
      <c r="D38" s="940" t="s">
        <v>2682</v>
      </c>
      <c r="E38" t="s">
        <v>105</v>
      </c>
    </row>
    <row r="39" spans="1:5" x14ac:dyDescent="0.2">
      <c r="A39" s="940">
        <v>4294</v>
      </c>
      <c r="B39" s="940">
        <v>0</v>
      </c>
      <c r="C39" t="s">
        <v>2683</v>
      </c>
      <c r="D39" s="940" t="s">
        <v>2684</v>
      </c>
      <c r="E39" t="s">
        <v>186</v>
      </c>
    </row>
    <row r="40" spans="1:5" x14ac:dyDescent="0.2">
      <c r="A40" s="940">
        <v>2962</v>
      </c>
      <c r="B40" s="940">
        <v>25</v>
      </c>
      <c r="C40" t="s">
        <v>9465</v>
      </c>
      <c r="D40" s="940" t="s">
        <v>7194</v>
      </c>
      <c r="E40" t="s">
        <v>9466</v>
      </c>
    </row>
    <row r="41" spans="1:5" x14ac:dyDescent="0.2">
      <c r="A41" s="940">
        <v>3545</v>
      </c>
      <c r="B41" s="940">
        <v>9</v>
      </c>
      <c r="C41" t="s">
        <v>2685</v>
      </c>
      <c r="D41" s="940" t="s">
        <v>2686</v>
      </c>
      <c r="E41" t="s">
        <v>170</v>
      </c>
    </row>
    <row r="42" spans="1:5" x14ac:dyDescent="0.2">
      <c r="A42" s="940">
        <v>2533</v>
      </c>
      <c r="B42" s="940">
        <v>45</v>
      </c>
      <c r="C42" t="s">
        <v>2689</v>
      </c>
      <c r="D42" s="940" t="s">
        <v>2690</v>
      </c>
      <c r="E42" t="s">
        <v>74</v>
      </c>
    </row>
    <row r="43" spans="1:5" x14ac:dyDescent="0.2">
      <c r="A43" s="940">
        <v>760</v>
      </c>
      <c r="B43" s="940">
        <v>379</v>
      </c>
      <c r="C43" t="s">
        <v>9467</v>
      </c>
      <c r="D43" s="940" t="s">
        <v>9468</v>
      </c>
      <c r="E43" t="s">
        <v>80</v>
      </c>
    </row>
    <row r="44" spans="1:5" x14ac:dyDescent="0.2">
      <c r="A44" s="940">
        <v>3882</v>
      </c>
      <c r="B44" s="940">
        <v>4</v>
      </c>
      <c r="C44" t="s">
        <v>9469</v>
      </c>
      <c r="D44" s="940" t="s">
        <v>9470</v>
      </c>
      <c r="E44" t="s">
        <v>1467</v>
      </c>
    </row>
    <row r="45" spans="1:5" x14ac:dyDescent="0.2">
      <c r="A45" s="940">
        <v>3655</v>
      </c>
      <c r="B45" s="940">
        <v>7</v>
      </c>
      <c r="C45" t="s">
        <v>9471</v>
      </c>
      <c r="D45" s="940" t="s">
        <v>9470</v>
      </c>
      <c r="E45" t="s">
        <v>1467</v>
      </c>
    </row>
    <row r="46" spans="1:5" x14ac:dyDescent="0.2">
      <c r="A46" s="940">
        <v>824</v>
      </c>
      <c r="B46" s="940">
        <v>352</v>
      </c>
      <c r="C46" t="s">
        <v>2691</v>
      </c>
      <c r="D46" s="940" t="s">
        <v>2692</v>
      </c>
      <c r="E46" t="s">
        <v>2693</v>
      </c>
    </row>
    <row r="47" spans="1:5" x14ac:dyDescent="0.2">
      <c r="A47" s="940">
        <v>3290</v>
      </c>
      <c r="B47" s="940">
        <v>15</v>
      </c>
      <c r="C47" t="s">
        <v>2694</v>
      </c>
      <c r="D47" s="940" t="s">
        <v>2695</v>
      </c>
      <c r="E47" t="s">
        <v>2291</v>
      </c>
    </row>
    <row r="48" spans="1:5" x14ac:dyDescent="0.2">
      <c r="A48" s="940">
        <v>620</v>
      </c>
      <c r="B48" s="940">
        <v>453</v>
      </c>
      <c r="C48" t="s">
        <v>2696</v>
      </c>
      <c r="D48" s="940" t="s">
        <v>2697</v>
      </c>
      <c r="E48" t="s">
        <v>2291</v>
      </c>
    </row>
    <row r="49" spans="1:5" x14ac:dyDescent="0.2">
      <c r="A49" s="940">
        <v>1392</v>
      </c>
      <c r="B49" s="940">
        <v>163</v>
      </c>
      <c r="C49" t="s">
        <v>9472</v>
      </c>
      <c r="D49" s="940" t="s">
        <v>9473</v>
      </c>
      <c r="E49" t="s">
        <v>1282</v>
      </c>
    </row>
    <row r="50" spans="1:5" x14ac:dyDescent="0.2">
      <c r="A50" s="940">
        <v>2006</v>
      </c>
      <c r="B50" s="940">
        <v>85</v>
      </c>
      <c r="C50" t="s">
        <v>2702</v>
      </c>
      <c r="D50" s="940" t="s">
        <v>2703</v>
      </c>
      <c r="E50" t="s">
        <v>1675</v>
      </c>
    </row>
    <row r="51" spans="1:5" x14ac:dyDescent="0.2">
      <c r="A51" s="940">
        <v>4294</v>
      </c>
      <c r="B51" s="940">
        <v>0</v>
      </c>
      <c r="C51" t="s">
        <v>2704</v>
      </c>
      <c r="D51" s="940" t="s">
        <v>2705</v>
      </c>
      <c r="E51" t="s">
        <v>163</v>
      </c>
    </row>
    <row r="52" spans="1:5" x14ac:dyDescent="0.2">
      <c r="A52" s="940">
        <v>2193</v>
      </c>
      <c r="B52" s="940">
        <v>70</v>
      </c>
      <c r="C52" t="s">
        <v>2706</v>
      </c>
      <c r="D52" s="940" t="s">
        <v>2707</v>
      </c>
      <c r="E52" t="s">
        <v>72</v>
      </c>
    </row>
    <row r="53" spans="1:5" x14ac:dyDescent="0.2">
      <c r="A53" s="940">
        <v>2980</v>
      </c>
      <c r="B53" s="940">
        <v>24</v>
      </c>
      <c r="C53" t="s">
        <v>2708</v>
      </c>
      <c r="D53" s="940" t="s">
        <v>2709</v>
      </c>
      <c r="E53" t="s">
        <v>122</v>
      </c>
    </row>
    <row r="54" spans="1:5" x14ac:dyDescent="0.2">
      <c r="A54" s="940">
        <v>4294</v>
      </c>
      <c r="B54" s="940">
        <v>0</v>
      </c>
      <c r="C54" t="s">
        <v>9474</v>
      </c>
      <c r="D54" s="940" t="s">
        <v>9475</v>
      </c>
      <c r="E54" t="s">
        <v>1251</v>
      </c>
    </row>
    <row r="55" spans="1:5" x14ac:dyDescent="0.2">
      <c r="A55" s="940">
        <v>850</v>
      </c>
      <c r="B55" s="940">
        <v>333</v>
      </c>
      <c r="C55" t="s">
        <v>2710</v>
      </c>
      <c r="D55" s="940" t="s">
        <v>2711</v>
      </c>
      <c r="E55" t="s">
        <v>2712</v>
      </c>
    </row>
    <row r="56" spans="1:5" x14ac:dyDescent="0.2">
      <c r="A56" s="940">
        <v>4294</v>
      </c>
      <c r="B56" s="940">
        <v>0</v>
      </c>
      <c r="C56" t="s">
        <v>2713</v>
      </c>
      <c r="D56" s="940" t="s">
        <v>2714</v>
      </c>
      <c r="E56" t="s">
        <v>120</v>
      </c>
    </row>
    <row r="57" spans="1:5" x14ac:dyDescent="0.2">
      <c r="A57" s="940">
        <v>4294</v>
      </c>
      <c r="B57" s="940">
        <v>0</v>
      </c>
      <c r="C57" t="s">
        <v>2715</v>
      </c>
      <c r="D57" s="940" t="s">
        <v>2714</v>
      </c>
      <c r="E57" t="s">
        <v>120</v>
      </c>
    </row>
    <row r="58" spans="1:5" x14ac:dyDescent="0.2">
      <c r="A58" s="940">
        <v>3483</v>
      </c>
      <c r="B58" s="940">
        <v>10</v>
      </c>
      <c r="C58" t="s">
        <v>2716</v>
      </c>
      <c r="D58" s="940" t="s">
        <v>2717</v>
      </c>
      <c r="E58" t="s">
        <v>164</v>
      </c>
    </row>
    <row r="59" spans="1:5" x14ac:dyDescent="0.2">
      <c r="A59" s="940">
        <v>4294</v>
      </c>
      <c r="B59" s="940">
        <v>0</v>
      </c>
      <c r="C59" t="s">
        <v>9476</v>
      </c>
      <c r="D59" s="940" t="s">
        <v>8615</v>
      </c>
      <c r="E59" t="s">
        <v>74</v>
      </c>
    </row>
    <row r="60" spans="1:5" x14ac:dyDescent="0.2">
      <c r="A60" s="940">
        <v>2833</v>
      </c>
      <c r="B60" s="940">
        <v>31</v>
      </c>
      <c r="C60" t="s">
        <v>2718</v>
      </c>
      <c r="D60" s="940" t="s">
        <v>2719</v>
      </c>
      <c r="E60" t="s">
        <v>2720</v>
      </c>
    </row>
    <row r="61" spans="1:5" x14ac:dyDescent="0.2">
      <c r="A61" s="940">
        <v>3655</v>
      </c>
      <c r="B61" s="940">
        <v>7</v>
      </c>
      <c r="C61" t="s">
        <v>2724</v>
      </c>
      <c r="D61" s="940" t="s">
        <v>2725</v>
      </c>
      <c r="E61" t="s">
        <v>1330</v>
      </c>
    </row>
    <row r="62" spans="1:5" x14ac:dyDescent="0.2">
      <c r="A62" s="940">
        <v>2101</v>
      </c>
      <c r="B62" s="940">
        <v>77</v>
      </c>
      <c r="C62" t="s">
        <v>1180</v>
      </c>
      <c r="D62" s="940" t="s">
        <v>2726</v>
      </c>
      <c r="E62" t="s">
        <v>105</v>
      </c>
    </row>
    <row r="63" spans="1:5" x14ac:dyDescent="0.2">
      <c r="A63" s="940">
        <v>2860</v>
      </c>
      <c r="B63" s="940">
        <v>30</v>
      </c>
      <c r="C63" t="s">
        <v>1180</v>
      </c>
      <c r="D63" s="940" t="s">
        <v>2727</v>
      </c>
      <c r="E63" t="s">
        <v>2542</v>
      </c>
    </row>
    <row r="64" spans="1:5" x14ac:dyDescent="0.2">
      <c r="A64" s="940">
        <v>3882</v>
      </c>
      <c r="B64" s="940">
        <v>4</v>
      </c>
      <c r="C64" t="s">
        <v>9477</v>
      </c>
      <c r="D64" s="940" t="s">
        <v>3380</v>
      </c>
      <c r="E64" t="s">
        <v>1251</v>
      </c>
    </row>
    <row r="65" spans="1:5" x14ac:dyDescent="0.2">
      <c r="A65" s="940">
        <v>4294</v>
      </c>
      <c r="B65" s="940">
        <v>0</v>
      </c>
      <c r="C65" t="s">
        <v>9478</v>
      </c>
      <c r="D65" s="940" t="s">
        <v>9398</v>
      </c>
      <c r="E65" t="s">
        <v>136</v>
      </c>
    </row>
    <row r="66" spans="1:5" x14ac:dyDescent="0.2">
      <c r="A66" s="940">
        <v>2450</v>
      </c>
      <c r="B66" s="940">
        <v>51</v>
      </c>
      <c r="C66" t="s">
        <v>2728</v>
      </c>
      <c r="D66" s="940" t="s">
        <v>2714</v>
      </c>
      <c r="E66" t="s">
        <v>1939</v>
      </c>
    </row>
    <row r="67" spans="1:5" x14ac:dyDescent="0.2">
      <c r="A67" s="940">
        <v>2725</v>
      </c>
      <c r="B67" s="940">
        <v>36</v>
      </c>
      <c r="C67" t="s">
        <v>2729</v>
      </c>
      <c r="D67" s="940" t="s">
        <v>2714</v>
      </c>
      <c r="E67" t="s">
        <v>1939</v>
      </c>
    </row>
    <row r="68" spans="1:5" x14ac:dyDescent="0.2">
      <c r="A68" s="940">
        <v>1687</v>
      </c>
      <c r="B68" s="940">
        <v>119</v>
      </c>
      <c r="C68" t="s">
        <v>2730</v>
      </c>
      <c r="D68" s="940" t="s">
        <v>2731</v>
      </c>
      <c r="E68" t="s">
        <v>2732</v>
      </c>
    </row>
    <row r="69" spans="1:5" x14ac:dyDescent="0.2">
      <c r="A69" s="940">
        <v>2504</v>
      </c>
      <c r="B69" s="940">
        <v>47</v>
      </c>
      <c r="C69" t="s">
        <v>2736</v>
      </c>
      <c r="D69" s="940" t="s">
        <v>2737</v>
      </c>
      <c r="E69" t="s">
        <v>1358</v>
      </c>
    </row>
    <row r="70" spans="1:5" x14ac:dyDescent="0.2">
      <c r="A70" s="940">
        <v>1392</v>
      </c>
      <c r="B70" s="940">
        <v>163</v>
      </c>
      <c r="C70" t="s">
        <v>1185</v>
      </c>
      <c r="D70" s="940" t="s">
        <v>2740</v>
      </c>
      <c r="E70" t="s">
        <v>120</v>
      </c>
    </row>
    <row r="71" spans="1:5" x14ac:dyDescent="0.2">
      <c r="A71" s="940">
        <v>3174</v>
      </c>
      <c r="B71" s="940">
        <v>18</v>
      </c>
      <c r="C71" t="s">
        <v>9479</v>
      </c>
      <c r="D71" s="940" t="s">
        <v>9185</v>
      </c>
      <c r="E71" t="s">
        <v>118</v>
      </c>
    </row>
    <row r="72" spans="1:5" x14ac:dyDescent="0.2">
      <c r="A72" s="940">
        <v>683</v>
      </c>
      <c r="B72" s="940">
        <v>413</v>
      </c>
      <c r="C72" t="s">
        <v>1186</v>
      </c>
      <c r="D72" s="940" t="s">
        <v>2741</v>
      </c>
      <c r="E72" t="s">
        <v>117</v>
      </c>
    </row>
    <row r="73" spans="1:5" x14ac:dyDescent="0.2">
      <c r="A73" s="940">
        <v>1105</v>
      </c>
      <c r="B73" s="940">
        <v>238</v>
      </c>
      <c r="C73" t="s">
        <v>1187</v>
      </c>
      <c r="D73" s="940" t="s">
        <v>2745</v>
      </c>
      <c r="E73" t="s">
        <v>105</v>
      </c>
    </row>
    <row r="74" spans="1:5" x14ac:dyDescent="0.2">
      <c r="A74" s="940">
        <v>4294</v>
      </c>
      <c r="B74" s="940">
        <v>0</v>
      </c>
      <c r="C74" t="s">
        <v>2746</v>
      </c>
      <c r="D74" s="940" t="s">
        <v>2747</v>
      </c>
      <c r="E74" t="s">
        <v>1460</v>
      </c>
    </row>
    <row r="75" spans="1:5" x14ac:dyDescent="0.2">
      <c r="A75" s="940">
        <v>540</v>
      </c>
      <c r="B75" s="940">
        <v>512</v>
      </c>
      <c r="C75" t="s">
        <v>2748</v>
      </c>
      <c r="D75" s="940" t="s">
        <v>2749</v>
      </c>
      <c r="E75" t="s">
        <v>105</v>
      </c>
    </row>
    <row r="76" spans="1:5" x14ac:dyDescent="0.2">
      <c r="A76" s="940">
        <v>4294</v>
      </c>
      <c r="B76" s="940">
        <v>0</v>
      </c>
      <c r="C76" t="s">
        <v>2752</v>
      </c>
      <c r="D76" s="940" t="s">
        <v>2753</v>
      </c>
      <c r="E76" t="s">
        <v>120</v>
      </c>
    </row>
    <row r="77" spans="1:5" x14ac:dyDescent="0.2">
      <c r="A77" s="940">
        <v>481</v>
      </c>
      <c r="B77" s="940">
        <v>571</v>
      </c>
      <c r="C77" t="s">
        <v>9480</v>
      </c>
      <c r="D77" s="940" t="s">
        <v>9481</v>
      </c>
      <c r="E77" t="s">
        <v>119</v>
      </c>
    </row>
    <row r="78" spans="1:5" x14ac:dyDescent="0.2">
      <c r="A78" s="940">
        <v>2379</v>
      </c>
      <c r="B78" s="940">
        <v>56</v>
      </c>
      <c r="C78" t="s">
        <v>1189</v>
      </c>
      <c r="D78" s="940" t="s">
        <v>3714</v>
      </c>
      <c r="E78" t="s">
        <v>105</v>
      </c>
    </row>
    <row r="79" spans="1:5" x14ac:dyDescent="0.2">
      <c r="A79" s="940">
        <v>4294</v>
      </c>
      <c r="B79" s="940">
        <v>0</v>
      </c>
      <c r="C79" t="s">
        <v>9482</v>
      </c>
      <c r="D79" s="940" t="s">
        <v>9483</v>
      </c>
      <c r="E79" t="s">
        <v>1221</v>
      </c>
    </row>
    <row r="80" spans="1:5" x14ac:dyDescent="0.2">
      <c r="A80" s="940">
        <v>3732</v>
      </c>
      <c r="B80" s="940">
        <v>6</v>
      </c>
      <c r="C80" t="s">
        <v>1193</v>
      </c>
      <c r="D80" s="940" t="s">
        <v>3657</v>
      </c>
      <c r="E80" t="s">
        <v>231</v>
      </c>
    </row>
    <row r="81" spans="1:5" x14ac:dyDescent="0.2">
      <c r="A81" s="940">
        <v>1366</v>
      </c>
      <c r="B81" s="940">
        <v>169</v>
      </c>
      <c r="C81" t="s">
        <v>2757</v>
      </c>
      <c r="D81" s="940" t="s">
        <v>2758</v>
      </c>
      <c r="E81" t="s">
        <v>1236</v>
      </c>
    </row>
    <row r="82" spans="1:5" x14ac:dyDescent="0.2">
      <c r="A82" s="940">
        <v>4294</v>
      </c>
      <c r="B82" s="940">
        <v>0</v>
      </c>
      <c r="C82" t="s">
        <v>9484</v>
      </c>
      <c r="D82" s="940" t="s">
        <v>9485</v>
      </c>
      <c r="E82" t="s">
        <v>164</v>
      </c>
    </row>
    <row r="83" spans="1:5" x14ac:dyDescent="0.2">
      <c r="A83" s="940">
        <v>3290</v>
      </c>
      <c r="B83" s="940">
        <v>15</v>
      </c>
      <c r="C83" t="s">
        <v>2761</v>
      </c>
      <c r="D83" s="940" t="s">
        <v>2753</v>
      </c>
      <c r="E83" t="s">
        <v>2732</v>
      </c>
    </row>
    <row r="84" spans="1:5" x14ac:dyDescent="0.2">
      <c r="A84" s="940">
        <v>1956</v>
      </c>
      <c r="B84" s="940">
        <v>90</v>
      </c>
      <c r="C84" t="s">
        <v>2762</v>
      </c>
      <c r="D84" s="940" t="s">
        <v>2763</v>
      </c>
      <c r="E84" t="s">
        <v>72</v>
      </c>
    </row>
    <row r="85" spans="1:5" x14ac:dyDescent="0.2">
      <c r="A85" s="940">
        <v>1467</v>
      </c>
      <c r="B85" s="940">
        <v>151</v>
      </c>
      <c r="C85" t="s">
        <v>2764</v>
      </c>
      <c r="D85" s="940" t="s">
        <v>2765</v>
      </c>
      <c r="E85" t="s">
        <v>2766</v>
      </c>
    </row>
    <row r="86" spans="1:5" x14ac:dyDescent="0.2">
      <c r="A86" s="940">
        <v>2877</v>
      </c>
      <c r="B86" s="940">
        <v>29</v>
      </c>
      <c r="C86" t="s">
        <v>2767</v>
      </c>
      <c r="D86" s="940" t="s">
        <v>2768</v>
      </c>
      <c r="E86" t="s">
        <v>122</v>
      </c>
    </row>
    <row r="87" spans="1:5" x14ac:dyDescent="0.2">
      <c r="A87" s="940">
        <v>2339</v>
      </c>
      <c r="B87" s="940">
        <v>59</v>
      </c>
      <c r="C87" t="s">
        <v>2769</v>
      </c>
      <c r="D87" s="940" t="s">
        <v>2770</v>
      </c>
      <c r="E87" t="s">
        <v>118</v>
      </c>
    </row>
    <row r="88" spans="1:5" x14ac:dyDescent="0.2">
      <c r="A88" s="940">
        <v>2691</v>
      </c>
      <c r="B88" s="940">
        <v>37</v>
      </c>
      <c r="C88" t="s">
        <v>2771</v>
      </c>
      <c r="D88" s="940" t="s">
        <v>2772</v>
      </c>
      <c r="E88" t="s">
        <v>1275</v>
      </c>
    </row>
    <row r="89" spans="1:5" x14ac:dyDescent="0.2">
      <c r="A89" s="940">
        <v>2630</v>
      </c>
      <c r="B89" s="940">
        <v>40</v>
      </c>
      <c r="C89" t="s">
        <v>2773</v>
      </c>
      <c r="D89" s="940" t="s">
        <v>2774</v>
      </c>
      <c r="E89" t="s">
        <v>120</v>
      </c>
    </row>
    <row r="90" spans="1:5" x14ac:dyDescent="0.2">
      <c r="A90" s="940">
        <v>3483</v>
      </c>
      <c r="B90" s="940">
        <v>10</v>
      </c>
      <c r="C90" t="s">
        <v>2775</v>
      </c>
      <c r="D90" s="940" t="s">
        <v>2776</v>
      </c>
      <c r="E90" t="s">
        <v>105</v>
      </c>
    </row>
    <row r="91" spans="1:5" x14ac:dyDescent="0.2">
      <c r="A91" s="940">
        <v>2312</v>
      </c>
      <c r="B91" s="940">
        <v>61</v>
      </c>
      <c r="C91" t="s">
        <v>9486</v>
      </c>
      <c r="D91" s="940" t="s">
        <v>9487</v>
      </c>
      <c r="E91" t="s">
        <v>9488</v>
      </c>
    </row>
    <row r="92" spans="1:5" x14ac:dyDescent="0.2">
      <c r="A92" s="940">
        <v>4181</v>
      </c>
      <c r="B92" s="940">
        <v>1</v>
      </c>
      <c r="C92" t="s">
        <v>2777</v>
      </c>
      <c r="D92" s="940" t="s">
        <v>2778</v>
      </c>
      <c r="E92" t="s">
        <v>74</v>
      </c>
    </row>
    <row r="93" spans="1:5" x14ac:dyDescent="0.2">
      <c r="A93" s="940">
        <v>4294</v>
      </c>
      <c r="B93" s="940">
        <v>0</v>
      </c>
      <c r="C93" t="s">
        <v>9489</v>
      </c>
      <c r="D93" s="940" t="s">
        <v>9490</v>
      </c>
      <c r="E93" t="s">
        <v>1214</v>
      </c>
    </row>
    <row r="94" spans="1:5" x14ac:dyDescent="0.2">
      <c r="A94" s="940">
        <v>4294</v>
      </c>
      <c r="B94" s="940">
        <v>0</v>
      </c>
      <c r="C94" t="s">
        <v>2779</v>
      </c>
      <c r="D94" s="940" t="s">
        <v>2780</v>
      </c>
      <c r="E94" t="s">
        <v>614</v>
      </c>
    </row>
    <row r="95" spans="1:5" x14ac:dyDescent="0.2">
      <c r="A95" s="940">
        <v>604</v>
      </c>
      <c r="B95" s="940">
        <v>469</v>
      </c>
      <c r="C95" t="s">
        <v>123</v>
      </c>
      <c r="D95" s="940" t="s">
        <v>2781</v>
      </c>
      <c r="E95" t="s">
        <v>99</v>
      </c>
    </row>
    <row r="96" spans="1:5" x14ac:dyDescent="0.2">
      <c r="A96" s="940">
        <v>4294</v>
      </c>
      <c r="B96" s="940">
        <v>0</v>
      </c>
      <c r="C96" t="s">
        <v>2782</v>
      </c>
      <c r="D96" s="940" t="s">
        <v>2783</v>
      </c>
      <c r="E96" t="s">
        <v>140</v>
      </c>
    </row>
    <row r="97" spans="1:5" x14ac:dyDescent="0.2">
      <c r="A97" s="940">
        <v>2254</v>
      </c>
      <c r="B97" s="940">
        <v>65</v>
      </c>
      <c r="C97" t="s">
        <v>2784</v>
      </c>
      <c r="D97" s="940" t="s">
        <v>2785</v>
      </c>
      <c r="E97" t="s">
        <v>1638</v>
      </c>
    </row>
    <row r="98" spans="1:5" x14ac:dyDescent="0.2">
      <c r="A98" s="940">
        <v>1574</v>
      </c>
      <c r="B98" s="940">
        <v>132</v>
      </c>
      <c r="C98" t="s">
        <v>1201</v>
      </c>
      <c r="D98" s="940" t="s">
        <v>2786</v>
      </c>
      <c r="E98" t="s">
        <v>109</v>
      </c>
    </row>
    <row r="99" spans="1:5" x14ac:dyDescent="0.2">
      <c r="A99" s="940">
        <v>2286</v>
      </c>
      <c r="B99" s="940">
        <v>63</v>
      </c>
      <c r="C99" t="s">
        <v>9491</v>
      </c>
      <c r="D99" s="940" t="s">
        <v>3213</v>
      </c>
      <c r="E99" t="s">
        <v>120</v>
      </c>
    </row>
    <row r="100" spans="1:5" x14ac:dyDescent="0.2">
      <c r="A100" s="940">
        <v>414</v>
      </c>
      <c r="B100" s="940">
        <v>628</v>
      </c>
      <c r="C100" t="s">
        <v>9492</v>
      </c>
      <c r="D100" s="940" t="s">
        <v>9493</v>
      </c>
      <c r="E100" t="s">
        <v>122</v>
      </c>
    </row>
    <row r="101" spans="1:5" x14ac:dyDescent="0.2">
      <c r="A101" s="940">
        <v>2101</v>
      </c>
      <c r="B101" s="940">
        <v>77</v>
      </c>
      <c r="C101" t="s">
        <v>2787</v>
      </c>
      <c r="D101" s="940" t="s">
        <v>2788</v>
      </c>
      <c r="E101" t="s">
        <v>170</v>
      </c>
    </row>
    <row r="102" spans="1:5" x14ac:dyDescent="0.2">
      <c r="A102" s="940">
        <v>1687</v>
      </c>
      <c r="B102" s="940">
        <v>119</v>
      </c>
      <c r="C102" t="s">
        <v>9494</v>
      </c>
      <c r="D102" s="940" t="s">
        <v>5303</v>
      </c>
      <c r="E102" t="s">
        <v>1372</v>
      </c>
    </row>
    <row r="103" spans="1:5" x14ac:dyDescent="0.2">
      <c r="A103" s="940">
        <v>388</v>
      </c>
      <c r="B103" s="940">
        <v>649</v>
      </c>
      <c r="C103" t="s">
        <v>2789</v>
      </c>
      <c r="D103" s="940" t="s">
        <v>2790</v>
      </c>
      <c r="E103" t="s">
        <v>112</v>
      </c>
    </row>
    <row r="104" spans="1:5" x14ac:dyDescent="0.2">
      <c r="A104" s="940">
        <v>3882</v>
      </c>
      <c r="B104" s="940">
        <v>4</v>
      </c>
      <c r="C104" t="s">
        <v>2791</v>
      </c>
      <c r="D104" s="940" t="s">
        <v>2792</v>
      </c>
      <c r="E104" t="s">
        <v>2793</v>
      </c>
    </row>
    <row r="105" spans="1:5" x14ac:dyDescent="0.2">
      <c r="A105" s="940">
        <v>4294</v>
      </c>
      <c r="B105" s="940">
        <v>0</v>
      </c>
      <c r="C105" t="s">
        <v>2796</v>
      </c>
      <c r="D105" s="940" t="s">
        <v>2797</v>
      </c>
      <c r="E105" t="s">
        <v>105</v>
      </c>
    </row>
    <row r="106" spans="1:5" x14ac:dyDescent="0.2">
      <c r="A106" s="940">
        <v>211</v>
      </c>
      <c r="B106" s="940">
        <v>891</v>
      </c>
      <c r="C106" t="s">
        <v>125</v>
      </c>
      <c r="D106" s="940" t="s">
        <v>2800</v>
      </c>
      <c r="E106" t="s">
        <v>130</v>
      </c>
    </row>
    <row r="107" spans="1:5" x14ac:dyDescent="0.2">
      <c r="A107" s="940">
        <v>4294</v>
      </c>
      <c r="B107" s="940">
        <v>0</v>
      </c>
      <c r="C107" t="s">
        <v>9495</v>
      </c>
      <c r="D107" s="940" t="s">
        <v>9496</v>
      </c>
      <c r="E107" t="s">
        <v>74</v>
      </c>
    </row>
    <row r="108" spans="1:5" x14ac:dyDescent="0.2">
      <c r="A108" s="940">
        <v>3972</v>
      </c>
      <c r="B108" s="940">
        <v>3</v>
      </c>
      <c r="C108" t="s">
        <v>2803</v>
      </c>
      <c r="D108" s="940" t="s">
        <v>2804</v>
      </c>
      <c r="E108" t="s">
        <v>179</v>
      </c>
    </row>
    <row r="109" spans="1:5" x14ac:dyDescent="0.2">
      <c r="A109" s="940">
        <v>3323</v>
      </c>
      <c r="B109" s="940">
        <v>14</v>
      </c>
      <c r="C109" t="s">
        <v>2806</v>
      </c>
      <c r="D109" s="940" t="s">
        <v>2807</v>
      </c>
      <c r="E109" t="s">
        <v>1221</v>
      </c>
    </row>
    <row r="110" spans="1:5" x14ac:dyDescent="0.2">
      <c r="A110" s="940">
        <v>3008</v>
      </c>
      <c r="B110" s="940">
        <v>23</v>
      </c>
      <c r="C110" t="s">
        <v>2812</v>
      </c>
      <c r="D110" s="940" t="s">
        <v>2813</v>
      </c>
      <c r="E110" t="s">
        <v>105</v>
      </c>
    </row>
    <row r="111" spans="1:5" x14ac:dyDescent="0.2">
      <c r="A111" s="940">
        <v>1563</v>
      </c>
      <c r="B111" s="940">
        <v>134</v>
      </c>
      <c r="C111" t="s">
        <v>2535</v>
      </c>
      <c r="D111" s="940" t="s">
        <v>9497</v>
      </c>
      <c r="E111" t="s">
        <v>105</v>
      </c>
    </row>
    <row r="112" spans="1:5" x14ac:dyDescent="0.2">
      <c r="A112" s="940">
        <v>2298</v>
      </c>
      <c r="B112" s="940">
        <v>62</v>
      </c>
      <c r="C112" t="s">
        <v>425</v>
      </c>
      <c r="D112" s="940" t="s">
        <v>2814</v>
      </c>
      <c r="E112" t="s">
        <v>120</v>
      </c>
    </row>
    <row r="113" spans="1:5" x14ac:dyDescent="0.2">
      <c r="A113" s="940">
        <v>3882</v>
      </c>
      <c r="B113" s="940">
        <v>4</v>
      </c>
      <c r="C113" t="s">
        <v>2815</v>
      </c>
      <c r="D113" s="940" t="s">
        <v>2816</v>
      </c>
      <c r="E113" t="s">
        <v>105</v>
      </c>
    </row>
    <row r="114" spans="1:5" x14ac:dyDescent="0.2">
      <c r="A114" s="940">
        <v>276</v>
      </c>
      <c r="B114" s="940">
        <v>808</v>
      </c>
      <c r="C114" t="s">
        <v>2817</v>
      </c>
      <c r="D114" s="940" t="s">
        <v>2818</v>
      </c>
      <c r="E114" t="s">
        <v>105</v>
      </c>
    </row>
    <row r="115" spans="1:5" x14ac:dyDescent="0.2">
      <c r="A115" s="940">
        <v>2745</v>
      </c>
      <c r="B115" s="940">
        <v>35</v>
      </c>
      <c r="C115" t="s">
        <v>9498</v>
      </c>
      <c r="D115" s="940" t="s">
        <v>9499</v>
      </c>
      <c r="E115" t="s">
        <v>3137</v>
      </c>
    </row>
    <row r="116" spans="1:5" x14ac:dyDescent="0.2">
      <c r="A116" s="940">
        <v>3446</v>
      </c>
      <c r="B116" s="940">
        <v>11</v>
      </c>
      <c r="C116" t="s">
        <v>2819</v>
      </c>
      <c r="D116" s="940" t="s">
        <v>2820</v>
      </c>
      <c r="E116" t="s">
        <v>1493</v>
      </c>
    </row>
    <row r="117" spans="1:5" x14ac:dyDescent="0.2">
      <c r="A117" s="940">
        <v>3602</v>
      </c>
      <c r="B117" s="940">
        <v>8</v>
      </c>
      <c r="C117" t="s">
        <v>9500</v>
      </c>
      <c r="D117" s="940" t="s">
        <v>9501</v>
      </c>
      <c r="E117" t="s">
        <v>122</v>
      </c>
    </row>
    <row r="118" spans="1:5" x14ac:dyDescent="0.2">
      <c r="A118" s="940">
        <v>4294</v>
      </c>
      <c r="B118" s="940">
        <v>0</v>
      </c>
      <c r="C118" t="s">
        <v>2823</v>
      </c>
      <c r="D118" s="940" t="s">
        <v>2824</v>
      </c>
      <c r="E118" t="s">
        <v>122</v>
      </c>
    </row>
    <row r="119" spans="1:5" x14ac:dyDescent="0.2">
      <c r="A119" s="940">
        <v>4294</v>
      </c>
      <c r="B119" s="940">
        <v>0</v>
      </c>
      <c r="C119" t="s">
        <v>1206</v>
      </c>
      <c r="D119" s="940" t="s">
        <v>2825</v>
      </c>
      <c r="E119" t="s">
        <v>74</v>
      </c>
    </row>
    <row r="120" spans="1:5" x14ac:dyDescent="0.2">
      <c r="A120" s="940">
        <v>3972</v>
      </c>
      <c r="B120" s="940">
        <v>3</v>
      </c>
      <c r="C120" t="s">
        <v>2826</v>
      </c>
      <c r="D120" s="940" t="s">
        <v>2827</v>
      </c>
      <c r="E120" t="s">
        <v>110</v>
      </c>
    </row>
    <row r="121" spans="1:5" x14ac:dyDescent="0.2">
      <c r="A121" s="940">
        <v>701</v>
      </c>
      <c r="B121" s="940">
        <v>402</v>
      </c>
      <c r="C121" t="s">
        <v>2830</v>
      </c>
      <c r="D121" s="940" t="s">
        <v>2831</v>
      </c>
      <c r="E121" t="s">
        <v>108</v>
      </c>
    </row>
    <row r="122" spans="1:5" x14ac:dyDescent="0.2">
      <c r="A122" s="940">
        <v>638</v>
      </c>
      <c r="B122" s="940">
        <v>439</v>
      </c>
      <c r="C122" t="s">
        <v>2832</v>
      </c>
      <c r="D122" s="940" t="s">
        <v>2833</v>
      </c>
      <c r="E122" t="s">
        <v>105</v>
      </c>
    </row>
    <row r="123" spans="1:5" x14ac:dyDescent="0.2">
      <c r="A123" s="940">
        <v>2915</v>
      </c>
      <c r="B123" s="940">
        <v>27</v>
      </c>
      <c r="C123" t="s">
        <v>2832</v>
      </c>
      <c r="D123" s="940" t="s">
        <v>2834</v>
      </c>
      <c r="E123" t="s">
        <v>170</v>
      </c>
    </row>
    <row r="124" spans="1:5" x14ac:dyDescent="0.2">
      <c r="A124" s="940">
        <v>4294</v>
      </c>
      <c r="B124" s="940">
        <v>0</v>
      </c>
      <c r="C124" t="s">
        <v>2832</v>
      </c>
      <c r="D124" s="940" t="s">
        <v>2835</v>
      </c>
      <c r="E124" t="s">
        <v>105</v>
      </c>
    </row>
    <row r="125" spans="1:5" x14ac:dyDescent="0.2">
      <c r="A125" s="940">
        <v>4181</v>
      </c>
      <c r="B125" s="940">
        <v>1</v>
      </c>
      <c r="C125" t="s">
        <v>2840</v>
      </c>
      <c r="D125" s="940" t="s">
        <v>2841</v>
      </c>
      <c r="E125" t="s">
        <v>105</v>
      </c>
    </row>
    <row r="126" spans="1:5" x14ac:dyDescent="0.2">
      <c r="A126" s="940">
        <v>400</v>
      </c>
      <c r="B126" s="940">
        <v>643</v>
      </c>
      <c r="C126" t="s">
        <v>2842</v>
      </c>
      <c r="D126" s="940" t="s">
        <v>2843</v>
      </c>
      <c r="E126" t="s">
        <v>661</v>
      </c>
    </row>
    <row r="127" spans="1:5" x14ac:dyDescent="0.2">
      <c r="A127" s="940">
        <v>3972</v>
      </c>
      <c r="B127" s="940">
        <v>3</v>
      </c>
      <c r="C127" t="s">
        <v>9502</v>
      </c>
      <c r="D127" s="940" t="s">
        <v>9503</v>
      </c>
      <c r="E127" t="s">
        <v>113</v>
      </c>
    </row>
    <row r="128" spans="1:5" x14ac:dyDescent="0.2">
      <c r="A128" s="940">
        <v>3545</v>
      </c>
      <c r="B128" s="940">
        <v>9</v>
      </c>
      <c r="C128" t="s">
        <v>2847</v>
      </c>
      <c r="D128" s="940" t="s">
        <v>2848</v>
      </c>
      <c r="E128" t="s">
        <v>227</v>
      </c>
    </row>
    <row r="129" spans="1:5" x14ac:dyDescent="0.2">
      <c r="A129" s="940">
        <v>4294</v>
      </c>
      <c r="B129" s="940">
        <v>0</v>
      </c>
      <c r="C129" t="s">
        <v>9504</v>
      </c>
      <c r="D129" s="940" t="s">
        <v>9505</v>
      </c>
      <c r="E129" t="s">
        <v>99</v>
      </c>
    </row>
    <row r="130" spans="1:5" x14ac:dyDescent="0.2">
      <c r="A130" s="940">
        <v>23</v>
      </c>
      <c r="B130" s="940">
        <v>1454</v>
      </c>
      <c r="C130" t="s">
        <v>2849</v>
      </c>
      <c r="D130" s="940" t="s">
        <v>2850</v>
      </c>
      <c r="E130" t="s">
        <v>128</v>
      </c>
    </row>
    <row r="131" spans="1:5" x14ac:dyDescent="0.2">
      <c r="A131" s="940">
        <v>2434</v>
      </c>
      <c r="B131" s="940">
        <v>52</v>
      </c>
      <c r="C131" t="s">
        <v>9506</v>
      </c>
      <c r="D131" s="940" t="s">
        <v>6496</v>
      </c>
      <c r="E131" t="s">
        <v>1447</v>
      </c>
    </row>
    <row r="132" spans="1:5" x14ac:dyDescent="0.2">
      <c r="A132" s="940">
        <v>4294</v>
      </c>
      <c r="B132" s="940">
        <v>0</v>
      </c>
      <c r="C132" t="s">
        <v>2851</v>
      </c>
      <c r="D132" s="940" t="s">
        <v>2852</v>
      </c>
      <c r="E132" t="s">
        <v>105</v>
      </c>
    </row>
    <row r="133" spans="1:5" x14ac:dyDescent="0.2">
      <c r="A133" s="940">
        <v>2242</v>
      </c>
      <c r="B133" s="940">
        <v>66</v>
      </c>
      <c r="C133" t="s">
        <v>9507</v>
      </c>
      <c r="D133" s="940" t="s">
        <v>5736</v>
      </c>
      <c r="E133" t="s">
        <v>120</v>
      </c>
    </row>
    <row r="134" spans="1:5" x14ac:dyDescent="0.2">
      <c r="A134" s="940">
        <v>2962</v>
      </c>
      <c r="B134" s="940">
        <v>25</v>
      </c>
      <c r="C134" t="s">
        <v>9508</v>
      </c>
      <c r="D134" s="940" t="s">
        <v>5675</v>
      </c>
      <c r="E134" t="s">
        <v>614</v>
      </c>
    </row>
    <row r="135" spans="1:5" x14ac:dyDescent="0.2">
      <c r="A135" s="940">
        <v>2860</v>
      </c>
      <c r="B135" s="940">
        <v>30</v>
      </c>
      <c r="C135" t="s">
        <v>2853</v>
      </c>
      <c r="D135" s="940" t="s">
        <v>2854</v>
      </c>
      <c r="E135" t="s">
        <v>105</v>
      </c>
    </row>
    <row r="136" spans="1:5" x14ac:dyDescent="0.2">
      <c r="A136" s="940">
        <v>2409</v>
      </c>
      <c r="B136" s="940">
        <v>54</v>
      </c>
      <c r="C136" t="s">
        <v>2855</v>
      </c>
      <c r="D136" s="940" t="s">
        <v>2856</v>
      </c>
      <c r="E136" t="s">
        <v>105</v>
      </c>
    </row>
    <row r="137" spans="1:5" x14ac:dyDescent="0.2">
      <c r="A137" s="940">
        <v>2794</v>
      </c>
      <c r="B137" s="940">
        <v>33</v>
      </c>
      <c r="C137" t="s">
        <v>9509</v>
      </c>
      <c r="D137" s="940" t="s">
        <v>7945</v>
      </c>
      <c r="E137" t="s">
        <v>222</v>
      </c>
    </row>
    <row r="138" spans="1:5" x14ac:dyDescent="0.2">
      <c r="A138" s="940">
        <v>3222</v>
      </c>
      <c r="B138" s="940">
        <v>17</v>
      </c>
      <c r="C138" t="s">
        <v>9510</v>
      </c>
      <c r="D138" s="940" t="s">
        <v>4571</v>
      </c>
      <c r="E138" t="s">
        <v>136</v>
      </c>
    </row>
    <row r="139" spans="1:5" x14ac:dyDescent="0.2">
      <c r="A139" s="940">
        <v>1473</v>
      </c>
      <c r="B139" s="940">
        <v>150</v>
      </c>
      <c r="C139" t="s">
        <v>9511</v>
      </c>
      <c r="D139" s="940" t="s">
        <v>9512</v>
      </c>
      <c r="E139" t="s">
        <v>208</v>
      </c>
    </row>
    <row r="140" spans="1:5" x14ac:dyDescent="0.2">
      <c r="A140" s="940">
        <v>2150</v>
      </c>
      <c r="B140" s="940">
        <v>73</v>
      </c>
      <c r="C140" t="s">
        <v>1210</v>
      </c>
      <c r="D140" s="940" t="s">
        <v>9513</v>
      </c>
      <c r="E140" t="s">
        <v>113</v>
      </c>
    </row>
    <row r="141" spans="1:5" x14ac:dyDescent="0.2">
      <c r="A141" s="940">
        <v>3796</v>
      </c>
      <c r="B141" s="940">
        <v>5</v>
      </c>
      <c r="C141" t="s">
        <v>2859</v>
      </c>
      <c r="D141" s="940" t="s">
        <v>2860</v>
      </c>
      <c r="E141" t="s">
        <v>106</v>
      </c>
    </row>
    <row r="142" spans="1:5" x14ac:dyDescent="0.2">
      <c r="A142" s="940">
        <v>109</v>
      </c>
      <c r="B142" s="940">
        <v>1094</v>
      </c>
      <c r="C142" t="s">
        <v>2861</v>
      </c>
      <c r="D142" s="940" t="s">
        <v>2862</v>
      </c>
      <c r="E142" t="s">
        <v>105</v>
      </c>
    </row>
    <row r="143" spans="1:5" x14ac:dyDescent="0.2">
      <c r="A143" s="940">
        <v>237</v>
      </c>
      <c r="B143" s="940">
        <v>855</v>
      </c>
      <c r="C143" t="s">
        <v>2861</v>
      </c>
      <c r="D143" s="940" t="s">
        <v>2863</v>
      </c>
      <c r="E143" t="s">
        <v>1211</v>
      </c>
    </row>
    <row r="144" spans="1:5" x14ac:dyDescent="0.2">
      <c r="A144" s="940">
        <v>4294</v>
      </c>
      <c r="B144" s="940">
        <v>0</v>
      </c>
      <c r="C144" t="s">
        <v>2864</v>
      </c>
      <c r="D144" s="940" t="s">
        <v>2865</v>
      </c>
      <c r="E144" t="s">
        <v>122</v>
      </c>
    </row>
    <row r="145" spans="1:5" x14ac:dyDescent="0.2">
      <c r="A145" s="940">
        <v>3136</v>
      </c>
      <c r="B145" s="940">
        <v>19</v>
      </c>
      <c r="C145" t="s">
        <v>1212</v>
      </c>
      <c r="D145" s="940" t="s">
        <v>2866</v>
      </c>
      <c r="E145" t="s">
        <v>122</v>
      </c>
    </row>
    <row r="146" spans="1:5" x14ac:dyDescent="0.2">
      <c r="A146" s="940">
        <v>932</v>
      </c>
      <c r="B146" s="940">
        <v>305</v>
      </c>
      <c r="C146" t="s">
        <v>1215</v>
      </c>
      <c r="D146" s="940" t="s">
        <v>2867</v>
      </c>
      <c r="E146" t="s">
        <v>118</v>
      </c>
    </row>
    <row r="147" spans="1:5" x14ac:dyDescent="0.2">
      <c r="A147" s="940">
        <v>460</v>
      </c>
      <c r="B147" s="940">
        <v>584</v>
      </c>
      <c r="C147" t="s">
        <v>1216</v>
      </c>
      <c r="D147" s="940" t="s">
        <v>2868</v>
      </c>
      <c r="E147" t="s">
        <v>105</v>
      </c>
    </row>
    <row r="148" spans="1:5" x14ac:dyDescent="0.2">
      <c r="A148" s="940">
        <v>640</v>
      </c>
      <c r="B148" s="940">
        <v>438</v>
      </c>
      <c r="C148" t="s">
        <v>1217</v>
      </c>
      <c r="D148" s="940" t="s">
        <v>9514</v>
      </c>
      <c r="E148" t="s">
        <v>113</v>
      </c>
    </row>
    <row r="149" spans="1:5" x14ac:dyDescent="0.2">
      <c r="A149" s="940">
        <v>3174</v>
      </c>
      <c r="B149" s="940">
        <v>18</v>
      </c>
      <c r="C149" t="s">
        <v>2869</v>
      </c>
      <c r="D149" s="940" t="s">
        <v>2870</v>
      </c>
      <c r="E149" t="s">
        <v>163</v>
      </c>
    </row>
    <row r="150" spans="1:5" x14ac:dyDescent="0.2">
      <c r="A150" s="940">
        <v>2475</v>
      </c>
      <c r="B150" s="940">
        <v>49</v>
      </c>
      <c r="C150" t="s">
        <v>9515</v>
      </c>
      <c r="D150" s="940" t="s">
        <v>9516</v>
      </c>
      <c r="E150" t="s">
        <v>127</v>
      </c>
    </row>
    <row r="151" spans="1:5" x14ac:dyDescent="0.2">
      <c r="A151" s="940">
        <v>1585</v>
      </c>
      <c r="B151" s="940">
        <v>131</v>
      </c>
      <c r="C151" t="s">
        <v>1218</v>
      </c>
      <c r="D151" s="940" t="s">
        <v>9517</v>
      </c>
      <c r="E151" t="s">
        <v>99</v>
      </c>
    </row>
    <row r="152" spans="1:5" x14ac:dyDescent="0.2">
      <c r="A152" s="940">
        <v>959</v>
      </c>
      <c r="B152" s="940">
        <v>293</v>
      </c>
      <c r="C152" t="s">
        <v>2871</v>
      </c>
      <c r="D152" s="940" t="s">
        <v>2872</v>
      </c>
      <c r="E152" t="s">
        <v>105</v>
      </c>
    </row>
    <row r="153" spans="1:5" x14ac:dyDescent="0.2">
      <c r="A153" s="940">
        <v>1063</v>
      </c>
      <c r="B153" s="940">
        <v>253</v>
      </c>
      <c r="C153" t="s">
        <v>9518</v>
      </c>
      <c r="D153" s="940" t="s">
        <v>9519</v>
      </c>
      <c r="E153" t="s">
        <v>129</v>
      </c>
    </row>
    <row r="154" spans="1:5" x14ac:dyDescent="0.2">
      <c r="A154" s="940">
        <v>596</v>
      </c>
      <c r="B154" s="940">
        <v>475</v>
      </c>
      <c r="C154" t="s">
        <v>2873</v>
      </c>
      <c r="D154" s="940" t="s">
        <v>2874</v>
      </c>
      <c r="E154" t="s">
        <v>129</v>
      </c>
    </row>
    <row r="155" spans="1:5" x14ac:dyDescent="0.2">
      <c r="A155" s="940">
        <v>1861</v>
      </c>
      <c r="B155" s="940">
        <v>99</v>
      </c>
      <c r="C155" t="s">
        <v>2875</v>
      </c>
      <c r="D155" s="940" t="s">
        <v>2876</v>
      </c>
      <c r="E155" t="s">
        <v>2877</v>
      </c>
    </row>
    <row r="156" spans="1:5" x14ac:dyDescent="0.2">
      <c r="A156" s="940">
        <v>815</v>
      </c>
      <c r="B156" s="940">
        <v>354</v>
      </c>
      <c r="C156" t="s">
        <v>2878</v>
      </c>
      <c r="D156" s="940" t="s">
        <v>2879</v>
      </c>
      <c r="E156" t="s">
        <v>2880</v>
      </c>
    </row>
    <row r="157" spans="1:5" x14ac:dyDescent="0.2">
      <c r="A157" s="940">
        <v>1563</v>
      </c>
      <c r="B157" s="940">
        <v>134</v>
      </c>
      <c r="C157" t="s">
        <v>2881</v>
      </c>
      <c r="D157" s="940" t="s">
        <v>2882</v>
      </c>
      <c r="E157" t="s">
        <v>1211</v>
      </c>
    </row>
    <row r="158" spans="1:5" x14ac:dyDescent="0.2">
      <c r="A158" s="940">
        <v>2207</v>
      </c>
      <c r="B158" s="940">
        <v>69</v>
      </c>
      <c r="C158" t="s">
        <v>9520</v>
      </c>
      <c r="D158" s="940" t="s">
        <v>9116</v>
      </c>
      <c r="E158" t="s">
        <v>1256</v>
      </c>
    </row>
    <row r="159" spans="1:5" x14ac:dyDescent="0.2">
      <c r="A159" s="940">
        <v>2725</v>
      </c>
      <c r="B159" s="940">
        <v>36</v>
      </c>
      <c r="C159" t="s">
        <v>9520</v>
      </c>
      <c r="D159" s="940" t="s">
        <v>2978</v>
      </c>
      <c r="E159" t="s">
        <v>112</v>
      </c>
    </row>
    <row r="160" spans="1:5" x14ac:dyDescent="0.2">
      <c r="A160" s="940">
        <v>2006</v>
      </c>
      <c r="B160" s="940">
        <v>85</v>
      </c>
      <c r="C160" t="s">
        <v>9521</v>
      </c>
      <c r="D160" s="940" t="s">
        <v>4068</v>
      </c>
      <c r="E160" t="s">
        <v>213</v>
      </c>
    </row>
    <row r="161" spans="1:5" x14ac:dyDescent="0.2">
      <c r="A161" s="940">
        <v>4181</v>
      </c>
      <c r="B161" s="940">
        <v>1</v>
      </c>
      <c r="C161" t="s">
        <v>2885</v>
      </c>
      <c r="D161" s="940" t="s">
        <v>2886</v>
      </c>
      <c r="E161" t="s">
        <v>1156</v>
      </c>
    </row>
    <row r="162" spans="1:5" x14ac:dyDescent="0.2">
      <c r="A162" s="940">
        <v>963</v>
      </c>
      <c r="B162" s="940">
        <v>292</v>
      </c>
      <c r="C162" t="s">
        <v>9522</v>
      </c>
      <c r="D162" s="940" t="s">
        <v>5250</v>
      </c>
      <c r="E162" t="s">
        <v>76</v>
      </c>
    </row>
    <row r="163" spans="1:5" x14ac:dyDescent="0.2">
      <c r="A163" s="940">
        <v>3796</v>
      </c>
      <c r="B163" s="940">
        <v>5</v>
      </c>
      <c r="C163" t="s">
        <v>2887</v>
      </c>
      <c r="D163" s="940" t="s">
        <v>2888</v>
      </c>
      <c r="E163" t="s">
        <v>170</v>
      </c>
    </row>
    <row r="164" spans="1:5" x14ac:dyDescent="0.2">
      <c r="A164" s="940">
        <v>1816</v>
      </c>
      <c r="B164" s="940">
        <v>103</v>
      </c>
      <c r="C164" t="s">
        <v>131</v>
      </c>
      <c r="D164" s="940" t="s">
        <v>2889</v>
      </c>
      <c r="E164" t="s">
        <v>128</v>
      </c>
    </row>
    <row r="165" spans="1:5" x14ac:dyDescent="0.2">
      <c r="A165" s="940">
        <v>2475</v>
      </c>
      <c r="B165" s="940">
        <v>49</v>
      </c>
      <c r="C165" t="s">
        <v>2890</v>
      </c>
      <c r="D165" s="940" t="s">
        <v>2891</v>
      </c>
      <c r="E165" t="s">
        <v>139</v>
      </c>
    </row>
    <row r="166" spans="1:5" x14ac:dyDescent="0.2">
      <c r="A166" s="940">
        <v>1704</v>
      </c>
      <c r="B166" s="940">
        <v>117</v>
      </c>
      <c r="C166" t="s">
        <v>662</v>
      </c>
      <c r="D166" s="940" t="s">
        <v>3393</v>
      </c>
      <c r="E166" t="s">
        <v>139</v>
      </c>
    </row>
    <row r="167" spans="1:5" x14ac:dyDescent="0.2">
      <c r="A167" s="940">
        <v>1720</v>
      </c>
      <c r="B167" s="940">
        <v>115</v>
      </c>
      <c r="C167" t="s">
        <v>2892</v>
      </c>
      <c r="D167" s="940" t="s">
        <v>2893</v>
      </c>
      <c r="E167" t="s">
        <v>119</v>
      </c>
    </row>
    <row r="168" spans="1:5" x14ac:dyDescent="0.2">
      <c r="A168" s="940">
        <v>481</v>
      </c>
      <c r="B168" s="940">
        <v>571</v>
      </c>
      <c r="C168" t="s">
        <v>1220</v>
      </c>
      <c r="D168" s="940" t="s">
        <v>2894</v>
      </c>
      <c r="E168" t="s">
        <v>105</v>
      </c>
    </row>
    <row r="169" spans="1:5" x14ac:dyDescent="0.2">
      <c r="A169" s="940">
        <v>2894</v>
      </c>
      <c r="B169" s="940">
        <v>28</v>
      </c>
      <c r="C169" t="s">
        <v>2895</v>
      </c>
      <c r="D169" s="940" t="s">
        <v>2896</v>
      </c>
      <c r="E169" t="s">
        <v>1675</v>
      </c>
    </row>
    <row r="170" spans="1:5" x14ac:dyDescent="0.2">
      <c r="A170" s="940">
        <v>2980</v>
      </c>
      <c r="B170" s="940">
        <v>24</v>
      </c>
      <c r="C170" t="s">
        <v>9523</v>
      </c>
      <c r="D170" s="940" t="s">
        <v>9524</v>
      </c>
      <c r="E170" t="s">
        <v>9525</v>
      </c>
    </row>
    <row r="171" spans="1:5" x14ac:dyDescent="0.2">
      <c r="A171" s="940">
        <v>69</v>
      </c>
      <c r="B171" s="940">
        <v>1219</v>
      </c>
      <c r="C171" t="s">
        <v>2897</v>
      </c>
      <c r="D171" s="940" t="s">
        <v>2898</v>
      </c>
      <c r="E171" t="s">
        <v>1221</v>
      </c>
    </row>
    <row r="172" spans="1:5" x14ac:dyDescent="0.2">
      <c r="A172" s="940">
        <v>2745</v>
      </c>
      <c r="B172" s="940">
        <v>35</v>
      </c>
      <c r="C172" t="s">
        <v>2899</v>
      </c>
      <c r="D172" s="940" t="s">
        <v>2900</v>
      </c>
      <c r="E172" t="s">
        <v>72</v>
      </c>
    </row>
    <row r="173" spans="1:5" x14ac:dyDescent="0.2">
      <c r="A173" s="940">
        <v>2379</v>
      </c>
      <c r="B173" s="940">
        <v>56</v>
      </c>
      <c r="C173" t="s">
        <v>2901</v>
      </c>
      <c r="D173" s="940" t="s">
        <v>2902</v>
      </c>
      <c r="E173" t="s">
        <v>144</v>
      </c>
    </row>
    <row r="174" spans="1:5" x14ac:dyDescent="0.2">
      <c r="A174" s="940">
        <v>4294</v>
      </c>
      <c r="B174" s="940">
        <v>0</v>
      </c>
      <c r="C174" t="s">
        <v>2903</v>
      </c>
      <c r="D174" s="940" t="s">
        <v>2904</v>
      </c>
      <c r="E174" t="s">
        <v>165</v>
      </c>
    </row>
    <row r="175" spans="1:5" x14ac:dyDescent="0.2">
      <c r="A175" s="940">
        <v>4294</v>
      </c>
      <c r="B175" s="940">
        <v>0</v>
      </c>
      <c r="C175" t="s">
        <v>2905</v>
      </c>
      <c r="D175" s="940" t="s">
        <v>2906</v>
      </c>
      <c r="E175" t="s">
        <v>111</v>
      </c>
    </row>
    <row r="176" spans="1:5" x14ac:dyDescent="0.2">
      <c r="A176" s="940">
        <v>774</v>
      </c>
      <c r="B176" s="940">
        <v>374</v>
      </c>
      <c r="C176" t="s">
        <v>9526</v>
      </c>
      <c r="D176" s="940" t="s">
        <v>9527</v>
      </c>
      <c r="E176" t="s">
        <v>9528</v>
      </c>
    </row>
    <row r="177" spans="1:5" x14ac:dyDescent="0.2">
      <c r="A177" s="940">
        <v>4294</v>
      </c>
      <c r="B177" s="940">
        <v>0</v>
      </c>
      <c r="C177" t="s">
        <v>9529</v>
      </c>
      <c r="D177" s="940" t="s">
        <v>8166</v>
      </c>
      <c r="E177" t="s">
        <v>120</v>
      </c>
    </row>
    <row r="178" spans="1:5" x14ac:dyDescent="0.2">
      <c r="A178" s="940">
        <v>374</v>
      </c>
      <c r="B178" s="940">
        <v>666</v>
      </c>
      <c r="C178" t="s">
        <v>2909</v>
      </c>
      <c r="D178" s="940" t="s">
        <v>2910</v>
      </c>
      <c r="E178" t="s">
        <v>132</v>
      </c>
    </row>
    <row r="179" spans="1:5" x14ac:dyDescent="0.2">
      <c r="A179" s="940">
        <v>2614</v>
      </c>
      <c r="B179" s="940">
        <v>41</v>
      </c>
      <c r="C179" t="s">
        <v>9530</v>
      </c>
      <c r="D179" s="940" t="s">
        <v>8158</v>
      </c>
      <c r="E179" t="s">
        <v>1372</v>
      </c>
    </row>
    <row r="180" spans="1:5" x14ac:dyDescent="0.2">
      <c r="A180" s="940">
        <v>3136</v>
      </c>
      <c r="B180" s="940">
        <v>19</v>
      </c>
      <c r="C180" t="s">
        <v>2911</v>
      </c>
      <c r="D180" s="940" t="s">
        <v>2912</v>
      </c>
      <c r="E180" t="s">
        <v>2913</v>
      </c>
    </row>
    <row r="181" spans="1:5" x14ac:dyDescent="0.2">
      <c r="A181" s="940">
        <v>2014</v>
      </c>
      <c r="B181" s="940">
        <v>84</v>
      </c>
      <c r="C181" t="s">
        <v>2914</v>
      </c>
      <c r="D181" s="940" t="s">
        <v>2915</v>
      </c>
      <c r="E181" t="s">
        <v>2916</v>
      </c>
    </row>
    <row r="182" spans="1:5" x14ac:dyDescent="0.2">
      <c r="A182" s="940">
        <v>870</v>
      </c>
      <c r="B182" s="940">
        <v>328</v>
      </c>
      <c r="C182" t="s">
        <v>2917</v>
      </c>
      <c r="D182" s="940" t="s">
        <v>2918</v>
      </c>
      <c r="E182" t="s">
        <v>1906</v>
      </c>
    </row>
    <row r="183" spans="1:5" x14ac:dyDescent="0.2">
      <c r="A183" s="940">
        <v>3602</v>
      </c>
      <c r="B183" s="940">
        <v>8</v>
      </c>
      <c r="C183" t="s">
        <v>2919</v>
      </c>
      <c r="D183" s="940" t="s">
        <v>2920</v>
      </c>
      <c r="E183" t="s">
        <v>99</v>
      </c>
    </row>
    <row r="184" spans="1:5" x14ac:dyDescent="0.2">
      <c r="A184" s="940">
        <v>252</v>
      </c>
      <c r="B184" s="940">
        <v>833</v>
      </c>
      <c r="C184" t="s">
        <v>2921</v>
      </c>
      <c r="D184" s="940" t="s">
        <v>9531</v>
      </c>
      <c r="E184" t="s">
        <v>76</v>
      </c>
    </row>
    <row r="185" spans="1:5" x14ac:dyDescent="0.2">
      <c r="A185" s="940">
        <v>2571</v>
      </c>
      <c r="B185" s="940">
        <v>43</v>
      </c>
      <c r="C185" t="s">
        <v>2921</v>
      </c>
      <c r="D185" s="940" t="s">
        <v>2922</v>
      </c>
      <c r="E185" t="s">
        <v>105</v>
      </c>
    </row>
    <row r="186" spans="1:5" x14ac:dyDescent="0.2">
      <c r="A186" s="940">
        <v>1543</v>
      </c>
      <c r="B186" s="940">
        <v>137</v>
      </c>
      <c r="C186" t="s">
        <v>663</v>
      </c>
      <c r="D186" s="940" t="s">
        <v>2923</v>
      </c>
      <c r="E186" t="s">
        <v>183</v>
      </c>
    </row>
    <row r="187" spans="1:5" x14ac:dyDescent="0.2">
      <c r="A187" s="940">
        <v>4294</v>
      </c>
      <c r="B187" s="940">
        <v>0</v>
      </c>
      <c r="C187" t="s">
        <v>2924</v>
      </c>
      <c r="D187" s="940" t="s">
        <v>2925</v>
      </c>
      <c r="E187" t="s">
        <v>105</v>
      </c>
    </row>
    <row r="188" spans="1:5" x14ac:dyDescent="0.2">
      <c r="A188" s="940">
        <v>2725</v>
      </c>
      <c r="B188" s="940">
        <v>36</v>
      </c>
      <c r="C188" t="s">
        <v>9532</v>
      </c>
      <c r="D188" s="940" t="s">
        <v>2967</v>
      </c>
      <c r="E188" t="s">
        <v>1200</v>
      </c>
    </row>
    <row r="189" spans="1:5" x14ac:dyDescent="0.2">
      <c r="A189" s="940">
        <v>1988</v>
      </c>
      <c r="B189" s="940">
        <v>87</v>
      </c>
      <c r="C189" t="s">
        <v>2926</v>
      </c>
      <c r="D189" s="940" t="s">
        <v>2927</v>
      </c>
      <c r="E189" t="s">
        <v>2928</v>
      </c>
    </row>
    <row r="190" spans="1:5" x14ac:dyDescent="0.2">
      <c r="A190" s="940">
        <v>4294</v>
      </c>
      <c r="B190" s="940">
        <v>0</v>
      </c>
      <c r="C190" t="s">
        <v>2929</v>
      </c>
      <c r="D190" s="940" t="s">
        <v>2930</v>
      </c>
      <c r="E190" t="s">
        <v>113</v>
      </c>
    </row>
    <row r="191" spans="1:5" x14ac:dyDescent="0.2">
      <c r="A191" s="940">
        <v>654</v>
      </c>
      <c r="B191" s="940">
        <v>432</v>
      </c>
      <c r="C191" t="s">
        <v>9533</v>
      </c>
      <c r="D191" s="940" t="s">
        <v>9534</v>
      </c>
      <c r="E191" t="s">
        <v>1222</v>
      </c>
    </row>
    <row r="192" spans="1:5" x14ac:dyDescent="0.2">
      <c r="A192" s="940">
        <v>4294</v>
      </c>
      <c r="B192" s="940">
        <v>0</v>
      </c>
      <c r="C192" t="s">
        <v>2931</v>
      </c>
      <c r="D192" s="940" t="s">
        <v>2932</v>
      </c>
      <c r="E192" t="s">
        <v>164</v>
      </c>
    </row>
    <row r="193" spans="1:5" x14ac:dyDescent="0.2">
      <c r="A193" s="940">
        <v>4294</v>
      </c>
      <c r="B193" s="940">
        <v>0</v>
      </c>
      <c r="C193" t="s">
        <v>9535</v>
      </c>
      <c r="D193" s="940" t="s">
        <v>5670</v>
      </c>
      <c r="E193" t="s">
        <v>1590</v>
      </c>
    </row>
    <row r="194" spans="1:5" x14ac:dyDescent="0.2">
      <c r="A194" s="940">
        <v>4294</v>
      </c>
      <c r="B194" s="940">
        <v>0</v>
      </c>
      <c r="C194" t="s">
        <v>2933</v>
      </c>
      <c r="D194" s="940" t="s">
        <v>2934</v>
      </c>
      <c r="E194" t="s">
        <v>74</v>
      </c>
    </row>
    <row r="195" spans="1:5" x14ac:dyDescent="0.2">
      <c r="A195" s="940">
        <v>2774</v>
      </c>
      <c r="B195" s="940">
        <v>34</v>
      </c>
      <c r="C195" t="s">
        <v>2935</v>
      </c>
      <c r="D195" s="940" t="s">
        <v>2936</v>
      </c>
      <c r="E195" t="s">
        <v>111</v>
      </c>
    </row>
    <row r="196" spans="1:5" x14ac:dyDescent="0.2">
      <c r="A196" s="940">
        <v>2649</v>
      </c>
      <c r="B196" s="940">
        <v>39</v>
      </c>
      <c r="C196" t="s">
        <v>9536</v>
      </c>
      <c r="D196" s="940" t="s">
        <v>9182</v>
      </c>
      <c r="E196" t="s">
        <v>75</v>
      </c>
    </row>
    <row r="197" spans="1:5" x14ac:dyDescent="0.2">
      <c r="A197" s="940">
        <v>3250</v>
      </c>
      <c r="B197" s="940">
        <v>16</v>
      </c>
      <c r="C197" t="s">
        <v>9537</v>
      </c>
      <c r="D197" s="940" t="s">
        <v>9538</v>
      </c>
      <c r="E197" t="s">
        <v>120</v>
      </c>
    </row>
    <row r="198" spans="1:5" x14ac:dyDescent="0.2">
      <c r="A198" s="940">
        <v>98</v>
      </c>
      <c r="B198" s="940">
        <v>1138</v>
      </c>
      <c r="C198" t="s">
        <v>428</v>
      </c>
      <c r="D198" s="940" t="s">
        <v>2937</v>
      </c>
      <c r="E198" t="s">
        <v>120</v>
      </c>
    </row>
    <row r="199" spans="1:5" x14ac:dyDescent="0.2">
      <c r="A199" s="940">
        <v>361</v>
      </c>
      <c r="B199" s="940">
        <v>680</v>
      </c>
      <c r="C199" t="s">
        <v>2938</v>
      </c>
      <c r="D199" s="940" t="s">
        <v>2939</v>
      </c>
      <c r="E199" t="s">
        <v>1171</v>
      </c>
    </row>
    <row r="200" spans="1:5" x14ac:dyDescent="0.2">
      <c r="A200" s="940">
        <v>444</v>
      </c>
      <c r="B200" s="940">
        <v>599</v>
      </c>
      <c r="C200" t="s">
        <v>2940</v>
      </c>
      <c r="D200" s="940" t="s">
        <v>2941</v>
      </c>
      <c r="E200" t="s">
        <v>1158</v>
      </c>
    </row>
    <row r="201" spans="1:5" x14ac:dyDescent="0.2">
      <c r="A201" s="940">
        <v>4294</v>
      </c>
      <c r="B201" s="940">
        <v>0</v>
      </c>
      <c r="C201" t="s">
        <v>9539</v>
      </c>
      <c r="D201" s="940" t="s">
        <v>9540</v>
      </c>
      <c r="E201" t="s">
        <v>9541</v>
      </c>
    </row>
    <row r="202" spans="1:5" x14ac:dyDescent="0.2">
      <c r="A202" s="940">
        <v>4294</v>
      </c>
      <c r="B202" s="940">
        <v>0</v>
      </c>
      <c r="C202" t="s">
        <v>2944</v>
      </c>
      <c r="D202" s="940" t="s">
        <v>2945</v>
      </c>
      <c r="E202" t="s">
        <v>163</v>
      </c>
    </row>
    <row r="203" spans="1:5" x14ac:dyDescent="0.2">
      <c r="A203" s="940">
        <v>4294</v>
      </c>
      <c r="B203" s="940">
        <v>0</v>
      </c>
      <c r="C203" t="s">
        <v>9542</v>
      </c>
      <c r="D203" s="940" t="s">
        <v>9543</v>
      </c>
      <c r="E203" t="s">
        <v>3687</v>
      </c>
    </row>
    <row r="204" spans="1:5" x14ac:dyDescent="0.2">
      <c r="A204" s="940">
        <v>2029</v>
      </c>
      <c r="B204" s="940">
        <v>83</v>
      </c>
      <c r="C204" t="s">
        <v>429</v>
      </c>
      <c r="D204" s="940" t="s">
        <v>9544</v>
      </c>
      <c r="E204" t="s">
        <v>105</v>
      </c>
    </row>
    <row r="205" spans="1:5" x14ac:dyDescent="0.2">
      <c r="A205" s="940">
        <v>2379</v>
      </c>
      <c r="B205" s="940">
        <v>56</v>
      </c>
      <c r="C205" t="s">
        <v>2946</v>
      </c>
      <c r="D205" s="940" t="s">
        <v>2947</v>
      </c>
      <c r="E205" t="s">
        <v>111</v>
      </c>
    </row>
    <row r="206" spans="1:5" x14ac:dyDescent="0.2">
      <c r="A206" s="940">
        <v>2056</v>
      </c>
      <c r="B206" s="940">
        <v>81</v>
      </c>
      <c r="C206" t="s">
        <v>2948</v>
      </c>
      <c r="D206" s="940" t="s">
        <v>2949</v>
      </c>
      <c r="E206" t="s">
        <v>2880</v>
      </c>
    </row>
    <row r="207" spans="1:5" x14ac:dyDescent="0.2">
      <c r="A207" s="940">
        <v>3545</v>
      </c>
      <c r="B207" s="940">
        <v>9</v>
      </c>
      <c r="C207" t="s">
        <v>9545</v>
      </c>
      <c r="D207" s="940" t="s">
        <v>9546</v>
      </c>
      <c r="E207" t="s">
        <v>6758</v>
      </c>
    </row>
    <row r="208" spans="1:5" x14ac:dyDescent="0.2">
      <c r="A208" s="940">
        <v>4294</v>
      </c>
      <c r="B208" s="940">
        <v>0</v>
      </c>
      <c r="C208" t="s">
        <v>2950</v>
      </c>
      <c r="D208" s="940" t="s">
        <v>9163</v>
      </c>
      <c r="E208" t="s">
        <v>2735</v>
      </c>
    </row>
    <row r="209" spans="1:5" x14ac:dyDescent="0.2">
      <c r="A209" s="940">
        <v>4294</v>
      </c>
      <c r="B209" s="940">
        <v>0</v>
      </c>
      <c r="C209" t="s">
        <v>9547</v>
      </c>
      <c r="D209" s="940" t="s">
        <v>2936</v>
      </c>
      <c r="E209" t="s">
        <v>1236</v>
      </c>
    </row>
    <row r="210" spans="1:5" x14ac:dyDescent="0.2">
      <c r="A210" s="940">
        <v>4294</v>
      </c>
      <c r="B210" s="940">
        <v>0</v>
      </c>
      <c r="C210" t="s">
        <v>9548</v>
      </c>
      <c r="D210" s="940" t="s">
        <v>9549</v>
      </c>
      <c r="E210" t="s">
        <v>9550</v>
      </c>
    </row>
    <row r="211" spans="1:5" x14ac:dyDescent="0.2">
      <c r="A211" s="940">
        <v>899</v>
      </c>
      <c r="B211" s="940">
        <v>317</v>
      </c>
      <c r="C211" t="s">
        <v>9551</v>
      </c>
      <c r="D211" s="940" t="s">
        <v>3175</v>
      </c>
      <c r="E211" t="s">
        <v>133</v>
      </c>
    </row>
    <row r="212" spans="1:5" x14ac:dyDescent="0.2">
      <c r="A212" s="940">
        <v>4294</v>
      </c>
      <c r="B212" s="940">
        <v>0</v>
      </c>
      <c r="C212" t="s">
        <v>2956</v>
      </c>
      <c r="D212" s="940" t="s">
        <v>2763</v>
      </c>
      <c r="E212" t="s">
        <v>105</v>
      </c>
    </row>
    <row r="213" spans="1:5" x14ac:dyDescent="0.2">
      <c r="A213" s="940">
        <v>4294</v>
      </c>
      <c r="B213" s="940">
        <v>0</v>
      </c>
      <c r="C213" t="s">
        <v>9552</v>
      </c>
      <c r="D213" s="940" t="s">
        <v>9285</v>
      </c>
      <c r="E213" t="s">
        <v>1327</v>
      </c>
    </row>
    <row r="214" spans="1:5" x14ac:dyDescent="0.2">
      <c r="A214" s="940">
        <v>1434</v>
      </c>
      <c r="B214" s="940">
        <v>157</v>
      </c>
      <c r="C214" t="s">
        <v>2957</v>
      </c>
      <c r="D214" s="940" t="s">
        <v>2958</v>
      </c>
      <c r="E214" t="s">
        <v>113</v>
      </c>
    </row>
    <row r="215" spans="1:5" x14ac:dyDescent="0.2">
      <c r="A215" s="940">
        <v>4294</v>
      </c>
      <c r="B215" s="940">
        <v>0</v>
      </c>
      <c r="C215" t="s">
        <v>2959</v>
      </c>
      <c r="D215" s="940" t="s">
        <v>2960</v>
      </c>
      <c r="E215" t="s">
        <v>120</v>
      </c>
    </row>
    <row r="216" spans="1:5" x14ac:dyDescent="0.2">
      <c r="A216" s="940">
        <v>4294</v>
      </c>
      <c r="B216" s="940">
        <v>0</v>
      </c>
      <c r="C216" t="s">
        <v>2961</v>
      </c>
      <c r="D216" s="940" t="s">
        <v>2962</v>
      </c>
      <c r="E216" t="s">
        <v>2963</v>
      </c>
    </row>
    <row r="217" spans="1:5" x14ac:dyDescent="0.2">
      <c r="A217" s="940">
        <v>4294</v>
      </c>
      <c r="B217" s="940">
        <v>0</v>
      </c>
      <c r="C217" t="s">
        <v>2964</v>
      </c>
      <c r="D217" s="940" t="s">
        <v>2965</v>
      </c>
      <c r="E217" t="s">
        <v>105</v>
      </c>
    </row>
    <row r="218" spans="1:5" x14ac:dyDescent="0.2">
      <c r="A218" s="940">
        <v>2533</v>
      </c>
      <c r="B218" s="940">
        <v>45</v>
      </c>
      <c r="C218" t="s">
        <v>9553</v>
      </c>
      <c r="D218" s="940" t="s">
        <v>2967</v>
      </c>
      <c r="E218" t="s">
        <v>1214</v>
      </c>
    </row>
    <row r="219" spans="1:5" x14ac:dyDescent="0.2">
      <c r="A219" s="940">
        <v>4294</v>
      </c>
      <c r="B219" s="940">
        <v>0</v>
      </c>
      <c r="C219" t="s">
        <v>9554</v>
      </c>
      <c r="D219" s="940" t="s">
        <v>8386</v>
      </c>
      <c r="E219" t="s">
        <v>137</v>
      </c>
    </row>
    <row r="220" spans="1:5" x14ac:dyDescent="0.2">
      <c r="A220" s="940">
        <v>3732</v>
      </c>
      <c r="B220" s="940">
        <v>6</v>
      </c>
      <c r="C220" t="s">
        <v>2971</v>
      </c>
      <c r="D220" s="940" t="s">
        <v>2972</v>
      </c>
      <c r="E220" t="s">
        <v>105</v>
      </c>
    </row>
    <row r="221" spans="1:5" x14ac:dyDescent="0.2">
      <c r="A221" s="940">
        <v>1687</v>
      </c>
      <c r="B221" s="940">
        <v>119</v>
      </c>
      <c r="C221" t="s">
        <v>2973</v>
      </c>
      <c r="D221" s="940" t="s">
        <v>2974</v>
      </c>
      <c r="E221" t="s">
        <v>2916</v>
      </c>
    </row>
    <row r="222" spans="1:5" x14ac:dyDescent="0.2">
      <c r="A222" s="940">
        <v>375</v>
      </c>
      <c r="B222" s="940">
        <v>663</v>
      </c>
      <c r="C222" t="s">
        <v>2975</v>
      </c>
      <c r="D222" s="940" t="s">
        <v>2976</v>
      </c>
      <c r="E222" t="s">
        <v>1214</v>
      </c>
    </row>
    <row r="223" spans="1:5" x14ac:dyDescent="0.2">
      <c r="A223" s="940">
        <v>2379</v>
      </c>
      <c r="B223" s="940">
        <v>56</v>
      </c>
      <c r="C223" t="s">
        <v>2977</v>
      </c>
      <c r="D223" s="940" t="s">
        <v>2978</v>
      </c>
      <c r="E223" t="s">
        <v>2979</v>
      </c>
    </row>
    <row r="224" spans="1:5" x14ac:dyDescent="0.2">
      <c r="A224" s="940">
        <v>3323</v>
      </c>
      <c r="B224" s="940">
        <v>14</v>
      </c>
      <c r="C224" t="s">
        <v>2980</v>
      </c>
      <c r="D224" s="940" t="s">
        <v>2981</v>
      </c>
      <c r="E224" t="s">
        <v>111</v>
      </c>
    </row>
    <row r="225" spans="1:5" x14ac:dyDescent="0.2">
      <c r="A225" s="940">
        <v>552</v>
      </c>
      <c r="B225" s="940">
        <v>506</v>
      </c>
      <c r="C225" t="s">
        <v>2982</v>
      </c>
      <c r="D225" s="940" t="s">
        <v>2983</v>
      </c>
      <c r="E225" t="s">
        <v>2984</v>
      </c>
    </row>
    <row r="226" spans="1:5" x14ac:dyDescent="0.2">
      <c r="A226" s="940">
        <v>602</v>
      </c>
      <c r="B226" s="940">
        <v>470</v>
      </c>
      <c r="C226" t="s">
        <v>2986</v>
      </c>
      <c r="D226" s="940" t="s">
        <v>2987</v>
      </c>
      <c r="E226" t="s">
        <v>1200</v>
      </c>
    </row>
    <row r="227" spans="1:5" x14ac:dyDescent="0.2">
      <c r="A227" s="940">
        <v>2168</v>
      </c>
      <c r="B227" s="940">
        <v>72</v>
      </c>
      <c r="C227" t="s">
        <v>9555</v>
      </c>
      <c r="D227" s="940" t="s">
        <v>9556</v>
      </c>
      <c r="E227" t="s">
        <v>9557</v>
      </c>
    </row>
    <row r="228" spans="1:5" x14ac:dyDescent="0.2">
      <c r="A228" s="940">
        <v>2450</v>
      </c>
      <c r="B228" s="940">
        <v>51</v>
      </c>
      <c r="C228" t="s">
        <v>9558</v>
      </c>
      <c r="D228" s="940" t="s">
        <v>9559</v>
      </c>
      <c r="E228" t="s">
        <v>1906</v>
      </c>
    </row>
    <row r="229" spans="1:5" x14ac:dyDescent="0.2">
      <c r="A229" s="940">
        <v>3732</v>
      </c>
      <c r="B229" s="940">
        <v>6</v>
      </c>
      <c r="C229" t="s">
        <v>2988</v>
      </c>
      <c r="D229" s="940" t="s">
        <v>2989</v>
      </c>
      <c r="E229" t="s">
        <v>128</v>
      </c>
    </row>
    <row r="230" spans="1:5" x14ac:dyDescent="0.2">
      <c r="A230" s="940">
        <v>1274</v>
      </c>
      <c r="B230" s="940">
        <v>190</v>
      </c>
      <c r="C230" t="s">
        <v>9560</v>
      </c>
      <c r="D230" s="940" t="s">
        <v>9561</v>
      </c>
      <c r="E230" t="s">
        <v>3396</v>
      </c>
    </row>
    <row r="231" spans="1:5" x14ac:dyDescent="0.2">
      <c r="A231" s="940">
        <v>2353</v>
      </c>
      <c r="B231" s="940">
        <v>58</v>
      </c>
      <c r="C231" t="s">
        <v>2990</v>
      </c>
      <c r="D231" s="940" t="s">
        <v>2991</v>
      </c>
      <c r="E231" t="s">
        <v>1332</v>
      </c>
    </row>
    <row r="232" spans="1:5" x14ac:dyDescent="0.2">
      <c r="A232" s="940">
        <v>524</v>
      </c>
      <c r="B232" s="940">
        <v>524</v>
      </c>
      <c r="C232" t="s">
        <v>9562</v>
      </c>
      <c r="D232" s="940" t="s">
        <v>9563</v>
      </c>
      <c r="E232" t="s">
        <v>120</v>
      </c>
    </row>
    <row r="233" spans="1:5" x14ac:dyDescent="0.2">
      <c r="A233" s="940">
        <v>996</v>
      </c>
      <c r="B233" s="940">
        <v>279</v>
      </c>
      <c r="C233" t="s">
        <v>2992</v>
      </c>
      <c r="D233" s="940" t="s">
        <v>2993</v>
      </c>
      <c r="E233" t="s">
        <v>2654</v>
      </c>
    </row>
    <row r="234" spans="1:5" x14ac:dyDescent="0.2">
      <c r="A234" s="940">
        <v>1127</v>
      </c>
      <c r="B234" s="940">
        <v>231</v>
      </c>
      <c r="C234" t="s">
        <v>2994</v>
      </c>
      <c r="D234" s="940" t="s">
        <v>2995</v>
      </c>
      <c r="E234" t="s">
        <v>2735</v>
      </c>
    </row>
    <row r="235" spans="1:5" x14ac:dyDescent="0.2">
      <c r="A235" s="940">
        <v>4294</v>
      </c>
      <c r="B235" s="940">
        <v>0</v>
      </c>
      <c r="C235" t="s">
        <v>2994</v>
      </c>
      <c r="D235" s="940" t="s">
        <v>7118</v>
      </c>
      <c r="E235" t="s">
        <v>1702</v>
      </c>
    </row>
    <row r="236" spans="1:5" x14ac:dyDescent="0.2">
      <c r="A236" s="940">
        <v>1826</v>
      </c>
      <c r="B236" s="940">
        <v>102</v>
      </c>
      <c r="C236" t="s">
        <v>2996</v>
      </c>
      <c r="D236" s="940" t="s">
        <v>2997</v>
      </c>
      <c r="E236" t="s">
        <v>186</v>
      </c>
    </row>
    <row r="237" spans="1:5" x14ac:dyDescent="0.2">
      <c r="A237" s="940">
        <v>838</v>
      </c>
      <c r="B237" s="940">
        <v>346</v>
      </c>
      <c r="C237" t="s">
        <v>2998</v>
      </c>
      <c r="D237" s="940" t="s">
        <v>2999</v>
      </c>
      <c r="E237" t="s">
        <v>120</v>
      </c>
    </row>
    <row r="238" spans="1:5" x14ac:dyDescent="0.2">
      <c r="A238" s="940">
        <v>4294</v>
      </c>
      <c r="B238" s="940">
        <v>0</v>
      </c>
      <c r="C238" t="s">
        <v>9564</v>
      </c>
      <c r="D238" s="940" t="s">
        <v>3684</v>
      </c>
      <c r="E238" t="s">
        <v>1190</v>
      </c>
    </row>
    <row r="239" spans="1:5" x14ac:dyDescent="0.2">
      <c r="A239" s="940">
        <v>2745</v>
      </c>
      <c r="B239" s="940">
        <v>35</v>
      </c>
      <c r="C239" t="s">
        <v>9565</v>
      </c>
      <c r="D239" s="940" t="s">
        <v>6958</v>
      </c>
      <c r="E239" t="s">
        <v>3429</v>
      </c>
    </row>
    <row r="240" spans="1:5" x14ac:dyDescent="0.2">
      <c r="A240" s="940">
        <v>3358</v>
      </c>
      <c r="B240" s="940">
        <v>13</v>
      </c>
      <c r="C240" t="s">
        <v>9566</v>
      </c>
      <c r="D240" s="940" t="s">
        <v>3048</v>
      </c>
      <c r="E240" t="s">
        <v>2054</v>
      </c>
    </row>
    <row r="241" spans="1:5" x14ac:dyDescent="0.2">
      <c r="A241" s="940">
        <v>360</v>
      </c>
      <c r="B241" s="940">
        <v>682</v>
      </c>
      <c r="C241" t="s">
        <v>9567</v>
      </c>
      <c r="D241" s="940" t="s">
        <v>9568</v>
      </c>
      <c r="E241" t="s">
        <v>130</v>
      </c>
    </row>
    <row r="242" spans="1:5" x14ac:dyDescent="0.2">
      <c r="A242" s="940">
        <v>4294</v>
      </c>
      <c r="B242" s="940">
        <v>0</v>
      </c>
      <c r="C242" t="s">
        <v>3002</v>
      </c>
      <c r="D242" s="940" t="s">
        <v>3003</v>
      </c>
      <c r="E242" t="s">
        <v>661</v>
      </c>
    </row>
    <row r="243" spans="1:5" x14ac:dyDescent="0.2">
      <c r="A243" s="940">
        <v>4294</v>
      </c>
      <c r="B243" s="940">
        <v>0</v>
      </c>
      <c r="C243" t="s">
        <v>9569</v>
      </c>
      <c r="D243" s="940" t="s">
        <v>3679</v>
      </c>
      <c r="E243" t="s">
        <v>1256</v>
      </c>
    </row>
    <row r="244" spans="1:5" x14ac:dyDescent="0.2">
      <c r="A244" s="940">
        <v>454</v>
      </c>
      <c r="B244" s="940">
        <v>588</v>
      </c>
      <c r="C244" t="s">
        <v>1233</v>
      </c>
      <c r="D244" s="940" t="s">
        <v>3004</v>
      </c>
      <c r="E244" t="s">
        <v>227</v>
      </c>
    </row>
    <row r="245" spans="1:5" x14ac:dyDescent="0.2">
      <c r="A245" s="940">
        <v>4294</v>
      </c>
      <c r="B245" s="940">
        <v>0</v>
      </c>
      <c r="C245" t="s">
        <v>3007</v>
      </c>
      <c r="D245" s="940" t="s">
        <v>3008</v>
      </c>
      <c r="E245" t="s">
        <v>1251</v>
      </c>
    </row>
    <row r="246" spans="1:5" x14ac:dyDescent="0.2">
      <c r="A246" s="940">
        <v>1676</v>
      </c>
      <c r="B246" s="940">
        <v>120</v>
      </c>
      <c r="C246" t="s">
        <v>3009</v>
      </c>
      <c r="D246" s="940" t="s">
        <v>3010</v>
      </c>
      <c r="E246" t="s">
        <v>1251</v>
      </c>
    </row>
    <row r="247" spans="1:5" x14ac:dyDescent="0.2">
      <c r="A247" s="940">
        <v>780</v>
      </c>
      <c r="B247" s="940">
        <v>369</v>
      </c>
      <c r="C247" t="s">
        <v>3011</v>
      </c>
      <c r="D247" s="940" t="s">
        <v>3012</v>
      </c>
      <c r="E247" t="s">
        <v>1284</v>
      </c>
    </row>
    <row r="248" spans="1:5" x14ac:dyDescent="0.2">
      <c r="A248" s="940">
        <v>2298</v>
      </c>
      <c r="B248" s="940">
        <v>62</v>
      </c>
      <c r="C248" t="s">
        <v>9570</v>
      </c>
      <c r="D248" s="940" t="s">
        <v>9571</v>
      </c>
      <c r="E248" t="s">
        <v>120</v>
      </c>
    </row>
    <row r="249" spans="1:5" x14ac:dyDescent="0.2">
      <c r="A249" s="940">
        <v>496</v>
      </c>
      <c r="B249" s="940">
        <v>553</v>
      </c>
      <c r="C249" t="s">
        <v>1234</v>
      </c>
      <c r="D249" s="940" t="s">
        <v>3013</v>
      </c>
      <c r="E249" t="s">
        <v>3058</v>
      </c>
    </row>
    <row r="250" spans="1:5" x14ac:dyDescent="0.2">
      <c r="A250" s="940">
        <v>4294</v>
      </c>
      <c r="B250" s="940">
        <v>0</v>
      </c>
      <c r="C250" t="s">
        <v>3014</v>
      </c>
      <c r="D250" s="940" t="s">
        <v>3015</v>
      </c>
      <c r="E250" t="s">
        <v>2880</v>
      </c>
    </row>
    <row r="251" spans="1:5" x14ac:dyDescent="0.2">
      <c r="A251" s="940">
        <v>2115</v>
      </c>
      <c r="B251" s="940">
        <v>76</v>
      </c>
      <c r="C251" t="s">
        <v>3016</v>
      </c>
      <c r="D251" s="940" t="s">
        <v>3017</v>
      </c>
      <c r="E251" t="s">
        <v>138</v>
      </c>
    </row>
    <row r="252" spans="1:5" x14ac:dyDescent="0.2">
      <c r="A252" s="940">
        <v>3136</v>
      </c>
      <c r="B252" s="940">
        <v>19</v>
      </c>
      <c r="C252" t="s">
        <v>9572</v>
      </c>
      <c r="D252" s="940" t="s">
        <v>6054</v>
      </c>
      <c r="E252" t="s">
        <v>104</v>
      </c>
    </row>
    <row r="253" spans="1:5" x14ac:dyDescent="0.2">
      <c r="A253" s="940">
        <v>2124</v>
      </c>
      <c r="B253" s="940">
        <v>75</v>
      </c>
      <c r="C253" t="s">
        <v>3020</v>
      </c>
      <c r="D253" s="940" t="s">
        <v>3021</v>
      </c>
      <c r="E253" t="s">
        <v>1475</v>
      </c>
    </row>
    <row r="254" spans="1:5" x14ac:dyDescent="0.2">
      <c r="A254" s="940">
        <v>4294</v>
      </c>
      <c r="B254" s="940">
        <v>0</v>
      </c>
      <c r="C254" t="s">
        <v>9573</v>
      </c>
      <c r="D254" s="940" t="s">
        <v>2792</v>
      </c>
      <c r="E254" t="s">
        <v>105</v>
      </c>
    </row>
    <row r="255" spans="1:5" x14ac:dyDescent="0.2">
      <c r="A255" s="940">
        <v>3008</v>
      </c>
      <c r="B255" s="940">
        <v>23</v>
      </c>
      <c r="C255" t="s">
        <v>9574</v>
      </c>
      <c r="D255" s="940" t="s">
        <v>8697</v>
      </c>
      <c r="E255" t="s">
        <v>120</v>
      </c>
    </row>
    <row r="256" spans="1:5" x14ac:dyDescent="0.2">
      <c r="A256" s="940">
        <v>4181</v>
      </c>
      <c r="B256" s="940">
        <v>1</v>
      </c>
      <c r="C256" t="s">
        <v>9575</v>
      </c>
      <c r="D256" s="940" t="s">
        <v>9576</v>
      </c>
      <c r="E256" t="s">
        <v>136</v>
      </c>
    </row>
    <row r="257" spans="1:5" x14ac:dyDescent="0.2">
      <c r="A257" s="940">
        <v>4294</v>
      </c>
      <c r="B257" s="940">
        <v>0</v>
      </c>
      <c r="C257" t="s">
        <v>9577</v>
      </c>
      <c r="D257" s="940" t="s">
        <v>8892</v>
      </c>
      <c r="E257" t="s">
        <v>2913</v>
      </c>
    </row>
    <row r="258" spans="1:5" x14ac:dyDescent="0.2">
      <c r="A258" s="940">
        <v>2552</v>
      </c>
      <c r="B258" s="940">
        <v>44</v>
      </c>
      <c r="C258" t="s">
        <v>3027</v>
      </c>
      <c r="D258" s="940" t="s">
        <v>3028</v>
      </c>
      <c r="E258" t="s">
        <v>111</v>
      </c>
    </row>
    <row r="259" spans="1:5" x14ac:dyDescent="0.2">
      <c r="A259" s="940">
        <v>1488</v>
      </c>
      <c r="B259" s="940">
        <v>146</v>
      </c>
      <c r="C259" t="s">
        <v>3029</v>
      </c>
      <c r="D259" s="940" t="s">
        <v>3030</v>
      </c>
      <c r="E259" t="s">
        <v>103</v>
      </c>
    </row>
    <row r="260" spans="1:5" x14ac:dyDescent="0.2">
      <c r="A260" s="940">
        <v>2423</v>
      </c>
      <c r="B260" s="940">
        <v>53</v>
      </c>
      <c r="C260" t="s">
        <v>3031</v>
      </c>
      <c r="D260" s="940" t="s">
        <v>3032</v>
      </c>
      <c r="E260" t="s">
        <v>120</v>
      </c>
    </row>
    <row r="261" spans="1:5" x14ac:dyDescent="0.2">
      <c r="A261" s="940">
        <v>1651</v>
      </c>
      <c r="B261" s="940">
        <v>122</v>
      </c>
      <c r="C261" t="s">
        <v>433</v>
      </c>
      <c r="D261" s="940" t="s">
        <v>3033</v>
      </c>
      <c r="E261" t="s">
        <v>141</v>
      </c>
    </row>
    <row r="262" spans="1:5" x14ac:dyDescent="0.2">
      <c r="A262" s="940">
        <v>211</v>
      </c>
      <c r="B262" s="940">
        <v>891</v>
      </c>
      <c r="C262" t="s">
        <v>3034</v>
      </c>
      <c r="D262" s="940" t="s">
        <v>3035</v>
      </c>
      <c r="E262" t="s">
        <v>141</v>
      </c>
    </row>
    <row r="263" spans="1:5" x14ac:dyDescent="0.2">
      <c r="A263" s="940">
        <v>1894</v>
      </c>
      <c r="B263" s="940">
        <v>96</v>
      </c>
      <c r="C263" t="s">
        <v>3036</v>
      </c>
      <c r="D263" s="940" t="s">
        <v>3037</v>
      </c>
      <c r="E263" t="s">
        <v>1158</v>
      </c>
    </row>
    <row r="264" spans="1:5" x14ac:dyDescent="0.2">
      <c r="A264" s="940">
        <v>4294</v>
      </c>
      <c r="B264" s="940">
        <v>0</v>
      </c>
      <c r="C264" t="s">
        <v>9578</v>
      </c>
      <c r="D264" s="940" t="s">
        <v>7913</v>
      </c>
      <c r="E264" t="s">
        <v>1467</v>
      </c>
    </row>
    <row r="265" spans="1:5" x14ac:dyDescent="0.2">
      <c r="A265" s="940">
        <v>378</v>
      </c>
      <c r="B265" s="940">
        <v>659</v>
      </c>
      <c r="C265" t="s">
        <v>3038</v>
      </c>
      <c r="D265" s="940" t="s">
        <v>3039</v>
      </c>
      <c r="E265" t="s">
        <v>120</v>
      </c>
    </row>
    <row r="266" spans="1:5" x14ac:dyDescent="0.2">
      <c r="A266" s="940">
        <v>1904</v>
      </c>
      <c r="B266" s="940">
        <v>95</v>
      </c>
      <c r="C266" t="s">
        <v>9579</v>
      </c>
      <c r="D266" s="940" t="s">
        <v>9580</v>
      </c>
      <c r="E266" t="s">
        <v>8392</v>
      </c>
    </row>
    <row r="267" spans="1:5" x14ac:dyDescent="0.2">
      <c r="A267" s="940">
        <v>617</v>
      </c>
      <c r="B267" s="940">
        <v>456</v>
      </c>
      <c r="C267" t="s">
        <v>9581</v>
      </c>
      <c r="D267" s="940" t="s">
        <v>6377</v>
      </c>
      <c r="E267" t="s">
        <v>75</v>
      </c>
    </row>
    <row r="268" spans="1:5" x14ac:dyDescent="0.2">
      <c r="A268" s="940">
        <v>546</v>
      </c>
      <c r="B268" s="940">
        <v>510</v>
      </c>
      <c r="C268" t="s">
        <v>1242</v>
      </c>
      <c r="D268" s="940" t="s">
        <v>5308</v>
      </c>
      <c r="E268" t="s">
        <v>103</v>
      </c>
    </row>
    <row r="269" spans="1:5" x14ac:dyDescent="0.2">
      <c r="A269" s="940">
        <v>3882</v>
      </c>
      <c r="B269" s="940">
        <v>4</v>
      </c>
      <c r="C269" t="s">
        <v>9582</v>
      </c>
      <c r="D269" s="940" t="s">
        <v>5715</v>
      </c>
      <c r="E269" t="s">
        <v>165</v>
      </c>
    </row>
    <row r="270" spans="1:5" x14ac:dyDescent="0.2">
      <c r="A270" s="940">
        <v>4294</v>
      </c>
      <c r="B270" s="940">
        <v>0</v>
      </c>
      <c r="C270" t="s">
        <v>9583</v>
      </c>
      <c r="D270" s="940" t="s">
        <v>9584</v>
      </c>
      <c r="E270" t="s">
        <v>3218</v>
      </c>
    </row>
    <row r="271" spans="1:5" x14ac:dyDescent="0.2">
      <c r="A271" s="940">
        <v>4294</v>
      </c>
      <c r="B271" s="940">
        <v>0</v>
      </c>
      <c r="C271" t="s">
        <v>3042</v>
      </c>
      <c r="D271" s="940" t="s">
        <v>3043</v>
      </c>
      <c r="E271" t="s">
        <v>118</v>
      </c>
    </row>
    <row r="272" spans="1:5" x14ac:dyDescent="0.2">
      <c r="A272" s="940">
        <v>2668</v>
      </c>
      <c r="B272" s="940">
        <v>38</v>
      </c>
      <c r="C272" t="s">
        <v>3044</v>
      </c>
      <c r="D272" s="940" t="s">
        <v>3045</v>
      </c>
      <c r="E272" t="s">
        <v>105</v>
      </c>
    </row>
    <row r="273" spans="1:5" x14ac:dyDescent="0.2">
      <c r="A273" s="940">
        <v>1894</v>
      </c>
      <c r="B273" s="940">
        <v>96</v>
      </c>
      <c r="C273" t="s">
        <v>9585</v>
      </c>
      <c r="D273" s="940" t="s">
        <v>9586</v>
      </c>
      <c r="E273" t="s">
        <v>1372</v>
      </c>
    </row>
    <row r="274" spans="1:5" x14ac:dyDescent="0.2">
      <c r="A274" s="940">
        <v>4294</v>
      </c>
      <c r="B274" s="940">
        <v>0</v>
      </c>
      <c r="C274" t="s">
        <v>3046</v>
      </c>
      <c r="D274" s="940" t="s">
        <v>3047</v>
      </c>
      <c r="E274" t="s">
        <v>117</v>
      </c>
    </row>
    <row r="275" spans="1:5" x14ac:dyDescent="0.2">
      <c r="A275" s="940">
        <v>3048</v>
      </c>
      <c r="B275" s="940">
        <v>22</v>
      </c>
      <c r="C275" t="s">
        <v>9587</v>
      </c>
      <c r="D275" s="940" t="s">
        <v>5447</v>
      </c>
      <c r="E275" t="s">
        <v>163</v>
      </c>
    </row>
    <row r="276" spans="1:5" x14ac:dyDescent="0.2">
      <c r="A276" s="940">
        <v>1946</v>
      </c>
      <c r="B276" s="940">
        <v>91</v>
      </c>
      <c r="C276" t="s">
        <v>434</v>
      </c>
      <c r="D276" s="940" t="s">
        <v>3048</v>
      </c>
      <c r="E276" t="s">
        <v>115</v>
      </c>
    </row>
    <row r="277" spans="1:5" x14ac:dyDescent="0.2">
      <c r="A277" s="940">
        <v>166</v>
      </c>
      <c r="B277" s="940">
        <v>959</v>
      </c>
      <c r="C277" t="s">
        <v>3049</v>
      </c>
      <c r="D277" s="940" t="s">
        <v>3050</v>
      </c>
      <c r="E277" t="s">
        <v>105</v>
      </c>
    </row>
    <row r="278" spans="1:5" x14ac:dyDescent="0.2">
      <c r="A278" s="940">
        <v>424</v>
      </c>
      <c r="B278" s="940">
        <v>621</v>
      </c>
      <c r="C278" t="s">
        <v>3051</v>
      </c>
      <c r="D278" s="940" t="s">
        <v>3052</v>
      </c>
      <c r="E278" t="s">
        <v>1675</v>
      </c>
    </row>
    <row r="279" spans="1:5" x14ac:dyDescent="0.2">
      <c r="A279" s="940">
        <v>1758</v>
      </c>
      <c r="B279" s="940">
        <v>110</v>
      </c>
      <c r="C279" t="s">
        <v>3056</v>
      </c>
      <c r="D279" s="940" t="s">
        <v>3057</v>
      </c>
      <c r="E279" t="s">
        <v>3058</v>
      </c>
    </row>
    <row r="280" spans="1:5" x14ac:dyDescent="0.2">
      <c r="A280" s="940">
        <v>1687</v>
      </c>
      <c r="B280" s="940">
        <v>119</v>
      </c>
      <c r="C280" t="s">
        <v>9588</v>
      </c>
      <c r="D280" s="940" t="s">
        <v>4037</v>
      </c>
      <c r="E280" t="s">
        <v>2263</v>
      </c>
    </row>
    <row r="281" spans="1:5" x14ac:dyDescent="0.2">
      <c r="A281" s="940">
        <v>1774</v>
      </c>
      <c r="B281" s="940">
        <v>108</v>
      </c>
      <c r="C281" t="s">
        <v>1245</v>
      </c>
      <c r="D281" s="940" t="s">
        <v>9589</v>
      </c>
      <c r="E281" t="s">
        <v>1246</v>
      </c>
    </row>
    <row r="282" spans="1:5" x14ac:dyDescent="0.2">
      <c r="A282" s="940">
        <v>650</v>
      </c>
      <c r="B282" s="940">
        <v>433</v>
      </c>
      <c r="C282" t="s">
        <v>1247</v>
      </c>
      <c r="D282" s="940" t="s">
        <v>3061</v>
      </c>
      <c r="E282" t="s">
        <v>1248</v>
      </c>
    </row>
    <row r="283" spans="1:5" x14ac:dyDescent="0.2">
      <c r="A283" s="940">
        <v>15</v>
      </c>
      <c r="B283" s="940">
        <v>1500</v>
      </c>
      <c r="C283" t="s">
        <v>3062</v>
      </c>
      <c r="D283" s="940" t="s">
        <v>3063</v>
      </c>
      <c r="E283" t="s">
        <v>105</v>
      </c>
    </row>
    <row r="284" spans="1:5" x14ac:dyDescent="0.2">
      <c r="A284" s="940">
        <v>4081</v>
      </c>
      <c r="B284" s="940">
        <v>2</v>
      </c>
      <c r="C284" t="s">
        <v>3064</v>
      </c>
      <c r="D284" s="940" t="s">
        <v>3065</v>
      </c>
      <c r="E284" t="s">
        <v>3066</v>
      </c>
    </row>
    <row r="285" spans="1:5" x14ac:dyDescent="0.2">
      <c r="A285" s="940">
        <v>254</v>
      </c>
      <c r="B285" s="940">
        <v>832</v>
      </c>
      <c r="C285" t="s">
        <v>3067</v>
      </c>
      <c r="D285" s="940" t="s">
        <v>3068</v>
      </c>
      <c r="E285" t="s">
        <v>1332</v>
      </c>
    </row>
    <row r="286" spans="1:5" x14ac:dyDescent="0.2">
      <c r="A286" s="940">
        <v>1457</v>
      </c>
      <c r="B286" s="940">
        <v>153</v>
      </c>
      <c r="C286" t="s">
        <v>3069</v>
      </c>
      <c r="D286" s="940" t="s">
        <v>3070</v>
      </c>
      <c r="E286" t="s">
        <v>213</v>
      </c>
    </row>
    <row r="287" spans="1:5" x14ac:dyDescent="0.2">
      <c r="A287" s="940">
        <v>4294</v>
      </c>
      <c r="B287" s="940">
        <v>0</v>
      </c>
      <c r="C287" t="s">
        <v>3071</v>
      </c>
      <c r="D287" s="940" t="s">
        <v>2795</v>
      </c>
      <c r="E287" t="s">
        <v>105</v>
      </c>
    </row>
    <row r="288" spans="1:5" x14ac:dyDescent="0.2">
      <c r="A288" s="940">
        <v>3136</v>
      </c>
      <c r="B288" s="940">
        <v>19</v>
      </c>
      <c r="C288" t="s">
        <v>9590</v>
      </c>
      <c r="D288" s="940" t="s">
        <v>9591</v>
      </c>
      <c r="E288" t="s">
        <v>105</v>
      </c>
    </row>
    <row r="289" spans="1:5" x14ac:dyDescent="0.2">
      <c r="A289" s="940">
        <v>3048</v>
      </c>
      <c r="B289" s="940">
        <v>22</v>
      </c>
      <c r="C289" t="s">
        <v>3074</v>
      </c>
      <c r="D289" s="940" t="s">
        <v>3075</v>
      </c>
      <c r="E289" t="s">
        <v>1590</v>
      </c>
    </row>
    <row r="290" spans="1:5" x14ac:dyDescent="0.2">
      <c r="A290" s="940">
        <v>3602</v>
      </c>
      <c r="B290" s="940">
        <v>8</v>
      </c>
      <c r="C290" t="s">
        <v>3076</v>
      </c>
      <c r="D290" s="940" t="s">
        <v>3077</v>
      </c>
      <c r="E290" t="s">
        <v>3078</v>
      </c>
    </row>
    <row r="291" spans="1:5" x14ac:dyDescent="0.2">
      <c r="A291" s="940">
        <v>1629</v>
      </c>
      <c r="B291" s="940">
        <v>124</v>
      </c>
      <c r="C291" t="s">
        <v>3079</v>
      </c>
      <c r="D291" s="813" t="s">
        <v>3080</v>
      </c>
      <c r="E291" t="s">
        <v>105</v>
      </c>
    </row>
    <row r="292" spans="1:5" x14ac:dyDescent="0.2">
      <c r="A292" s="940">
        <v>2745</v>
      </c>
      <c r="B292" s="940">
        <v>35</v>
      </c>
      <c r="C292" t="s">
        <v>9592</v>
      </c>
      <c r="D292" s="940" t="s">
        <v>6219</v>
      </c>
      <c r="E292" t="s">
        <v>1578</v>
      </c>
    </row>
    <row r="293" spans="1:5" x14ac:dyDescent="0.2">
      <c r="A293" s="940">
        <v>3545</v>
      </c>
      <c r="B293" s="940">
        <v>9</v>
      </c>
      <c r="C293" t="s">
        <v>9593</v>
      </c>
      <c r="D293" s="940" t="s">
        <v>9594</v>
      </c>
      <c r="E293" t="s">
        <v>4674</v>
      </c>
    </row>
    <row r="294" spans="1:5" x14ac:dyDescent="0.2">
      <c r="A294" s="940">
        <v>1398</v>
      </c>
      <c r="B294" s="940">
        <v>162</v>
      </c>
      <c r="C294" t="s">
        <v>9595</v>
      </c>
      <c r="D294" s="940" t="s">
        <v>3279</v>
      </c>
      <c r="E294" t="s">
        <v>147</v>
      </c>
    </row>
    <row r="295" spans="1:5" x14ac:dyDescent="0.2">
      <c r="A295" s="940">
        <v>1479</v>
      </c>
      <c r="B295" s="940">
        <v>149</v>
      </c>
      <c r="C295" t="s">
        <v>3081</v>
      </c>
      <c r="D295" s="940" t="s">
        <v>3082</v>
      </c>
      <c r="E295" t="s">
        <v>1460</v>
      </c>
    </row>
    <row r="296" spans="1:5" x14ac:dyDescent="0.2">
      <c r="A296" s="940">
        <v>4294</v>
      </c>
      <c r="B296" s="940">
        <v>0</v>
      </c>
      <c r="C296" t="s">
        <v>9596</v>
      </c>
      <c r="D296" s="940" t="s">
        <v>5572</v>
      </c>
      <c r="E296" t="s">
        <v>120</v>
      </c>
    </row>
    <row r="297" spans="1:5" x14ac:dyDescent="0.2">
      <c r="A297" s="940">
        <v>4294</v>
      </c>
      <c r="B297" s="940">
        <v>0</v>
      </c>
      <c r="C297" t="s">
        <v>9597</v>
      </c>
      <c r="D297" s="940" t="s">
        <v>5186</v>
      </c>
      <c r="E297" t="s">
        <v>105</v>
      </c>
    </row>
    <row r="298" spans="1:5" x14ac:dyDescent="0.2">
      <c r="A298" s="940">
        <v>1355</v>
      </c>
      <c r="B298" s="940">
        <v>171</v>
      </c>
      <c r="C298" t="s">
        <v>9598</v>
      </c>
      <c r="D298" s="940" t="s">
        <v>9599</v>
      </c>
      <c r="E298" t="s">
        <v>208</v>
      </c>
    </row>
    <row r="299" spans="1:5" x14ac:dyDescent="0.2">
      <c r="A299" s="940">
        <v>4294</v>
      </c>
      <c r="B299" s="940">
        <v>0</v>
      </c>
      <c r="C299" t="s">
        <v>3083</v>
      </c>
      <c r="D299" s="940" t="s">
        <v>3084</v>
      </c>
      <c r="E299" t="s">
        <v>1844</v>
      </c>
    </row>
    <row r="300" spans="1:5" x14ac:dyDescent="0.2">
      <c r="A300" s="940">
        <v>3796</v>
      </c>
      <c r="B300" s="940">
        <v>5</v>
      </c>
      <c r="C300" t="s">
        <v>3085</v>
      </c>
      <c r="D300" s="940" t="s">
        <v>3086</v>
      </c>
      <c r="E300" t="s">
        <v>111</v>
      </c>
    </row>
    <row r="301" spans="1:5" x14ac:dyDescent="0.2">
      <c r="A301" s="940">
        <v>2833</v>
      </c>
      <c r="B301" s="940">
        <v>31</v>
      </c>
      <c r="C301" t="s">
        <v>3087</v>
      </c>
      <c r="D301" s="940" t="s">
        <v>2666</v>
      </c>
      <c r="E301" t="s">
        <v>120</v>
      </c>
    </row>
    <row r="302" spans="1:5" x14ac:dyDescent="0.2">
      <c r="A302" s="940">
        <v>1130</v>
      </c>
      <c r="B302" s="940">
        <v>230</v>
      </c>
      <c r="C302" t="s">
        <v>3088</v>
      </c>
      <c r="D302" s="940" t="s">
        <v>9600</v>
      </c>
      <c r="E302" t="s">
        <v>3090</v>
      </c>
    </row>
    <row r="303" spans="1:5" x14ac:dyDescent="0.2">
      <c r="A303" s="940">
        <v>1880</v>
      </c>
      <c r="B303" s="940">
        <v>97</v>
      </c>
      <c r="C303" t="s">
        <v>3091</v>
      </c>
      <c r="D303" s="940" t="s">
        <v>3092</v>
      </c>
      <c r="E303" t="s">
        <v>118</v>
      </c>
    </row>
    <row r="304" spans="1:5" x14ac:dyDescent="0.2">
      <c r="A304" s="940">
        <v>1403</v>
      </c>
      <c r="B304" s="940">
        <v>161</v>
      </c>
      <c r="C304" t="s">
        <v>9601</v>
      </c>
      <c r="D304" s="940" t="s">
        <v>9602</v>
      </c>
      <c r="E304" t="s">
        <v>231</v>
      </c>
    </row>
    <row r="305" spans="1:5" x14ac:dyDescent="0.2">
      <c r="A305" s="940">
        <v>3008</v>
      </c>
      <c r="B305" s="940">
        <v>23</v>
      </c>
      <c r="C305" t="s">
        <v>3094</v>
      </c>
      <c r="D305" s="940" t="s">
        <v>3095</v>
      </c>
      <c r="E305" t="s">
        <v>120</v>
      </c>
    </row>
    <row r="306" spans="1:5" x14ac:dyDescent="0.2">
      <c r="A306" s="940">
        <v>174</v>
      </c>
      <c r="B306" s="940">
        <v>952</v>
      </c>
      <c r="C306" t="s">
        <v>1253</v>
      </c>
      <c r="D306" s="940" t="s">
        <v>2633</v>
      </c>
      <c r="E306" t="s">
        <v>120</v>
      </c>
    </row>
    <row r="307" spans="1:5" x14ac:dyDescent="0.2">
      <c r="A307" s="940">
        <v>1330</v>
      </c>
      <c r="B307" s="940">
        <v>175</v>
      </c>
      <c r="C307" t="s">
        <v>3099</v>
      </c>
      <c r="D307" s="940" t="s">
        <v>3100</v>
      </c>
      <c r="E307" t="s">
        <v>290</v>
      </c>
    </row>
    <row r="308" spans="1:5" x14ac:dyDescent="0.2">
      <c r="A308" s="940">
        <v>1790</v>
      </c>
      <c r="B308" s="940">
        <v>106</v>
      </c>
      <c r="C308" t="s">
        <v>3103</v>
      </c>
      <c r="D308" s="940" t="s">
        <v>3104</v>
      </c>
      <c r="E308" t="s">
        <v>1507</v>
      </c>
    </row>
    <row r="309" spans="1:5" x14ac:dyDescent="0.2">
      <c r="A309" s="940">
        <v>3732</v>
      </c>
      <c r="B309" s="940">
        <v>6</v>
      </c>
      <c r="C309" t="s">
        <v>9603</v>
      </c>
      <c r="D309" s="940" t="s">
        <v>8269</v>
      </c>
      <c r="E309" t="s">
        <v>9525</v>
      </c>
    </row>
    <row r="310" spans="1:5" x14ac:dyDescent="0.2">
      <c r="A310" s="940">
        <v>1868</v>
      </c>
      <c r="B310" s="940">
        <v>98</v>
      </c>
      <c r="C310" t="s">
        <v>1254</v>
      </c>
      <c r="D310" s="940" t="s">
        <v>4226</v>
      </c>
      <c r="E310" t="s">
        <v>1255</v>
      </c>
    </row>
    <row r="311" spans="1:5" x14ac:dyDescent="0.2">
      <c r="A311" s="940">
        <v>268</v>
      </c>
      <c r="B311" s="940">
        <v>815</v>
      </c>
      <c r="C311" t="s">
        <v>3105</v>
      </c>
      <c r="D311" s="940" t="s">
        <v>3106</v>
      </c>
      <c r="E311" t="s">
        <v>1162</v>
      </c>
    </row>
    <row r="312" spans="1:5" x14ac:dyDescent="0.2">
      <c r="A312" s="940">
        <v>3008</v>
      </c>
      <c r="B312" s="940">
        <v>23</v>
      </c>
      <c r="C312" t="s">
        <v>9604</v>
      </c>
      <c r="D312" s="940" t="s">
        <v>3751</v>
      </c>
      <c r="E312" t="s">
        <v>9605</v>
      </c>
    </row>
    <row r="313" spans="1:5" x14ac:dyDescent="0.2">
      <c r="A313" s="940">
        <v>1651</v>
      </c>
      <c r="B313" s="940">
        <v>122</v>
      </c>
      <c r="C313" t="s">
        <v>1259</v>
      </c>
      <c r="D313" s="940" t="s">
        <v>3107</v>
      </c>
      <c r="E313" t="s">
        <v>72</v>
      </c>
    </row>
    <row r="314" spans="1:5" x14ac:dyDescent="0.2">
      <c r="A314" s="940">
        <v>3483</v>
      </c>
      <c r="B314" s="940">
        <v>10</v>
      </c>
      <c r="C314" t="s">
        <v>9606</v>
      </c>
      <c r="D314" s="940" t="s">
        <v>3253</v>
      </c>
      <c r="E314" t="s">
        <v>4674</v>
      </c>
    </row>
    <row r="315" spans="1:5" x14ac:dyDescent="0.2">
      <c r="A315" s="940">
        <v>3882</v>
      </c>
      <c r="B315" s="940">
        <v>4</v>
      </c>
      <c r="C315" t="s">
        <v>9607</v>
      </c>
      <c r="D315" s="940" t="s">
        <v>2978</v>
      </c>
      <c r="E315" t="s">
        <v>243</v>
      </c>
    </row>
    <row r="316" spans="1:5" x14ac:dyDescent="0.2">
      <c r="A316" s="940">
        <v>3136</v>
      </c>
      <c r="B316" s="940">
        <v>19</v>
      </c>
      <c r="C316" t="s">
        <v>3108</v>
      </c>
      <c r="D316" s="940" t="s">
        <v>3109</v>
      </c>
      <c r="E316" t="s">
        <v>110</v>
      </c>
    </row>
    <row r="317" spans="1:5" x14ac:dyDescent="0.2">
      <c r="A317" s="940">
        <v>2691</v>
      </c>
      <c r="B317" s="940">
        <v>37</v>
      </c>
      <c r="C317" t="s">
        <v>3110</v>
      </c>
      <c r="D317" s="940" t="s">
        <v>3111</v>
      </c>
      <c r="E317" t="s">
        <v>99</v>
      </c>
    </row>
    <row r="318" spans="1:5" x14ac:dyDescent="0.2">
      <c r="A318" s="940">
        <v>3796</v>
      </c>
      <c r="B318" s="940">
        <v>5</v>
      </c>
      <c r="C318" t="s">
        <v>3113</v>
      </c>
      <c r="D318" s="940" t="s">
        <v>2783</v>
      </c>
      <c r="E318" t="s">
        <v>3114</v>
      </c>
    </row>
    <row r="319" spans="1:5" x14ac:dyDescent="0.2">
      <c r="A319" s="940">
        <v>1629</v>
      </c>
      <c r="B319" s="940">
        <v>124</v>
      </c>
      <c r="C319" t="s">
        <v>1262</v>
      </c>
      <c r="D319" s="940" t="s">
        <v>3115</v>
      </c>
      <c r="E319" t="s">
        <v>105</v>
      </c>
    </row>
    <row r="320" spans="1:5" x14ac:dyDescent="0.2">
      <c r="A320" s="940">
        <v>4294</v>
      </c>
      <c r="B320" s="940">
        <v>0</v>
      </c>
      <c r="C320" t="s">
        <v>3116</v>
      </c>
      <c r="D320" s="940" t="s">
        <v>3117</v>
      </c>
      <c r="E320" t="s">
        <v>133</v>
      </c>
    </row>
    <row r="321" spans="1:5" x14ac:dyDescent="0.2">
      <c r="A321" s="940">
        <v>793</v>
      </c>
      <c r="B321" s="940">
        <v>362</v>
      </c>
      <c r="C321" t="s">
        <v>3118</v>
      </c>
      <c r="D321" s="940" t="s">
        <v>3119</v>
      </c>
      <c r="E321" t="s">
        <v>130</v>
      </c>
    </row>
    <row r="322" spans="1:5" x14ac:dyDescent="0.2">
      <c r="A322" s="940">
        <v>1518</v>
      </c>
      <c r="B322" s="940">
        <v>142</v>
      </c>
      <c r="C322" t="s">
        <v>3120</v>
      </c>
      <c r="D322" s="940" t="s">
        <v>3121</v>
      </c>
      <c r="E322" t="s">
        <v>130</v>
      </c>
    </row>
    <row r="323" spans="1:5" x14ac:dyDescent="0.2">
      <c r="A323" s="940">
        <v>206</v>
      </c>
      <c r="B323" s="940">
        <v>907</v>
      </c>
      <c r="C323" t="s">
        <v>3122</v>
      </c>
      <c r="D323" s="940" t="s">
        <v>3123</v>
      </c>
      <c r="E323" t="s">
        <v>166</v>
      </c>
    </row>
    <row r="324" spans="1:5" x14ac:dyDescent="0.2">
      <c r="A324" s="940">
        <v>4294</v>
      </c>
      <c r="B324" s="940">
        <v>0</v>
      </c>
      <c r="C324" t="s">
        <v>9608</v>
      </c>
      <c r="D324" s="940" t="s">
        <v>3139</v>
      </c>
      <c r="E324" t="s">
        <v>117</v>
      </c>
    </row>
    <row r="325" spans="1:5" x14ac:dyDescent="0.2">
      <c r="A325" s="940">
        <v>1720</v>
      </c>
      <c r="B325" s="940">
        <v>115</v>
      </c>
      <c r="C325" t="s">
        <v>3124</v>
      </c>
      <c r="D325" s="940" t="s">
        <v>3125</v>
      </c>
      <c r="E325" t="s">
        <v>1284</v>
      </c>
    </row>
    <row r="326" spans="1:5" x14ac:dyDescent="0.2">
      <c r="A326" s="940">
        <v>3655</v>
      </c>
      <c r="B326" s="940">
        <v>7</v>
      </c>
      <c r="C326" t="s">
        <v>3126</v>
      </c>
      <c r="D326" s="940" t="s">
        <v>3127</v>
      </c>
      <c r="E326" t="s">
        <v>3128</v>
      </c>
    </row>
    <row r="327" spans="1:5" x14ac:dyDescent="0.2">
      <c r="A327" s="940">
        <v>4294</v>
      </c>
      <c r="B327" s="940">
        <v>0</v>
      </c>
      <c r="C327" t="s">
        <v>3129</v>
      </c>
      <c r="D327" s="940" t="s">
        <v>3127</v>
      </c>
      <c r="E327" t="s">
        <v>3128</v>
      </c>
    </row>
    <row r="328" spans="1:5" x14ac:dyDescent="0.2">
      <c r="A328" s="940">
        <v>4294</v>
      </c>
      <c r="B328" s="940">
        <v>0</v>
      </c>
      <c r="C328" t="s">
        <v>9609</v>
      </c>
      <c r="D328" s="940" t="s">
        <v>9610</v>
      </c>
      <c r="E328" t="s">
        <v>186</v>
      </c>
    </row>
    <row r="329" spans="1:5" x14ac:dyDescent="0.2">
      <c r="A329" s="940">
        <v>4294</v>
      </c>
      <c r="B329" s="940">
        <v>0</v>
      </c>
      <c r="C329" t="s">
        <v>3132</v>
      </c>
      <c r="D329" s="940" t="s">
        <v>3133</v>
      </c>
      <c r="E329" t="s">
        <v>120</v>
      </c>
    </row>
    <row r="330" spans="1:5" x14ac:dyDescent="0.2">
      <c r="A330" s="940">
        <v>1729</v>
      </c>
      <c r="B330" s="940">
        <v>113</v>
      </c>
      <c r="C330" t="s">
        <v>2536</v>
      </c>
      <c r="D330" s="940" t="s">
        <v>4666</v>
      </c>
      <c r="E330" t="s">
        <v>83</v>
      </c>
    </row>
    <row r="331" spans="1:5" x14ac:dyDescent="0.2">
      <c r="A331" s="940">
        <v>491</v>
      </c>
      <c r="B331" s="940">
        <v>564</v>
      </c>
      <c r="C331" t="s">
        <v>1266</v>
      </c>
      <c r="D331" s="940" t="s">
        <v>3134</v>
      </c>
      <c r="E331" t="s">
        <v>1267</v>
      </c>
    </row>
    <row r="332" spans="1:5" x14ac:dyDescent="0.2">
      <c r="A332" s="940">
        <v>671</v>
      </c>
      <c r="B332" s="940">
        <v>421</v>
      </c>
      <c r="C332" t="s">
        <v>9611</v>
      </c>
      <c r="D332" s="940" t="s">
        <v>9612</v>
      </c>
      <c r="E332" t="s">
        <v>129</v>
      </c>
    </row>
    <row r="333" spans="1:5" x14ac:dyDescent="0.2">
      <c r="A333" s="940">
        <v>3222</v>
      </c>
      <c r="B333" s="940">
        <v>17</v>
      </c>
      <c r="C333" t="s">
        <v>3135</v>
      </c>
      <c r="D333" s="940" t="s">
        <v>3136</v>
      </c>
      <c r="E333" t="s">
        <v>3137</v>
      </c>
    </row>
    <row r="334" spans="1:5" x14ac:dyDescent="0.2">
      <c r="A334" s="940">
        <v>4294</v>
      </c>
      <c r="B334" s="940">
        <v>0</v>
      </c>
      <c r="C334" t="s">
        <v>9613</v>
      </c>
      <c r="D334" s="940" t="s">
        <v>9614</v>
      </c>
      <c r="E334" t="s">
        <v>105</v>
      </c>
    </row>
    <row r="335" spans="1:5" x14ac:dyDescent="0.2">
      <c r="A335" s="940">
        <v>3972</v>
      </c>
      <c r="B335" s="940">
        <v>3</v>
      </c>
      <c r="C335" t="s">
        <v>9615</v>
      </c>
      <c r="D335" s="940" t="s">
        <v>5822</v>
      </c>
      <c r="E335" t="s">
        <v>5699</v>
      </c>
    </row>
    <row r="336" spans="1:5" x14ac:dyDescent="0.2">
      <c r="A336" s="940">
        <v>3602</v>
      </c>
      <c r="B336" s="940">
        <v>8</v>
      </c>
      <c r="C336" t="s">
        <v>3141</v>
      </c>
      <c r="D336" s="940" t="s">
        <v>2930</v>
      </c>
      <c r="E336" t="s">
        <v>164</v>
      </c>
    </row>
    <row r="337" spans="1:5" x14ac:dyDescent="0.2">
      <c r="A337" s="940">
        <v>4294</v>
      </c>
      <c r="B337" s="940">
        <v>0</v>
      </c>
      <c r="C337" t="s">
        <v>3141</v>
      </c>
      <c r="D337" s="940" t="s">
        <v>3142</v>
      </c>
      <c r="E337" t="s">
        <v>1435</v>
      </c>
    </row>
    <row r="338" spans="1:5" x14ac:dyDescent="0.2">
      <c r="A338" s="940">
        <v>3250</v>
      </c>
      <c r="B338" s="940">
        <v>16</v>
      </c>
      <c r="C338" t="s">
        <v>3145</v>
      </c>
      <c r="D338" s="940" t="s">
        <v>3146</v>
      </c>
      <c r="E338" t="s">
        <v>74</v>
      </c>
    </row>
    <row r="339" spans="1:5" x14ac:dyDescent="0.2">
      <c r="A339" s="940">
        <v>1518</v>
      </c>
      <c r="B339" s="940">
        <v>142</v>
      </c>
      <c r="C339" t="s">
        <v>3147</v>
      </c>
      <c r="D339" s="940" t="s">
        <v>3148</v>
      </c>
      <c r="E339" t="s">
        <v>1251</v>
      </c>
    </row>
    <row r="340" spans="1:5" x14ac:dyDescent="0.2">
      <c r="A340" s="940">
        <v>919</v>
      </c>
      <c r="B340" s="940">
        <v>308</v>
      </c>
      <c r="C340" t="s">
        <v>151</v>
      </c>
      <c r="D340" s="940" t="s">
        <v>3152</v>
      </c>
      <c r="E340" t="s">
        <v>128</v>
      </c>
    </row>
    <row r="341" spans="1:5" x14ac:dyDescent="0.2">
      <c r="A341" s="940">
        <v>2486</v>
      </c>
      <c r="B341" s="940">
        <v>48</v>
      </c>
      <c r="C341" t="s">
        <v>3155</v>
      </c>
      <c r="D341" s="940" t="s">
        <v>3156</v>
      </c>
      <c r="E341" t="s">
        <v>2877</v>
      </c>
    </row>
    <row r="342" spans="1:5" x14ac:dyDescent="0.2">
      <c r="A342" s="940">
        <v>4294</v>
      </c>
      <c r="B342" s="940">
        <v>0</v>
      </c>
      <c r="C342" t="s">
        <v>9616</v>
      </c>
      <c r="D342" s="940" t="s">
        <v>9617</v>
      </c>
      <c r="E342" t="s">
        <v>9550</v>
      </c>
    </row>
    <row r="343" spans="1:5" x14ac:dyDescent="0.2">
      <c r="A343" s="940">
        <v>1946</v>
      </c>
      <c r="B343" s="940">
        <v>91</v>
      </c>
      <c r="C343" t="s">
        <v>9618</v>
      </c>
      <c r="D343" s="940" t="s">
        <v>6054</v>
      </c>
      <c r="E343" t="s">
        <v>111</v>
      </c>
    </row>
    <row r="344" spans="1:5" x14ac:dyDescent="0.2">
      <c r="A344" s="940">
        <v>3083</v>
      </c>
      <c r="B344" s="940">
        <v>21</v>
      </c>
      <c r="C344" t="s">
        <v>9619</v>
      </c>
      <c r="D344" s="940" t="s">
        <v>4778</v>
      </c>
      <c r="E344" t="s">
        <v>73</v>
      </c>
    </row>
    <row r="345" spans="1:5" x14ac:dyDescent="0.2">
      <c r="A345" s="940">
        <v>1018</v>
      </c>
      <c r="B345" s="940">
        <v>272</v>
      </c>
      <c r="C345" t="s">
        <v>1272</v>
      </c>
      <c r="D345" s="940" t="s">
        <v>3157</v>
      </c>
      <c r="E345" t="s">
        <v>99</v>
      </c>
    </row>
    <row r="346" spans="1:5" x14ac:dyDescent="0.2">
      <c r="A346" s="940">
        <v>4294</v>
      </c>
      <c r="B346" s="940">
        <v>0</v>
      </c>
      <c r="C346" t="s">
        <v>9620</v>
      </c>
      <c r="D346" s="940" t="s">
        <v>5572</v>
      </c>
      <c r="E346" t="s">
        <v>106</v>
      </c>
    </row>
    <row r="347" spans="1:5" x14ac:dyDescent="0.2">
      <c r="A347" s="940">
        <v>4294</v>
      </c>
      <c r="B347" s="940">
        <v>0</v>
      </c>
      <c r="C347" t="s">
        <v>9621</v>
      </c>
      <c r="D347" s="940" t="s">
        <v>3609</v>
      </c>
      <c r="E347" t="s">
        <v>1384</v>
      </c>
    </row>
    <row r="348" spans="1:5" x14ac:dyDescent="0.2">
      <c r="A348" s="940">
        <v>241</v>
      </c>
      <c r="B348" s="940">
        <v>849</v>
      </c>
      <c r="C348" t="s">
        <v>9622</v>
      </c>
      <c r="D348" s="940" t="s">
        <v>9623</v>
      </c>
      <c r="E348" t="s">
        <v>126</v>
      </c>
    </row>
    <row r="349" spans="1:5" x14ac:dyDescent="0.2">
      <c r="A349" s="940">
        <v>4181</v>
      </c>
      <c r="B349" s="940">
        <v>1</v>
      </c>
      <c r="C349" t="s">
        <v>3158</v>
      </c>
      <c r="D349" s="940" t="s">
        <v>3047</v>
      </c>
      <c r="E349" t="s">
        <v>1609</v>
      </c>
    </row>
    <row r="350" spans="1:5" x14ac:dyDescent="0.2">
      <c r="A350" s="940">
        <v>1035</v>
      </c>
      <c r="B350" s="940">
        <v>264</v>
      </c>
      <c r="C350" t="s">
        <v>9624</v>
      </c>
      <c r="D350" s="940" t="s">
        <v>9625</v>
      </c>
      <c r="E350" t="s">
        <v>1211</v>
      </c>
    </row>
    <row r="351" spans="1:5" x14ac:dyDescent="0.2">
      <c r="A351" s="940">
        <v>2150</v>
      </c>
      <c r="B351" s="940">
        <v>73</v>
      </c>
      <c r="C351" t="s">
        <v>9626</v>
      </c>
      <c r="D351" s="940" t="s">
        <v>6773</v>
      </c>
      <c r="E351" t="s">
        <v>1211</v>
      </c>
    </row>
    <row r="352" spans="1:5" x14ac:dyDescent="0.2">
      <c r="A352" s="940">
        <v>1223</v>
      </c>
      <c r="B352" s="940">
        <v>202</v>
      </c>
      <c r="C352" t="s">
        <v>9627</v>
      </c>
      <c r="D352" s="940" t="s">
        <v>5770</v>
      </c>
      <c r="E352" t="s">
        <v>170</v>
      </c>
    </row>
    <row r="353" spans="1:5" x14ac:dyDescent="0.2">
      <c r="A353" s="940">
        <v>3446</v>
      </c>
      <c r="B353" s="940">
        <v>11</v>
      </c>
      <c r="C353" t="s">
        <v>9628</v>
      </c>
      <c r="D353" s="940" t="s">
        <v>5037</v>
      </c>
      <c r="E353" t="s">
        <v>105</v>
      </c>
    </row>
    <row r="354" spans="1:5" x14ac:dyDescent="0.2">
      <c r="A354" s="940">
        <v>993</v>
      </c>
      <c r="B354" s="940">
        <v>281</v>
      </c>
      <c r="C354" t="s">
        <v>1273</v>
      </c>
      <c r="D354" s="940" t="s">
        <v>3160</v>
      </c>
      <c r="E354" t="s">
        <v>126</v>
      </c>
    </row>
    <row r="355" spans="1:5" x14ac:dyDescent="0.2">
      <c r="A355" s="940">
        <v>1629</v>
      </c>
      <c r="B355" s="940">
        <v>124</v>
      </c>
      <c r="C355" t="s">
        <v>3163</v>
      </c>
      <c r="D355" s="940" t="s">
        <v>3164</v>
      </c>
      <c r="E355" t="s">
        <v>208</v>
      </c>
    </row>
    <row r="356" spans="1:5" x14ac:dyDescent="0.2">
      <c r="A356" s="940">
        <v>1704</v>
      </c>
      <c r="B356" s="940">
        <v>117</v>
      </c>
      <c r="C356" t="s">
        <v>3165</v>
      </c>
      <c r="D356" s="940" t="s">
        <v>3166</v>
      </c>
      <c r="E356" t="s">
        <v>1214</v>
      </c>
    </row>
    <row r="357" spans="1:5" x14ac:dyDescent="0.2">
      <c r="A357" s="940">
        <v>3796</v>
      </c>
      <c r="B357" s="940">
        <v>5</v>
      </c>
      <c r="C357" t="s">
        <v>9629</v>
      </c>
      <c r="D357" s="940" t="s">
        <v>9630</v>
      </c>
      <c r="E357" t="s">
        <v>105</v>
      </c>
    </row>
    <row r="358" spans="1:5" x14ac:dyDescent="0.2">
      <c r="A358" s="940">
        <v>1026</v>
      </c>
      <c r="B358" s="940">
        <v>269</v>
      </c>
      <c r="C358" t="s">
        <v>3174</v>
      </c>
      <c r="D358" s="940" t="s">
        <v>3175</v>
      </c>
      <c r="E358" t="s">
        <v>3176</v>
      </c>
    </row>
    <row r="359" spans="1:5" x14ac:dyDescent="0.2">
      <c r="A359" s="940">
        <v>727</v>
      </c>
      <c r="B359" s="940">
        <v>392</v>
      </c>
      <c r="C359" t="s">
        <v>9631</v>
      </c>
      <c r="D359" s="940" t="s">
        <v>9632</v>
      </c>
      <c r="E359" t="s">
        <v>1277</v>
      </c>
    </row>
    <row r="360" spans="1:5" x14ac:dyDescent="0.2">
      <c r="A360" s="940">
        <v>1127</v>
      </c>
      <c r="B360" s="940">
        <v>231</v>
      </c>
      <c r="C360" t="s">
        <v>1274</v>
      </c>
      <c r="D360" s="940" t="s">
        <v>3177</v>
      </c>
      <c r="E360" t="s">
        <v>1171</v>
      </c>
    </row>
    <row r="361" spans="1:5" x14ac:dyDescent="0.2">
      <c r="A361" s="940">
        <v>1081</v>
      </c>
      <c r="B361" s="940">
        <v>248</v>
      </c>
      <c r="C361" t="s">
        <v>157</v>
      </c>
      <c r="D361" s="940" t="s">
        <v>3178</v>
      </c>
      <c r="E361" t="s">
        <v>1275</v>
      </c>
    </row>
    <row r="362" spans="1:5" x14ac:dyDescent="0.2">
      <c r="A362" s="940">
        <v>2592</v>
      </c>
      <c r="B362" s="940">
        <v>42</v>
      </c>
      <c r="C362" t="s">
        <v>9633</v>
      </c>
      <c r="D362" s="940" t="s">
        <v>9634</v>
      </c>
      <c r="E362" t="s">
        <v>1491</v>
      </c>
    </row>
    <row r="363" spans="1:5" x14ac:dyDescent="0.2">
      <c r="A363" s="940">
        <v>3602</v>
      </c>
      <c r="B363" s="940">
        <v>8</v>
      </c>
      <c r="C363" t="s">
        <v>3179</v>
      </c>
      <c r="D363" s="940" t="s">
        <v>3180</v>
      </c>
      <c r="E363" t="s">
        <v>115</v>
      </c>
    </row>
    <row r="364" spans="1:5" x14ac:dyDescent="0.2">
      <c r="A364" s="940">
        <v>455</v>
      </c>
      <c r="B364" s="940">
        <v>587</v>
      </c>
      <c r="C364" t="s">
        <v>3181</v>
      </c>
      <c r="D364" s="940" t="s">
        <v>3182</v>
      </c>
      <c r="E364" t="s">
        <v>863</v>
      </c>
    </row>
    <row r="365" spans="1:5" x14ac:dyDescent="0.2">
      <c r="A365" s="940">
        <v>2630</v>
      </c>
      <c r="B365" s="940">
        <v>40</v>
      </c>
      <c r="C365" t="s">
        <v>9635</v>
      </c>
      <c r="D365" s="940" t="s">
        <v>9636</v>
      </c>
      <c r="E365" t="s">
        <v>171</v>
      </c>
    </row>
    <row r="366" spans="1:5" x14ac:dyDescent="0.2">
      <c r="A366" s="940">
        <v>1240</v>
      </c>
      <c r="B366" s="940">
        <v>197</v>
      </c>
      <c r="C366" t="s">
        <v>1278</v>
      </c>
      <c r="D366" s="940" t="s">
        <v>3183</v>
      </c>
      <c r="E366" t="s">
        <v>99</v>
      </c>
    </row>
    <row r="367" spans="1:5" x14ac:dyDescent="0.2">
      <c r="A367" s="940">
        <v>3545</v>
      </c>
      <c r="B367" s="940">
        <v>9</v>
      </c>
      <c r="C367" t="s">
        <v>3184</v>
      </c>
      <c r="D367" s="940" t="s">
        <v>3185</v>
      </c>
      <c r="E367" t="s">
        <v>99</v>
      </c>
    </row>
    <row r="368" spans="1:5" x14ac:dyDescent="0.2">
      <c r="A368" s="940">
        <v>3402</v>
      </c>
      <c r="B368" s="940">
        <v>12</v>
      </c>
      <c r="C368" t="s">
        <v>3186</v>
      </c>
      <c r="D368" s="940" t="s">
        <v>3187</v>
      </c>
      <c r="E368" t="s">
        <v>1162</v>
      </c>
    </row>
    <row r="369" spans="1:5" x14ac:dyDescent="0.2">
      <c r="A369" s="940">
        <v>1621</v>
      </c>
      <c r="B369" s="940">
        <v>125</v>
      </c>
      <c r="C369" t="s">
        <v>3188</v>
      </c>
      <c r="D369" s="940" t="s">
        <v>3189</v>
      </c>
      <c r="E369" t="s">
        <v>141</v>
      </c>
    </row>
    <row r="370" spans="1:5" x14ac:dyDescent="0.2">
      <c r="A370" s="940">
        <v>4294</v>
      </c>
      <c r="B370" s="940">
        <v>0</v>
      </c>
      <c r="C370" t="s">
        <v>9637</v>
      </c>
      <c r="D370" s="940" t="s">
        <v>9638</v>
      </c>
      <c r="E370" t="s">
        <v>3128</v>
      </c>
    </row>
    <row r="371" spans="1:5" x14ac:dyDescent="0.2">
      <c r="A371" s="940">
        <v>2725</v>
      </c>
      <c r="B371" s="940">
        <v>36</v>
      </c>
      <c r="C371" t="s">
        <v>3192</v>
      </c>
      <c r="D371" s="940" t="s">
        <v>3193</v>
      </c>
      <c r="E371" t="s">
        <v>1256</v>
      </c>
    </row>
    <row r="372" spans="1:5" x14ac:dyDescent="0.2">
      <c r="A372" s="940">
        <v>1499</v>
      </c>
      <c r="B372" s="940">
        <v>144</v>
      </c>
      <c r="C372" t="s">
        <v>158</v>
      </c>
      <c r="D372" s="940" t="s">
        <v>3196</v>
      </c>
      <c r="E372" t="s">
        <v>1214</v>
      </c>
    </row>
    <row r="373" spans="1:5" x14ac:dyDescent="0.2">
      <c r="A373" s="940">
        <v>2462</v>
      </c>
      <c r="B373" s="940">
        <v>50</v>
      </c>
      <c r="C373" t="s">
        <v>3197</v>
      </c>
      <c r="D373" s="940" t="s">
        <v>2768</v>
      </c>
      <c r="E373" t="s">
        <v>163</v>
      </c>
    </row>
    <row r="374" spans="1:5" x14ac:dyDescent="0.2">
      <c r="A374" s="940">
        <v>1574</v>
      </c>
      <c r="B374" s="940">
        <v>132</v>
      </c>
      <c r="C374" t="s">
        <v>9639</v>
      </c>
      <c r="D374" s="940" t="s">
        <v>9640</v>
      </c>
      <c r="E374" t="s">
        <v>4679</v>
      </c>
    </row>
    <row r="375" spans="1:5" x14ac:dyDescent="0.2">
      <c r="A375" s="940">
        <v>4081</v>
      </c>
      <c r="B375" s="940">
        <v>2</v>
      </c>
      <c r="C375" t="s">
        <v>3201</v>
      </c>
      <c r="D375" s="940" t="s">
        <v>3202</v>
      </c>
      <c r="E375" t="s">
        <v>1182</v>
      </c>
    </row>
    <row r="376" spans="1:5" x14ac:dyDescent="0.2">
      <c r="A376" s="940">
        <v>3732</v>
      </c>
      <c r="B376" s="940">
        <v>6</v>
      </c>
      <c r="C376" t="s">
        <v>3203</v>
      </c>
      <c r="D376" s="940" t="s">
        <v>3204</v>
      </c>
      <c r="E376" t="s">
        <v>2880</v>
      </c>
    </row>
    <row r="377" spans="1:5" x14ac:dyDescent="0.2">
      <c r="A377" s="940">
        <v>2725</v>
      </c>
      <c r="B377" s="940">
        <v>36</v>
      </c>
      <c r="C377" t="s">
        <v>9641</v>
      </c>
      <c r="D377" s="940" t="s">
        <v>9642</v>
      </c>
      <c r="E377" t="s">
        <v>3140</v>
      </c>
    </row>
    <row r="378" spans="1:5" x14ac:dyDescent="0.2">
      <c r="A378" s="940">
        <v>517</v>
      </c>
      <c r="B378" s="940">
        <v>530</v>
      </c>
      <c r="C378" t="s">
        <v>3205</v>
      </c>
      <c r="D378" s="940" t="s">
        <v>3206</v>
      </c>
      <c r="E378" t="s">
        <v>122</v>
      </c>
    </row>
    <row r="379" spans="1:5" x14ac:dyDescent="0.2">
      <c r="A379" s="940">
        <v>3882</v>
      </c>
      <c r="B379" s="940">
        <v>4</v>
      </c>
      <c r="C379" t="s">
        <v>3209</v>
      </c>
      <c r="D379" s="940" t="s">
        <v>3210</v>
      </c>
      <c r="E379" t="s">
        <v>126</v>
      </c>
    </row>
    <row r="380" spans="1:5" x14ac:dyDescent="0.2">
      <c r="A380" s="940">
        <v>2434</v>
      </c>
      <c r="B380" s="940">
        <v>52</v>
      </c>
      <c r="C380" t="s">
        <v>3211</v>
      </c>
      <c r="D380" s="940" t="s">
        <v>3212</v>
      </c>
      <c r="E380" t="s">
        <v>130</v>
      </c>
    </row>
    <row r="381" spans="1:5" x14ac:dyDescent="0.2">
      <c r="A381" s="940">
        <v>1208</v>
      </c>
      <c r="B381" s="940">
        <v>206</v>
      </c>
      <c r="C381" t="s">
        <v>161</v>
      </c>
      <c r="D381" s="940" t="s">
        <v>3213</v>
      </c>
      <c r="E381" t="s">
        <v>105</v>
      </c>
    </row>
    <row r="382" spans="1:5" x14ac:dyDescent="0.2">
      <c r="A382" s="940">
        <v>2533</v>
      </c>
      <c r="B382" s="940">
        <v>45</v>
      </c>
      <c r="C382" t="s">
        <v>3214</v>
      </c>
      <c r="D382" s="940" t="s">
        <v>3215</v>
      </c>
      <c r="E382" t="s">
        <v>72</v>
      </c>
    </row>
    <row r="383" spans="1:5" x14ac:dyDescent="0.2">
      <c r="A383" s="940">
        <v>430</v>
      </c>
      <c r="B383" s="940">
        <v>613</v>
      </c>
      <c r="C383" t="s">
        <v>3216</v>
      </c>
      <c r="D383" s="940" t="s">
        <v>3217</v>
      </c>
      <c r="E383" t="s">
        <v>3218</v>
      </c>
    </row>
    <row r="384" spans="1:5" x14ac:dyDescent="0.2">
      <c r="A384" s="940">
        <v>1613</v>
      </c>
      <c r="B384" s="940">
        <v>126</v>
      </c>
      <c r="C384" t="s">
        <v>1283</v>
      </c>
      <c r="D384" s="940" t="s">
        <v>4749</v>
      </c>
      <c r="E384" t="s">
        <v>1284</v>
      </c>
    </row>
    <row r="385" spans="1:5" x14ac:dyDescent="0.2">
      <c r="A385" s="940">
        <v>3358</v>
      </c>
      <c r="B385" s="940">
        <v>13</v>
      </c>
      <c r="C385" t="s">
        <v>3219</v>
      </c>
      <c r="D385" s="940" t="s">
        <v>3220</v>
      </c>
      <c r="E385" t="s">
        <v>111</v>
      </c>
    </row>
    <row r="386" spans="1:5" x14ac:dyDescent="0.2">
      <c r="A386" s="940">
        <v>4294</v>
      </c>
      <c r="B386" s="940">
        <v>0</v>
      </c>
      <c r="C386" t="s">
        <v>3221</v>
      </c>
      <c r="D386" s="940" t="s">
        <v>3222</v>
      </c>
      <c r="E386" t="s">
        <v>183</v>
      </c>
    </row>
    <row r="387" spans="1:5" x14ac:dyDescent="0.2">
      <c r="A387" s="940">
        <v>965</v>
      </c>
      <c r="B387" s="940">
        <v>291</v>
      </c>
      <c r="C387" t="s">
        <v>3223</v>
      </c>
      <c r="D387" s="940" t="s">
        <v>3224</v>
      </c>
      <c r="E387" t="s">
        <v>1286</v>
      </c>
    </row>
    <row r="388" spans="1:5" x14ac:dyDescent="0.2">
      <c r="A388" s="940">
        <v>4294</v>
      </c>
      <c r="B388" s="940">
        <v>0</v>
      </c>
      <c r="C388" t="s">
        <v>9643</v>
      </c>
      <c r="D388" s="940" t="s">
        <v>3755</v>
      </c>
      <c r="E388" t="s">
        <v>133</v>
      </c>
    </row>
    <row r="389" spans="1:5" x14ac:dyDescent="0.2">
      <c r="A389" s="940">
        <v>91</v>
      </c>
      <c r="B389" s="940">
        <v>1152</v>
      </c>
      <c r="C389" t="s">
        <v>3229</v>
      </c>
      <c r="D389" s="940" t="s">
        <v>4714</v>
      </c>
      <c r="E389" t="s">
        <v>113</v>
      </c>
    </row>
    <row r="390" spans="1:5" x14ac:dyDescent="0.2">
      <c r="A390" s="940">
        <v>4294</v>
      </c>
      <c r="B390" s="940">
        <v>0</v>
      </c>
      <c r="C390" t="s">
        <v>3229</v>
      </c>
      <c r="D390" s="940" t="s">
        <v>3230</v>
      </c>
      <c r="E390" t="s">
        <v>1169</v>
      </c>
    </row>
    <row r="391" spans="1:5" x14ac:dyDescent="0.2">
      <c r="A391" s="940">
        <v>3008</v>
      </c>
      <c r="B391" s="940">
        <v>23</v>
      </c>
      <c r="C391" t="s">
        <v>3231</v>
      </c>
      <c r="D391" s="940" t="s">
        <v>3232</v>
      </c>
      <c r="E391" t="s">
        <v>1236</v>
      </c>
    </row>
    <row r="392" spans="1:5" x14ac:dyDescent="0.2">
      <c r="A392" s="940">
        <v>4294</v>
      </c>
      <c r="B392" s="940">
        <v>0</v>
      </c>
      <c r="C392" t="s">
        <v>9644</v>
      </c>
      <c r="D392" s="940" t="s">
        <v>7922</v>
      </c>
      <c r="E392" t="s">
        <v>120</v>
      </c>
    </row>
    <row r="393" spans="1:5" x14ac:dyDescent="0.2">
      <c r="A393" s="940">
        <v>1868</v>
      </c>
      <c r="B393" s="940">
        <v>98</v>
      </c>
      <c r="C393" t="s">
        <v>1287</v>
      </c>
      <c r="D393" s="940" t="s">
        <v>3233</v>
      </c>
      <c r="E393" t="s">
        <v>120</v>
      </c>
    </row>
    <row r="394" spans="1:5" x14ac:dyDescent="0.2">
      <c r="A394" s="940">
        <v>667</v>
      </c>
      <c r="B394" s="940">
        <v>423</v>
      </c>
      <c r="C394" t="s">
        <v>162</v>
      </c>
      <c r="D394" s="940" t="s">
        <v>3237</v>
      </c>
      <c r="E394" t="s">
        <v>1190</v>
      </c>
    </row>
    <row r="395" spans="1:5" x14ac:dyDescent="0.2">
      <c r="A395" s="940">
        <v>2339</v>
      </c>
      <c r="B395" s="940">
        <v>59</v>
      </c>
      <c r="C395" t="s">
        <v>3242</v>
      </c>
      <c r="D395" s="940" t="s">
        <v>2630</v>
      </c>
      <c r="E395" t="s">
        <v>120</v>
      </c>
    </row>
    <row r="396" spans="1:5" x14ac:dyDescent="0.2">
      <c r="A396" s="940">
        <v>2571</v>
      </c>
      <c r="B396" s="940">
        <v>43</v>
      </c>
      <c r="C396" t="s">
        <v>3243</v>
      </c>
      <c r="D396" s="940" t="s">
        <v>3244</v>
      </c>
      <c r="E396" t="s">
        <v>120</v>
      </c>
    </row>
    <row r="397" spans="1:5" x14ac:dyDescent="0.2">
      <c r="A397" s="940">
        <v>880</v>
      </c>
      <c r="B397" s="940">
        <v>326</v>
      </c>
      <c r="C397" t="s">
        <v>3245</v>
      </c>
      <c r="D397" s="940" t="s">
        <v>3246</v>
      </c>
      <c r="E397" t="s">
        <v>105</v>
      </c>
    </row>
    <row r="398" spans="1:5" x14ac:dyDescent="0.2">
      <c r="A398" s="940">
        <v>4294</v>
      </c>
      <c r="B398" s="940">
        <v>0</v>
      </c>
      <c r="C398" t="s">
        <v>9645</v>
      </c>
      <c r="D398" s="940" t="s">
        <v>9646</v>
      </c>
      <c r="E398" t="s">
        <v>105</v>
      </c>
    </row>
    <row r="399" spans="1:5" x14ac:dyDescent="0.2">
      <c r="A399" s="940">
        <v>471</v>
      </c>
      <c r="B399" s="940">
        <v>576</v>
      </c>
      <c r="C399" t="s">
        <v>9647</v>
      </c>
      <c r="D399" s="940" t="s">
        <v>9648</v>
      </c>
      <c r="E399" t="s">
        <v>1190</v>
      </c>
    </row>
    <row r="400" spans="1:5" x14ac:dyDescent="0.2">
      <c r="A400" s="940">
        <v>3008</v>
      </c>
      <c r="B400" s="940">
        <v>23</v>
      </c>
      <c r="C400" t="s">
        <v>3247</v>
      </c>
      <c r="D400" s="940" t="s">
        <v>3248</v>
      </c>
      <c r="E400" t="s">
        <v>1162</v>
      </c>
    </row>
    <row r="401" spans="1:5" x14ac:dyDescent="0.2">
      <c r="A401" s="940">
        <v>3323</v>
      </c>
      <c r="B401" s="940">
        <v>14</v>
      </c>
      <c r="C401" t="s">
        <v>9649</v>
      </c>
      <c r="D401" s="940" t="s">
        <v>6083</v>
      </c>
      <c r="E401" t="s">
        <v>122</v>
      </c>
    </row>
    <row r="402" spans="1:5" x14ac:dyDescent="0.2">
      <c r="A402" s="940">
        <v>4294</v>
      </c>
      <c r="B402" s="940">
        <v>0</v>
      </c>
      <c r="C402" t="s">
        <v>3249</v>
      </c>
      <c r="D402" s="940" t="s">
        <v>3250</v>
      </c>
      <c r="E402" t="s">
        <v>200</v>
      </c>
    </row>
    <row r="403" spans="1:5" x14ac:dyDescent="0.2">
      <c r="A403" s="940">
        <v>4294</v>
      </c>
      <c r="B403" s="940">
        <v>0</v>
      </c>
      <c r="C403" t="s">
        <v>9650</v>
      </c>
      <c r="D403" s="940" t="s">
        <v>7222</v>
      </c>
      <c r="E403" t="s">
        <v>6555</v>
      </c>
    </row>
    <row r="404" spans="1:5" x14ac:dyDescent="0.2">
      <c r="A404" s="940">
        <v>2462</v>
      </c>
      <c r="B404" s="940">
        <v>50</v>
      </c>
      <c r="C404" t="s">
        <v>3251</v>
      </c>
      <c r="D404" s="940" t="s">
        <v>3045</v>
      </c>
      <c r="E404" t="s">
        <v>1315</v>
      </c>
    </row>
    <row r="405" spans="1:5" x14ac:dyDescent="0.2">
      <c r="A405" s="940">
        <v>4081</v>
      </c>
      <c r="B405" s="940">
        <v>2</v>
      </c>
      <c r="C405" t="s">
        <v>3252</v>
      </c>
      <c r="D405" s="940" t="s">
        <v>3253</v>
      </c>
      <c r="E405" t="s">
        <v>120</v>
      </c>
    </row>
    <row r="406" spans="1:5" x14ac:dyDescent="0.2">
      <c r="A406" s="940">
        <v>1133</v>
      </c>
      <c r="B406" s="940">
        <v>228</v>
      </c>
      <c r="C406" t="s">
        <v>9651</v>
      </c>
      <c r="D406" s="940" t="s">
        <v>9652</v>
      </c>
      <c r="E406" t="s">
        <v>120</v>
      </c>
    </row>
    <row r="407" spans="1:5" x14ac:dyDescent="0.2">
      <c r="A407" s="940">
        <v>703</v>
      </c>
      <c r="B407" s="940">
        <v>401</v>
      </c>
      <c r="C407" t="s">
        <v>3254</v>
      </c>
      <c r="D407" s="940" t="s">
        <v>3255</v>
      </c>
      <c r="E407" t="s">
        <v>1590</v>
      </c>
    </row>
    <row r="408" spans="1:5" x14ac:dyDescent="0.2">
      <c r="A408" s="940">
        <v>1936</v>
      </c>
      <c r="B408" s="940">
        <v>92</v>
      </c>
      <c r="C408" t="s">
        <v>9653</v>
      </c>
      <c r="D408" s="940" t="s">
        <v>9654</v>
      </c>
      <c r="E408" t="s">
        <v>1628</v>
      </c>
    </row>
    <row r="409" spans="1:5" x14ac:dyDescent="0.2">
      <c r="A409" s="940">
        <v>1868</v>
      </c>
      <c r="B409" s="940">
        <v>98</v>
      </c>
      <c r="C409" t="s">
        <v>1289</v>
      </c>
      <c r="D409" s="940" t="s">
        <v>4957</v>
      </c>
      <c r="E409" t="s">
        <v>1182</v>
      </c>
    </row>
    <row r="410" spans="1:5" x14ac:dyDescent="0.2">
      <c r="A410" s="940">
        <v>4294</v>
      </c>
      <c r="B410" s="940">
        <v>0</v>
      </c>
      <c r="C410" t="s">
        <v>9655</v>
      </c>
      <c r="D410" s="940" t="s">
        <v>9656</v>
      </c>
      <c r="E410" t="s">
        <v>2660</v>
      </c>
    </row>
    <row r="411" spans="1:5" x14ac:dyDescent="0.2">
      <c r="A411" s="940">
        <v>850</v>
      </c>
      <c r="B411" s="940">
        <v>333</v>
      </c>
      <c r="C411" t="s">
        <v>9657</v>
      </c>
      <c r="D411" s="940" t="s">
        <v>9658</v>
      </c>
      <c r="E411" t="s">
        <v>1290</v>
      </c>
    </row>
    <row r="412" spans="1:5" x14ac:dyDescent="0.2">
      <c r="A412" s="940">
        <v>367</v>
      </c>
      <c r="B412" s="940">
        <v>676</v>
      </c>
      <c r="C412" t="s">
        <v>9659</v>
      </c>
      <c r="D412" s="940" t="s">
        <v>9660</v>
      </c>
      <c r="E412" t="s">
        <v>113</v>
      </c>
    </row>
    <row r="413" spans="1:5" x14ac:dyDescent="0.2">
      <c r="A413" s="940">
        <v>4294</v>
      </c>
      <c r="B413" s="940">
        <v>0</v>
      </c>
      <c r="C413" t="s">
        <v>9661</v>
      </c>
      <c r="D413" s="940" t="s">
        <v>7035</v>
      </c>
      <c r="E413" t="s">
        <v>99</v>
      </c>
    </row>
    <row r="414" spans="1:5" x14ac:dyDescent="0.2">
      <c r="A414" s="940">
        <v>3107</v>
      </c>
      <c r="B414" s="940">
        <v>20</v>
      </c>
      <c r="C414" t="s">
        <v>1291</v>
      </c>
      <c r="D414" s="940" t="s">
        <v>6023</v>
      </c>
      <c r="E414" t="s">
        <v>120</v>
      </c>
    </row>
    <row r="415" spans="1:5" x14ac:dyDescent="0.2">
      <c r="A415" s="940">
        <v>4294</v>
      </c>
      <c r="B415" s="940">
        <v>0</v>
      </c>
      <c r="C415" t="s">
        <v>9662</v>
      </c>
      <c r="D415" s="940" t="s">
        <v>8026</v>
      </c>
      <c r="E415" t="s">
        <v>1961</v>
      </c>
    </row>
    <row r="416" spans="1:5" x14ac:dyDescent="0.2">
      <c r="A416" s="940">
        <v>3446</v>
      </c>
      <c r="B416" s="940">
        <v>11</v>
      </c>
      <c r="C416" t="s">
        <v>3257</v>
      </c>
      <c r="D416" s="940" t="s">
        <v>3258</v>
      </c>
      <c r="E416" t="s">
        <v>99</v>
      </c>
    </row>
    <row r="417" spans="1:5" x14ac:dyDescent="0.2">
      <c r="A417" s="940">
        <v>3483</v>
      </c>
      <c r="B417" s="940">
        <v>10</v>
      </c>
      <c r="C417" t="s">
        <v>3259</v>
      </c>
      <c r="D417" s="940" t="s">
        <v>3260</v>
      </c>
      <c r="E417" t="s">
        <v>72</v>
      </c>
    </row>
    <row r="418" spans="1:5" x14ac:dyDescent="0.2">
      <c r="A418" s="940">
        <v>4181</v>
      </c>
      <c r="B418" s="940">
        <v>1</v>
      </c>
      <c r="C418" t="s">
        <v>3261</v>
      </c>
      <c r="D418" s="940" t="s">
        <v>3262</v>
      </c>
      <c r="E418" t="s">
        <v>1277</v>
      </c>
    </row>
    <row r="419" spans="1:5" x14ac:dyDescent="0.2">
      <c r="A419" s="940">
        <v>1816</v>
      </c>
      <c r="B419" s="940">
        <v>103</v>
      </c>
      <c r="C419" t="s">
        <v>9663</v>
      </c>
      <c r="D419" s="940" t="s">
        <v>2856</v>
      </c>
      <c r="E419" t="s">
        <v>99</v>
      </c>
    </row>
    <row r="420" spans="1:5" x14ac:dyDescent="0.2">
      <c r="A420" s="940">
        <v>4294</v>
      </c>
      <c r="B420" s="940">
        <v>0</v>
      </c>
      <c r="C420" t="s">
        <v>3263</v>
      </c>
      <c r="D420" s="940" t="s">
        <v>3185</v>
      </c>
      <c r="E420" t="s">
        <v>99</v>
      </c>
    </row>
    <row r="421" spans="1:5" x14ac:dyDescent="0.2">
      <c r="A421" s="940">
        <v>1613</v>
      </c>
      <c r="B421" s="940">
        <v>126</v>
      </c>
      <c r="C421" t="s">
        <v>3268</v>
      </c>
      <c r="D421" s="940" t="s">
        <v>3269</v>
      </c>
      <c r="E421" t="s">
        <v>105</v>
      </c>
    </row>
    <row r="422" spans="1:5" x14ac:dyDescent="0.2">
      <c r="A422" s="940">
        <v>4294</v>
      </c>
      <c r="B422" s="940">
        <v>0</v>
      </c>
      <c r="C422" t="s">
        <v>9664</v>
      </c>
      <c r="D422" s="940" t="s">
        <v>6558</v>
      </c>
      <c r="E422" t="s">
        <v>105</v>
      </c>
    </row>
    <row r="423" spans="1:5" x14ac:dyDescent="0.2">
      <c r="A423" s="940">
        <v>1098</v>
      </c>
      <c r="B423" s="940">
        <v>242</v>
      </c>
      <c r="C423" t="s">
        <v>3270</v>
      </c>
      <c r="D423" s="940" t="s">
        <v>9665</v>
      </c>
      <c r="E423" t="s">
        <v>2880</v>
      </c>
    </row>
    <row r="424" spans="1:5" x14ac:dyDescent="0.2">
      <c r="A424" s="940">
        <v>3796</v>
      </c>
      <c r="B424" s="940">
        <v>5</v>
      </c>
      <c r="C424" t="s">
        <v>9666</v>
      </c>
      <c r="D424" s="940" t="s">
        <v>8290</v>
      </c>
      <c r="E424" t="s">
        <v>122</v>
      </c>
    </row>
    <row r="425" spans="1:5" x14ac:dyDescent="0.2">
      <c r="A425" s="940">
        <v>4294</v>
      </c>
      <c r="B425" s="940">
        <v>0</v>
      </c>
      <c r="C425" t="s">
        <v>9667</v>
      </c>
      <c r="D425" s="940" t="s">
        <v>2632</v>
      </c>
      <c r="E425" t="s">
        <v>105</v>
      </c>
    </row>
    <row r="426" spans="1:5" x14ac:dyDescent="0.2">
      <c r="A426" s="940">
        <v>4081</v>
      </c>
      <c r="B426" s="940">
        <v>2</v>
      </c>
      <c r="C426" t="s">
        <v>3272</v>
      </c>
      <c r="D426" s="940" t="s">
        <v>3273</v>
      </c>
      <c r="E426" t="s">
        <v>170</v>
      </c>
    </row>
    <row r="427" spans="1:5" x14ac:dyDescent="0.2">
      <c r="A427" s="940">
        <v>309</v>
      </c>
      <c r="B427" s="940">
        <v>758</v>
      </c>
      <c r="C427" t="s">
        <v>3274</v>
      </c>
      <c r="D427" s="940" t="s">
        <v>3275</v>
      </c>
      <c r="E427" t="s">
        <v>103</v>
      </c>
    </row>
    <row r="428" spans="1:5" x14ac:dyDescent="0.2">
      <c r="A428" s="940">
        <v>3083</v>
      </c>
      <c r="B428" s="940">
        <v>21</v>
      </c>
      <c r="C428" t="s">
        <v>3276</v>
      </c>
      <c r="D428" s="940" t="s">
        <v>3277</v>
      </c>
      <c r="E428" t="s">
        <v>1456</v>
      </c>
    </row>
    <row r="429" spans="1:5" x14ac:dyDescent="0.2">
      <c r="A429" s="940">
        <v>84</v>
      </c>
      <c r="B429" s="940">
        <v>1165</v>
      </c>
      <c r="C429" t="s">
        <v>3278</v>
      </c>
      <c r="D429" s="940" t="s">
        <v>3279</v>
      </c>
      <c r="E429" t="s">
        <v>130</v>
      </c>
    </row>
    <row r="430" spans="1:5" x14ac:dyDescent="0.2">
      <c r="A430" s="940">
        <v>4294</v>
      </c>
      <c r="B430" s="940">
        <v>0</v>
      </c>
      <c r="C430" t="s">
        <v>9668</v>
      </c>
      <c r="D430" s="940" t="s">
        <v>9669</v>
      </c>
      <c r="E430" t="s">
        <v>113</v>
      </c>
    </row>
    <row r="431" spans="1:5" x14ac:dyDescent="0.2">
      <c r="A431" s="940">
        <v>562</v>
      </c>
      <c r="B431" s="940">
        <v>498</v>
      </c>
      <c r="C431" t="s">
        <v>9670</v>
      </c>
      <c r="D431" s="940" t="s">
        <v>9671</v>
      </c>
      <c r="E431" t="s">
        <v>117</v>
      </c>
    </row>
    <row r="432" spans="1:5" x14ac:dyDescent="0.2">
      <c r="A432" s="940">
        <v>2083</v>
      </c>
      <c r="B432" s="940">
        <v>79</v>
      </c>
      <c r="C432" t="s">
        <v>3280</v>
      </c>
      <c r="D432" s="940" t="s">
        <v>3281</v>
      </c>
      <c r="E432" t="s">
        <v>99</v>
      </c>
    </row>
    <row r="433" spans="1:5" x14ac:dyDescent="0.2">
      <c r="A433" s="940">
        <v>706</v>
      </c>
      <c r="B433" s="940">
        <v>400</v>
      </c>
      <c r="C433" t="s">
        <v>3282</v>
      </c>
      <c r="D433" s="940" t="s">
        <v>3283</v>
      </c>
      <c r="E433" t="s">
        <v>2735</v>
      </c>
    </row>
    <row r="434" spans="1:5" x14ac:dyDescent="0.2">
      <c r="A434" s="940">
        <v>428</v>
      </c>
      <c r="B434" s="940">
        <v>615</v>
      </c>
      <c r="C434" t="s">
        <v>3284</v>
      </c>
      <c r="D434" s="940" t="s">
        <v>3285</v>
      </c>
      <c r="E434" t="s">
        <v>109</v>
      </c>
    </row>
    <row r="435" spans="1:5" x14ac:dyDescent="0.2">
      <c r="A435" s="940">
        <v>3174</v>
      </c>
      <c r="B435" s="940">
        <v>18</v>
      </c>
      <c r="C435" t="s">
        <v>2518</v>
      </c>
      <c r="D435" s="940" t="s">
        <v>4100</v>
      </c>
      <c r="E435" t="s">
        <v>4667</v>
      </c>
    </row>
    <row r="436" spans="1:5" x14ac:dyDescent="0.2">
      <c r="A436" s="940">
        <v>2029</v>
      </c>
      <c r="B436" s="940">
        <v>83</v>
      </c>
      <c r="C436" t="s">
        <v>3286</v>
      </c>
      <c r="D436" s="940" t="s">
        <v>3287</v>
      </c>
      <c r="E436" t="s">
        <v>1200</v>
      </c>
    </row>
    <row r="437" spans="1:5" x14ac:dyDescent="0.2">
      <c r="A437" s="940">
        <v>3008</v>
      </c>
      <c r="B437" s="940">
        <v>23</v>
      </c>
      <c r="C437" t="s">
        <v>9672</v>
      </c>
      <c r="D437" s="940" t="s">
        <v>3208</v>
      </c>
      <c r="E437" t="s">
        <v>208</v>
      </c>
    </row>
    <row r="438" spans="1:5" x14ac:dyDescent="0.2">
      <c r="A438" s="940">
        <v>899</v>
      </c>
      <c r="B438" s="940">
        <v>317</v>
      </c>
      <c r="C438" t="s">
        <v>9673</v>
      </c>
      <c r="D438" s="940" t="s">
        <v>9674</v>
      </c>
      <c r="E438" t="s">
        <v>1248</v>
      </c>
    </row>
    <row r="439" spans="1:5" x14ac:dyDescent="0.2">
      <c r="A439" s="940">
        <v>2180</v>
      </c>
      <c r="B439" s="940">
        <v>71</v>
      </c>
      <c r="C439" t="s">
        <v>1299</v>
      </c>
      <c r="D439" s="940" t="s">
        <v>3289</v>
      </c>
      <c r="E439" t="s">
        <v>614</v>
      </c>
    </row>
    <row r="440" spans="1:5" x14ac:dyDescent="0.2">
      <c r="A440" s="940">
        <v>4294</v>
      </c>
      <c r="B440" s="940">
        <v>0</v>
      </c>
      <c r="C440" t="s">
        <v>3290</v>
      </c>
      <c r="D440" s="940" t="s">
        <v>3291</v>
      </c>
      <c r="E440" t="s">
        <v>111</v>
      </c>
    </row>
    <row r="441" spans="1:5" x14ac:dyDescent="0.2">
      <c r="A441" s="940">
        <v>234</v>
      </c>
      <c r="B441" s="940">
        <v>860</v>
      </c>
      <c r="C441" t="s">
        <v>167</v>
      </c>
      <c r="D441" s="940" t="s">
        <v>3292</v>
      </c>
      <c r="E441" t="s">
        <v>103</v>
      </c>
    </row>
    <row r="442" spans="1:5" x14ac:dyDescent="0.2">
      <c r="A442" s="940">
        <v>143</v>
      </c>
      <c r="B442" s="940">
        <v>1015</v>
      </c>
      <c r="C442" t="s">
        <v>3293</v>
      </c>
      <c r="D442" s="940" t="s">
        <v>3294</v>
      </c>
      <c r="E442" t="s">
        <v>1171</v>
      </c>
    </row>
    <row r="443" spans="1:5" x14ac:dyDescent="0.2">
      <c r="A443" s="940">
        <v>727</v>
      </c>
      <c r="B443" s="940">
        <v>392</v>
      </c>
      <c r="C443" t="s">
        <v>169</v>
      </c>
      <c r="D443" s="940" t="s">
        <v>7907</v>
      </c>
      <c r="E443" t="s">
        <v>113</v>
      </c>
    </row>
    <row r="444" spans="1:5" x14ac:dyDescent="0.2">
      <c r="A444" s="940">
        <v>2833</v>
      </c>
      <c r="B444" s="940">
        <v>31</v>
      </c>
      <c r="C444" t="s">
        <v>3295</v>
      </c>
      <c r="D444" s="940" t="s">
        <v>2756</v>
      </c>
      <c r="E444" t="s">
        <v>2356</v>
      </c>
    </row>
    <row r="445" spans="1:5" x14ac:dyDescent="0.2">
      <c r="A445" s="940">
        <v>2242</v>
      </c>
      <c r="B445" s="940">
        <v>66</v>
      </c>
      <c r="C445" t="s">
        <v>9675</v>
      </c>
      <c r="D445" s="940" t="s">
        <v>2630</v>
      </c>
      <c r="E445" t="s">
        <v>136</v>
      </c>
    </row>
    <row r="446" spans="1:5" x14ac:dyDescent="0.2">
      <c r="A446" s="940">
        <v>4181</v>
      </c>
      <c r="B446" s="940">
        <v>1</v>
      </c>
      <c r="C446" t="s">
        <v>9676</v>
      </c>
      <c r="D446" s="940" t="s">
        <v>8026</v>
      </c>
      <c r="E446" t="s">
        <v>1222</v>
      </c>
    </row>
    <row r="447" spans="1:5" x14ac:dyDescent="0.2">
      <c r="A447" s="940">
        <v>3796</v>
      </c>
      <c r="B447" s="940">
        <v>5</v>
      </c>
      <c r="C447" t="s">
        <v>3296</v>
      </c>
      <c r="D447" s="940" t="s">
        <v>2645</v>
      </c>
      <c r="E447" t="s">
        <v>3297</v>
      </c>
    </row>
    <row r="448" spans="1:5" x14ac:dyDescent="0.2">
      <c r="A448" s="940">
        <v>337</v>
      </c>
      <c r="B448" s="940">
        <v>713</v>
      </c>
      <c r="C448" t="s">
        <v>9677</v>
      </c>
      <c r="D448" s="940" t="s">
        <v>9678</v>
      </c>
      <c r="E448" t="s">
        <v>121</v>
      </c>
    </row>
    <row r="449" spans="1:5" x14ac:dyDescent="0.2">
      <c r="A449" s="940">
        <v>2533</v>
      </c>
      <c r="B449" s="940">
        <v>45</v>
      </c>
      <c r="C449" t="s">
        <v>3300</v>
      </c>
      <c r="D449" s="940" t="s">
        <v>3301</v>
      </c>
      <c r="E449" t="s">
        <v>99</v>
      </c>
    </row>
    <row r="450" spans="1:5" x14ac:dyDescent="0.2">
      <c r="A450" s="940">
        <v>4294</v>
      </c>
      <c r="B450" s="940">
        <v>0</v>
      </c>
      <c r="C450" t="s">
        <v>9679</v>
      </c>
      <c r="D450" s="940" t="s">
        <v>9680</v>
      </c>
      <c r="E450" t="s">
        <v>105</v>
      </c>
    </row>
    <row r="451" spans="1:5" x14ac:dyDescent="0.2">
      <c r="A451" s="940">
        <v>721</v>
      </c>
      <c r="B451" s="940">
        <v>395</v>
      </c>
      <c r="C451" t="s">
        <v>9681</v>
      </c>
      <c r="D451" s="940" t="s">
        <v>9682</v>
      </c>
      <c r="E451" t="s">
        <v>144</v>
      </c>
    </row>
    <row r="452" spans="1:5" x14ac:dyDescent="0.2">
      <c r="A452" s="940">
        <v>4181</v>
      </c>
      <c r="B452" s="940">
        <v>1</v>
      </c>
      <c r="C452" t="s">
        <v>9683</v>
      </c>
      <c r="D452" s="940" t="s">
        <v>4782</v>
      </c>
      <c r="E452" t="s">
        <v>122</v>
      </c>
    </row>
    <row r="453" spans="1:5" x14ac:dyDescent="0.2">
      <c r="A453" s="940">
        <v>3796</v>
      </c>
      <c r="B453" s="940">
        <v>5</v>
      </c>
      <c r="C453" t="s">
        <v>3304</v>
      </c>
      <c r="D453" s="940" t="s">
        <v>3305</v>
      </c>
      <c r="E453" t="s">
        <v>130</v>
      </c>
    </row>
    <row r="454" spans="1:5" x14ac:dyDescent="0.2">
      <c r="A454" s="940">
        <v>515</v>
      </c>
      <c r="B454" s="940">
        <v>532</v>
      </c>
      <c r="C454" t="s">
        <v>9684</v>
      </c>
      <c r="D454" s="940" t="s">
        <v>9685</v>
      </c>
      <c r="E454" t="s">
        <v>113</v>
      </c>
    </row>
    <row r="455" spans="1:5" x14ac:dyDescent="0.2">
      <c r="A455" s="940">
        <v>3107</v>
      </c>
      <c r="B455" s="940">
        <v>20</v>
      </c>
      <c r="C455" t="s">
        <v>3308</v>
      </c>
      <c r="D455" s="940" t="s">
        <v>2756</v>
      </c>
      <c r="E455" t="s">
        <v>165</v>
      </c>
    </row>
    <row r="456" spans="1:5" x14ac:dyDescent="0.2">
      <c r="A456" s="940">
        <v>3402</v>
      </c>
      <c r="B456" s="940">
        <v>12</v>
      </c>
      <c r="C456" t="s">
        <v>3309</v>
      </c>
      <c r="D456" s="940" t="s">
        <v>2731</v>
      </c>
      <c r="E456" t="s">
        <v>246</v>
      </c>
    </row>
    <row r="457" spans="1:5" x14ac:dyDescent="0.2">
      <c r="A457" s="940">
        <v>4294</v>
      </c>
      <c r="B457" s="940">
        <v>0</v>
      </c>
      <c r="C457" t="s">
        <v>3310</v>
      </c>
      <c r="D457" s="940" t="s">
        <v>3311</v>
      </c>
      <c r="E457" t="s">
        <v>1238</v>
      </c>
    </row>
    <row r="458" spans="1:5" x14ac:dyDescent="0.2">
      <c r="A458" s="940">
        <v>4294</v>
      </c>
      <c r="B458" s="940">
        <v>0</v>
      </c>
      <c r="C458" t="s">
        <v>3312</v>
      </c>
      <c r="D458" s="940" t="s">
        <v>3313</v>
      </c>
      <c r="E458" t="s">
        <v>111</v>
      </c>
    </row>
    <row r="459" spans="1:5" x14ac:dyDescent="0.2">
      <c r="A459" s="940">
        <v>2668</v>
      </c>
      <c r="B459" s="940">
        <v>38</v>
      </c>
      <c r="C459" t="s">
        <v>3314</v>
      </c>
      <c r="D459" s="940" t="s">
        <v>3315</v>
      </c>
      <c r="E459" t="s">
        <v>1171</v>
      </c>
    </row>
    <row r="460" spans="1:5" x14ac:dyDescent="0.2">
      <c r="A460" s="940">
        <v>4294</v>
      </c>
      <c r="B460" s="940">
        <v>0</v>
      </c>
      <c r="C460" t="s">
        <v>3316</v>
      </c>
      <c r="D460" s="940" t="s">
        <v>3317</v>
      </c>
      <c r="E460" t="s">
        <v>1200</v>
      </c>
    </row>
    <row r="461" spans="1:5" x14ac:dyDescent="0.2">
      <c r="A461" s="940">
        <v>4294</v>
      </c>
      <c r="B461" s="940">
        <v>0</v>
      </c>
      <c r="C461" t="s">
        <v>3318</v>
      </c>
      <c r="D461" s="940" t="s">
        <v>3319</v>
      </c>
      <c r="E461" t="s">
        <v>1460</v>
      </c>
    </row>
    <row r="462" spans="1:5" x14ac:dyDescent="0.2">
      <c r="A462" s="940">
        <v>4081</v>
      </c>
      <c r="B462" s="940">
        <v>2</v>
      </c>
      <c r="C462" t="s">
        <v>9686</v>
      </c>
      <c r="D462" s="940" t="s">
        <v>9687</v>
      </c>
      <c r="E462" t="s">
        <v>163</v>
      </c>
    </row>
    <row r="463" spans="1:5" x14ac:dyDescent="0.2">
      <c r="A463" s="940">
        <v>231</v>
      </c>
      <c r="B463" s="940">
        <v>867</v>
      </c>
      <c r="C463" t="s">
        <v>9688</v>
      </c>
      <c r="D463" s="940" t="s">
        <v>9689</v>
      </c>
      <c r="E463" t="s">
        <v>1171</v>
      </c>
    </row>
    <row r="464" spans="1:5" x14ac:dyDescent="0.2">
      <c r="A464" s="940">
        <v>372</v>
      </c>
      <c r="B464" s="940">
        <v>668</v>
      </c>
      <c r="C464" t="s">
        <v>3320</v>
      </c>
      <c r="D464" s="940" t="s">
        <v>3321</v>
      </c>
      <c r="E464" t="s">
        <v>75</v>
      </c>
    </row>
    <row r="465" spans="1:5" x14ac:dyDescent="0.2">
      <c r="A465" s="940">
        <v>131</v>
      </c>
      <c r="B465" s="940">
        <v>1038</v>
      </c>
      <c r="C465" t="s">
        <v>3322</v>
      </c>
      <c r="D465" s="940" t="s">
        <v>3323</v>
      </c>
      <c r="E465" t="s">
        <v>128</v>
      </c>
    </row>
    <row r="466" spans="1:5" x14ac:dyDescent="0.2">
      <c r="A466" s="940">
        <v>156</v>
      </c>
      <c r="B466" s="940">
        <v>994</v>
      </c>
      <c r="C466" t="s">
        <v>802</v>
      </c>
      <c r="D466" s="940" t="s">
        <v>3324</v>
      </c>
      <c r="E466" t="s">
        <v>105</v>
      </c>
    </row>
    <row r="467" spans="1:5" x14ac:dyDescent="0.2">
      <c r="A467" s="940">
        <v>3796</v>
      </c>
      <c r="B467" s="940">
        <v>5</v>
      </c>
      <c r="C467" t="s">
        <v>3325</v>
      </c>
      <c r="D467" s="940" t="s">
        <v>3326</v>
      </c>
      <c r="E467" t="s">
        <v>72</v>
      </c>
    </row>
    <row r="468" spans="1:5" x14ac:dyDescent="0.2">
      <c r="A468" s="940">
        <v>2115</v>
      </c>
      <c r="B468" s="940">
        <v>76</v>
      </c>
      <c r="C468" t="s">
        <v>9690</v>
      </c>
      <c r="D468" s="940" t="s">
        <v>4189</v>
      </c>
      <c r="E468" t="s">
        <v>1162</v>
      </c>
    </row>
    <row r="469" spans="1:5" x14ac:dyDescent="0.2">
      <c r="A469" s="940">
        <v>3083</v>
      </c>
      <c r="B469" s="940">
        <v>21</v>
      </c>
      <c r="C469" t="s">
        <v>3331</v>
      </c>
      <c r="D469" s="940" t="s">
        <v>3332</v>
      </c>
      <c r="E469" t="s">
        <v>1170</v>
      </c>
    </row>
    <row r="470" spans="1:5" x14ac:dyDescent="0.2">
      <c r="A470" s="940">
        <v>860</v>
      </c>
      <c r="B470" s="940">
        <v>331</v>
      </c>
      <c r="C470" t="s">
        <v>9691</v>
      </c>
      <c r="D470" s="940" t="s">
        <v>9692</v>
      </c>
      <c r="E470" t="s">
        <v>213</v>
      </c>
    </row>
    <row r="471" spans="1:5" x14ac:dyDescent="0.2">
      <c r="A471" s="940">
        <v>4294</v>
      </c>
      <c r="B471" s="940">
        <v>0</v>
      </c>
      <c r="C471" t="s">
        <v>9693</v>
      </c>
      <c r="D471" s="940" t="s">
        <v>4957</v>
      </c>
      <c r="E471" t="s">
        <v>163</v>
      </c>
    </row>
    <row r="472" spans="1:5" x14ac:dyDescent="0.2">
      <c r="A472" s="940">
        <v>3545</v>
      </c>
      <c r="B472" s="940">
        <v>9</v>
      </c>
      <c r="C472" t="s">
        <v>9694</v>
      </c>
      <c r="D472" s="940" t="s">
        <v>9695</v>
      </c>
      <c r="E472" t="s">
        <v>1248</v>
      </c>
    </row>
    <row r="473" spans="1:5" x14ac:dyDescent="0.2">
      <c r="A473" s="940">
        <v>340</v>
      </c>
      <c r="B473" s="940">
        <v>711</v>
      </c>
      <c r="C473" t="s">
        <v>3333</v>
      </c>
      <c r="D473" s="940" t="s">
        <v>3334</v>
      </c>
      <c r="E473" t="s">
        <v>171</v>
      </c>
    </row>
    <row r="474" spans="1:5" x14ac:dyDescent="0.2">
      <c r="A474" s="940">
        <v>2649</v>
      </c>
      <c r="B474" s="940">
        <v>39</v>
      </c>
      <c r="C474" t="s">
        <v>3337</v>
      </c>
      <c r="D474" s="940" t="s">
        <v>2886</v>
      </c>
      <c r="E474" t="s">
        <v>105</v>
      </c>
    </row>
    <row r="475" spans="1:5" x14ac:dyDescent="0.2">
      <c r="A475" s="940">
        <v>3545</v>
      </c>
      <c r="B475" s="940">
        <v>9</v>
      </c>
      <c r="C475" t="s">
        <v>9696</v>
      </c>
      <c r="D475" s="940" t="s">
        <v>9697</v>
      </c>
      <c r="E475" t="s">
        <v>163</v>
      </c>
    </row>
    <row r="476" spans="1:5" x14ac:dyDescent="0.2">
      <c r="A476" s="940">
        <v>452</v>
      </c>
      <c r="B476" s="940">
        <v>590</v>
      </c>
      <c r="C476" t="s">
        <v>3338</v>
      </c>
      <c r="D476" s="940" t="s">
        <v>3339</v>
      </c>
      <c r="E476" t="s">
        <v>3098</v>
      </c>
    </row>
    <row r="477" spans="1:5" x14ac:dyDescent="0.2">
      <c r="A477" s="940">
        <v>3290</v>
      </c>
      <c r="B477" s="940">
        <v>15</v>
      </c>
      <c r="C477" t="s">
        <v>3340</v>
      </c>
      <c r="D477" s="940" t="s">
        <v>3341</v>
      </c>
      <c r="E477" t="s">
        <v>1158</v>
      </c>
    </row>
    <row r="478" spans="1:5" x14ac:dyDescent="0.2">
      <c r="A478" s="940">
        <v>4294</v>
      </c>
      <c r="B478" s="940">
        <v>0</v>
      </c>
      <c r="C478" t="s">
        <v>9698</v>
      </c>
      <c r="D478" s="940" t="s">
        <v>9699</v>
      </c>
      <c r="E478" t="s">
        <v>120</v>
      </c>
    </row>
    <row r="479" spans="1:5" x14ac:dyDescent="0.2">
      <c r="A479" s="940">
        <v>3048</v>
      </c>
      <c r="B479" s="940">
        <v>22</v>
      </c>
      <c r="C479" t="s">
        <v>9700</v>
      </c>
      <c r="D479" s="940" t="s">
        <v>8506</v>
      </c>
      <c r="E479" t="s">
        <v>105</v>
      </c>
    </row>
    <row r="480" spans="1:5" x14ac:dyDescent="0.2">
      <c r="A480" s="940">
        <v>4081</v>
      </c>
      <c r="B480" s="940">
        <v>2</v>
      </c>
      <c r="C480" t="s">
        <v>3342</v>
      </c>
      <c r="D480" s="940" t="s">
        <v>3299</v>
      </c>
      <c r="E480" t="s">
        <v>1447</v>
      </c>
    </row>
    <row r="481" spans="1:5" x14ac:dyDescent="0.2">
      <c r="A481" s="940">
        <v>1531</v>
      </c>
      <c r="B481" s="940">
        <v>140</v>
      </c>
      <c r="C481" t="s">
        <v>3343</v>
      </c>
      <c r="D481" s="940" t="s">
        <v>3344</v>
      </c>
      <c r="E481" t="s">
        <v>128</v>
      </c>
    </row>
    <row r="482" spans="1:5" x14ac:dyDescent="0.2">
      <c r="A482" s="940">
        <v>414</v>
      </c>
      <c r="B482" s="940">
        <v>628</v>
      </c>
      <c r="C482" t="s">
        <v>9701</v>
      </c>
      <c r="D482" s="940" t="s">
        <v>9702</v>
      </c>
      <c r="E482" t="s">
        <v>1332</v>
      </c>
    </row>
    <row r="483" spans="1:5" x14ac:dyDescent="0.2">
      <c r="A483" s="940">
        <v>4294</v>
      </c>
      <c r="B483" s="940">
        <v>0</v>
      </c>
      <c r="C483" t="s">
        <v>3345</v>
      </c>
      <c r="D483" s="940" t="s">
        <v>3346</v>
      </c>
      <c r="E483" t="s">
        <v>200</v>
      </c>
    </row>
    <row r="484" spans="1:5" x14ac:dyDescent="0.2">
      <c r="A484" s="940">
        <v>887</v>
      </c>
      <c r="B484" s="940">
        <v>324</v>
      </c>
      <c r="C484" t="s">
        <v>1309</v>
      </c>
      <c r="D484" s="940" t="s">
        <v>9703</v>
      </c>
      <c r="E484" t="s">
        <v>72</v>
      </c>
    </row>
    <row r="485" spans="1:5" x14ac:dyDescent="0.2">
      <c r="A485" s="940">
        <v>2860</v>
      </c>
      <c r="B485" s="940">
        <v>30</v>
      </c>
      <c r="C485" t="s">
        <v>3347</v>
      </c>
      <c r="D485" s="940" t="s">
        <v>3348</v>
      </c>
      <c r="E485" t="s">
        <v>1435</v>
      </c>
    </row>
    <row r="486" spans="1:5" x14ac:dyDescent="0.2">
      <c r="A486" s="940">
        <v>4294</v>
      </c>
      <c r="B486" s="940">
        <v>0</v>
      </c>
      <c r="C486" t="s">
        <v>3349</v>
      </c>
      <c r="D486" s="940" t="s">
        <v>3350</v>
      </c>
      <c r="E486" t="s">
        <v>109</v>
      </c>
    </row>
    <row r="487" spans="1:5" x14ac:dyDescent="0.2">
      <c r="A487" s="940">
        <v>3655</v>
      </c>
      <c r="B487" s="940">
        <v>7</v>
      </c>
      <c r="C487" t="s">
        <v>3351</v>
      </c>
      <c r="D487" s="940" t="s">
        <v>3352</v>
      </c>
      <c r="E487" t="s">
        <v>1844</v>
      </c>
    </row>
    <row r="488" spans="1:5" x14ac:dyDescent="0.2">
      <c r="A488" s="940">
        <v>4181</v>
      </c>
      <c r="B488" s="940">
        <v>1</v>
      </c>
      <c r="C488" t="s">
        <v>9704</v>
      </c>
      <c r="D488" s="940" t="s">
        <v>9705</v>
      </c>
      <c r="E488" t="s">
        <v>122</v>
      </c>
    </row>
    <row r="489" spans="1:5" x14ac:dyDescent="0.2">
      <c r="A489" s="940">
        <v>4294</v>
      </c>
      <c r="B489" s="940">
        <v>0</v>
      </c>
      <c r="C489" t="s">
        <v>3353</v>
      </c>
      <c r="D489" s="940" t="s">
        <v>3354</v>
      </c>
      <c r="E489" t="s">
        <v>120</v>
      </c>
    </row>
    <row r="490" spans="1:5" x14ac:dyDescent="0.2">
      <c r="A490" s="940">
        <v>825</v>
      </c>
      <c r="B490" s="940">
        <v>350</v>
      </c>
      <c r="C490" t="s">
        <v>3355</v>
      </c>
      <c r="D490" s="940" t="s">
        <v>3356</v>
      </c>
      <c r="E490" t="s">
        <v>1311</v>
      </c>
    </row>
    <row r="491" spans="1:5" x14ac:dyDescent="0.2">
      <c r="A491" s="940">
        <v>3136</v>
      </c>
      <c r="B491" s="940">
        <v>19</v>
      </c>
      <c r="C491" t="s">
        <v>3357</v>
      </c>
      <c r="D491" s="940" t="s">
        <v>3358</v>
      </c>
      <c r="E491" t="s">
        <v>103</v>
      </c>
    </row>
    <row r="492" spans="1:5" x14ac:dyDescent="0.2">
      <c r="A492" s="940">
        <v>2794</v>
      </c>
      <c r="B492" s="940">
        <v>33</v>
      </c>
      <c r="C492" t="s">
        <v>9706</v>
      </c>
      <c r="D492" s="940" t="s">
        <v>3151</v>
      </c>
      <c r="E492" t="s">
        <v>1204</v>
      </c>
    </row>
    <row r="493" spans="1:5" x14ac:dyDescent="0.2">
      <c r="A493" s="940">
        <v>3174</v>
      </c>
      <c r="B493" s="940">
        <v>18</v>
      </c>
      <c r="C493" t="s">
        <v>9707</v>
      </c>
      <c r="D493" s="940" t="s">
        <v>5500</v>
      </c>
      <c r="E493" t="s">
        <v>105</v>
      </c>
    </row>
    <row r="494" spans="1:5" x14ac:dyDescent="0.2">
      <c r="A494" s="940">
        <v>1668</v>
      </c>
      <c r="B494" s="940">
        <v>121</v>
      </c>
      <c r="C494" t="s">
        <v>3359</v>
      </c>
      <c r="D494" s="940" t="s">
        <v>3360</v>
      </c>
      <c r="E494" t="s">
        <v>1158</v>
      </c>
    </row>
    <row r="495" spans="1:5" x14ac:dyDescent="0.2">
      <c r="A495" s="940">
        <v>585</v>
      </c>
      <c r="B495" s="940">
        <v>484</v>
      </c>
      <c r="C495" t="s">
        <v>1313</v>
      </c>
      <c r="D495" s="940" t="s">
        <v>3193</v>
      </c>
      <c r="E495" t="s">
        <v>105</v>
      </c>
    </row>
    <row r="496" spans="1:5" x14ac:dyDescent="0.2">
      <c r="A496" s="940">
        <v>3483</v>
      </c>
      <c r="B496" s="940">
        <v>10</v>
      </c>
      <c r="C496" t="s">
        <v>3363</v>
      </c>
      <c r="D496" s="940" t="s">
        <v>3364</v>
      </c>
      <c r="E496" t="s">
        <v>1243</v>
      </c>
    </row>
    <row r="497" spans="1:5" x14ac:dyDescent="0.2">
      <c r="A497" s="940">
        <v>3358</v>
      </c>
      <c r="B497" s="940">
        <v>13</v>
      </c>
      <c r="C497" t="s">
        <v>9708</v>
      </c>
      <c r="D497" s="940" t="s">
        <v>9709</v>
      </c>
      <c r="E497" t="s">
        <v>105</v>
      </c>
    </row>
    <row r="498" spans="1:5" x14ac:dyDescent="0.2">
      <c r="A498" s="940">
        <v>1977</v>
      </c>
      <c r="B498" s="940">
        <v>88</v>
      </c>
      <c r="C498" t="s">
        <v>9710</v>
      </c>
      <c r="D498" s="940" t="s">
        <v>9711</v>
      </c>
      <c r="E498" t="s">
        <v>9712</v>
      </c>
    </row>
    <row r="499" spans="1:5" x14ac:dyDescent="0.2">
      <c r="A499" s="940">
        <v>1005</v>
      </c>
      <c r="B499" s="940">
        <v>275</v>
      </c>
      <c r="C499" t="s">
        <v>9713</v>
      </c>
      <c r="D499" s="940" t="s">
        <v>9714</v>
      </c>
      <c r="E499" t="s">
        <v>208</v>
      </c>
    </row>
    <row r="500" spans="1:5" x14ac:dyDescent="0.2">
      <c r="A500" s="940">
        <v>2877</v>
      </c>
      <c r="B500" s="940">
        <v>29</v>
      </c>
      <c r="C500" t="s">
        <v>3367</v>
      </c>
      <c r="D500" s="940" t="s">
        <v>3368</v>
      </c>
      <c r="E500" t="s">
        <v>120</v>
      </c>
    </row>
    <row r="501" spans="1:5" x14ac:dyDescent="0.2">
      <c r="A501" s="940">
        <v>2819</v>
      </c>
      <c r="B501" s="940">
        <v>32</v>
      </c>
      <c r="C501" t="s">
        <v>9715</v>
      </c>
      <c r="D501" s="940" t="s">
        <v>2788</v>
      </c>
      <c r="E501" t="s">
        <v>163</v>
      </c>
    </row>
    <row r="502" spans="1:5" x14ac:dyDescent="0.2">
      <c r="A502" s="940">
        <v>4294</v>
      </c>
      <c r="B502" s="940">
        <v>0</v>
      </c>
      <c r="C502" t="s">
        <v>3371</v>
      </c>
      <c r="D502" s="940" t="s">
        <v>3372</v>
      </c>
      <c r="E502" t="s">
        <v>1182</v>
      </c>
    </row>
    <row r="503" spans="1:5" x14ac:dyDescent="0.2">
      <c r="A503" s="940">
        <v>4294</v>
      </c>
      <c r="B503" s="940">
        <v>0</v>
      </c>
      <c r="C503" t="s">
        <v>3375</v>
      </c>
      <c r="D503" s="940" t="s">
        <v>3376</v>
      </c>
      <c r="E503" t="s">
        <v>3377</v>
      </c>
    </row>
    <row r="504" spans="1:5" x14ac:dyDescent="0.2">
      <c r="A504" s="940">
        <v>2725</v>
      </c>
      <c r="B504" s="940">
        <v>36</v>
      </c>
      <c r="C504" t="s">
        <v>9716</v>
      </c>
      <c r="D504" s="940" t="s">
        <v>9717</v>
      </c>
      <c r="E504" t="s">
        <v>140</v>
      </c>
    </row>
    <row r="505" spans="1:5" x14ac:dyDescent="0.2">
      <c r="A505" s="940">
        <v>2029</v>
      </c>
      <c r="B505" s="940">
        <v>83</v>
      </c>
      <c r="C505" t="s">
        <v>1318</v>
      </c>
      <c r="D505" s="940" t="s">
        <v>3378</v>
      </c>
      <c r="E505" t="s">
        <v>1182</v>
      </c>
    </row>
    <row r="506" spans="1:5" x14ac:dyDescent="0.2">
      <c r="A506" s="940">
        <v>4294</v>
      </c>
      <c r="B506" s="940">
        <v>0</v>
      </c>
      <c r="C506" t="s">
        <v>9718</v>
      </c>
      <c r="D506" s="940" t="s">
        <v>3737</v>
      </c>
      <c r="E506" t="s">
        <v>105</v>
      </c>
    </row>
    <row r="507" spans="1:5" x14ac:dyDescent="0.2">
      <c r="A507" s="940">
        <v>830</v>
      </c>
      <c r="B507" s="940">
        <v>349</v>
      </c>
      <c r="C507" t="s">
        <v>3381</v>
      </c>
      <c r="D507" s="940" t="s">
        <v>3382</v>
      </c>
      <c r="E507" t="s">
        <v>3383</v>
      </c>
    </row>
    <row r="508" spans="1:5" x14ac:dyDescent="0.2">
      <c r="A508" s="940">
        <v>1843</v>
      </c>
      <c r="B508" s="940">
        <v>101</v>
      </c>
      <c r="C508" t="s">
        <v>382</v>
      </c>
      <c r="D508" s="940" t="s">
        <v>3384</v>
      </c>
      <c r="E508" t="s">
        <v>1236</v>
      </c>
    </row>
    <row r="509" spans="1:5" x14ac:dyDescent="0.2">
      <c r="A509" s="940">
        <v>3602</v>
      </c>
      <c r="B509" s="940">
        <v>8</v>
      </c>
      <c r="C509" t="s">
        <v>382</v>
      </c>
      <c r="D509" s="940" t="s">
        <v>9719</v>
      </c>
      <c r="E509" t="s">
        <v>2720</v>
      </c>
    </row>
    <row r="510" spans="1:5" x14ac:dyDescent="0.2">
      <c r="A510" s="940">
        <v>473</v>
      </c>
      <c r="B510" s="940">
        <v>575</v>
      </c>
      <c r="C510" t="s">
        <v>9720</v>
      </c>
      <c r="D510" s="940" t="s">
        <v>9721</v>
      </c>
      <c r="E510" t="s">
        <v>103</v>
      </c>
    </row>
    <row r="511" spans="1:5" x14ac:dyDescent="0.2">
      <c r="A511" s="940">
        <v>1308</v>
      </c>
      <c r="B511" s="940">
        <v>182</v>
      </c>
      <c r="C511" t="s">
        <v>9722</v>
      </c>
      <c r="D511" s="940" t="s">
        <v>9723</v>
      </c>
      <c r="E511" t="s">
        <v>1271</v>
      </c>
    </row>
    <row r="512" spans="1:5" x14ac:dyDescent="0.2">
      <c r="A512" s="940">
        <v>1194</v>
      </c>
      <c r="B512" s="940">
        <v>213</v>
      </c>
      <c r="C512" t="s">
        <v>9724</v>
      </c>
      <c r="D512" s="940" t="s">
        <v>9725</v>
      </c>
      <c r="E512" t="s">
        <v>9726</v>
      </c>
    </row>
    <row r="513" spans="1:5" x14ac:dyDescent="0.2">
      <c r="A513" s="940">
        <v>4294</v>
      </c>
      <c r="B513" s="940">
        <v>0</v>
      </c>
      <c r="C513" t="s">
        <v>9727</v>
      </c>
      <c r="D513" s="940" t="s">
        <v>3388</v>
      </c>
      <c r="E513" t="s">
        <v>1423</v>
      </c>
    </row>
    <row r="514" spans="1:5" x14ac:dyDescent="0.2">
      <c r="A514" s="940">
        <v>2915</v>
      </c>
      <c r="B514" s="940">
        <v>27</v>
      </c>
      <c r="C514" t="s">
        <v>3389</v>
      </c>
      <c r="D514" s="940" t="s">
        <v>2753</v>
      </c>
      <c r="E514" t="s">
        <v>2928</v>
      </c>
    </row>
    <row r="515" spans="1:5" x14ac:dyDescent="0.2">
      <c r="A515" s="940">
        <v>2462</v>
      </c>
      <c r="B515" s="940">
        <v>50</v>
      </c>
      <c r="C515" t="s">
        <v>9728</v>
      </c>
      <c r="D515" s="940" t="s">
        <v>9729</v>
      </c>
      <c r="E515" t="s">
        <v>105</v>
      </c>
    </row>
    <row r="516" spans="1:5" x14ac:dyDescent="0.2">
      <c r="A516" s="940">
        <v>3008</v>
      </c>
      <c r="B516" s="940">
        <v>23</v>
      </c>
      <c r="C516" t="s">
        <v>9730</v>
      </c>
      <c r="D516" s="940" t="s">
        <v>9731</v>
      </c>
      <c r="E516" t="s">
        <v>84</v>
      </c>
    </row>
    <row r="517" spans="1:5" x14ac:dyDescent="0.2">
      <c r="A517" s="940">
        <v>3174</v>
      </c>
      <c r="B517" s="940">
        <v>18</v>
      </c>
      <c r="C517" t="s">
        <v>9732</v>
      </c>
      <c r="D517" s="940" t="s">
        <v>9733</v>
      </c>
      <c r="E517" t="s">
        <v>9488</v>
      </c>
    </row>
    <row r="518" spans="1:5" x14ac:dyDescent="0.2">
      <c r="A518" s="940">
        <v>3358</v>
      </c>
      <c r="B518" s="940">
        <v>13</v>
      </c>
      <c r="C518" t="s">
        <v>3390</v>
      </c>
      <c r="D518" s="940" t="s">
        <v>3391</v>
      </c>
      <c r="E518" t="s">
        <v>120</v>
      </c>
    </row>
    <row r="519" spans="1:5" x14ac:dyDescent="0.2">
      <c r="A519" s="940">
        <v>1473</v>
      </c>
      <c r="B519" s="940">
        <v>150</v>
      </c>
      <c r="C519" t="s">
        <v>3392</v>
      </c>
      <c r="D519" s="940" t="s">
        <v>3393</v>
      </c>
      <c r="E519" t="s">
        <v>105</v>
      </c>
    </row>
    <row r="520" spans="1:5" x14ac:dyDescent="0.2">
      <c r="A520" s="940">
        <v>3732</v>
      </c>
      <c r="B520" s="940">
        <v>6</v>
      </c>
      <c r="C520" t="s">
        <v>3397</v>
      </c>
      <c r="D520" s="940" t="s">
        <v>3208</v>
      </c>
      <c r="E520" t="s">
        <v>3398</v>
      </c>
    </row>
    <row r="521" spans="1:5" x14ac:dyDescent="0.2">
      <c r="A521" s="940">
        <v>4294</v>
      </c>
      <c r="B521" s="940">
        <v>0</v>
      </c>
      <c r="C521" t="s">
        <v>3397</v>
      </c>
      <c r="D521" s="940" t="s">
        <v>9734</v>
      </c>
      <c r="E521" t="s">
        <v>99</v>
      </c>
    </row>
    <row r="522" spans="1:5" x14ac:dyDescent="0.2">
      <c r="A522" s="940">
        <v>2329</v>
      </c>
      <c r="B522" s="940">
        <v>60</v>
      </c>
      <c r="C522" t="s">
        <v>9735</v>
      </c>
      <c r="D522" s="940" t="s">
        <v>3750</v>
      </c>
      <c r="E522" t="s">
        <v>120</v>
      </c>
    </row>
    <row r="523" spans="1:5" x14ac:dyDescent="0.2">
      <c r="A523" s="940">
        <v>4294</v>
      </c>
      <c r="B523" s="940">
        <v>0</v>
      </c>
      <c r="C523" t="s">
        <v>9736</v>
      </c>
      <c r="D523" s="940" t="s">
        <v>4263</v>
      </c>
      <c r="E523" t="s">
        <v>120</v>
      </c>
    </row>
    <row r="524" spans="1:5" x14ac:dyDescent="0.2">
      <c r="A524" s="940">
        <v>2938</v>
      </c>
      <c r="B524" s="940">
        <v>26</v>
      </c>
      <c r="C524" t="s">
        <v>9737</v>
      </c>
      <c r="D524" s="940" t="s">
        <v>8940</v>
      </c>
      <c r="E524" t="s">
        <v>165</v>
      </c>
    </row>
    <row r="525" spans="1:5" x14ac:dyDescent="0.2">
      <c r="A525" s="940">
        <v>81</v>
      </c>
      <c r="B525" s="940">
        <v>1176</v>
      </c>
      <c r="C525" t="s">
        <v>3400</v>
      </c>
      <c r="D525" s="940" t="s">
        <v>3401</v>
      </c>
      <c r="E525" t="s">
        <v>1236</v>
      </c>
    </row>
    <row r="526" spans="1:5" x14ac:dyDescent="0.2">
      <c r="A526" s="940">
        <v>1604</v>
      </c>
      <c r="B526" s="940">
        <v>128</v>
      </c>
      <c r="C526" t="s">
        <v>1323</v>
      </c>
      <c r="D526" s="940" t="s">
        <v>9738</v>
      </c>
      <c r="E526" t="s">
        <v>107</v>
      </c>
    </row>
    <row r="527" spans="1:5" x14ac:dyDescent="0.2">
      <c r="A527" s="940">
        <v>2353</v>
      </c>
      <c r="B527" s="940">
        <v>58</v>
      </c>
      <c r="C527" t="s">
        <v>3402</v>
      </c>
      <c r="D527" s="940" t="s">
        <v>3403</v>
      </c>
      <c r="E527" t="s">
        <v>118</v>
      </c>
    </row>
    <row r="528" spans="1:5" x14ac:dyDescent="0.2">
      <c r="A528" s="940">
        <v>4294</v>
      </c>
      <c r="B528" s="940">
        <v>0</v>
      </c>
      <c r="C528" t="s">
        <v>9739</v>
      </c>
      <c r="D528" s="940" t="s">
        <v>7385</v>
      </c>
      <c r="E528" t="s">
        <v>1171</v>
      </c>
    </row>
    <row r="529" spans="1:5" x14ac:dyDescent="0.2">
      <c r="A529" s="940">
        <v>1758</v>
      </c>
      <c r="B529" s="940">
        <v>110</v>
      </c>
      <c r="C529" t="s">
        <v>3404</v>
      </c>
      <c r="D529" s="940" t="s">
        <v>3405</v>
      </c>
      <c r="E529" t="s">
        <v>2880</v>
      </c>
    </row>
    <row r="530" spans="1:5" x14ac:dyDescent="0.2">
      <c r="A530" s="940">
        <v>381</v>
      </c>
      <c r="B530" s="940">
        <v>656</v>
      </c>
      <c r="C530" t="s">
        <v>3406</v>
      </c>
      <c r="D530" s="940" t="s">
        <v>3407</v>
      </c>
      <c r="E530" t="s">
        <v>120</v>
      </c>
    </row>
    <row r="531" spans="1:5" x14ac:dyDescent="0.2">
      <c r="A531" s="940">
        <v>591</v>
      </c>
      <c r="B531" s="940">
        <v>478</v>
      </c>
      <c r="C531" t="s">
        <v>3408</v>
      </c>
      <c r="D531" s="940" t="s">
        <v>3409</v>
      </c>
      <c r="E531" t="s">
        <v>2880</v>
      </c>
    </row>
    <row r="532" spans="1:5" x14ac:dyDescent="0.2">
      <c r="A532" s="940">
        <v>4294</v>
      </c>
      <c r="B532" s="940">
        <v>0</v>
      </c>
      <c r="C532" t="s">
        <v>9740</v>
      </c>
      <c r="D532" s="940" t="s">
        <v>9741</v>
      </c>
      <c r="E532" t="s">
        <v>144</v>
      </c>
    </row>
    <row r="533" spans="1:5" x14ac:dyDescent="0.2">
      <c r="A533" s="940">
        <v>291</v>
      </c>
      <c r="B533" s="940">
        <v>783</v>
      </c>
      <c r="C533" t="s">
        <v>3415</v>
      </c>
      <c r="D533" s="940" t="s">
        <v>3416</v>
      </c>
      <c r="E533" t="s">
        <v>1246</v>
      </c>
    </row>
    <row r="534" spans="1:5" x14ac:dyDescent="0.2">
      <c r="A534" s="940">
        <v>1413</v>
      </c>
      <c r="B534" s="940">
        <v>160</v>
      </c>
      <c r="C534" t="s">
        <v>9742</v>
      </c>
      <c r="D534" s="940" t="s">
        <v>6219</v>
      </c>
      <c r="E534" t="s">
        <v>99</v>
      </c>
    </row>
    <row r="535" spans="1:5" x14ac:dyDescent="0.2">
      <c r="A535" s="940">
        <v>1326</v>
      </c>
      <c r="B535" s="940">
        <v>177</v>
      </c>
      <c r="C535" t="s">
        <v>9743</v>
      </c>
      <c r="D535" s="940" t="s">
        <v>9744</v>
      </c>
      <c r="E535" t="s">
        <v>9745</v>
      </c>
    </row>
    <row r="536" spans="1:5" x14ac:dyDescent="0.2">
      <c r="A536" s="940">
        <v>4294</v>
      </c>
      <c r="B536" s="940">
        <v>0</v>
      </c>
      <c r="C536" t="s">
        <v>9746</v>
      </c>
      <c r="D536" s="940" t="s">
        <v>9576</v>
      </c>
      <c r="E536" t="s">
        <v>2464</v>
      </c>
    </row>
    <row r="537" spans="1:5" x14ac:dyDescent="0.2">
      <c r="A537" s="940">
        <v>166</v>
      </c>
      <c r="B537" s="940">
        <v>959</v>
      </c>
      <c r="C537" t="s">
        <v>9747</v>
      </c>
      <c r="D537" s="940" t="s">
        <v>9748</v>
      </c>
      <c r="E537" t="s">
        <v>136</v>
      </c>
    </row>
    <row r="538" spans="1:5" x14ac:dyDescent="0.2">
      <c r="A538" s="940">
        <v>2150</v>
      </c>
      <c r="B538" s="940">
        <v>73</v>
      </c>
      <c r="C538" t="s">
        <v>3422</v>
      </c>
      <c r="D538" s="940" t="s">
        <v>3423</v>
      </c>
      <c r="E538" t="s">
        <v>122</v>
      </c>
    </row>
    <row r="539" spans="1:5" x14ac:dyDescent="0.2">
      <c r="A539" s="940">
        <v>90</v>
      </c>
      <c r="B539" s="940">
        <v>1153</v>
      </c>
      <c r="C539" t="s">
        <v>3424</v>
      </c>
      <c r="D539" s="940" t="s">
        <v>3425</v>
      </c>
      <c r="E539" t="s">
        <v>110</v>
      </c>
    </row>
    <row r="540" spans="1:5" x14ac:dyDescent="0.2">
      <c r="A540" s="940">
        <v>4294</v>
      </c>
      <c r="B540" s="940">
        <v>0</v>
      </c>
      <c r="C540" t="s">
        <v>9749</v>
      </c>
      <c r="D540" s="940" t="s">
        <v>4788</v>
      </c>
      <c r="E540" t="s">
        <v>1587</v>
      </c>
    </row>
    <row r="541" spans="1:5" x14ac:dyDescent="0.2">
      <c r="A541" s="940">
        <v>252</v>
      </c>
      <c r="B541" s="940">
        <v>833</v>
      </c>
      <c r="C541" t="s">
        <v>3426</v>
      </c>
      <c r="D541" s="940" t="s">
        <v>3427</v>
      </c>
      <c r="E541" t="s">
        <v>132</v>
      </c>
    </row>
    <row r="542" spans="1:5" x14ac:dyDescent="0.2">
      <c r="A542" s="940">
        <v>4181</v>
      </c>
      <c r="B542" s="940">
        <v>1</v>
      </c>
      <c r="C542" t="s">
        <v>3428</v>
      </c>
      <c r="D542" s="940" t="s">
        <v>2945</v>
      </c>
      <c r="E542" t="s">
        <v>3429</v>
      </c>
    </row>
    <row r="543" spans="1:5" x14ac:dyDescent="0.2">
      <c r="A543" s="940">
        <v>2339</v>
      </c>
      <c r="B543" s="940">
        <v>59</v>
      </c>
      <c r="C543" t="s">
        <v>9750</v>
      </c>
      <c r="D543" s="940" t="s">
        <v>9751</v>
      </c>
      <c r="E543" t="s">
        <v>113</v>
      </c>
    </row>
    <row r="544" spans="1:5" x14ac:dyDescent="0.2">
      <c r="A544" s="940">
        <v>4294</v>
      </c>
      <c r="B544" s="940">
        <v>0</v>
      </c>
      <c r="C544" t="s">
        <v>3430</v>
      </c>
      <c r="D544" s="940" t="s">
        <v>3431</v>
      </c>
      <c r="E544" t="s">
        <v>1214</v>
      </c>
    </row>
    <row r="545" spans="1:5" x14ac:dyDescent="0.2">
      <c r="A545" s="940">
        <v>121</v>
      </c>
      <c r="B545" s="940">
        <v>1061</v>
      </c>
      <c r="C545" t="s">
        <v>9752</v>
      </c>
      <c r="D545" s="940" t="s">
        <v>9753</v>
      </c>
      <c r="E545" t="s">
        <v>120</v>
      </c>
    </row>
    <row r="546" spans="1:5" x14ac:dyDescent="0.2">
      <c r="A546" s="940">
        <v>35</v>
      </c>
      <c r="B546" s="940">
        <v>1388</v>
      </c>
      <c r="C546" t="s">
        <v>3434</v>
      </c>
      <c r="D546" s="940" t="s">
        <v>3435</v>
      </c>
      <c r="E546" t="s">
        <v>120</v>
      </c>
    </row>
    <row r="547" spans="1:5" x14ac:dyDescent="0.2">
      <c r="A547" s="940">
        <v>915</v>
      </c>
      <c r="B547" s="940">
        <v>309</v>
      </c>
      <c r="C547" t="s">
        <v>3436</v>
      </c>
      <c r="D547" s="940" t="s">
        <v>3437</v>
      </c>
      <c r="E547" t="s">
        <v>1330</v>
      </c>
    </row>
    <row r="548" spans="1:5" x14ac:dyDescent="0.2">
      <c r="A548" s="940">
        <v>654</v>
      </c>
      <c r="B548" s="940">
        <v>432</v>
      </c>
      <c r="C548" t="s">
        <v>803</v>
      </c>
      <c r="D548" s="940" t="s">
        <v>3438</v>
      </c>
      <c r="E548" t="s">
        <v>110</v>
      </c>
    </row>
    <row r="549" spans="1:5" x14ac:dyDescent="0.2">
      <c r="A549" s="940">
        <v>1174</v>
      </c>
      <c r="B549" s="940">
        <v>219</v>
      </c>
      <c r="C549" t="s">
        <v>670</v>
      </c>
      <c r="D549" s="940" t="s">
        <v>9400</v>
      </c>
      <c r="E549" t="s">
        <v>111</v>
      </c>
    </row>
    <row r="550" spans="1:5" x14ac:dyDescent="0.2">
      <c r="A550" s="940">
        <v>2962</v>
      </c>
      <c r="B550" s="940">
        <v>25</v>
      </c>
      <c r="C550" t="s">
        <v>9754</v>
      </c>
      <c r="D550" s="940" t="s">
        <v>8629</v>
      </c>
      <c r="E550" t="s">
        <v>1225</v>
      </c>
    </row>
    <row r="551" spans="1:5" x14ac:dyDescent="0.2">
      <c r="A551" s="940">
        <v>598</v>
      </c>
      <c r="B551" s="940">
        <v>473</v>
      </c>
      <c r="C551" t="s">
        <v>3441</v>
      </c>
      <c r="D551" s="940" t="s">
        <v>3442</v>
      </c>
      <c r="E551" t="s">
        <v>122</v>
      </c>
    </row>
    <row r="552" spans="1:5" x14ac:dyDescent="0.2">
      <c r="A552" s="940">
        <v>108</v>
      </c>
      <c r="B552" s="940">
        <v>1097</v>
      </c>
      <c r="C552" t="s">
        <v>3443</v>
      </c>
      <c r="D552" s="940" t="s">
        <v>3444</v>
      </c>
      <c r="E552" t="s">
        <v>1968</v>
      </c>
    </row>
    <row r="553" spans="1:5" x14ac:dyDescent="0.2">
      <c r="A553" s="940">
        <v>130</v>
      </c>
      <c r="B553" s="940">
        <v>1040</v>
      </c>
      <c r="C553" t="s">
        <v>3449</v>
      </c>
      <c r="D553" s="940" t="s">
        <v>3450</v>
      </c>
      <c r="E553" t="s">
        <v>120</v>
      </c>
    </row>
    <row r="554" spans="1:5" x14ac:dyDescent="0.2">
      <c r="A554" s="940">
        <v>2434</v>
      </c>
      <c r="B554" s="940">
        <v>52</v>
      </c>
      <c r="C554" t="s">
        <v>9755</v>
      </c>
      <c r="D554" s="940" t="s">
        <v>9233</v>
      </c>
      <c r="E554" t="s">
        <v>122</v>
      </c>
    </row>
    <row r="555" spans="1:5" x14ac:dyDescent="0.2">
      <c r="A555" s="940">
        <v>4294</v>
      </c>
      <c r="B555" s="940">
        <v>0</v>
      </c>
      <c r="C555" t="s">
        <v>3451</v>
      </c>
      <c r="D555" s="940" t="s">
        <v>3452</v>
      </c>
      <c r="E555" t="s">
        <v>120</v>
      </c>
    </row>
    <row r="556" spans="1:5" x14ac:dyDescent="0.2">
      <c r="A556" s="940">
        <v>358</v>
      </c>
      <c r="B556" s="940">
        <v>686</v>
      </c>
      <c r="C556" t="s">
        <v>3455</v>
      </c>
      <c r="D556" s="940" t="s">
        <v>3456</v>
      </c>
      <c r="E556" t="s">
        <v>120</v>
      </c>
    </row>
    <row r="557" spans="1:5" x14ac:dyDescent="0.2">
      <c r="A557" s="940">
        <v>3972</v>
      </c>
      <c r="B557" s="940">
        <v>3</v>
      </c>
      <c r="C557" t="s">
        <v>3457</v>
      </c>
      <c r="D557" s="940" t="s">
        <v>3458</v>
      </c>
      <c r="E557" t="s">
        <v>109</v>
      </c>
    </row>
    <row r="558" spans="1:5" x14ac:dyDescent="0.2">
      <c r="A558" s="940">
        <v>3083</v>
      </c>
      <c r="B558" s="940">
        <v>21</v>
      </c>
      <c r="C558" t="s">
        <v>3459</v>
      </c>
      <c r="D558" s="940" t="s">
        <v>3460</v>
      </c>
      <c r="E558" t="s">
        <v>163</v>
      </c>
    </row>
    <row r="559" spans="1:5" x14ac:dyDescent="0.2">
      <c r="A559" s="940">
        <v>3882</v>
      </c>
      <c r="B559" s="940">
        <v>4</v>
      </c>
      <c r="C559" t="s">
        <v>9756</v>
      </c>
      <c r="D559" s="940" t="s">
        <v>9366</v>
      </c>
      <c r="E559" t="s">
        <v>139</v>
      </c>
    </row>
    <row r="560" spans="1:5" x14ac:dyDescent="0.2">
      <c r="A560" s="940">
        <v>1621</v>
      </c>
      <c r="B560" s="940">
        <v>125</v>
      </c>
      <c r="C560" t="s">
        <v>3461</v>
      </c>
      <c r="D560" s="940" t="s">
        <v>3462</v>
      </c>
      <c r="E560" t="s">
        <v>186</v>
      </c>
    </row>
    <row r="561" spans="1:5" x14ac:dyDescent="0.2">
      <c r="A561" s="940">
        <v>2168</v>
      </c>
      <c r="B561" s="940">
        <v>72</v>
      </c>
      <c r="C561" t="s">
        <v>3463</v>
      </c>
      <c r="D561" s="940" t="s">
        <v>3464</v>
      </c>
      <c r="E561" t="s">
        <v>99</v>
      </c>
    </row>
    <row r="562" spans="1:5" x14ac:dyDescent="0.2">
      <c r="A562" s="940">
        <v>2774</v>
      </c>
      <c r="B562" s="940">
        <v>34</v>
      </c>
      <c r="C562" t="s">
        <v>3465</v>
      </c>
      <c r="D562" s="940" t="s">
        <v>3466</v>
      </c>
      <c r="E562" t="s">
        <v>72</v>
      </c>
    </row>
    <row r="563" spans="1:5" x14ac:dyDescent="0.2">
      <c r="A563" s="940">
        <v>4294</v>
      </c>
      <c r="B563" s="940">
        <v>0</v>
      </c>
      <c r="C563" t="s">
        <v>3467</v>
      </c>
      <c r="D563" s="940" t="s">
        <v>3468</v>
      </c>
      <c r="E563" t="s">
        <v>112</v>
      </c>
    </row>
    <row r="564" spans="1:5" x14ac:dyDescent="0.2">
      <c r="A564" s="940">
        <v>4294</v>
      </c>
      <c r="B564" s="940">
        <v>0</v>
      </c>
      <c r="C564" t="s">
        <v>9757</v>
      </c>
      <c r="D564" s="940" t="s">
        <v>7960</v>
      </c>
      <c r="E564" t="s">
        <v>1460</v>
      </c>
    </row>
    <row r="565" spans="1:5" x14ac:dyDescent="0.2">
      <c r="A565" s="940">
        <v>766</v>
      </c>
      <c r="B565" s="940">
        <v>377</v>
      </c>
      <c r="C565" t="s">
        <v>9758</v>
      </c>
      <c r="D565" s="940" t="s">
        <v>9759</v>
      </c>
      <c r="E565" t="s">
        <v>1156</v>
      </c>
    </row>
    <row r="566" spans="1:5" x14ac:dyDescent="0.2">
      <c r="A566" s="940">
        <v>3796</v>
      </c>
      <c r="B566" s="940">
        <v>5</v>
      </c>
      <c r="C566" t="s">
        <v>3471</v>
      </c>
      <c r="D566" s="940" t="s">
        <v>3472</v>
      </c>
      <c r="E566" t="s">
        <v>1211</v>
      </c>
    </row>
    <row r="567" spans="1:5" x14ac:dyDescent="0.2">
      <c r="A567" s="940">
        <v>556</v>
      </c>
      <c r="B567" s="940">
        <v>502</v>
      </c>
      <c r="C567" t="s">
        <v>3473</v>
      </c>
      <c r="D567" s="940" t="s">
        <v>3474</v>
      </c>
      <c r="E567" t="s">
        <v>117</v>
      </c>
    </row>
    <row r="568" spans="1:5" x14ac:dyDescent="0.2">
      <c r="A568" s="940">
        <v>3446</v>
      </c>
      <c r="B568" s="940">
        <v>11</v>
      </c>
      <c r="C568" t="s">
        <v>9760</v>
      </c>
      <c r="D568" s="940" t="s">
        <v>5571</v>
      </c>
      <c r="E568" t="s">
        <v>2054</v>
      </c>
    </row>
    <row r="569" spans="1:5" x14ac:dyDescent="0.2">
      <c r="A569" s="940">
        <v>3323</v>
      </c>
      <c r="B569" s="940">
        <v>14</v>
      </c>
      <c r="C569" t="s">
        <v>9761</v>
      </c>
      <c r="D569" s="940" t="s">
        <v>9762</v>
      </c>
      <c r="E569" t="s">
        <v>113</v>
      </c>
    </row>
    <row r="570" spans="1:5" x14ac:dyDescent="0.2">
      <c r="A570" s="940">
        <v>4294</v>
      </c>
      <c r="B570" s="940">
        <v>0</v>
      </c>
      <c r="C570" t="s">
        <v>3479</v>
      </c>
      <c r="D570" s="940" t="s">
        <v>3480</v>
      </c>
      <c r="E570" t="s">
        <v>105</v>
      </c>
    </row>
    <row r="571" spans="1:5" x14ac:dyDescent="0.2">
      <c r="A571" s="940">
        <v>58</v>
      </c>
      <c r="B571" s="940">
        <v>1256</v>
      </c>
      <c r="C571" t="s">
        <v>3481</v>
      </c>
      <c r="D571" s="940" t="s">
        <v>3482</v>
      </c>
      <c r="E571" t="s">
        <v>105</v>
      </c>
    </row>
    <row r="572" spans="1:5" x14ac:dyDescent="0.2">
      <c r="A572" s="940">
        <v>3402</v>
      </c>
      <c r="B572" s="940">
        <v>12</v>
      </c>
      <c r="C572" t="s">
        <v>9763</v>
      </c>
      <c r="D572" s="940" t="s">
        <v>9764</v>
      </c>
      <c r="E572" t="s">
        <v>120</v>
      </c>
    </row>
    <row r="573" spans="1:5" x14ac:dyDescent="0.2">
      <c r="A573" s="940">
        <v>1704</v>
      </c>
      <c r="B573" s="940">
        <v>117</v>
      </c>
      <c r="C573" t="s">
        <v>3483</v>
      </c>
      <c r="D573" s="940" t="s">
        <v>3484</v>
      </c>
      <c r="E573" t="s">
        <v>130</v>
      </c>
    </row>
    <row r="574" spans="1:5" x14ac:dyDescent="0.2">
      <c r="A574" s="940">
        <v>3655</v>
      </c>
      <c r="B574" s="940">
        <v>7</v>
      </c>
      <c r="C574" t="s">
        <v>3485</v>
      </c>
      <c r="D574" s="940" t="s">
        <v>3486</v>
      </c>
      <c r="E574" t="s">
        <v>3487</v>
      </c>
    </row>
    <row r="575" spans="1:5" x14ac:dyDescent="0.2">
      <c r="A575" s="940">
        <v>2056</v>
      </c>
      <c r="B575" s="940">
        <v>81</v>
      </c>
      <c r="C575" t="s">
        <v>3488</v>
      </c>
      <c r="D575" s="940" t="s">
        <v>3489</v>
      </c>
      <c r="E575" t="s">
        <v>1236</v>
      </c>
    </row>
    <row r="576" spans="1:5" x14ac:dyDescent="0.2">
      <c r="A576" s="940">
        <v>701</v>
      </c>
      <c r="B576" s="940">
        <v>402</v>
      </c>
      <c r="C576" t="s">
        <v>3490</v>
      </c>
      <c r="D576" s="940" t="s">
        <v>3491</v>
      </c>
      <c r="E576" t="s">
        <v>251</v>
      </c>
    </row>
    <row r="577" spans="1:5" x14ac:dyDescent="0.2">
      <c r="A577" s="940">
        <v>4294</v>
      </c>
      <c r="B577" s="940">
        <v>0</v>
      </c>
      <c r="C577" t="s">
        <v>9765</v>
      </c>
      <c r="D577" s="940" t="s">
        <v>9766</v>
      </c>
      <c r="E577" t="s">
        <v>213</v>
      </c>
    </row>
    <row r="578" spans="1:5" x14ac:dyDescent="0.2">
      <c r="A578" s="940">
        <v>1594</v>
      </c>
      <c r="B578" s="940">
        <v>129</v>
      </c>
      <c r="C578" t="s">
        <v>2519</v>
      </c>
      <c r="D578" s="940" t="s">
        <v>3492</v>
      </c>
      <c r="E578" t="s">
        <v>1493</v>
      </c>
    </row>
    <row r="579" spans="1:5" x14ac:dyDescent="0.2">
      <c r="A579" s="940">
        <v>1359</v>
      </c>
      <c r="B579" s="940">
        <v>170</v>
      </c>
      <c r="C579" t="s">
        <v>9767</v>
      </c>
      <c r="D579" s="940" t="s">
        <v>9768</v>
      </c>
      <c r="E579" t="s">
        <v>427</v>
      </c>
    </row>
    <row r="580" spans="1:5" x14ac:dyDescent="0.2">
      <c r="A580" s="940">
        <v>3882</v>
      </c>
      <c r="B580" s="940">
        <v>4</v>
      </c>
      <c r="C580" t="s">
        <v>9769</v>
      </c>
      <c r="D580" s="940" t="s">
        <v>9770</v>
      </c>
      <c r="E580" t="s">
        <v>246</v>
      </c>
    </row>
    <row r="581" spans="1:5" x14ac:dyDescent="0.2">
      <c r="A581" s="940">
        <v>2533</v>
      </c>
      <c r="B581" s="940">
        <v>45</v>
      </c>
      <c r="C581" t="s">
        <v>3493</v>
      </c>
      <c r="D581" s="940" t="s">
        <v>3494</v>
      </c>
      <c r="E581" t="s">
        <v>128</v>
      </c>
    </row>
    <row r="582" spans="1:5" x14ac:dyDescent="0.2">
      <c r="A582" s="940">
        <v>509</v>
      </c>
      <c r="B582" s="940">
        <v>539</v>
      </c>
      <c r="C582" t="s">
        <v>9771</v>
      </c>
      <c r="D582" s="940" t="s">
        <v>8898</v>
      </c>
      <c r="E582" t="s">
        <v>105</v>
      </c>
    </row>
    <row r="583" spans="1:5" x14ac:dyDescent="0.2">
      <c r="A583" s="940">
        <v>4294</v>
      </c>
      <c r="B583" s="940">
        <v>0</v>
      </c>
      <c r="C583" t="s">
        <v>3495</v>
      </c>
      <c r="D583" s="940" t="s">
        <v>3496</v>
      </c>
      <c r="E583" t="s">
        <v>213</v>
      </c>
    </row>
    <row r="584" spans="1:5" x14ac:dyDescent="0.2">
      <c r="A584" s="940">
        <v>2504</v>
      </c>
      <c r="B584" s="940">
        <v>47</v>
      </c>
      <c r="C584" t="s">
        <v>1337</v>
      </c>
      <c r="D584" s="940" t="s">
        <v>3923</v>
      </c>
      <c r="E584" t="s">
        <v>105</v>
      </c>
    </row>
    <row r="585" spans="1:5" x14ac:dyDescent="0.2">
      <c r="A585" s="940">
        <v>4294</v>
      </c>
      <c r="B585" s="940">
        <v>0</v>
      </c>
      <c r="C585" t="s">
        <v>3502</v>
      </c>
      <c r="D585" s="940" t="s">
        <v>3503</v>
      </c>
      <c r="E585" t="s">
        <v>1236</v>
      </c>
    </row>
    <row r="586" spans="1:5" x14ac:dyDescent="0.2">
      <c r="A586" s="940">
        <v>1220</v>
      </c>
      <c r="B586" s="940">
        <v>203</v>
      </c>
      <c r="C586" t="s">
        <v>9772</v>
      </c>
      <c r="D586" s="940" t="s">
        <v>9773</v>
      </c>
      <c r="E586" t="s">
        <v>105</v>
      </c>
    </row>
    <row r="587" spans="1:5" x14ac:dyDescent="0.2">
      <c r="A587" s="940">
        <v>2668</v>
      </c>
      <c r="B587" s="940">
        <v>38</v>
      </c>
      <c r="C587" t="s">
        <v>3504</v>
      </c>
      <c r="D587" s="940" t="s">
        <v>3505</v>
      </c>
      <c r="E587" t="s">
        <v>105</v>
      </c>
    </row>
    <row r="588" spans="1:5" x14ac:dyDescent="0.2">
      <c r="A588" s="940">
        <v>890</v>
      </c>
      <c r="B588" s="940">
        <v>322</v>
      </c>
      <c r="C588" t="s">
        <v>383</v>
      </c>
      <c r="D588" s="940" t="s">
        <v>3506</v>
      </c>
      <c r="E588" t="s">
        <v>105</v>
      </c>
    </row>
    <row r="589" spans="1:5" x14ac:dyDescent="0.2">
      <c r="A589" s="940">
        <v>68</v>
      </c>
      <c r="B589" s="940">
        <v>1221</v>
      </c>
      <c r="C589" t="s">
        <v>3507</v>
      </c>
      <c r="D589" s="940" t="s">
        <v>3508</v>
      </c>
      <c r="E589" t="s">
        <v>105</v>
      </c>
    </row>
    <row r="590" spans="1:5" x14ac:dyDescent="0.2">
      <c r="A590" s="940">
        <v>462</v>
      </c>
      <c r="B590" s="940">
        <v>582</v>
      </c>
      <c r="C590" t="s">
        <v>441</v>
      </c>
      <c r="D590" s="940" t="s">
        <v>3509</v>
      </c>
      <c r="E590" t="s">
        <v>1171</v>
      </c>
    </row>
    <row r="591" spans="1:5" x14ac:dyDescent="0.2">
      <c r="A591" s="940">
        <v>774</v>
      </c>
      <c r="B591" s="940">
        <v>374</v>
      </c>
      <c r="C591" t="s">
        <v>9774</v>
      </c>
      <c r="D591" s="940" t="s">
        <v>9768</v>
      </c>
      <c r="E591" t="s">
        <v>1214</v>
      </c>
    </row>
    <row r="592" spans="1:5" x14ac:dyDescent="0.2">
      <c r="A592" s="940">
        <v>3602</v>
      </c>
      <c r="B592" s="940">
        <v>8</v>
      </c>
      <c r="C592" t="s">
        <v>9775</v>
      </c>
      <c r="D592" s="940" t="s">
        <v>9776</v>
      </c>
      <c r="E592" t="s">
        <v>120</v>
      </c>
    </row>
    <row r="593" spans="1:5" x14ac:dyDescent="0.2">
      <c r="A593" s="940">
        <v>4294</v>
      </c>
      <c r="B593" s="940">
        <v>0</v>
      </c>
      <c r="C593" t="s">
        <v>3512</v>
      </c>
      <c r="D593" s="940" t="s">
        <v>3513</v>
      </c>
      <c r="E593" t="s">
        <v>105</v>
      </c>
    </row>
    <row r="594" spans="1:5" x14ac:dyDescent="0.2">
      <c r="A594" s="940">
        <v>1782</v>
      </c>
      <c r="B594" s="940">
        <v>107</v>
      </c>
      <c r="C594" t="s">
        <v>1344</v>
      </c>
      <c r="D594" s="940" t="s">
        <v>2727</v>
      </c>
      <c r="E594" t="s">
        <v>120</v>
      </c>
    </row>
    <row r="595" spans="1:5" x14ac:dyDescent="0.2">
      <c r="A595" s="940">
        <v>5</v>
      </c>
      <c r="B595" s="940">
        <v>1627</v>
      </c>
      <c r="C595" t="s">
        <v>3514</v>
      </c>
      <c r="D595" s="940" t="s">
        <v>3515</v>
      </c>
      <c r="E595" t="s">
        <v>120</v>
      </c>
    </row>
    <row r="596" spans="1:5" x14ac:dyDescent="0.2">
      <c r="A596" s="940">
        <v>188</v>
      </c>
      <c r="B596" s="940">
        <v>932</v>
      </c>
      <c r="C596" t="s">
        <v>3516</v>
      </c>
      <c r="D596" s="940" t="s">
        <v>3517</v>
      </c>
      <c r="E596" t="s">
        <v>3518</v>
      </c>
    </row>
    <row r="597" spans="1:5" x14ac:dyDescent="0.2">
      <c r="A597" s="940">
        <v>1594</v>
      </c>
      <c r="B597" s="940">
        <v>129</v>
      </c>
      <c r="C597" t="s">
        <v>9777</v>
      </c>
      <c r="D597" s="940" t="s">
        <v>5985</v>
      </c>
      <c r="E597" t="s">
        <v>1332</v>
      </c>
    </row>
    <row r="598" spans="1:5" x14ac:dyDescent="0.2">
      <c r="A598" s="940">
        <v>2218</v>
      </c>
      <c r="B598" s="940">
        <v>68</v>
      </c>
      <c r="C598" t="s">
        <v>9778</v>
      </c>
      <c r="D598" s="940" t="s">
        <v>2811</v>
      </c>
      <c r="E598" t="s">
        <v>111</v>
      </c>
    </row>
    <row r="599" spans="1:5" x14ac:dyDescent="0.2">
      <c r="A599" s="940">
        <v>2379</v>
      </c>
      <c r="B599" s="940">
        <v>56</v>
      </c>
      <c r="C599" t="s">
        <v>3519</v>
      </c>
      <c r="D599" s="940" t="s">
        <v>3520</v>
      </c>
      <c r="E599" t="s">
        <v>1493</v>
      </c>
    </row>
    <row r="600" spans="1:5" x14ac:dyDescent="0.2">
      <c r="A600" s="940">
        <v>2794</v>
      </c>
      <c r="B600" s="940">
        <v>33</v>
      </c>
      <c r="C600" t="s">
        <v>3521</v>
      </c>
      <c r="D600" s="940" t="s">
        <v>3522</v>
      </c>
      <c r="E600" t="s">
        <v>2720</v>
      </c>
    </row>
    <row r="601" spans="1:5" x14ac:dyDescent="0.2">
      <c r="A601" s="940">
        <v>1009</v>
      </c>
      <c r="B601" s="940">
        <v>274</v>
      </c>
      <c r="C601" t="s">
        <v>3523</v>
      </c>
      <c r="D601" s="940" t="s">
        <v>3524</v>
      </c>
      <c r="E601" t="s">
        <v>3525</v>
      </c>
    </row>
    <row r="602" spans="1:5" x14ac:dyDescent="0.2">
      <c r="A602" s="940">
        <v>1279</v>
      </c>
      <c r="B602" s="940">
        <v>189</v>
      </c>
      <c r="C602" t="s">
        <v>1345</v>
      </c>
      <c r="D602" s="940" t="s">
        <v>9779</v>
      </c>
      <c r="E602" t="s">
        <v>113</v>
      </c>
    </row>
    <row r="603" spans="1:5" x14ac:dyDescent="0.2">
      <c r="A603" s="940">
        <v>703</v>
      </c>
      <c r="B603" s="940">
        <v>401</v>
      </c>
      <c r="C603" t="s">
        <v>1346</v>
      </c>
      <c r="D603" s="940" t="s">
        <v>3528</v>
      </c>
      <c r="E603" t="s">
        <v>132</v>
      </c>
    </row>
    <row r="604" spans="1:5" x14ac:dyDescent="0.2">
      <c r="A604" s="940">
        <v>4294</v>
      </c>
      <c r="B604" s="940">
        <v>0</v>
      </c>
      <c r="C604" t="s">
        <v>9780</v>
      </c>
      <c r="D604" s="940" t="s">
        <v>9781</v>
      </c>
      <c r="E604" t="s">
        <v>132</v>
      </c>
    </row>
    <row r="605" spans="1:5" x14ac:dyDescent="0.2">
      <c r="A605" s="940">
        <v>317</v>
      </c>
      <c r="B605" s="940">
        <v>748</v>
      </c>
      <c r="C605" t="s">
        <v>3534</v>
      </c>
      <c r="D605" s="940" t="s">
        <v>3535</v>
      </c>
      <c r="E605" t="s">
        <v>7683</v>
      </c>
    </row>
    <row r="606" spans="1:5" x14ac:dyDescent="0.2">
      <c r="A606" s="940">
        <v>2915</v>
      </c>
      <c r="B606" s="940">
        <v>27</v>
      </c>
      <c r="C606" t="s">
        <v>3536</v>
      </c>
      <c r="D606" s="940" t="s">
        <v>3537</v>
      </c>
      <c r="E606" t="s">
        <v>1243</v>
      </c>
    </row>
    <row r="607" spans="1:5" x14ac:dyDescent="0.2">
      <c r="A607" s="940">
        <v>2207</v>
      </c>
      <c r="B607" s="940">
        <v>69</v>
      </c>
      <c r="C607" t="s">
        <v>1349</v>
      </c>
      <c r="D607" s="940" t="s">
        <v>9782</v>
      </c>
      <c r="E607" t="s">
        <v>614</v>
      </c>
    </row>
    <row r="608" spans="1:5" x14ac:dyDescent="0.2">
      <c r="A608" s="940">
        <v>1729</v>
      </c>
      <c r="B608" s="940">
        <v>113</v>
      </c>
      <c r="C608" t="s">
        <v>2537</v>
      </c>
      <c r="D608" s="940" t="s">
        <v>3923</v>
      </c>
      <c r="E608" t="s">
        <v>251</v>
      </c>
    </row>
    <row r="609" spans="1:5" x14ac:dyDescent="0.2">
      <c r="A609" s="940">
        <v>3602</v>
      </c>
      <c r="B609" s="940">
        <v>8</v>
      </c>
      <c r="C609" t="s">
        <v>3538</v>
      </c>
      <c r="D609" s="940" t="s">
        <v>3505</v>
      </c>
      <c r="E609" t="s">
        <v>165</v>
      </c>
    </row>
    <row r="610" spans="1:5" x14ac:dyDescent="0.2">
      <c r="A610" s="940">
        <v>4181</v>
      </c>
      <c r="B610" s="940">
        <v>1</v>
      </c>
      <c r="C610" t="s">
        <v>3539</v>
      </c>
      <c r="D610" s="940" t="s">
        <v>3540</v>
      </c>
      <c r="E610" t="s">
        <v>120</v>
      </c>
    </row>
    <row r="611" spans="1:5" x14ac:dyDescent="0.2">
      <c r="A611" s="940">
        <v>3972</v>
      </c>
      <c r="B611" s="940">
        <v>3</v>
      </c>
      <c r="C611" t="s">
        <v>9783</v>
      </c>
      <c r="D611" s="940" t="s">
        <v>9784</v>
      </c>
      <c r="E611" t="s">
        <v>113</v>
      </c>
    </row>
    <row r="612" spans="1:5" x14ac:dyDescent="0.2">
      <c r="A612" s="940">
        <v>1081</v>
      </c>
      <c r="B612" s="940">
        <v>248</v>
      </c>
      <c r="C612" t="s">
        <v>3541</v>
      </c>
      <c r="D612" s="940" t="s">
        <v>2680</v>
      </c>
      <c r="E612" t="s">
        <v>105</v>
      </c>
    </row>
    <row r="613" spans="1:5" x14ac:dyDescent="0.2">
      <c r="A613" s="940">
        <v>3048</v>
      </c>
      <c r="B613" s="940">
        <v>22</v>
      </c>
      <c r="C613" t="s">
        <v>9785</v>
      </c>
      <c r="D613" s="940" t="s">
        <v>5584</v>
      </c>
      <c r="E613" t="s">
        <v>1277</v>
      </c>
    </row>
    <row r="614" spans="1:5" x14ac:dyDescent="0.2">
      <c r="A614" s="940">
        <v>3972</v>
      </c>
      <c r="B614" s="940">
        <v>3</v>
      </c>
      <c r="C614" t="s">
        <v>3542</v>
      </c>
      <c r="D614" s="940" t="s">
        <v>3086</v>
      </c>
      <c r="E614" t="s">
        <v>1491</v>
      </c>
    </row>
    <row r="615" spans="1:5" x14ac:dyDescent="0.2">
      <c r="A615" s="940">
        <v>1211</v>
      </c>
      <c r="B615" s="940">
        <v>205</v>
      </c>
      <c r="C615" t="s">
        <v>1350</v>
      </c>
      <c r="D615" s="940" t="s">
        <v>9786</v>
      </c>
      <c r="E615" t="s">
        <v>113</v>
      </c>
    </row>
    <row r="616" spans="1:5" x14ac:dyDescent="0.2">
      <c r="A616" s="940">
        <v>2774</v>
      </c>
      <c r="B616" s="940">
        <v>34</v>
      </c>
      <c r="C616" t="s">
        <v>9787</v>
      </c>
      <c r="D616" s="940" t="s">
        <v>3875</v>
      </c>
      <c r="E616" t="s">
        <v>4667</v>
      </c>
    </row>
    <row r="617" spans="1:5" x14ac:dyDescent="0.2">
      <c r="A617" s="940">
        <v>1880</v>
      </c>
      <c r="B617" s="940">
        <v>97</v>
      </c>
      <c r="C617" t="s">
        <v>9788</v>
      </c>
      <c r="D617" s="940" t="s">
        <v>9789</v>
      </c>
      <c r="E617" t="s">
        <v>1211</v>
      </c>
    </row>
    <row r="618" spans="1:5" x14ac:dyDescent="0.2">
      <c r="A618" s="940">
        <v>4294</v>
      </c>
      <c r="B618" s="940">
        <v>0</v>
      </c>
      <c r="C618" t="s">
        <v>3545</v>
      </c>
      <c r="D618" s="940" t="s">
        <v>3546</v>
      </c>
      <c r="E618" t="s">
        <v>1214</v>
      </c>
    </row>
    <row r="619" spans="1:5" x14ac:dyDescent="0.2">
      <c r="A619" s="940">
        <v>433</v>
      </c>
      <c r="B619" s="940">
        <v>609</v>
      </c>
      <c r="C619" t="s">
        <v>3547</v>
      </c>
      <c r="D619" s="940" t="s">
        <v>3548</v>
      </c>
      <c r="E619" t="s">
        <v>1214</v>
      </c>
    </row>
    <row r="620" spans="1:5" x14ac:dyDescent="0.2">
      <c r="A620" s="940">
        <v>1096</v>
      </c>
      <c r="B620" s="940">
        <v>243</v>
      </c>
      <c r="C620" t="s">
        <v>3547</v>
      </c>
      <c r="D620" s="940" t="s">
        <v>9790</v>
      </c>
      <c r="E620" t="s">
        <v>1236</v>
      </c>
    </row>
    <row r="621" spans="1:5" x14ac:dyDescent="0.2">
      <c r="A621" s="940">
        <v>4294</v>
      </c>
      <c r="B621" s="940">
        <v>0</v>
      </c>
      <c r="C621" t="s">
        <v>3549</v>
      </c>
      <c r="D621" s="940" t="s">
        <v>3550</v>
      </c>
      <c r="E621" t="s">
        <v>105</v>
      </c>
    </row>
    <row r="622" spans="1:5" x14ac:dyDescent="0.2">
      <c r="A622" s="940">
        <v>3882</v>
      </c>
      <c r="B622" s="940">
        <v>4</v>
      </c>
      <c r="C622" t="s">
        <v>3551</v>
      </c>
      <c r="D622" s="940" t="s">
        <v>3552</v>
      </c>
      <c r="E622" t="s">
        <v>1315</v>
      </c>
    </row>
    <row r="623" spans="1:5" x14ac:dyDescent="0.2">
      <c r="A623" s="940">
        <v>3048</v>
      </c>
      <c r="B623" s="940">
        <v>22</v>
      </c>
      <c r="C623" t="s">
        <v>3553</v>
      </c>
      <c r="D623" s="940" t="s">
        <v>3554</v>
      </c>
      <c r="E623" t="s">
        <v>1243</v>
      </c>
    </row>
    <row r="624" spans="1:5" x14ac:dyDescent="0.2">
      <c r="A624" s="940">
        <v>2115</v>
      </c>
      <c r="B624" s="940">
        <v>76</v>
      </c>
      <c r="C624" t="s">
        <v>9791</v>
      </c>
      <c r="D624" s="940" t="s">
        <v>3013</v>
      </c>
      <c r="E624" t="s">
        <v>9792</v>
      </c>
    </row>
    <row r="625" spans="1:5" x14ac:dyDescent="0.2">
      <c r="A625" s="940">
        <v>4294</v>
      </c>
      <c r="B625" s="940">
        <v>0</v>
      </c>
      <c r="C625" t="s">
        <v>9793</v>
      </c>
      <c r="D625" s="940" t="s">
        <v>3226</v>
      </c>
      <c r="E625" t="s">
        <v>1590</v>
      </c>
    </row>
    <row r="626" spans="1:5" x14ac:dyDescent="0.2">
      <c r="A626" s="940">
        <v>800</v>
      </c>
      <c r="B626" s="940">
        <v>358</v>
      </c>
      <c r="C626" t="s">
        <v>674</v>
      </c>
      <c r="D626" s="940" t="s">
        <v>3555</v>
      </c>
      <c r="E626" t="s">
        <v>99</v>
      </c>
    </row>
    <row r="627" spans="1:5" x14ac:dyDescent="0.2">
      <c r="A627" s="940">
        <v>3545</v>
      </c>
      <c r="B627" s="940">
        <v>9</v>
      </c>
      <c r="C627" t="s">
        <v>9794</v>
      </c>
      <c r="D627" s="940" t="s">
        <v>8892</v>
      </c>
      <c r="E627" t="s">
        <v>9466</v>
      </c>
    </row>
    <row r="628" spans="1:5" x14ac:dyDescent="0.2">
      <c r="A628" s="940">
        <v>1330</v>
      </c>
      <c r="B628" s="940">
        <v>175</v>
      </c>
      <c r="C628" t="s">
        <v>2538</v>
      </c>
      <c r="D628" s="940" t="s">
        <v>3556</v>
      </c>
      <c r="E628" t="s">
        <v>103</v>
      </c>
    </row>
    <row r="629" spans="1:5" x14ac:dyDescent="0.2">
      <c r="A629" s="940">
        <v>1868</v>
      </c>
      <c r="B629" s="940">
        <v>98</v>
      </c>
      <c r="C629" t="s">
        <v>9795</v>
      </c>
      <c r="D629" s="940" t="s">
        <v>5369</v>
      </c>
      <c r="E629" t="s">
        <v>243</v>
      </c>
    </row>
    <row r="630" spans="1:5" x14ac:dyDescent="0.2">
      <c r="A630" s="940">
        <v>2691</v>
      </c>
      <c r="B630" s="940">
        <v>37</v>
      </c>
      <c r="C630" t="s">
        <v>3557</v>
      </c>
      <c r="D630" s="940" t="s">
        <v>3558</v>
      </c>
      <c r="E630" t="s">
        <v>2558</v>
      </c>
    </row>
    <row r="631" spans="1:5" x14ac:dyDescent="0.2">
      <c r="A631" s="940">
        <v>2860</v>
      </c>
      <c r="B631" s="940">
        <v>30</v>
      </c>
      <c r="C631" t="s">
        <v>3559</v>
      </c>
      <c r="D631" s="940" t="s">
        <v>3560</v>
      </c>
      <c r="E631" t="s">
        <v>208</v>
      </c>
    </row>
    <row r="632" spans="1:5" x14ac:dyDescent="0.2">
      <c r="A632" s="940">
        <v>4294</v>
      </c>
      <c r="B632" s="940">
        <v>0</v>
      </c>
      <c r="C632" t="s">
        <v>3561</v>
      </c>
      <c r="D632" s="940" t="s">
        <v>2811</v>
      </c>
      <c r="E632" t="s">
        <v>105</v>
      </c>
    </row>
    <row r="633" spans="1:5" x14ac:dyDescent="0.2">
      <c r="A633" s="940">
        <v>2353</v>
      </c>
      <c r="B633" s="940">
        <v>58</v>
      </c>
      <c r="C633" t="s">
        <v>3562</v>
      </c>
      <c r="D633" s="940" t="s">
        <v>3563</v>
      </c>
      <c r="E633" t="s">
        <v>1675</v>
      </c>
    </row>
    <row r="634" spans="1:5" x14ac:dyDescent="0.2">
      <c r="A634" s="940">
        <v>919</v>
      </c>
      <c r="B634" s="940">
        <v>308</v>
      </c>
      <c r="C634" t="s">
        <v>3564</v>
      </c>
      <c r="D634" s="940" t="s">
        <v>3565</v>
      </c>
      <c r="E634" t="s">
        <v>2928</v>
      </c>
    </row>
    <row r="635" spans="1:5" x14ac:dyDescent="0.2">
      <c r="A635" s="940">
        <v>1420</v>
      </c>
      <c r="B635" s="940">
        <v>159</v>
      </c>
      <c r="C635" t="s">
        <v>1355</v>
      </c>
      <c r="D635" s="940" t="s">
        <v>3566</v>
      </c>
      <c r="E635" t="s">
        <v>3487</v>
      </c>
    </row>
    <row r="636" spans="1:5" x14ac:dyDescent="0.2">
      <c r="A636" s="940">
        <v>1746</v>
      </c>
      <c r="B636" s="940">
        <v>111</v>
      </c>
      <c r="C636" t="s">
        <v>9796</v>
      </c>
      <c r="D636" s="940" t="s">
        <v>9797</v>
      </c>
      <c r="E636" t="s">
        <v>1332</v>
      </c>
    </row>
    <row r="637" spans="1:5" x14ac:dyDescent="0.2">
      <c r="A637" s="940">
        <v>4294</v>
      </c>
      <c r="B637" s="940">
        <v>0</v>
      </c>
      <c r="C637" t="s">
        <v>9798</v>
      </c>
      <c r="D637" s="940" t="s">
        <v>4081</v>
      </c>
      <c r="E637" t="s">
        <v>74</v>
      </c>
    </row>
    <row r="638" spans="1:5" x14ac:dyDescent="0.2">
      <c r="A638" s="940">
        <v>3655</v>
      </c>
      <c r="B638" s="940">
        <v>7</v>
      </c>
      <c r="C638" t="s">
        <v>9799</v>
      </c>
      <c r="D638" s="940" t="s">
        <v>9800</v>
      </c>
      <c r="E638" t="s">
        <v>74</v>
      </c>
    </row>
    <row r="639" spans="1:5" x14ac:dyDescent="0.2">
      <c r="A639" s="940">
        <v>1921</v>
      </c>
      <c r="B639" s="940">
        <v>93</v>
      </c>
      <c r="C639" t="s">
        <v>3569</v>
      </c>
      <c r="D639" s="940" t="s">
        <v>3570</v>
      </c>
      <c r="E639" t="s">
        <v>1156</v>
      </c>
    </row>
    <row r="640" spans="1:5" x14ac:dyDescent="0.2">
      <c r="A640" s="940">
        <v>2312</v>
      </c>
      <c r="B640" s="940">
        <v>61</v>
      </c>
      <c r="C640" t="s">
        <v>1357</v>
      </c>
      <c r="D640" s="940" t="s">
        <v>7414</v>
      </c>
      <c r="E640" t="s">
        <v>1358</v>
      </c>
    </row>
    <row r="641" spans="1:5" x14ac:dyDescent="0.2">
      <c r="A641" s="940">
        <v>2514</v>
      </c>
      <c r="B641" s="940">
        <v>46</v>
      </c>
      <c r="C641" t="s">
        <v>3573</v>
      </c>
      <c r="D641" s="940" t="s">
        <v>3574</v>
      </c>
      <c r="E641" t="s">
        <v>661</v>
      </c>
    </row>
    <row r="642" spans="1:5" x14ac:dyDescent="0.2">
      <c r="A642" s="940">
        <v>4294</v>
      </c>
      <c r="B642" s="940">
        <v>0</v>
      </c>
      <c r="C642" t="s">
        <v>3577</v>
      </c>
      <c r="D642" s="940" t="s">
        <v>3578</v>
      </c>
      <c r="E642" t="s">
        <v>99</v>
      </c>
    </row>
    <row r="643" spans="1:5" x14ac:dyDescent="0.2">
      <c r="A643" s="940">
        <v>893</v>
      </c>
      <c r="B643" s="940">
        <v>319</v>
      </c>
      <c r="C643" t="s">
        <v>3579</v>
      </c>
      <c r="D643" s="940" t="s">
        <v>3580</v>
      </c>
      <c r="E643" t="s">
        <v>130</v>
      </c>
    </row>
    <row r="644" spans="1:5" x14ac:dyDescent="0.2">
      <c r="A644" s="940">
        <v>1988</v>
      </c>
      <c r="B644" s="940">
        <v>87</v>
      </c>
      <c r="C644" t="s">
        <v>9801</v>
      </c>
      <c r="D644" s="940" t="s">
        <v>4957</v>
      </c>
      <c r="E644" t="s">
        <v>147</v>
      </c>
    </row>
    <row r="645" spans="1:5" x14ac:dyDescent="0.2">
      <c r="A645" s="940">
        <v>2860</v>
      </c>
      <c r="B645" s="940">
        <v>30</v>
      </c>
      <c r="C645" t="s">
        <v>9802</v>
      </c>
      <c r="D645" s="940" t="s">
        <v>3940</v>
      </c>
      <c r="E645" t="s">
        <v>105</v>
      </c>
    </row>
    <row r="646" spans="1:5" x14ac:dyDescent="0.2">
      <c r="A646" s="940">
        <v>3655</v>
      </c>
      <c r="B646" s="940">
        <v>7</v>
      </c>
      <c r="C646" t="s">
        <v>3581</v>
      </c>
      <c r="D646" s="940" t="s">
        <v>3582</v>
      </c>
      <c r="E646" t="s">
        <v>139</v>
      </c>
    </row>
    <row r="647" spans="1:5" x14ac:dyDescent="0.2">
      <c r="A647" s="940">
        <v>2745</v>
      </c>
      <c r="B647" s="940">
        <v>35</v>
      </c>
      <c r="C647" t="s">
        <v>3583</v>
      </c>
      <c r="D647" s="940" t="s">
        <v>3584</v>
      </c>
      <c r="E647" t="s">
        <v>427</v>
      </c>
    </row>
    <row r="648" spans="1:5" x14ac:dyDescent="0.2">
      <c r="A648" s="940">
        <v>3796</v>
      </c>
      <c r="B648" s="940">
        <v>5</v>
      </c>
      <c r="C648" t="s">
        <v>9803</v>
      </c>
      <c r="D648" s="940" t="s">
        <v>4517</v>
      </c>
      <c r="E648" t="s">
        <v>74</v>
      </c>
    </row>
    <row r="649" spans="1:5" x14ac:dyDescent="0.2">
      <c r="A649" s="940">
        <v>2691</v>
      </c>
      <c r="B649" s="940">
        <v>37</v>
      </c>
      <c r="C649" t="s">
        <v>444</v>
      </c>
      <c r="D649" s="940" t="s">
        <v>9804</v>
      </c>
      <c r="E649" t="s">
        <v>117</v>
      </c>
    </row>
    <row r="650" spans="1:5" x14ac:dyDescent="0.2">
      <c r="A650" s="940">
        <v>1816</v>
      </c>
      <c r="B650" s="940">
        <v>103</v>
      </c>
      <c r="C650" t="s">
        <v>9805</v>
      </c>
      <c r="D650" s="940" t="s">
        <v>9806</v>
      </c>
      <c r="E650" t="s">
        <v>1258</v>
      </c>
    </row>
    <row r="651" spans="1:5" x14ac:dyDescent="0.2">
      <c r="A651" s="940">
        <v>3882</v>
      </c>
      <c r="B651" s="940">
        <v>4</v>
      </c>
      <c r="C651" t="s">
        <v>3585</v>
      </c>
      <c r="D651" s="940" t="s">
        <v>3586</v>
      </c>
      <c r="E651" t="s">
        <v>99</v>
      </c>
    </row>
    <row r="652" spans="1:5" x14ac:dyDescent="0.2">
      <c r="A652" s="940">
        <v>2353</v>
      </c>
      <c r="B652" s="940">
        <v>58</v>
      </c>
      <c r="C652" t="s">
        <v>9807</v>
      </c>
      <c r="D652" s="940" t="s">
        <v>9808</v>
      </c>
      <c r="E652" t="s">
        <v>9809</v>
      </c>
    </row>
    <row r="653" spans="1:5" x14ac:dyDescent="0.2">
      <c r="A653" s="940">
        <v>4294</v>
      </c>
      <c r="B653" s="940">
        <v>0</v>
      </c>
      <c r="C653" t="s">
        <v>3587</v>
      </c>
      <c r="D653" s="940" t="s">
        <v>3588</v>
      </c>
      <c r="E653" t="s">
        <v>74</v>
      </c>
    </row>
    <row r="654" spans="1:5" x14ac:dyDescent="0.2">
      <c r="A654" s="940">
        <v>4294</v>
      </c>
      <c r="B654" s="940">
        <v>0</v>
      </c>
      <c r="C654" t="s">
        <v>3589</v>
      </c>
      <c r="D654" s="940" t="s">
        <v>3590</v>
      </c>
      <c r="E654" t="s">
        <v>1156</v>
      </c>
    </row>
    <row r="655" spans="1:5" x14ac:dyDescent="0.2">
      <c r="A655" s="940">
        <v>4181</v>
      </c>
      <c r="B655" s="940">
        <v>1</v>
      </c>
      <c r="C655" t="s">
        <v>3591</v>
      </c>
      <c r="D655" s="940" t="s">
        <v>3592</v>
      </c>
      <c r="E655" t="s">
        <v>120</v>
      </c>
    </row>
    <row r="656" spans="1:5" x14ac:dyDescent="0.2">
      <c r="A656" s="940">
        <v>4294</v>
      </c>
      <c r="B656" s="940">
        <v>0</v>
      </c>
      <c r="C656" t="s">
        <v>3593</v>
      </c>
      <c r="D656" s="940" t="s">
        <v>3594</v>
      </c>
      <c r="E656" t="s">
        <v>1221</v>
      </c>
    </row>
    <row r="657" spans="1:5" x14ac:dyDescent="0.2">
      <c r="A657" s="940">
        <v>385</v>
      </c>
      <c r="B657" s="940">
        <v>652</v>
      </c>
      <c r="C657" t="s">
        <v>3595</v>
      </c>
      <c r="D657" s="940" t="s">
        <v>3596</v>
      </c>
      <c r="E657" t="s">
        <v>3597</v>
      </c>
    </row>
    <row r="658" spans="1:5" x14ac:dyDescent="0.2">
      <c r="A658" s="940">
        <v>4294</v>
      </c>
      <c r="B658" s="940">
        <v>0</v>
      </c>
      <c r="C658" t="s">
        <v>9810</v>
      </c>
      <c r="D658" s="940" t="s">
        <v>9129</v>
      </c>
      <c r="E658" t="s">
        <v>1587</v>
      </c>
    </row>
    <row r="659" spans="1:5" x14ac:dyDescent="0.2">
      <c r="A659" s="940">
        <v>224</v>
      </c>
      <c r="B659" s="940">
        <v>876</v>
      </c>
      <c r="C659" t="s">
        <v>3598</v>
      </c>
      <c r="D659" s="940" t="s">
        <v>3599</v>
      </c>
      <c r="E659" t="s">
        <v>3597</v>
      </c>
    </row>
    <row r="660" spans="1:5" x14ac:dyDescent="0.2">
      <c r="A660" s="940">
        <v>3290</v>
      </c>
      <c r="B660" s="940">
        <v>15</v>
      </c>
      <c r="C660" t="s">
        <v>3600</v>
      </c>
      <c r="D660" s="940" t="s">
        <v>3601</v>
      </c>
      <c r="E660" t="s">
        <v>72</v>
      </c>
    </row>
    <row r="661" spans="1:5" x14ac:dyDescent="0.2">
      <c r="A661" s="940">
        <v>1329</v>
      </c>
      <c r="B661" s="940">
        <v>176</v>
      </c>
      <c r="C661" t="s">
        <v>3604</v>
      </c>
      <c r="D661" s="940" t="s">
        <v>3605</v>
      </c>
      <c r="E661" t="s">
        <v>130</v>
      </c>
    </row>
    <row r="662" spans="1:5" x14ac:dyDescent="0.2">
      <c r="A662" s="940">
        <v>4294</v>
      </c>
      <c r="B662" s="940">
        <v>0</v>
      </c>
      <c r="C662" t="s">
        <v>3611</v>
      </c>
      <c r="D662" s="940" t="s">
        <v>3612</v>
      </c>
      <c r="E662" t="s">
        <v>2654</v>
      </c>
    </row>
    <row r="663" spans="1:5" x14ac:dyDescent="0.2">
      <c r="A663" s="940">
        <v>3358</v>
      </c>
      <c r="B663" s="940">
        <v>13</v>
      </c>
      <c r="C663" t="s">
        <v>9811</v>
      </c>
      <c r="D663" s="940" t="s">
        <v>8976</v>
      </c>
      <c r="E663" t="s">
        <v>1372</v>
      </c>
    </row>
    <row r="664" spans="1:5" x14ac:dyDescent="0.2">
      <c r="A664" s="940">
        <v>4294</v>
      </c>
      <c r="B664" s="940">
        <v>0</v>
      </c>
      <c r="C664" t="s">
        <v>9812</v>
      </c>
      <c r="D664" s="940" t="s">
        <v>3226</v>
      </c>
      <c r="E664" t="s">
        <v>170</v>
      </c>
    </row>
    <row r="665" spans="1:5" x14ac:dyDescent="0.2">
      <c r="A665" s="940">
        <v>4181</v>
      </c>
      <c r="B665" s="940">
        <v>1</v>
      </c>
      <c r="C665" t="s">
        <v>3613</v>
      </c>
      <c r="D665" s="940" t="s">
        <v>3614</v>
      </c>
      <c r="E665" t="s">
        <v>2464</v>
      </c>
    </row>
    <row r="666" spans="1:5" x14ac:dyDescent="0.2">
      <c r="A666" s="940">
        <v>3655</v>
      </c>
      <c r="B666" s="940">
        <v>7</v>
      </c>
      <c r="C666" t="s">
        <v>1360</v>
      </c>
      <c r="D666" s="940" t="s">
        <v>3616</v>
      </c>
      <c r="E666" t="s">
        <v>72</v>
      </c>
    </row>
    <row r="667" spans="1:5" x14ac:dyDescent="0.2">
      <c r="A667" s="940">
        <v>3882</v>
      </c>
      <c r="B667" s="940">
        <v>4</v>
      </c>
      <c r="C667" t="s">
        <v>1360</v>
      </c>
      <c r="D667" s="940" t="s">
        <v>3615</v>
      </c>
      <c r="E667" t="s">
        <v>2723</v>
      </c>
    </row>
    <row r="668" spans="1:5" x14ac:dyDescent="0.2">
      <c r="A668" s="940">
        <v>4294</v>
      </c>
      <c r="B668" s="940">
        <v>0</v>
      </c>
      <c r="C668" t="s">
        <v>806</v>
      </c>
      <c r="D668" s="940" t="s">
        <v>9813</v>
      </c>
      <c r="E668" t="s">
        <v>105</v>
      </c>
    </row>
    <row r="669" spans="1:5" x14ac:dyDescent="0.2">
      <c r="A669" s="940">
        <v>1539</v>
      </c>
      <c r="B669" s="940">
        <v>138</v>
      </c>
      <c r="C669" t="s">
        <v>2539</v>
      </c>
      <c r="D669" s="940" t="s">
        <v>3617</v>
      </c>
      <c r="E669" t="s">
        <v>120</v>
      </c>
    </row>
    <row r="670" spans="1:5" x14ac:dyDescent="0.2">
      <c r="A670" s="940">
        <v>1641</v>
      </c>
      <c r="B670" s="940">
        <v>123</v>
      </c>
      <c r="C670" t="s">
        <v>2539</v>
      </c>
      <c r="D670" s="940" t="s">
        <v>3618</v>
      </c>
      <c r="E670" t="s">
        <v>2735</v>
      </c>
    </row>
    <row r="671" spans="1:5" x14ac:dyDescent="0.2">
      <c r="A671" s="940">
        <v>540</v>
      </c>
      <c r="B671" s="940">
        <v>512</v>
      </c>
      <c r="C671" t="s">
        <v>1361</v>
      </c>
      <c r="D671" s="940" t="s">
        <v>3619</v>
      </c>
      <c r="E671" t="s">
        <v>1343</v>
      </c>
    </row>
    <row r="672" spans="1:5" x14ac:dyDescent="0.2">
      <c r="A672" s="940">
        <v>1488</v>
      </c>
      <c r="B672" s="940">
        <v>146</v>
      </c>
      <c r="C672" t="s">
        <v>1361</v>
      </c>
      <c r="D672" s="940" t="s">
        <v>8002</v>
      </c>
      <c r="E672" t="s">
        <v>145</v>
      </c>
    </row>
    <row r="673" spans="1:5" x14ac:dyDescent="0.2">
      <c r="A673" s="940">
        <v>3732</v>
      </c>
      <c r="B673" s="940">
        <v>6</v>
      </c>
      <c r="C673" t="s">
        <v>3620</v>
      </c>
      <c r="D673" s="940" t="s">
        <v>3621</v>
      </c>
      <c r="E673" t="s">
        <v>122</v>
      </c>
    </row>
    <row r="674" spans="1:5" x14ac:dyDescent="0.2">
      <c r="A674" s="940">
        <v>4294</v>
      </c>
      <c r="B674" s="940">
        <v>0</v>
      </c>
      <c r="C674" t="s">
        <v>9814</v>
      </c>
      <c r="D674" s="940" t="s">
        <v>2856</v>
      </c>
      <c r="E674" t="s">
        <v>120</v>
      </c>
    </row>
    <row r="675" spans="1:5" x14ac:dyDescent="0.2">
      <c r="A675" s="940">
        <v>2745</v>
      </c>
      <c r="B675" s="940">
        <v>35</v>
      </c>
      <c r="C675" t="s">
        <v>9815</v>
      </c>
      <c r="D675" s="940" t="s">
        <v>9816</v>
      </c>
      <c r="E675" t="s">
        <v>9809</v>
      </c>
    </row>
    <row r="676" spans="1:5" x14ac:dyDescent="0.2">
      <c r="A676" s="940">
        <v>1161</v>
      </c>
      <c r="B676" s="940">
        <v>222</v>
      </c>
      <c r="C676" t="s">
        <v>3629</v>
      </c>
      <c r="D676" s="940" t="s">
        <v>3540</v>
      </c>
      <c r="E676" t="s">
        <v>113</v>
      </c>
    </row>
    <row r="677" spans="1:5" x14ac:dyDescent="0.2">
      <c r="A677" s="940">
        <v>4294</v>
      </c>
      <c r="B677" s="940">
        <v>0</v>
      </c>
      <c r="C677" t="s">
        <v>9817</v>
      </c>
      <c r="D677" s="940" t="s">
        <v>7392</v>
      </c>
      <c r="E677" t="s">
        <v>105</v>
      </c>
    </row>
    <row r="678" spans="1:5" x14ac:dyDescent="0.2">
      <c r="A678" s="940">
        <v>1774</v>
      </c>
      <c r="B678" s="940">
        <v>108</v>
      </c>
      <c r="C678" t="s">
        <v>675</v>
      </c>
      <c r="D678" s="940" t="s">
        <v>3630</v>
      </c>
      <c r="E678" t="s">
        <v>170</v>
      </c>
    </row>
    <row r="679" spans="1:5" x14ac:dyDescent="0.2">
      <c r="A679" s="940">
        <v>1782</v>
      </c>
      <c r="B679" s="940">
        <v>107</v>
      </c>
      <c r="C679" t="s">
        <v>675</v>
      </c>
      <c r="D679" s="940" t="s">
        <v>9818</v>
      </c>
      <c r="E679" t="s">
        <v>1363</v>
      </c>
    </row>
    <row r="680" spans="1:5" x14ac:dyDescent="0.2">
      <c r="A680" s="940">
        <v>2504</v>
      </c>
      <c r="B680" s="940">
        <v>47</v>
      </c>
      <c r="C680" t="s">
        <v>3631</v>
      </c>
      <c r="D680" s="940" t="s">
        <v>3054</v>
      </c>
      <c r="E680" t="s">
        <v>251</v>
      </c>
    </row>
    <row r="681" spans="1:5" x14ac:dyDescent="0.2">
      <c r="A681" s="940">
        <v>2514</v>
      </c>
      <c r="B681" s="940">
        <v>46</v>
      </c>
      <c r="C681" t="s">
        <v>3634</v>
      </c>
      <c r="D681" s="940" t="s">
        <v>2731</v>
      </c>
      <c r="E681" t="s">
        <v>3635</v>
      </c>
    </row>
    <row r="682" spans="1:5" x14ac:dyDescent="0.2">
      <c r="A682" s="940">
        <v>2691</v>
      </c>
      <c r="B682" s="940">
        <v>37</v>
      </c>
      <c r="C682" t="s">
        <v>3636</v>
      </c>
      <c r="D682" s="940" t="s">
        <v>3637</v>
      </c>
      <c r="E682" t="s">
        <v>105</v>
      </c>
    </row>
    <row r="683" spans="1:5" x14ac:dyDescent="0.2">
      <c r="A683" s="940">
        <v>2150</v>
      </c>
      <c r="B683" s="940">
        <v>73</v>
      </c>
      <c r="C683" t="s">
        <v>3638</v>
      </c>
      <c r="D683" s="940" t="s">
        <v>3639</v>
      </c>
      <c r="E683" t="s">
        <v>120</v>
      </c>
    </row>
    <row r="684" spans="1:5" x14ac:dyDescent="0.2">
      <c r="A684" s="940">
        <v>2409</v>
      </c>
      <c r="B684" s="940">
        <v>54</v>
      </c>
      <c r="C684" t="s">
        <v>9819</v>
      </c>
      <c r="D684" s="940" t="s">
        <v>9820</v>
      </c>
      <c r="E684" t="s">
        <v>1190</v>
      </c>
    </row>
    <row r="685" spans="1:5" x14ac:dyDescent="0.2">
      <c r="A685" s="940">
        <v>1543</v>
      </c>
      <c r="B685" s="940">
        <v>137</v>
      </c>
      <c r="C685" t="s">
        <v>1367</v>
      </c>
      <c r="D685" s="940" t="s">
        <v>3640</v>
      </c>
      <c r="E685" t="s">
        <v>113</v>
      </c>
    </row>
    <row r="686" spans="1:5" x14ac:dyDescent="0.2">
      <c r="A686" s="940">
        <v>3972</v>
      </c>
      <c r="B686" s="940">
        <v>3</v>
      </c>
      <c r="C686" t="s">
        <v>3643</v>
      </c>
      <c r="D686" s="940" t="s">
        <v>2827</v>
      </c>
      <c r="E686" t="s">
        <v>72</v>
      </c>
    </row>
    <row r="687" spans="1:5" x14ac:dyDescent="0.2">
      <c r="A687" s="940">
        <v>2592</v>
      </c>
      <c r="B687" s="940">
        <v>42</v>
      </c>
      <c r="C687" t="s">
        <v>9821</v>
      </c>
      <c r="D687" s="940" t="s">
        <v>3897</v>
      </c>
      <c r="E687" t="s">
        <v>1447</v>
      </c>
    </row>
    <row r="688" spans="1:5" x14ac:dyDescent="0.2">
      <c r="A688" s="940">
        <v>4294</v>
      </c>
      <c r="B688" s="940">
        <v>0</v>
      </c>
      <c r="C688" t="s">
        <v>9822</v>
      </c>
      <c r="D688" s="940" t="s">
        <v>5657</v>
      </c>
      <c r="E688" t="s">
        <v>105</v>
      </c>
    </row>
    <row r="689" spans="1:5" x14ac:dyDescent="0.2">
      <c r="A689" s="940">
        <v>4294</v>
      </c>
      <c r="B689" s="940">
        <v>0</v>
      </c>
      <c r="C689" t="s">
        <v>3644</v>
      </c>
      <c r="D689" s="940" t="s">
        <v>3645</v>
      </c>
      <c r="E689" t="s">
        <v>120</v>
      </c>
    </row>
    <row r="690" spans="1:5" x14ac:dyDescent="0.2">
      <c r="A690" s="940">
        <v>2207</v>
      </c>
      <c r="B690" s="940">
        <v>69</v>
      </c>
      <c r="C690" t="s">
        <v>3646</v>
      </c>
      <c r="D690" s="940" t="s">
        <v>3647</v>
      </c>
      <c r="E690" t="s">
        <v>3648</v>
      </c>
    </row>
    <row r="691" spans="1:5" x14ac:dyDescent="0.2">
      <c r="A691" s="940">
        <v>511</v>
      </c>
      <c r="B691" s="940">
        <v>537</v>
      </c>
      <c r="C691" t="s">
        <v>9823</v>
      </c>
      <c r="D691" s="940" t="s">
        <v>9824</v>
      </c>
      <c r="E691" t="s">
        <v>105</v>
      </c>
    </row>
    <row r="692" spans="1:5" x14ac:dyDescent="0.2">
      <c r="A692" s="940">
        <v>2286</v>
      </c>
      <c r="B692" s="940">
        <v>63</v>
      </c>
      <c r="C692" t="s">
        <v>3651</v>
      </c>
      <c r="D692" s="940" t="s">
        <v>3652</v>
      </c>
      <c r="E692" t="s">
        <v>1332</v>
      </c>
    </row>
    <row r="693" spans="1:5" x14ac:dyDescent="0.2">
      <c r="A693" s="940">
        <v>1714</v>
      </c>
      <c r="B693" s="940">
        <v>116</v>
      </c>
      <c r="C693" t="s">
        <v>9825</v>
      </c>
      <c r="D693" s="940" t="s">
        <v>9826</v>
      </c>
      <c r="E693" t="s">
        <v>103</v>
      </c>
    </row>
    <row r="694" spans="1:5" x14ac:dyDescent="0.2">
      <c r="A694" s="940">
        <v>3972</v>
      </c>
      <c r="B694" s="940">
        <v>3</v>
      </c>
      <c r="C694" t="s">
        <v>3653</v>
      </c>
      <c r="D694" s="940" t="s">
        <v>3654</v>
      </c>
      <c r="E694" t="s">
        <v>105</v>
      </c>
    </row>
    <row r="695" spans="1:5" x14ac:dyDescent="0.2">
      <c r="A695" s="940">
        <v>4294</v>
      </c>
      <c r="B695" s="940">
        <v>0</v>
      </c>
      <c r="C695" t="s">
        <v>3655</v>
      </c>
      <c r="D695" s="940" t="s">
        <v>3656</v>
      </c>
      <c r="E695" t="s">
        <v>99</v>
      </c>
    </row>
    <row r="696" spans="1:5" x14ac:dyDescent="0.2">
      <c r="A696" s="940">
        <v>2668</v>
      </c>
      <c r="B696" s="940">
        <v>38</v>
      </c>
      <c r="C696" t="s">
        <v>1368</v>
      </c>
      <c r="D696" s="940" t="s">
        <v>3657</v>
      </c>
      <c r="E696" t="s">
        <v>119</v>
      </c>
    </row>
    <row r="697" spans="1:5" x14ac:dyDescent="0.2">
      <c r="A697" s="940">
        <v>4294</v>
      </c>
      <c r="B697" s="940">
        <v>0</v>
      </c>
      <c r="C697" t="s">
        <v>9827</v>
      </c>
      <c r="D697" s="940" t="s">
        <v>8166</v>
      </c>
      <c r="E697" t="s">
        <v>105</v>
      </c>
    </row>
    <row r="698" spans="1:5" x14ac:dyDescent="0.2">
      <c r="A698" s="940">
        <v>1852</v>
      </c>
      <c r="B698" s="940">
        <v>100</v>
      </c>
      <c r="C698" t="s">
        <v>9828</v>
      </c>
      <c r="D698" s="940" t="s">
        <v>9829</v>
      </c>
      <c r="E698" t="s">
        <v>129</v>
      </c>
    </row>
    <row r="699" spans="1:5" x14ac:dyDescent="0.2">
      <c r="A699" s="940">
        <v>4294</v>
      </c>
      <c r="B699" s="940">
        <v>0</v>
      </c>
      <c r="C699" t="s">
        <v>3660</v>
      </c>
      <c r="D699" s="940" t="s">
        <v>3661</v>
      </c>
      <c r="E699" t="s">
        <v>614</v>
      </c>
    </row>
    <row r="700" spans="1:5" x14ac:dyDescent="0.2">
      <c r="A700" s="940">
        <v>4294</v>
      </c>
      <c r="B700" s="940">
        <v>0</v>
      </c>
      <c r="C700" t="s">
        <v>9830</v>
      </c>
      <c r="D700" s="940" t="s">
        <v>9831</v>
      </c>
      <c r="E700" t="s">
        <v>1290</v>
      </c>
    </row>
    <row r="701" spans="1:5" x14ac:dyDescent="0.2">
      <c r="A701" s="940">
        <v>4081</v>
      </c>
      <c r="B701" s="940">
        <v>2</v>
      </c>
      <c r="C701" t="s">
        <v>3662</v>
      </c>
      <c r="D701" s="940" t="s">
        <v>3663</v>
      </c>
      <c r="E701" t="s">
        <v>120</v>
      </c>
    </row>
    <row r="702" spans="1:5" x14ac:dyDescent="0.2">
      <c r="A702" s="940">
        <v>1852</v>
      </c>
      <c r="B702" s="940">
        <v>100</v>
      </c>
      <c r="C702" t="s">
        <v>3664</v>
      </c>
      <c r="D702" s="940" t="s">
        <v>3665</v>
      </c>
      <c r="E702" t="s">
        <v>170</v>
      </c>
    </row>
    <row r="703" spans="1:5" x14ac:dyDescent="0.2">
      <c r="A703" s="940">
        <v>4294</v>
      </c>
      <c r="B703" s="940">
        <v>0</v>
      </c>
      <c r="C703" t="s">
        <v>3668</v>
      </c>
      <c r="D703" s="940" t="s">
        <v>3202</v>
      </c>
      <c r="E703" t="s">
        <v>1182</v>
      </c>
    </row>
    <row r="704" spans="1:5" x14ac:dyDescent="0.2">
      <c r="A704" s="940">
        <v>4294</v>
      </c>
      <c r="B704" s="940">
        <v>0</v>
      </c>
      <c r="C704" t="s">
        <v>3669</v>
      </c>
      <c r="D704" s="940" t="s">
        <v>3670</v>
      </c>
      <c r="E704" t="s">
        <v>120</v>
      </c>
    </row>
    <row r="705" spans="1:5" x14ac:dyDescent="0.2">
      <c r="A705" s="940">
        <v>2592</v>
      </c>
      <c r="B705" s="940">
        <v>42</v>
      </c>
      <c r="C705" t="s">
        <v>9832</v>
      </c>
      <c r="D705" s="940" t="s">
        <v>2680</v>
      </c>
      <c r="E705" t="s">
        <v>105</v>
      </c>
    </row>
    <row r="706" spans="1:5" x14ac:dyDescent="0.2">
      <c r="A706" s="940">
        <v>1301</v>
      </c>
      <c r="B706" s="940">
        <v>184</v>
      </c>
      <c r="C706" t="s">
        <v>9833</v>
      </c>
      <c r="D706" s="940" t="s">
        <v>9834</v>
      </c>
      <c r="E706" t="s">
        <v>9835</v>
      </c>
    </row>
    <row r="707" spans="1:5" x14ac:dyDescent="0.2">
      <c r="A707" s="940">
        <v>2067</v>
      </c>
      <c r="B707" s="940">
        <v>80</v>
      </c>
      <c r="C707" t="s">
        <v>3674</v>
      </c>
      <c r="D707" s="940" t="s">
        <v>3675</v>
      </c>
      <c r="E707" t="s">
        <v>1170</v>
      </c>
    </row>
    <row r="708" spans="1:5" x14ac:dyDescent="0.2">
      <c r="A708" s="940">
        <v>1434</v>
      </c>
      <c r="B708" s="940">
        <v>157</v>
      </c>
      <c r="C708" t="s">
        <v>1369</v>
      </c>
      <c r="D708" s="940" t="s">
        <v>3676</v>
      </c>
      <c r="E708" t="s">
        <v>1162</v>
      </c>
    </row>
    <row r="709" spans="1:5" x14ac:dyDescent="0.2">
      <c r="A709" s="940">
        <v>4181</v>
      </c>
      <c r="B709" s="940">
        <v>1</v>
      </c>
      <c r="C709" t="s">
        <v>3677</v>
      </c>
      <c r="D709" s="940" t="s">
        <v>3678</v>
      </c>
      <c r="E709" t="s">
        <v>120</v>
      </c>
    </row>
    <row r="710" spans="1:5" x14ac:dyDescent="0.2">
      <c r="A710" s="940">
        <v>1434</v>
      </c>
      <c r="B710" s="940">
        <v>157</v>
      </c>
      <c r="C710" t="s">
        <v>1370</v>
      </c>
      <c r="D710" s="940" t="s">
        <v>3679</v>
      </c>
      <c r="E710" t="s">
        <v>120</v>
      </c>
    </row>
    <row r="711" spans="1:5" x14ac:dyDescent="0.2">
      <c r="A711" s="940">
        <v>2745</v>
      </c>
      <c r="B711" s="940">
        <v>35</v>
      </c>
      <c r="C711" t="s">
        <v>9836</v>
      </c>
      <c r="D711" s="940" t="s">
        <v>9837</v>
      </c>
      <c r="E711" t="s">
        <v>103</v>
      </c>
    </row>
    <row r="712" spans="1:5" x14ac:dyDescent="0.2">
      <c r="A712" s="940">
        <v>777</v>
      </c>
      <c r="B712" s="940">
        <v>372</v>
      </c>
      <c r="C712" t="s">
        <v>1371</v>
      </c>
      <c r="D712" s="940" t="s">
        <v>3682</v>
      </c>
      <c r="E712" t="s">
        <v>1200</v>
      </c>
    </row>
    <row r="713" spans="1:5" x14ac:dyDescent="0.2">
      <c r="A713" s="940">
        <v>3446</v>
      </c>
      <c r="B713" s="940">
        <v>11</v>
      </c>
      <c r="C713" t="s">
        <v>3683</v>
      </c>
      <c r="D713" s="940" t="s">
        <v>3684</v>
      </c>
      <c r="E713" t="s">
        <v>179</v>
      </c>
    </row>
    <row r="714" spans="1:5" x14ac:dyDescent="0.2">
      <c r="A714" s="940">
        <v>1912</v>
      </c>
      <c r="B714" s="940">
        <v>94</v>
      </c>
      <c r="C714" t="s">
        <v>3685</v>
      </c>
      <c r="D714" s="940" t="s">
        <v>3686</v>
      </c>
      <c r="E714" t="s">
        <v>3687</v>
      </c>
    </row>
    <row r="715" spans="1:5" x14ac:dyDescent="0.2">
      <c r="A715" s="940">
        <v>3136</v>
      </c>
      <c r="B715" s="940">
        <v>19</v>
      </c>
      <c r="C715" t="s">
        <v>3688</v>
      </c>
      <c r="D715" s="940" t="s">
        <v>3689</v>
      </c>
      <c r="E715" t="s">
        <v>99</v>
      </c>
    </row>
    <row r="716" spans="1:5" x14ac:dyDescent="0.2">
      <c r="A716" s="940">
        <v>1208</v>
      </c>
      <c r="B716" s="940">
        <v>206</v>
      </c>
      <c r="C716" t="s">
        <v>9838</v>
      </c>
      <c r="D716" s="940" t="s">
        <v>9839</v>
      </c>
      <c r="E716" t="s">
        <v>105</v>
      </c>
    </row>
    <row r="717" spans="1:5" x14ac:dyDescent="0.2">
      <c r="A717" s="940">
        <v>3655</v>
      </c>
      <c r="B717" s="940">
        <v>7</v>
      </c>
      <c r="C717" t="s">
        <v>9840</v>
      </c>
      <c r="D717" s="940" t="s">
        <v>9841</v>
      </c>
      <c r="E717" t="s">
        <v>105</v>
      </c>
    </row>
    <row r="718" spans="1:5" x14ac:dyDescent="0.2">
      <c r="A718" s="940">
        <v>4294</v>
      </c>
      <c r="B718" s="940">
        <v>0</v>
      </c>
      <c r="C718" t="s">
        <v>3690</v>
      </c>
      <c r="D718" s="940" t="s">
        <v>3691</v>
      </c>
      <c r="E718" t="s">
        <v>105</v>
      </c>
    </row>
    <row r="719" spans="1:5" x14ac:dyDescent="0.2">
      <c r="A719" s="940">
        <v>78</v>
      </c>
      <c r="B719" s="940">
        <v>1181</v>
      </c>
      <c r="C719" t="s">
        <v>3692</v>
      </c>
      <c r="D719" s="940" t="s">
        <v>3693</v>
      </c>
      <c r="E719" t="s">
        <v>105</v>
      </c>
    </row>
    <row r="720" spans="1:5" x14ac:dyDescent="0.2">
      <c r="A720" s="940">
        <v>1169</v>
      </c>
      <c r="B720" s="940">
        <v>220</v>
      </c>
      <c r="C720" t="s">
        <v>3692</v>
      </c>
      <c r="D720" s="940" t="s">
        <v>9842</v>
      </c>
      <c r="E720" t="s">
        <v>2913</v>
      </c>
    </row>
    <row r="721" spans="1:5" x14ac:dyDescent="0.2">
      <c r="A721" s="940">
        <v>4294</v>
      </c>
      <c r="B721" s="940">
        <v>0</v>
      </c>
      <c r="C721" t="s">
        <v>9843</v>
      </c>
      <c r="D721" s="940" t="s">
        <v>9844</v>
      </c>
      <c r="E721" t="s">
        <v>9845</v>
      </c>
    </row>
    <row r="722" spans="1:5" x14ac:dyDescent="0.2">
      <c r="A722" s="940">
        <v>4294</v>
      </c>
      <c r="B722" s="940">
        <v>0</v>
      </c>
      <c r="C722" t="s">
        <v>9846</v>
      </c>
      <c r="D722" s="940" t="s">
        <v>9847</v>
      </c>
      <c r="E722" t="s">
        <v>133</v>
      </c>
    </row>
    <row r="723" spans="1:5" x14ac:dyDescent="0.2">
      <c r="A723" s="940">
        <v>2029</v>
      </c>
      <c r="B723" s="940">
        <v>83</v>
      </c>
      <c r="C723" t="s">
        <v>3694</v>
      </c>
      <c r="D723" s="940" t="s">
        <v>3695</v>
      </c>
      <c r="E723" t="s">
        <v>105</v>
      </c>
    </row>
    <row r="724" spans="1:5" x14ac:dyDescent="0.2">
      <c r="A724" s="940">
        <v>1651</v>
      </c>
      <c r="B724" s="940">
        <v>122</v>
      </c>
      <c r="C724" t="s">
        <v>181</v>
      </c>
      <c r="D724" s="940" t="s">
        <v>3697</v>
      </c>
      <c r="E724" t="s">
        <v>1214</v>
      </c>
    </row>
    <row r="725" spans="1:5" x14ac:dyDescent="0.2">
      <c r="A725" s="940">
        <v>251</v>
      </c>
      <c r="B725" s="940">
        <v>834</v>
      </c>
      <c r="C725" t="s">
        <v>9848</v>
      </c>
      <c r="D725" s="940" t="s">
        <v>9849</v>
      </c>
      <c r="E725" t="s">
        <v>171</v>
      </c>
    </row>
    <row r="726" spans="1:5" x14ac:dyDescent="0.2">
      <c r="A726" s="940">
        <v>1323</v>
      </c>
      <c r="B726" s="940">
        <v>178</v>
      </c>
      <c r="C726" t="s">
        <v>3698</v>
      </c>
      <c r="D726" s="940" t="s">
        <v>3699</v>
      </c>
      <c r="E726" t="s">
        <v>99</v>
      </c>
    </row>
    <row r="727" spans="1:5" x14ac:dyDescent="0.2">
      <c r="A727" s="940">
        <v>70</v>
      </c>
      <c r="B727" s="940">
        <v>1211</v>
      </c>
      <c r="C727" t="s">
        <v>3700</v>
      </c>
      <c r="D727" s="940" t="s">
        <v>3701</v>
      </c>
      <c r="E727" t="s">
        <v>74</v>
      </c>
    </row>
    <row r="728" spans="1:5" x14ac:dyDescent="0.2">
      <c r="A728" s="940">
        <v>3107</v>
      </c>
      <c r="B728" s="940">
        <v>20</v>
      </c>
      <c r="C728" t="s">
        <v>3702</v>
      </c>
      <c r="D728" s="940" t="s">
        <v>3703</v>
      </c>
      <c r="E728" t="s">
        <v>3704</v>
      </c>
    </row>
    <row r="729" spans="1:5" x14ac:dyDescent="0.2">
      <c r="A729" s="940">
        <v>1092</v>
      </c>
      <c r="B729" s="940">
        <v>244</v>
      </c>
      <c r="C729" t="s">
        <v>3705</v>
      </c>
      <c r="D729" s="940" t="s">
        <v>3706</v>
      </c>
      <c r="E729" t="s">
        <v>2880</v>
      </c>
    </row>
    <row r="730" spans="1:5" x14ac:dyDescent="0.2">
      <c r="A730" s="940">
        <v>1268</v>
      </c>
      <c r="B730" s="940">
        <v>191</v>
      </c>
      <c r="C730" t="s">
        <v>1373</v>
      </c>
      <c r="D730" s="940" t="s">
        <v>3454</v>
      </c>
      <c r="E730" t="s">
        <v>1374</v>
      </c>
    </row>
    <row r="731" spans="1:5" x14ac:dyDescent="0.2">
      <c r="A731" s="940">
        <v>3358</v>
      </c>
      <c r="B731" s="940">
        <v>13</v>
      </c>
      <c r="C731" t="s">
        <v>3710</v>
      </c>
      <c r="D731" s="940" t="s">
        <v>3358</v>
      </c>
      <c r="E731" t="s">
        <v>863</v>
      </c>
    </row>
    <row r="732" spans="1:5" x14ac:dyDescent="0.2">
      <c r="A732" s="940">
        <v>3545</v>
      </c>
      <c r="B732" s="940">
        <v>9</v>
      </c>
      <c r="C732" t="s">
        <v>3711</v>
      </c>
      <c r="D732" s="940" t="s">
        <v>3712</v>
      </c>
      <c r="E732" t="s">
        <v>105</v>
      </c>
    </row>
    <row r="733" spans="1:5" x14ac:dyDescent="0.2">
      <c r="A733" s="940">
        <v>1651</v>
      </c>
      <c r="B733" s="940">
        <v>122</v>
      </c>
      <c r="C733" t="s">
        <v>3713</v>
      </c>
      <c r="D733" s="940" t="s">
        <v>3714</v>
      </c>
      <c r="E733" t="s">
        <v>3715</v>
      </c>
    </row>
    <row r="734" spans="1:5" x14ac:dyDescent="0.2">
      <c r="A734" s="940">
        <v>339</v>
      </c>
      <c r="B734" s="940">
        <v>712</v>
      </c>
      <c r="C734" t="s">
        <v>3716</v>
      </c>
      <c r="D734" s="940" t="s">
        <v>3717</v>
      </c>
      <c r="E734" t="s">
        <v>130</v>
      </c>
    </row>
    <row r="735" spans="1:5" x14ac:dyDescent="0.2">
      <c r="A735" s="940">
        <v>1439</v>
      </c>
      <c r="B735" s="940">
        <v>156</v>
      </c>
      <c r="C735" t="s">
        <v>9850</v>
      </c>
      <c r="D735" s="940" t="s">
        <v>9851</v>
      </c>
      <c r="E735" t="s">
        <v>104</v>
      </c>
    </row>
    <row r="736" spans="1:5" x14ac:dyDescent="0.2">
      <c r="A736" s="940">
        <v>3655</v>
      </c>
      <c r="B736" s="940">
        <v>7</v>
      </c>
      <c r="C736" t="s">
        <v>9852</v>
      </c>
      <c r="D736" s="940" t="s">
        <v>4215</v>
      </c>
      <c r="E736" t="s">
        <v>117</v>
      </c>
    </row>
    <row r="737" spans="1:5" x14ac:dyDescent="0.2">
      <c r="A737" s="940">
        <v>4294</v>
      </c>
      <c r="B737" s="940">
        <v>0</v>
      </c>
      <c r="C737" t="s">
        <v>3720</v>
      </c>
      <c r="D737" s="940" t="s">
        <v>3047</v>
      </c>
      <c r="E737" t="s">
        <v>1182</v>
      </c>
    </row>
    <row r="738" spans="1:5" x14ac:dyDescent="0.2">
      <c r="A738" s="940">
        <v>1499</v>
      </c>
      <c r="B738" s="940">
        <v>144</v>
      </c>
      <c r="C738" t="s">
        <v>1375</v>
      </c>
      <c r="D738" s="940" t="s">
        <v>3721</v>
      </c>
      <c r="E738" t="s">
        <v>138</v>
      </c>
    </row>
    <row r="739" spans="1:5" x14ac:dyDescent="0.2">
      <c r="A739" s="940">
        <v>2396</v>
      </c>
      <c r="B739" s="940">
        <v>55</v>
      </c>
      <c r="C739" t="s">
        <v>3722</v>
      </c>
      <c r="D739" s="940" t="s">
        <v>3723</v>
      </c>
      <c r="E739" t="s">
        <v>179</v>
      </c>
    </row>
    <row r="740" spans="1:5" x14ac:dyDescent="0.2">
      <c r="A740" s="940">
        <v>4294</v>
      </c>
      <c r="B740" s="940">
        <v>0</v>
      </c>
      <c r="C740" t="s">
        <v>3725</v>
      </c>
      <c r="D740" s="940" t="s">
        <v>3726</v>
      </c>
      <c r="E740" t="s">
        <v>3727</v>
      </c>
    </row>
    <row r="741" spans="1:5" x14ac:dyDescent="0.2">
      <c r="A741" s="940">
        <v>2298</v>
      </c>
      <c r="B741" s="940">
        <v>62</v>
      </c>
      <c r="C741" t="s">
        <v>677</v>
      </c>
      <c r="D741" s="940" t="s">
        <v>6832</v>
      </c>
      <c r="E741" t="s">
        <v>164</v>
      </c>
    </row>
    <row r="742" spans="1:5" x14ac:dyDescent="0.2">
      <c r="A742" s="940">
        <v>1641</v>
      </c>
      <c r="B742" s="940">
        <v>123</v>
      </c>
      <c r="C742" t="s">
        <v>9853</v>
      </c>
      <c r="D742" s="940" t="s">
        <v>9854</v>
      </c>
      <c r="E742" t="s">
        <v>1168</v>
      </c>
    </row>
    <row r="743" spans="1:5" x14ac:dyDescent="0.2">
      <c r="A743" s="940">
        <v>3655</v>
      </c>
      <c r="B743" s="940">
        <v>7</v>
      </c>
      <c r="C743" t="s">
        <v>3730</v>
      </c>
      <c r="D743" s="940" t="s">
        <v>3731</v>
      </c>
      <c r="E743" t="s">
        <v>1584</v>
      </c>
    </row>
    <row r="744" spans="1:5" x14ac:dyDescent="0.2">
      <c r="A744" s="940">
        <v>3882</v>
      </c>
      <c r="B744" s="940">
        <v>4</v>
      </c>
      <c r="C744" t="s">
        <v>9855</v>
      </c>
      <c r="D744" s="940" t="s">
        <v>3609</v>
      </c>
      <c r="E744" t="s">
        <v>128</v>
      </c>
    </row>
    <row r="745" spans="1:5" x14ac:dyDescent="0.2">
      <c r="A745" s="940">
        <v>2630</v>
      </c>
      <c r="B745" s="940">
        <v>40</v>
      </c>
      <c r="C745" t="s">
        <v>9856</v>
      </c>
      <c r="D745" s="940" t="s">
        <v>9857</v>
      </c>
      <c r="E745" t="s">
        <v>83</v>
      </c>
    </row>
    <row r="746" spans="1:5" x14ac:dyDescent="0.2">
      <c r="A746" s="940">
        <v>4</v>
      </c>
      <c r="B746" s="940">
        <v>1632</v>
      </c>
      <c r="C746" t="s">
        <v>3734</v>
      </c>
      <c r="D746" s="940" t="s">
        <v>3735</v>
      </c>
      <c r="E746" t="s">
        <v>113</v>
      </c>
    </row>
    <row r="747" spans="1:5" x14ac:dyDescent="0.2">
      <c r="A747" s="940">
        <v>4294</v>
      </c>
      <c r="B747" s="940">
        <v>0</v>
      </c>
      <c r="C747" t="s">
        <v>3736</v>
      </c>
      <c r="D747" s="940" t="s">
        <v>3737</v>
      </c>
      <c r="E747" t="s">
        <v>1939</v>
      </c>
    </row>
    <row r="748" spans="1:5" x14ac:dyDescent="0.2">
      <c r="A748" s="940">
        <v>4294</v>
      </c>
      <c r="B748" s="940">
        <v>0</v>
      </c>
      <c r="C748" t="s">
        <v>3738</v>
      </c>
      <c r="D748" s="940" t="s">
        <v>3739</v>
      </c>
      <c r="E748" t="s">
        <v>1236</v>
      </c>
    </row>
    <row r="749" spans="1:5" x14ac:dyDescent="0.2">
      <c r="A749" s="940">
        <v>1161</v>
      </c>
      <c r="B749" s="940">
        <v>222</v>
      </c>
      <c r="C749" t="s">
        <v>3740</v>
      </c>
      <c r="D749" s="940" t="s">
        <v>3741</v>
      </c>
      <c r="E749" t="s">
        <v>2880</v>
      </c>
    </row>
    <row r="750" spans="1:5" x14ac:dyDescent="0.2">
      <c r="A750" s="940">
        <v>4081</v>
      </c>
      <c r="B750" s="940">
        <v>2</v>
      </c>
      <c r="C750" t="s">
        <v>9858</v>
      </c>
      <c r="D750" s="940" t="s">
        <v>8013</v>
      </c>
      <c r="E750" t="s">
        <v>129</v>
      </c>
    </row>
    <row r="751" spans="1:5" x14ac:dyDescent="0.2">
      <c r="A751" s="940">
        <v>3358</v>
      </c>
      <c r="B751" s="940">
        <v>13</v>
      </c>
      <c r="C751" t="s">
        <v>9859</v>
      </c>
      <c r="D751" s="940" t="s">
        <v>2991</v>
      </c>
      <c r="E751" t="s">
        <v>9860</v>
      </c>
    </row>
    <row r="752" spans="1:5" x14ac:dyDescent="0.2">
      <c r="A752" s="940">
        <v>2980</v>
      </c>
      <c r="B752" s="940">
        <v>24</v>
      </c>
      <c r="C752" t="s">
        <v>9861</v>
      </c>
      <c r="D752" s="940" t="s">
        <v>3082</v>
      </c>
      <c r="E752" t="s">
        <v>144</v>
      </c>
    </row>
    <row r="753" spans="1:5" x14ac:dyDescent="0.2">
      <c r="A753" s="940">
        <v>4081</v>
      </c>
      <c r="B753" s="940">
        <v>2</v>
      </c>
      <c r="C753" t="s">
        <v>3744</v>
      </c>
      <c r="D753" s="940" t="s">
        <v>3745</v>
      </c>
      <c r="E753" t="s">
        <v>1436</v>
      </c>
    </row>
    <row r="754" spans="1:5" x14ac:dyDescent="0.2">
      <c r="A754" s="940">
        <v>4294</v>
      </c>
      <c r="B754" s="940">
        <v>0</v>
      </c>
      <c r="C754" t="s">
        <v>3748</v>
      </c>
      <c r="D754" s="940" t="s">
        <v>3749</v>
      </c>
      <c r="E754" t="s">
        <v>179</v>
      </c>
    </row>
    <row r="755" spans="1:5" x14ac:dyDescent="0.2">
      <c r="A755" s="940">
        <v>308</v>
      </c>
      <c r="B755" s="940">
        <v>759</v>
      </c>
      <c r="C755" t="s">
        <v>1382</v>
      </c>
      <c r="D755" s="940" t="s">
        <v>3750</v>
      </c>
      <c r="E755" t="s">
        <v>163</v>
      </c>
    </row>
    <row r="756" spans="1:5" x14ac:dyDescent="0.2">
      <c r="A756" s="940">
        <v>2168</v>
      </c>
      <c r="B756" s="940">
        <v>72</v>
      </c>
      <c r="C756" t="s">
        <v>807</v>
      </c>
      <c r="D756" s="940" t="s">
        <v>3751</v>
      </c>
      <c r="E756" t="s">
        <v>163</v>
      </c>
    </row>
    <row r="757" spans="1:5" x14ac:dyDescent="0.2">
      <c r="A757" s="940">
        <v>1403</v>
      </c>
      <c r="B757" s="940">
        <v>161</v>
      </c>
      <c r="C757" t="s">
        <v>1383</v>
      </c>
      <c r="D757" s="940" t="s">
        <v>3752</v>
      </c>
      <c r="E757" t="s">
        <v>120</v>
      </c>
    </row>
    <row r="758" spans="1:5" x14ac:dyDescent="0.2">
      <c r="A758" s="940">
        <v>1259</v>
      </c>
      <c r="B758" s="940">
        <v>192</v>
      </c>
      <c r="C758" t="s">
        <v>808</v>
      </c>
      <c r="D758" s="940" t="s">
        <v>3753</v>
      </c>
      <c r="E758" t="s">
        <v>110</v>
      </c>
    </row>
    <row r="759" spans="1:5" x14ac:dyDescent="0.2">
      <c r="A759" s="940">
        <v>4294</v>
      </c>
      <c r="B759" s="940">
        <v>0</v>
      </c>
      <c r="C759" t="s">
        <v>808</v>
      </c>
      <c r="D759" s="940" t="s">
        <v>4651</v>
      </c>
      <c r="E759" t="s">
        <v>1460</v>
      </c>
    </row>
    <row r="760" spans="1:5" x14ac:dyDescent="0.2">
      <c r="A760" s="940">
        <v>2486</v>
      </c>
      <c r="B760" s="940">
        <v>48</v>
      </c>
      <c r="C760" t="s">
        <v>3754</v>
      </c>
      <c r="D760" s="940" t="s">
        <v>3755</v>
      </c>
      <c r="E760" t="s">
        <v>111</v>
      </c>
    </row>
    <row r="761" spans="1:5" x14ac:dyDescent="0.2">
      <c r="A761" s="940">
        <v>3323</v>
      </c>
      <c r="B761" s="940">
        <v>14</v>
      </c>
      <c r="C761" t="s">
        <v>9862</v>
      </c>
      <c r="D761" s="940" t="s">
        <v>9863</v>
      </c>
      <c r="E761" t="s">
        <v>120</v>
      </c>
    </row>
    <row r="762" spans="1:5" x14ac:dyDescent="0.2">
      <c r="A762" s="940">
        <v>2124</v>
      </c>
      <c r="B762" s="940">
        <v>75</v>
      </c>
      <c r="C762" t="s">
        <v>450</v>
      </c>
      <c r="D762" s="940" t="s">
        <v>9864</v>
      </c>
      <c r="E762" t="s">
        <v>1214</v>
      </c>
    </row>
    <row r="763" spans="1:5" x14ac:dyDescent="0.2">
      <c r="A763" s="940">
        <v>2668</v>
      </c>
      <c r="B763" s="940">
        <v>38</v>
      </c>
      <c r="C763" t="s">
        <v>9865</v>
      </c>
      <c r="D763" s="940" t="s">
        <v>9866</v>
      </c>
      <c r="E763" t="s">
        <v>110</v>
      </c>
    </row>
    <row r="764" spans="1:5" x14ac:dyDescent="0.2">
      <c r="A764" s="940">
        <v>4294</v>
      </c>
      <c r="B764" s="940">
        <v>0</v>
      </c>
      <c r="C764" t="s">
        <v>9865</v>
      </c>
      <c r="D764" s="940" t="s">
        <v>9867</v>
      </c>
      <c r="E764" t="s">
        <v>105</v>
      </c>
    </row>
    <row r="765" spans="1:5" x14ac:dyDescent="0.2">
      <c r="A765" s="940">
        <v>1774</v>
      </c>
      <c r="B765" s="940">
        <v>108</v>
      </c>
      <c r="C765" t="s">
        <v>9868</v>
      </c>
      <c r="D765" s="940" t="s">
        <v>9169</v>
      </c>
      <c r="E765" t="s">
        <v>105</v>
      </c>
    </row>
    <row r="766" spans="1:5" x14ac:dyDescent="0.2">
      <c r="A766" s="940">
        <v>3136</v>
      </c>
      <c r="B766" s="940">
        <v>19</v>
      </c>
      <c r="C766" t="s">
        <v>3756</v>
      </c>
      <c r="D766" s="940" t="s">
        <v>3757</v>
      </c>
      <c r="E766" t="s">
        <v>246</v>
      </c>
    </row>
    <row r="767" spans="1:5" x14ac:dyDescent="0.2">
      <c r="A767" s="940">
        <v>1651</v>
      </c>
      <c r="B767" s="940">
        <v>122</v>
      </c>
      <c r="C767" t="s">
        <v>3758</v>
      </c>
      <c r="D767" s="940" t="s">
        <v>2927</v>
      </c>
      <c r="E767" t="s">
        <v>2880</v>
      </c>
    </row>
    <row r="768" spans="1:5" x14ac:dyDescent="0.2">
      <c r="A768" s="940">
        <v>1194</v>
      </c>
      <c r="B768" s="940">
        <v>213</v>
      </c>
      <c r="C768" t="s">
        <v>3760</v>
      </c>
      <c r="D768" s="940" t="s">
        <v>3761</v>
      </c>
      <c r="E768" t="s">
        <v>120</v>
      </c>
    </row>
    <row r="769" spans="1:5" x14ac:dyDescent="0.2">
      <c r="A769" s="940">
        <v>2434</v>
      </c>
      <c r="B769" s="940">
        <v>52</v>
      </c>
      <c r="C769" t="s">
        <v>1388</v>
      </c>
      <c r="D769" s="940" t="s">
        <v>3762</v>
      </c>
      <c r="E769" t="s">
        <v>1200</v>
      </c>
    </row>
    <row r="770" spans="1:5" x14ac:dyDescent="0.2">
      <c r="A770" s="940">
        <v>3882</v>
      </c>
      <c r="B770" s="940">
        <v>4</v>
      </c>
      <c r="C770" t="s">
        <v>9869</v>
      </c>
      <c r="D770" s="940" t="s">
        <v>6997</v>
      </c>
      <c r="E770" t="s">
        <v>72</v>
      </c>
    </row>
    <row r="771" spans="1:5" x14ac:dyDescent="0.2">
      <c r="A771" s="940">
        <v>2379</v>
      </c>
      <c r="B771" s="940">
        <v>56</v>
      </c>
      <c r="C771" t="s">
        <v>3763</v>
      </c>
      <c r="D771" s="940" t="s">
        <v>3764</v>
      </c>
      <c r="E771" t="s">
        <v>1158</v>
      </c>
    </row>
    <row r="772" spans="1:5" x14ac:dyDescent="0.2">
      <c r="A772" s="940">
        <v>4294</v>
      </c>
      <c r="B772" s="940">
        <v>0</v>
      </c>
      <c r="C772" t="s">
        <v>3767</v>
      </c>
      <c r="D772" s="940" t="s">
        <v>2854</v>
      </c>
      <c r="E772" t="s">
        <v>117</v>
      </c>
    </row>
    <row r="773" spans="1:5" x14ac:dyDescent="0.2">
      <c r="A773" s="940">
        <v>4294</v>
      </c>
      <c r="B773" s="940">
        <v>0</v>
      </c>
      <c r="C773" t="s">
        <v>9870</v>
      </c>
      <c r="D773" s="940" t="s">
        <v>6476</v>
      </c>
      <c r="E773" t="s">
        <v>1423</v>
      </c>
    </row>
    <row r="774" spans="1:5" x14ac:dyDescent="0.2">
      <c r="A774" s="940">
        <v>1301</v>
      </c>
      <c r="B774" s="940">
        <v>184</v>
      </c>
      <c r="C774" t="s">
        <v>3768</v>
      </c>
      <c r="D774" s="940" t="s">
        <v>3769</v>
      </c>
      <c r="E774" t="s">
        <v>113</v>
      </c>
    </row>
    <row r="775" spans="1:5" x14ac:dyDescent="0.2">
      <c r="A775" s="940">
        <v>36</v>
      </c>
      <c r="B775" s="940">
        <v>1385</v>
      </c>
      <c r="C775" t="s">
        <v>3770</v>
      </c>
      <c r="D775" s="940" t="s">
        <v>3771</v>
      </c>
      <c r="E775" t="s">
        <v>166</v>
      </c>
    </row>
    <row r="776" spans="1:5" x14ac:dyDescent="0.2">
      <c r="A776" s="940">
        <v>1826</v>
      </c>
      <c r="B776" s="940">
        <v>102</v>
      </c>
      <c r="C776" t="s">
        <v>9871</v>
      </c>
      <c r="D776" s="940" t="s">
        <v>5764</v>
      </c>
      <c r="E776" t="s">
        <v>1211</v>
      </c>
    </row>
    <row r="777" spans="1:5" x14ac:dyDescent="0.2">
      <c r="A777" s="940">
        <v>3250</v>
      </c>
      <c r="B777" s="940">
        <v>16</v>
      </c>
      <c r="C777" t="s">
        <v>3772</v>
      </c>
      <c r="D777" s="940" t="s">
        <v>3773</v>
      </c>
      <c r="E777" t="s">
        <v>165</v>
      </c>
    </row>
    <row r="778" spans="1:5" x14ac:dyDescent="0.2">
      <c r="A778" s="940">
        <v>4294</v>
      </c>
      <c r="B778" s="940">
        <v>0</v>
      </c>
      <c r="C778" t="s">
        <v>3774</v>
      </c>
      <c r="D778" s="940" t="s">
        <v>3775</v>
      </c>
      <c r="E778" t="s">
        <v>165</v>
      </c>
    </row>
    <row r="779" spans="1:5" x14ac:dyDescent="0.2">
      <c r="A779" s="940">
        <v>3250</v>
      </c>
      <c r="B779" s="940">
        <v>16</v>
      </c>
      <c r="C779" t="s">
        <v>452</v>
      </c>
      <c r="D779" s="940" t="s">
        <v>5096</v>
      </c>
      <c r="E779" t="s">
        <v>83</v>
      </c>
    </row>
    <row r="780" spans="1:5" x14ac:dyDescent="0.2">
      <c r="A780" s="940">
        <v>4081</v>
      </c>
      <c r="B780" s="940">
        <v>2</v>
      </c>
      <c r="C780" t="s">
        <v>9872</v>
      </c>
      <c r="D780" s="940" t="s">
        <v>3745</v>
      </c>
      <c r="E780" t="s">
        <v>2984</v>
      </c>
    </row>
    <row r="781" spans="1:5" x14ac:dyDescent="0.2">
      <c r="A781" s="940">
        <v>3174</v>
      </c>
      <c r="B781" s="940">
        <v>18</v>
      </c>
      <c r="C781" t="s">
        <v>9873</v>
      </c>
      <c r="D781" s="940" t="s">
        <v>3970</v>
      </c>
      <c r="E781" t="s">
        <v>2237</v>
      </c>
    </row>
    <row r="782" spans="1:5" x14ac:dyDescent="0.2">
      <c r="A782" s="940">
        <v>2962</v>
      </c>
      <c r="B782" s="940">
        <v>25</v>
      </c>
      <c r="C782" t="s">
        <v>9874</v>
      </c>
      <c r="D782" s="940" t="s">
        <v>9875</v>
      </c>
      <c r="E782" t="s">
        <v>128</v>
      </c>
    </row>
    <row r="783" spans="1:5" x14ac:dyDescent="0.2">
      <c r="A783" s="940">
        <v>229</v>
      </c>
      <c r="B783" s="940">
        <v>870</v>
      </c>
      <c r="C783" t="s">
        <v>3782</v>
      </c>
      <c r="D783" s="940" t="s">
        <v>3783</v>
      </c>
      <c r="E783" t="s">
        <v>120</v>
      </c>
    </row>
    <row r="784" spans="1:5" x14ac:dyDescent="0.2">
      <c r="A784" s="940">
        <v>2014</v>
      </c>
      <c r="B784" s="940">
        <v>84</v>
      </c>
      <c r="C784" t="s">
        <v>681</v>
      </c>
      <c r="D784" s="940" t="s">
        <v>3784</v>
      </c>
      <c r="E784" t="s">
        <v>139</v>
      </c>
    </row>
    <row r="785" spans="1:5" x14ac:dyDescent="0.2">
      <c r="A785" s="940">
        <v>2774</v>
      </c>
      <c r="B785" s="940">
        <v>34</v>
      </c>
      <c r="C785" t="s">
        <v>3785</v>
      </c>
      <c r="D785" s="940" t="s">
        <v>3639</v>
      </c>
      <c r="E785" t="s">
        <v>105</v>
      </c>
    </row>
    <row r="786" spans="1:5" x14ac:dyDescent="0.2">
      <c r="A786" s="940">
        <v>1651</v>
      </c>
      <c r="B786" s="940">
        <v>122</v>
      </c>
      <c r="C786" t="s">
        <v>1391</v>
      </c>
      <c r="D786" s="940" t="s">
        <v>3177</v>
      </c>
      <c r="E786" t="s">
        <v>122</v>
      </c>
    </row>
    <row r="787" spans="1:5" x14ac:dyDescent="0.2">
      <c r="A787" s="940">
        <v>766</v>
      </c>
      <c r="B787" s="940">
        <v>377</v>
      </c>
      <c r="C787" t="s">
        <v>3786</v>
      </c>
      <c r="D787" s="940" t="s">
        <v>3787</v>
      </c>
      <c r="E787" t="s">
        <v>1248</v>
      </c>
    </row>
    <row r="788" spans="1:5" x14ac:dyDescent="0.2">
      <c r="A788" s="940">
        <v>4181</v>
      </c>
      <c r="B788" s="940">
        <v>1</v>
      </c>
      <c r="C788" t="s">
        <v>9876</v>
      </c>
      <c r="D788" s="940" t="s">
        <v>9214</v>
      </c>
      <c r="E788" t="s">
        <v>213</v>
      </c>
    </row>
    <row r="789" spans="1:5" x14ac:dyDescent="0.2">
      <c r="A789" s="940">
        <v>3358</v>
      </c>
      <c r="B789" s="940">
        <v>13</v>
      </c>
      <c r="C789" t="s">
        <v>3788</v>
      </c>
      <c r="D789" s="940" t="s">
        <v>3789</v>
      </c>
      <c r="E789" t="s">
        <v>1436</v>
      </c>
    </row>
    <row r="790" spans="1:5" x14ac:dyDescent="0.2">
      <c r="A790" s="940">
        <v>1568</v>
      </c>
      <c r="B790" s="940">
        <v>133</v>
      </c>
      <c r="C790" t="s">
        <v>1393</v>
      </c>
      <c r="D790" s="940" t="s">
        <v>3790</v>
      </c>
      <c r="E790" t="s">
        <v>120</v>
      </c>
    </row>
    <row r="791" spans="1:5" x14ac:dyDescent="0.2">
      <c r="A791" s="940">
        <v>2450</v>
      </c>
      <c r="B791" s="940">
        <v>51</v>
      </c>
      <c r="C791" t="s">
        <v>3794</v>
      </c>
      <c r="D791" s="940" t="s">
        <v>2731</v>
      </c>
      <c r="E791" t="s">
        <v>3635</v>
      </c>
    </row>
    <row r="792" spans="1:5" x14ac:dyDescent="0.2">
      <c r="A792" s="940">
        <v>781</v>
      </c>
      <c r="B792" s="940">
        <v>368</v>
      </c>
      <c r="C792" t="s">
        <v>9877</v>
      </c>
      <c r="D792" s="940" t="s">
        <v>9878</v>
      </c>
      <c r="E792" t="s">
        <v>120</v>
      </c>
    </row>
    <row r="793" spans="1:5" x14ac:dyDescent="0.2">
      <c r="A793" s="940">
        <v>988</v>
      </c>
      <c r="B793" s="940">
        <v>283</v>
      </c>
      <c r="C793" t="s">
        <v>187</v>
      </c>
      <c r="D793" s="940" t="s">
        <v>9879</v>
      </c>
      <c r="E793" t="s">
        <v>72</v>
      </c>
    </row>
    <row r="794" spans="1:5" x14ac:dyDescent="0.2">
      <c r="A794" s="940">
        <v>589</v>
      </c>
      <c r="B794" s="940">
        <v>479</v>
      </c>
      <c r="C794" t="s">
        <v>9880</v>
      </c>
      <c r="D794" s="940" t="s">
        <v>9881</v>
      </c>
      <c r="E794" t="s">
        <v>115</v>
      </c>
    </row>
    <row r="795" spans="1:5" x14ac:dyDescent="0.2">
      <c r="A795" s="940">
        <v>3882</v>
      </c>
      <c r="B795" s="940">
        <v>4</v>
      </c>
      <c r="C795" t="s">
        <v>3797</v>
      </c>
      <c r="D795" s="940" t="s">
        <v>2722</v>
      </c>
      <c r="E795" t="s">
        <v>1460</v>
      </c>
    </row>
    <row r="796" spans="1:5" x14ac:dyDescent="0.2">
      <c r="A796" s="940">
        <v>177</v>
      </c>
      <c r="B796" s="940">
        <v>948</v>
      </c>
      <c r="C796" t="s">
        <v>3800</v>
      </c>
      <c r="D796" s="940" t="s">
        <v>3801</v>
      </c>
      <c r="E796" t="s">
        <v>120</v>
      </c>
    </row>
    <row r="797" spans="1:5" x14ac:dyDescent="0.2">
      <c r="A797" s="940">
        <v>875</v>
      </c>
      <c r="B797" s="940">
        <v>327</v>
      </c>
      <c r="C797" t="s">
        <v>3802</v>
      </c>
      <c r="D797" s="940" t="s">
        <v>3803</v>
      </c>
      <c r="E797" t="s">
        <v>105</v>
      </c>
    </row>
    <row r="798" spans="1:5" x14ac:dyDescent="0.2">
      <c r="A798" s="940">
        <v>805</v>
      </c>
      <c r="B798" s="940">
        <v>356</v>
      </c>
      <c r="C798" t="s">
        <v>1397</v>
      </c>
      <c r="D798" s="940" t="s">
        <v>3804</v>
      </c>
      <c r="E798" t="s">
        <v>72</v>
      </c>
    </row>
    <row r="799" spans="1:5" x14ac:dyDescent="0.2">
      <c r="A799" s="940">
        <v>2450</v>
      </c>
      <c r="B799" s="940">
        <v>51</v>
      </c>
      <c r="C799" t="s">
        <v>3805</v>
      </c>
      <c r="D799" s="940" t="s">
        <v>3806</v>
      </c>
      <c r="E799" t="s">
        <v>112</v>
      </c>
    </row>
    <row r="800" spans="1:5" x14ac:dyDescent="0.2">
      <c r="A800" s="940">
        <v>4294</v>
      </c>
      <c r="B800" s="940">
        <v>0</v>
      </c>
      <c r="C800" t="s">
        <v>3807</v>
      </c>
      <c r="D800" s="940" t="s">
        <v>3808</v>
      </c>
      <c r="E800" t="s">
        <v>1248</v>
      </c>
    </row>
    <row r="801" spans="1:5" x14ac:dyDescent="0.2">
      <c r="A801" s="940">
        <v>2101</v>
      </c>
      <c r="B801" s="940">
        <v>77</v>
      </c>
      <c r="C801" t="s">
        <v>9882</v>
      </c>
      <c r="D801" s="940" t="s">
        <v>2758</v>
      </c>
      <c r="E801" t="s">
        <v>170</v>
      </c>
    </row>
    <row r="802" spans="1:5" x14ac:dyDescent="0.2">
      <c r="A802" s="940">
        <v>211</v>
      </c>
      <c r="B802" s="940">
        <v>891</v>
      </c>
      <c r="C802" t="s">
        <v>9883</v>
      </c>
      <c r="D802" s="940" t="s">
        <v>6094</v>
      </c>
      <c r="E802" t="s">
        <v>120</v>
      </c>
    </row>
    <row r="803" spans="1:5" x14ac:dyDescent="0.2">
      <c r="A803" s="940">
        <v>2423</v>
      </c>
      <c r="B803" s="940">
        <v>53</v>
      </c>
      <c r="C803" t="s">
        <v>3811</v>
      </c>
      <c r="D803" s="940" t="s">
        <v>3812</v>
      </c>
      <c r="E803" t="s">
        <v>1198</v>
      </c>
    </row>
    <row r="804" spans="1:5" x14ac:dyDescent="0.2">
      <c r="A804" s="940">
        <v>3796</v>
      </c>
      <c r="B804" s="940">
        <v>5</v>
      </c>
      <c r="C804" t="s">
        <v>9884</v>
      </c>
      <c r="D804" s="940" t="s">
        <v>8494</v>
      </c>
      <c r="E804" t="s">
        <v>111</v>
      </c>
    </row>
    <row r="805" spans="1:5" x14ac:dyDescent="0.2">
      <c r="A805" s="940">
        <v>350</v>
      </c>
      <c r="B805" s="940">
        <v>700</v>
      </c>
      <c r="C805" t="s">
        <v>9885</v>
      </c>
      <c r="D805" s="940" t="s">
        <v>9886</v>
      </c>
      <c r="E805" t="s">
        <v>9809</v>
      </c>
    </row>
    <row r="806" spans="1:5" x14ac:dyDescent="0.2">
      <c r="A806" s="940">
        <v>2938</v>
      </c>
      <c r="B806" s="940">
        <v>26</v>
      </c>
      <c r="C806" t="s">
        <v>3821</v>
      </c>
      <c r="D806" s="940" t="s">
        <v>3822</v>
      </c>
      <c r="E806" t="s">
        <v>72</v>
      </c>
    </row>
    <row r="807" spans="1:5" x14ac:dyDescent="0.2">
      <c r="A807" s="940">
        <v>731</v>
      </c>
      <c r="B807" s="940">
        <v>391</v>
      </c>
      <c r="C807" t="s">
        <v>3823</v>
      </c>
      <c r="D807" s="940" t="s">
        <v>3824</v>
      </c>
      <c r="E807" t="s">
        <v>83</v>
      </c>
    </row>
    <row r="808" spans="1:5" x14ac:dyDescent="0.2">
      <c r="A808" s="940">
        <v>2592</v>
      </c>
      <c r="B808" s="940">
        <v>42</v>
      </c>
      <c r="C808" t="s">
        <v>3825</v>
      </c>
      <c r="D808" s="940" t="s">
        <v>2619</v>
      </c>
      <c r="E808" t="s">
        <v>1171</v>
      </c>
    </row>
    <row r="809" spans="1:5" x14ac:dyDescent="0.2">
      <c r="A809" s="940">
        <v>4294</v>
      </c>
      <c r="B809" s="940">
        <v>0</v>
      </c>
      <c r="C809" t="s">
        <v>3826</v>
      </c>
      <c r="D809" s="940" t="s">
        <v>2824</v>
      </c>
      <c r="E809" t="s">
        <v>1200</v>
      </c>
    </row>
    <row r="810" spans="1:5" x14ac:dyDescent="0.2">
      <c r="A810" s="940">
        <v>28</v>
      </c>
      <c r="B810" s="940">
        <v>1430</v>
      </c>
      <c r="C810" t="s">
        <v>3827</v>
      </c>
      <c r="D810" s="940" t="s">
        <v>3828</v>
      </c>
      <c r="E810" t="s">
        <v>130</v>
      </c>
    </row>
    <row r="811" spans="1:5" x14ac:dyDescent="0.2">
      <c r="A811" s="940">
        <v>593</v>
      </c>
      <c r="B811" s="940">
        <v>477</v>
      </c>
      <c r="C811" t="s">
        <v>3829</v>
      </c>
      <c r="D811" s="940" t="s">
        <v>3830</v>
      </c>
      <c r="E811" t="s">
        <v>165</v>
      </c>
    </row>
    <row r="812" spans="1:5" x14ac:dyDescent="0.2">
      <c r="A812" s="940">
        <v>766</v>
      </c>
      <c r="B812" s="940">
        <v>377</v>
      </c>
      <c r="C812" t="s">
        <v>1401</v>
      </c>
      <c r="D812" s="940" t="s">
        <v>3832</v>
      </c>
      <c r="E812" t="s">
        <v>1214</v>
      </c>
    </row>
    <row r="813" spans="1:5" x14ac:dyDescent="0.2">
      <c r="A813" s="940">
        <v>2592</v>
      </c>
      <c r="B813" s="940">
        <v>42</v>
      </c>
      <c r="C813" t="s">
        <v>3833</v>
      </c>
      <c r="D813" s="940" t="s">
        <v>3834</v>
      </c>
      <c r="E813" t="s">
        <v>99</v>
      </c>
    </row>
    <row r="814" spans="1:5" x14ac:dyDescent="0.2">
      <c r="A814" s="940">
        <v>1113</v>
      </c>
      <c r="B814" s="940">
        <v>236</v>
      </c>
      <c r="C814" t="s">
        <v>3835</v>
      </c>
      <c r="D814" s="940" t="s">
        <v>3836</v>
      </c>
      <c r="E814" t="s">
        <v>2880</v>
      </c>
    </row>
    <row r="815" spans="1:5" x14ac:dyDescent="0.2">
      <c r="A815" s="940">
        <v>3655</v>
      </c>
      <c r="B815" s="940">
        <v>7</v>
      </c>
      <c r="C815" t="s">
        <v>3837</v>
      </c>
      <c r="D815" s="940" t="s">
        <v>3838</v>
      </c>
      <c r="E815" t="s">
        <v>3137</v>
      </c>
    </row>
    <row r="816" spans="1:5" x14ac:dyDescent="0.2">
      <c r="A816" s="940">
        <v>3402</v>
      </c>
      <c r="B816" s="940">
        <v>12</v>
      </c>
      <c r="C816" t="s">
        <v>3839</v>
      </c>
      <c r="D816" s="940" t="s">
        <v>3840</v>
      </c>
      <c r="E816" t="s">
        <v>133</v>
      </c>
    </row>
    <row r="817" spans="1:5" x14ac:dyDescent="0.2">
      <c r="A817" s="940">
        <v>3796</v>
      </c>
      <c r="B817" s="940">
        <v>5</v>
      </c>
      <c r="C817" t="s">
        <v>9887</v>
      </c>
      <c r="D817" s="940" t="s">
        <v>3703</v>
      </c>
      <c r="E817" t="s">
        <v>1290</v>
      </c>
    </row>
    <row r="818" spans="1:5" x14ac:dyDescent="0.2">
      <c r="A818" s="940">
        <v>27</v>
      </c>
      <c r="B818" s="940">
        <v>1432</v>
      </c>
      <c r="C818" t="s">
        <v>3842</v>
      </c>
      <c r="D818" s="940" t="s">
        <v>3843</v>
      </c>
      <c r="E818" t="s">
        <v>1171</v>
      </c>
    </row>
    <row r="819" spans="1:5" x14ac:dyDescent="0.2">
      <c r="A819" s="940">
        <v>3732</v>
      </c>
      <c r="B819" s="940">
        <v>6</v>
      </c>
      <c r="C819" t="s">
        <v>9888</v>
      </c>
      <c r="D819" s="940" t="s">
        <v>2785</v>
      </c>
      <c r="E819" t="s">
        <v>1702</v>
      </c>
    </row>
    <row r="820" spans="1:5" x14ac:dyDescent="0.2">
      <c r="A820" s="940">
        <v>3222</v>
      </c>
      <c r="B820" s="940">
        <v>17</v>
      </c>
      <c r="C820" t="s">
        <v>9889</v>
      </c>
      <c r="D820" s="940" t="s">
        <v>9890</v>
      </c>
      <c r="E820" t="s">
        <v>1171</v>
      </c>
    </row>
    <row r="821" spans="1:5" x14ac:dyDescent="0.2">
      <c r="A821" s="940">
        <v>1585</v>
      </c>
      <c r="B821" s="940">
        <v>131</v>
      </c>
      <c r="C821" t="s">
        <v>3844</v>
      </c>
      <c r="D821" s="940" t="s">
        <v>3845</v>
      </c>
      <c r="E821" t="s">
        <v>166</v>
      </c>
    </row>
    <row r="822" spans="1:5" x14ac:dyDescent="0.2">
      <c r="A822" s="940">
        <v>1204</v>
      </c>
      <c r="B822" s="940">
        <v>208</v>
      </c>
      <c r="C822" t="s">
        <v>3846</v>
      </c>
      <c r="D822" s="940" t="s">
        <v>3847</v>
      </c>
      <c r="E822" t="s">
        <v>105</v>
      </c>
    </row>
    <row r="823" spans="1:5" x14ac:dyDescent="0.2">
      <c r="A823" s="940">
        <v>1696</v>
      </c>
      <c r="B823" s="940">
        <v>118</v>
      </c>
      <c r="C823" t="s">
        <v>9891</v>
      </c>
      <c r="D823" s="940" t="s">
        <v>9892</v>
      </c>
      <c r="E823" t="s">
        <v>2672</v>
      </c>
    </row>
    <row r="824" spans="1:5" x14ac:dyDescent="0.2">
      <c r="A824" s="940">
        <v>4294</v>
      </c>
      <c r="B824" s="940">
        <v>0</v>
      </c>
      <c r="C824" t="s">
        <v>3848</v>
      </c>
      <c r="D824" s="940" t="s">
        <v>3849</v>
      </c>
      <c r="E824" t="s">
        <v>1447</v>
      </c>
    </row>
    <row r="825" spans="1:5" x14ac:dyDescent="0.2">
      <c r="A825" s="940">
        <v>3290</v>
      </c>
      <c r="B825" s="940">
        <v>15</v>
      </c>
      <c r="C825" t="s">
        <v>3851</v>
      </c>
      <c r="D825" s="940" t="s">
        <v>2927</v>
      </c>
      <c r="E825" t="s">
        <v>3098</v>
      </c>
    </row>
    <row r="826" spans="1:5" x14ac:dyDescent="0.2">
      <c r="A826" s="940">
        <v>4294</v>
      </c>
      <c r="B826" s="940">
        <v>0</v>
      </c>
      <c r="C826" t="s">
        <v>3852</v>
      </c>
      <c r="D826" s="940" t="s">
        <v>3853</v>
      </c>
      <c r="E826" t="s">
        <v>114</v>
      </c>
    </row>
    <row r="827" spans="1:5" x14ac:dyDescent="0.2">
      <c r="A827" s="940">
        <v>3358</v>
      </c>
      <c r="B827" s="940">
        <v>13</v>
      </c>
      <c r="C827" t="s">
        <v>9893</v>
      </c>
      <c r="D827" s="940" t="s">
        <v>9894</v>
      </c>
      <c r="E827" t="s">
        <v>4674</v>
      </c>
    </row>
    <row r="828" spans="1:5" x14ac:dyDescent="0.2">
      <c r="A828" s="940">
        <v>4181</v>
      </c>
      <c r="B828" s="940">
        <v>1</v>
      </c>
      <c r="C828" t="s">
        <v>3856</v>
      </c>
      <c r="D828" s="940" t="s">
        <v>3857</v>
      </c>
      <c r="E828" t="s">
        <v>74</v>
      </c>
    </row>
    <row r="829" spans="1:5" x14ac:dyDescent="0.2">
      <c r="A829" s="940">
        <v>906</v>
      </c>
      <c r="B829" s="940">
        <v>313</v>
      </c>
      <c r="C829" t="s">
        <v>1404</v>
      </c>
      <c r="D829" s="940" t="s">
        <v>3860</v>
      </c>
      <c r="E829" t="s">
        <v>164</v>
      </c>
    </row>
    <row r="830" spans="1:5" x14ac:dyDescent="0.2">
      <c r="A830" s="940">
        <v>1131</v>
      </c>
      <c r="B830" s="940">
        <v>229</v>
      </c>
      <c r="C830" t="s">
        <v>9895</v>
      </c>
      <c r="D830" s="940" t="s">
        <v>3862</v>
      </c>
      <c r="E830" t="s">
        <v>3863</v>
      </c>
    </row>
    <row r="831" spans="1:5" x14ac:dyDescent="0.2">
      <c r="A831" s="940">
        <v>1015</v>
      </c>
      <c r="B831" s="940">
        <v>273</v>
      </c>
      <c r="C831" t="s">
        <v>3861</v>
      </c>
      <c r="D831" s="940" t="s">
        <v>3862</v>
      </c>
      <c r="E831" t="s">
        <v>3863</v>
      </c>
    </row>
    <row r="832" spans="1:5" x14ac:dyDescent="0.2">
      <c r="A832" s="940">
        <v>3796</v>
      </c>
      <c r="B832" s="940">
        <v>5</v>
      </c>
      <c r="C832" t="s">
        <v>9896</v>
      </c>
      <c r="D832" s="940" t="s">
        <v>4639</v>
      </c>
      <c r="E832" t="s">
        <v>1248</v>
      </c>
    </row>
    <row r="833" spans="1:5" x14ac:dyDescent="0.2">
      <c r="A833" s="940">
        <v>836</v>
      </c>
      <c r="B833" s="940">
        <v>347</v>
      </c>
      <c r="C833" t="s">
        <v>9897</v>
      </c>
      <c r="D833" s="940" t="s">
        <v>9898</v>
      </c>
      <c r="E833" t="s">
        <v>1277</v>
      </c>
    </row>
    <row r="834" spans="1:5" x14ac:dyDescent="0.2">
      <c r="A834" s="940">
        <v>314</v>
      </c>
      <c r="B834" s="940">
        <v>749</v>
      </c>
      <c r="C834" t="s">
        <v>3864</v>
      </c>
      <c r="D834" s="940" t="s">
        <v>3865</v>
      </c>
      <c r="E834" t="s">
        <v>74</v>
      </c>
    </row>
    <row r="835" spans="1:5" x14ac:dyDescent="0.2">
      <c r="A835" s="940">
        <v>4294</v>
      </c>
      <c r="B835" s="940">
        <v>0</v>
      </c>
      <c r="C835" t="s">
        <v>3866</v>
      </c>
      <c r="D835" s="940" t="s">
        <v>3867</v>
      </c>
      <c r="E835" t="s">
        <v>74</v>
      </c>
    </row>
    <row r="836" spans="1:5" x14ac:dyDescent="0.2">
      <c r="A836" s="940">
        <v>4294</v>
      </c>
      <c r="B836" s="940">
        <v>0</v>
      </c>
      <c r="C836" t="s">
        <v>9899</v>
      </c>
      <c r="D836" s="940" t="s">
        <v>7407</v>
      </c>
      <c r="E836" t="s">
        <v>163</v>
      </c>
    </row>
    <row r="837" spans="1:5" x14ac:dyDescent="0.2">
      <c r="A837" s="940">
        <v>2312</v>
      </c>
      <c r="B837" s="940">
        <v>61</v>
      </c>
      <c r="C837" t="s">
        <v>9900</v>
      </c>
      <c r="D837" s="940" t="s">
        <v>9901</v>
      </c>
      <c r="E837" t="s">
        <v>1341</v>
      </c>
    </row>
    <row r="838" spans="1:5" x14ac:dyDescent="0.2">
      <c r="A838" s="940">
        <v>4294</v>
      </c>
      <c r="B838" s="940">
        <v>0</v>
      </c>
      <c r="C838" t="s">
        <v>3870</v>
      </c>
      <c r="D838" s="940" t="s">
        <v>3871</v>
      </c>
      <c r="E838" t="s">
        <v>661</v>
      </c>
    </row>
    <row r="839" spans="1:5" x14ac:dyDescent="0.2">
      <c r="A839" s="940">
        <v>4294</v>
      </c>
      <c r="B839" s="940">
        <v>0</v>
      </c>
      <c r="C839" t="s">
        <v>3872</v>
      </c>
      <c r="D839" s="940" t="s">
        <v>3873</v>
      </c>
      <c r="E839" t="s">
        <v>74</v>
      </c>
    </row>
    <row r="840" spans="1:5" x14ac:dyDescent="0.2">
      <c r="A840" s="940">
        <v>4294</v>
      </c>
      <c r="B840" s="940">
        <v>0</v>
      </c>
      <c r="C840" t="s">
        <v>3874</v>
      </c>
      <c r="D840" s="940" t="s">
        <v>3875</v>
      </c>
      <c r="E840" t="s">
        <v>74</v>
      </c>
    </row>
    <row r="841" spans="1:5" x14ac:dyDescent="0.2">
      <c r="A841" s="940">
        <v>4294</v>
      </c>
      <c r="B841" s="940">
        <v>0</v>
      </c>
      <c r="C841" t="s">
        <v>3876</v>
      </c>
      <c r="D841" s="940" t="s">
        <v>3818</v>
      </c>
      <c r="E841" t="s">
        <v>74</v>
      </c>
    </row>
    <row r="842" spans="1:5" x14ac:dyDescent="0.2">
      <c r="A842" s="940">
        <v>323</v>
      </c>
      <c r="B842" s="940">
        <v>732</v>
      </c>
      <c r="C842" t="s">
        <v>9902</v>
      </c>
      <c r="D842" s="940" t="s">
        <v>9903</v>
      </c>
      <c r="E842" t="s">
        <v>170</v>
      </c>
    </row>
    <row r="843" spans="1:5" x14ac:dyDescent="0.2">
      <c r="A843" s="940">
        <v>1359</v>
      </c>
      <c r="B843" s="940">
        <v>170</v>
      </c>
      <c r="C843" t="s">
        <v>3879</v>
      </c>
      <c r="D843" s="940" t="s">
        <v>3880</v>
      </c>
      <c r="E843" t="s">
        <v>1584</v>
      </c>
    </row>
    <row r="844" spans="1:5" x14ac:dyDescent="0.2">
      <c r="A844" s="940">
        <v>1790</v>
      </c>
      <c r="B844" s="940">
        <v>106</v>
      </c>
      <c r="C844" t="s">
        <v>3881</v>
      </c>
      <c r="D844" s="940" t="s">
        <v>3882</v>
      </c>
      <c r="E844" t="s">
        <v>74</v>
      </c>
    </row>
    <row r="845" spans="1:5" x14ac:dyDescent="0.2">
      <c r="A845" s="940">
        <v>4294</v>
      </c>
      <c r="B845" s="940">
        <v>0</v>
      </c>
      <c r="C845" t="s">
        <v>3883</v>
      </c>
      <c r="D845" s="940" t="s">
        <v>3884</v>
      </c>
      <c r="E845" t="s">
        <v>231</v>
      </c>
    </row>
    <row r="846" spans="1:5" x14ac:dyDescent="0.2">
      <c r="A846" s="940">
        <v>4181</v>
      </c>
      <c r="B846" s="940">
        <v>1</v>
      </c>
      <c r="C846" t="s">
        <v>3885</v>
      </c>
      <c r="D846" s="940" t="s">
        <v>3886</v>
      </c>
      <c r="E846" t="s">
        <v>1702</v>
      </c>
    </row>
    <row r="847" spans="1:5" x14ac:dyDescent="0.2">
      <c r="A847" s="940">
        <v>1403</v>
      </c>
      <c r="B847" s="940">
        <v>161</v>
      </c>
      <c r="C847" t="s">
        <v>1416</v>
      </c>
      <c r="D847" s="940" t="s">
        <v>9904</v>
      </c>
      <c r="E847" t="s">
        <v>290</v>
      </c>
    </row>
    <row r="848" spans="1:5" x14ac:dyDescent="0.2">
      <c r="A848" s="940">
        <v>3008</v>
      </c>
      <c r="B848" s="940">
        <v>23</v>
      </c>
      <c r="C848" t="s">
        <v>3889</v>
      </c>
      <c r="D848" s="940" t="s">
        <v>3890</v>
      </c>
      <c r="E848" t="s">
        <v>72</v>
      </c>
    </row>
    <row r="849" spans="1:5" x14ac:dyDescent="0.2">
      <c r="A849" s="940">
        <v>1420</v>
      </c>
      <c r="B849" s="940">
        <v>159</v>
      </c>
      <c r="C849" t="s">
        <v>1417</v>
      </c>
      <c r="D849" s="940" t="s">
        <v>5291</v>
      </c>
      <c r="E849" t="s">
        <v>113</v>
      </c>
    </row>
    <row r="850" spans="1:5" x14ac:dyDescent="0.2">
      <c r="A850" s="940">
        <v>2691</v>
      </c>
      <c r="B850" s="940">
        <v>37</v>
      </c>
      <c r="C850" t="s">
        <v>1418</v>
      </c>
      <c r="D850" s="813" t="s">
        <v>3875</v>
      </c>
      <c r="E850" t="s">
        <v>179</v>
      </c>
    </row>
    <row r="851" spans="1:5" x14ac:dyDescent="0.2">
      <c r="A851" s="940">
        <v>2409</v>
      </c>
      <c r="B851" s="940">
        <v>54</v>
      </c>
      <c r="C851" t="s">
        <v>3891</v>
      </c>
      <c r="D851" s="940" t="s">
        <v>3892</v>
      </c>
      <c r="E851" t="s">
        <v>109</v>
      </c>
    </row>
    <row r="852" spans="1:5" x14ac:dyDescent="0.2">
      <c r="A852" s="940">
        <v>2339</v>
      </c>
      <c r="B852" s="940">
        <v>59</v>
      </c>
      <c r="C852" t="s">
        <v>9905</v>
      </c>
      <c r="D852" s="940" t="s">
        <v>6085</v>
      </c>
      <c r="E852" t="s">
        <v>9906</v>
      </c>
    </row>
    <row r="853" spans="1:5" x14ac:dyDescent="0.2">
      <c r="A853" s="940">
        <v>4294</v>
      </c>
      <c r="B853" s="940">
        <v>0</v>
      </c>
      <c r="C853" t="s">
        <v>9907</v>
      </c>
      <c r="D853" s="940" t="s">
        <v>9734</v>
      </c>
      <c r="E853" t="s">
        <v>129</v>
      </c>
    </row>
    <row r="854" spans="1:5" x14ac:dyDescent="0.2">
      <c r="A854" s="940">
        <v>3358</v>
      </c>
      <c r="B854" s="940">
        <v>13</v>
      </c>
      <c r="C854" t="s">
        <v>9908</v>
      </c>
      <c r="D854" s="940" t="s">
        <v>9909</v>
      </c>
      <c r="E854" t="s">
        <v>139</v>
      </c>
    </row>
    <row r="855" spans="1:5" x14ac:dyDescent="0.2">
      <c r="A855" s="940">
        <v>1594</v>
      </c>
      <c r="B855" s="940">
        <v>129</v>
      </c>
      <c r="C855" t="s">
        <v>1422</v>
      </c>
      <c r="D855" s="940" t="s">
        <v>2867</v>
      </c>
      <c r="E855" t="s">
        <v>120</v>
      </c>
    </row>
    <row r="856" spans="1:5" x14ac:dyDescent="0.2">
      <c r="A856" s="940">
        <v>1921</v>
      </c>
      <c r="B856" s="940">
        <v>93</v>
      </c>
      <c r="C856" t="s">
        <v>3900</v>
      </c>
      <c r="D856" s="940" t="s">
        <v>3901</v>
      </c>
      <c r="E856" t="s">
        <v>3902</v>
      </c>
    </row>
    <row r="857" spans="1:5" x14ac:dyDescent="0.2">
      <c r="A857" s="940">
        <v>3402</v>
      </c>
      <c r="B857" s="940">
        <v>12</v>
      </c>
      <c r="C857" t="s">
        <v>9910</v>
      </c>
      <c r="D857" s="940" t="s">
        <v>9911</v>
      </c>
      <c r="E857" t="s">
        <v>113</v>
      </c>
    </row>
    <row r="858" spans="1:5" x14ac:dyDescent="0.2">
      <c r="A858" s="940">
        <v>2367</v>
      </c>
      <c r="B858" s="940">
        <v>57</v>
      </c>
      <c r="C858" t="s">
        <v>3904</v>
      </c>
      <c r="D858" s="940" t="s">
        <v>3905</v>
      </c>
      <c r="E858" t="s">
        <v>1169</v>
      </c>
    </row>
    <row r="859" spans="1:5" x14ac:dyDescent="0.2">
      <c r="A859" s="940">
        <v>4294</v>
      </c>
      <c r="B859" s="940">
        <v>0</v>
      </c>
      <c r="C859" t="s">
        <v>3906</v>
      </c>
      <c r="D859" s="940" t="s">
        <v>3907</v>
      </c>
      <c r="E859" t="s">
        <v>3908</v>
      </c>
    </row>
    <row r="860" spans="1:5" x14ac:dyDescent="0.2">
      <c r="A860" s="940">
        <v>3882</v>
      </c>
      <c r="B860" s="940">
        <v>4</v>
      </c>
      <c r="C860" t="s">
        <v>3909</v>
      </c>
      <c r="D860" s="940" t="s">
        <v>3910</v>
      </c>
      <c r="E860" t="s">
        <v>3908</v>
      </c>
    </row>
    <row r="861" spans="1:5" x14ac:dyDescent="0.2">
      <c r="A861" s="940">
        <v>377</v>
      </c>
      <c r="B861" s="940">
        <v>661</v>
      </c>
      <c r="C861" t="s">
        <v>9912</v>
      </c>
      <c r="D861" s="940" t="s">
        <v>9913</v>
      </c>
      <c r="E861" t="s">
        <v>128</v>
      </c>
    </row>
    <row r="862" spans="1:5" x14ac:dyDescent="0.2">
      <c r="A862" s="940">
        <v>2915</v>
      </c>
      <c r="B862" s="940">
        <v>27</v>
      </c>
      <c r="C862" t="s">
        <v>9914</v>
      </c>
      <c r="D862" s="940" t="s">
        <v>9915</v>
      </c>
      <c r="E862" t="s">
        <v>661</v>
      </c>
    </row>
    <row r="863" spans="1:5" x14ac:dyDescent="0.2">
      <c r="A863" s="940">
        <v>2462</v>
      </c>
      <c r="B863" s="940">
        <v>50</v>
      </c>
      <c r="C863" t="s">
        <v>9916</v>
      </c>
      <c r="D863" s="940" t="s">
        <v>4547</v>
      </c>
      <c r="E863" t="s">
        <v>614</v>
      </c>
    </row>
    <row r="864" spans="1:5" x14ac:dyDescent="0.2">
      <c r="A864" s="940">
        <v>870</v>
      </c>
      <c r="B864" s="940">
        <v>328</v>
      </c>
      <c r="C864" t="s">
        <v>9917</v>
      </c>
      <c r="D864" s="940" t="s">
        <v>9918</v>
      </c>
      <c r="E864" t="s">
        <v>103</v>
      </c>
    </row>
    <row r="865" spans="1:5" x14ac:dyDescent="0.2">
      <c r="A865" s="940">
        <v>4294</v>
      </c>
      <c r="B865" s="940">
        <v>0</v>
      </c>
      <c r="C865" t="s">
        <v>9919</v>
      </c>
      <c r="D865" s="940" t="s">
        <v>5495</v>
      </c>
      <c r="E865" t="s">
        <v>103</v>
      </c>
    </row>
    <row r="866" spans="1:5" x14ac:dyDescent="0.2">
      <c r="A866" s="940">
        <v>2794</v>
      </c>
      <c r="B866" s="940">
        <v>33</v>
      </c>
      <c r="C866" t="s">
        <v>3920</v>
      </c>
      <c r="D866" s="940" t="s">
        <v>3921</v>
      </c>
      <c r="E866" t="s">
        <v>128</v>
      </c>
    </row>
    <row r="867" spans="1:5" x14ac:dyDescent="0.2">
      <c r="A867" s="940">
        <v>2312</v>
      </c>
      <c r="B867" s="940">
        <v>61</v>
      </c>
      <c r="C867" t="s">
        <v>3922</v>
      </c>
      <c r="D867" s="940" t="s">
        <v>3923</v>
      </c>
      <c r="E867" t="s">
        <v>114</v>
      </c>
    </row>
    <row r="868" spans="1:5" x14ac:dyDescent="0.2">
      <c r="A868" s="940">
        <v>4294</v>
      </c>
      <c r="B868" s="940">
        <v>0</v>
      </c>
      <c r="C868" t="s">
        <v>3924</v>
      </c>
      <c r="D868" s="940" t="s">
        <v>2674</v>
      </c>
      <c r="E868" t="s">
        <v>105</v>
      </c>
    </row>
    <row r="869" spans="1:5" x14ac:dyDescent="0.2">
      <c r="A869" s="940">
        <v>3796</v>
      </c>
      <c r="B869" s="940">
        <v>5</v>
      </c>
      <c r="C869" t="s">
        <v>9920</v>
      </c>
      <c r="D869" s="940" t="s">
        <v>9699</v>
      </c>
      <c r="E869" t="s">
        <v>105</v>
      </c>
    </row>
    <row r="870" spans="1:5" x14ac:dyDescent="0.2">
      <c r="A870" s="940">
        <v>1843</v>
      </c>
      <c r="B870" s="940">
        <v>101</v>
      </c>
      <c r="C870" t="s">
        <v>9921</v>
      </c>
      <c r="D870" s="940" t="s">
        <v>9922</v>
      </c>
      <c r="E870" t="s">
        <v>1285</v>
      </c>
    </row>
    <row r="871" spans="1:5" x14ac:dyDescent="0.2">
      <c r="A871" s="940">
        <v>1217</v>
      </c>
      <c r="B871" s="940">
        <v>204</v>
      </c>
      <c r="C871" t="s">
        <v>3925</v>
      </c>
      <c r="D871" s="940" t="s">
        <v>3926</v>
      </c>
      <c r="E871" t="s">
        <v>120</v>
      </c>
    </row>
    <row r="872" spans="1:5" x14ac:dyDescent="0.2">
      <c r="A872" s="940">
        <v>1524</v>
      </c>
      <c r="B872" s="940">
        <v>141</v>
      </c>
      <c r="C872" t="s">
        <v>9923</v>
      </c>
      <c r="D872" s="940" t="s">
        <v>4465</v>
      </c>
      <c r="E872" t="s">
        <v>4574</v>
      </c>
    </row>
    <row r="873" spans="1:5" x14ac:dyDescent="0.2">
      <c r="A873" s="940">
        <v>2894</v>
      </c>
      <c r="B873" s="940">
        <v>28</v>
      </c>
      <c r="C873" t="s">
        <v>9924</v>
      </c>
      <c r="D873" s="940" t="s">
        <v>2978</v>
      </c>
      <c r="E873" t="s">
        <v>1190</v>
      </c>
    </row>
    <row r="874" spans="1:5" x14ac:dyDescent="0.2">
      <c r="A874" s="940">
        <v>848</v>
      </c>
      <c r="B874" s="940">
        <v>335</v>
      </c>
      <c r="C874" t="s">
        <v>3927</v>
      </c>
      <c r="D874" s="940" t="s">
        <v>3928</v>
      </c>
      <c r="E874" t="s">
        <v>120</v>
      </c>
    </row>
    <row r="875" spans="1:5" x14ac:dyDescent="0.2">
      <c r="A875" s="940">
        <v>1166</v>
      </c>
      <c r="B875" s="940">
        <v>221</v>
      </c>
      <c r="C875" t="s">
        <v>1424</v>
      </c>
      <c r="D875" s="940" t="s">
        <v>3929</v>
      </c>
      <c r="E875" t="s">
        <v>120</v>
      </c>
    </row>
    <row r="876" spans="1:5" x14ac:dyDescent="0.2">
      <c r="A876" s="940">
        <v>2504</v>
      </c>
      <c r="B876" s="940">
        <v>47</v>
      </c>
      <c r="C876" t="s">
        <v>3930</v>
      </c>
      <c r="D876" s="940" t="s">
        <v>3931</v>
      </c>
      <c r="E876" t="s">
        <v>3114</v>
      </c>
    </row>
    <row r="877" spans="1:5" x14ac:dyDescent="0.2">
      <c r="A877" s="940">
        <v>4294</v>
      </c>
      <c r="B877" s="940">
        <v>0</v>
      </c>
      <c r="C877" t="s">
        <v>3932</v>
      </c>
      <c r="D877" s="940" t="s">
        <v>3933</v>
      </c>
      <c r="E877" t="s">
        <v>111</v>
      </c>
    </row>
    <row r="878" spans="1:5" x14ac:dyDescent="0.2">
      <c r="A878" s="940">
        <v>1107</v>
      </c>
      <c r="B878" s="940">
        <v>237</v>
      </c>
      <c r="C878" t="s">
        <v>9925</v>
      </c>
      <c r="D878" s="940" t="s">
        <v>9926</v>
      </c>
      <c r="E878" t="s">
        <v>1315</v>
      </c>
    </row>
    <row r="879" spans="1:5" x14ac:dyDescent="0.2">
      <c r="A879" s="940">
        <v>3136</v>
      </c>
      <c r="B879" s="940">
        <v>19</v>
      </c>
      <c r="C879" t="s">
        <v>9927</v>
      </c>
      <c r="D879" s="940" t="s">
        <v>9928</v>
      </c>
      <c r="E879" t="s">
        <v>165</v>
      </c>
    </row>
    <row r="880" spans="1:5" x14ac:dyDescent="0.2">
      <c r="A880" s="940">
        <v>3446</v>
      </c>
      <c r="B880" s="940">
        <v>11</v>
      </c>
      <c r="C880" t="s">
        <v>3934</v>
      </c>
      <c r="D880" s="940" t="s">
        <v>3935</v>
      </c>
      <c r="E880" t="s">
        <v>3936</v>
      </c>
    </row>
    <row r="881" spans="1:5" x14ac:dyDescent="0.2">
      <c r="A881" s="940">
        <v>3796</v>
      </c>
      <c r="B881" s="940">
        <v>5</v>
      </c>
      <c r="C881" t="s">
        <v>9929</v>
      </c>
      <c r="D881" s="940" t="s">
        <v>8055</v>
      </c>
      <c r="E881" t="s">
        <v>1168</v>
      </c>
    </row>
    <row r="882" spans="1:5" x14ac:dyDescent="0.2">
      <c r="A882" s="940">
        <v>4181</v>
      </c>
      <c r="B882" s="940">
        <v>1</v>
      </c>
      <c r="C882" t="s">
        <v>3939</v>
      </c>
      <c r="D882" s="940" t="s">
        <v>3940</v>
      </c>
      <c r="E882" t="s">
        <v>183</v>
      </c>
    </row>
    <row r="883" spans="1:5" x14ac:dyDescent="0.2">
      <c r="A883" s="940">
        <v>4081</v>
      </c>
      <c r="B883" s="940">
        <v>2</v>
      </c>
      <c r="C883" t="s">
        <v>3941</v>
      </c>
      <c r="D883" s="940" t="s">
        <v>3942</v>
      </c>
      <c r="E883" t="s">
        <v>1156</v>
      </c>
    </row>
    <row r="884" spans="1:5" x14ac:dyDescent="0.2">
      <c r="A884" s="940">
        <v>2630</v>
      </c>
      <c r="B884" s="940">
        <v>40</v>
      </c>
      <c r="C884" t="s">
        <v>3943</v>
      </c>
      <c r="D884" s="940" t="s">
        <v>3741</v>
      </c>
      <c r="E884" t="s">
        <v>3098</v>
      </c>
    </row>
    <row r="885" spans="1:5" x14ac:dyDescent="0.2">
      <c r="A885" s="940">
        <v>263</v>
      </c>
      <c r="B885" s="940">
        <v>821</v>
      </c>
      <c r="C885" t="s">
        <v>3945</v>
      </c>
      <c r="D885" s="940" t="s">
        <v>3946</v>
      </c>
      <c r="E885" t="s">
        <v>1156</v>
      </c>
    </row>
    <row r="886" spans="1:5" x14ac:dyDescent="0.2">
      <c r="A886" s="940">
        <v>32</v>
      </c>
      <c r="B886" s="940">
        <v>1411</v>
      </c>
      <c r="C886" t="s">
        <v>9930</v>
      </c>
      <c r="D886" s="940" t="s">
        <v>9931</v>
      </c>
      <c r="E886" t="s">
        <v>6003</v>
      </c>
    </row>
    <row r="887" spans="1:5" x14ac:dyDescent="0.2">
      <c r="A887" s="940">
        <v>2115</v>
      </c>
      <c r="B887" s="940">
        <v>76</v>
      </c>
      <c r="C887" t="s">
        <v>2540</v>
      </c>
      <c r="D887" s="940" t="s">
        <v>3947</v>
      </c>
      <c r="E887" t="s">
        <v>1198</v>
      </c>
    </row>
    <row r="888" spans="1:5" x14ac:dyDescent="0.2">
      <c r="A888" s="940">
        <v>1936</v>
      </c>
      <c r="B888" s="940">
        <v>92</v>
      </c>
      <c r="C888" t="s">
        <v>9932</v>
      </c>
      <c r="D888" s="940" t="s">
        <v>9933</v>
      </c>
      <c r="E888" t="s">
        <v>2979</v>
      </c>
    </row>
    <row r="889" spans="1:5" x14ac:dyDescent="0.2">
      <c r="A889" s="940">
        <v>2668</v>
      </c>
      <c r="B889" s="940">
        <v>38</v>
      </c>
      <c r="C889" t="s">
        <v>3948</v>
      </c>
      <c r="D889" s="940" t="s">
        <v>3949</v>
      </c>
      <c r="E889" t="s">
        <v>1156</v>
      </c>
    </row>
    <row r="890" spans="1:5" x14ac:dyDescent="0.2">
      <c r="A890" s="940">
        <v>1806</v>
      </c>
      <c r="B890" s="940">
        <v>104</v>
      </c>
      <c r="C890" t="s">
        <v>9934</v>
      </c>
      <c r="D890" s="940" t="s">
        <v>9416</v>
      </c>
      <c r="E890" t="s">
        <v>1248</v>
      </c>
    </row>
    <row r="891" spans="1:5" x14ac:dyDescent="0.2">
      <c r="A891" s="940">
        <v>986</v>
      </c>
      <c r="B891" s="940">
        <v>284</v>
      </c>
      <c r="C891" t="s">
        <v>193</v>
      </c>
      <c r="D891" s="940" t="s">
        <v>9183</v>
      </c>
      <c r="E891" t="s">
        <v>1214</v>
      </c>
    </row>
    <row r="892" spans="1:5" x14ac:dyDescent="0.2">
      <c r="A892" s="940">
        <v>3358</v>
      </c>
      <c r="B892" s="940">
        <v>13</v>
      </c>
      <c r="C892" t="s">
        <v>9935</v>
      </c>
      <c r="D892" s="940" t="s">
        <v>9936</v>
      </c>
      <c r="E892" t="s">
        <v>120</v>
      </c>
    </row>
    <row r="893" spans="1:5" x14ac:dyDescent="0.2">
      <c r="A893" s="940">
        <v>4294</v>
      </c>
      <c r="B893" s="940">
        <v>0</v>
      </c>
      <c r="C893" t="s">
        <v>3950</v>
      </c>
      <c r="D893" s="940" t="s">
        <v>3779</v>
      </c>
      <c r="E893" t="s">
        <v>3951</v>
      </c>
    </row>
    <row r="894" spans="1:5" x14ac:dyDescent="0.2">
      <c r="A894" s="940">
        <v>2150</v>
      </c>
      <c r="B894" s="940">
        <v>73</v>
      </c>
      <c r="C894" t="s">
        <v>3952</v>
      </c>
      <c r="D894" s="940" t="s">
        <v>3953</v>
      </c>
      <c r="E894" t="s">
        <v>3954</v>
      </c>
    </row>
    <row r="895" spans="1:5" x14ac:dyDescent="0.2">
      <c r="A895" s="940">
        <v>3402</v>
      </c>
      <c r="B895" s="940">
        <v>12</v>
      </c>
      <c r="C895" t="s">
        <v>3952</v>
      </c>
      <c r="D895" s="940" t="s">
        <v>3955</v>
      </c>
      <c r="E895" t="s">
        <v>128</v>
      </c>
    </row>
    <row r="896" spans="1:5" x14ac:dyDescent="0.2">
      <c r="A896" s="940">
        <v>4294</v>
      </c>
      <c r="B896" s="940">
        <v>0</v>
      </c>
      <c r="C896" t="s">
        <v>9937</v>
      </c>
      <c r="D896" s="940" t="s">
        <v>9938</v>
      </c>
      <c r="E896" t="s">
        <v>9939</v>
      </c>
    </row>
    <row r="897" spans="1:5" x14ac:dyDescent="0.2">
      <c r="A897" s="940">
        <v>3402</v>
      </c>
      <c r="B897" s="940">
        <v>12</v>
      </c>
      <c r="C897" t="s">
        <v>3956</v>
      </c>
      <c r="D897" s="940" t="s">
        <v>3957</v>
      </c>
      <c r="E897" t="s">
        <v>105</v>
      </c>
    </row>
    <row r="898" spans="1:5" x14ac:dyDescent="0.2">
      <c r="A898" s="940">
        <v>1308</v>
      </c>
      <c r="B898" s="940">
        <v>182</v>
      </c>
      <c r="C898" t="s">
        <v>3958</v>
      </c>
      <c r="D898" s="940" t="s">
        <v>3959</v>
      </c>
      <c r="E898" t="s">
        <v>2880</v>
      </c>
    </row>
    <row r="899" spans="1:5" x14ac:dyDescent="0.2">
      <c r="A899" s="940">
        <v>4294</v>
      </c>
      <c r="B899" s="940">
        <v>0</v>
      </c>
      <c r="C899" t="s">
        <v>3962</v>
      </c>
      <c r="D899" s="940" t="s">
        <v>3963</v>
      </c>
      <c r="E899" t="s">
        <v>1460</v>
      </c>
    </row>
    <row r="900" spans="1:5" x14ac:dyDescent="0.2">
      <c r="A900" s="940">
        <v>2938</v>
      </c>
      <c r="B900" s="940">
        <v>26</v>
      </c>
      <c r="C900" t="s">
        <v>3964</v>
      </c>
      <c r="D900" s="940" t="s">
        <v>3965</v>
      </c>
      <c r="E900" t="s">
        <v>241</v>
      </c>
    </row>
    <row r="901" spans="1:5" x14ac:dyDescent="0.2">
      <c r="A901" s="940">
        <v>742</v>
      </c>
      <c r="B901" s="940">
        <v>385</v>
      </c>
      <c r="C901" t="s">
        <v>9940</v>
      </c>
      <c r="D901" s="940" t="s">
        <v>3416</v>
      </c>
      <c r="E901" t="s">
        <v>142</v>
      </c>
    </row>
    <row r="902" spans="1:5" x14ac:dyDescent="0.2">
      <c r="A902" s="940">
        <v>906</v>
      </c>
      <c r="B902" s="940">
        <v>313</v>
      </c>
      <c r="C902" t="s">
        <v>1434</v>
      </c>
      <c r="D902" s="940" t="s">
        <v>3931</v>
      </c>
      <c r="E902" t="s">
        <v>1236</v>
      </c>
    </row>
    <row r="903" spans="1:5" x14ac:dyDescent="0.2">
      <c r="A903" s="940">
        <v>3250</v>
      </c>
      <c r="B903" s="940">
        <v>16</v>
      </c>
      <c r="C903" t="s">
        <v>9941</v>
      </c>
      <c r="D903" s="940" t="s">
        <v>9942</v>
      </c>
      <c r="E903" t="s">
        <v>120</v>
      </c>
    </row>
    <row r="904" spans="1:5" x14ac:dyDescent="0.2">
      <c r="A904" s="940">
        <v>4081</v>
      </c>
      <c r="B904" s="940">
        <v>2</v>
      </c>
      <c r="C904" t="s">
        <v>9943</v>
      </c>
      <c r="D904" s="940" t="s">
        <v>6463</v>
      </c>
      <c r="E904" t="s">
        <v>115</v>
      </c>
    </row>
    <row r="905" spans="1:5" x14ac:dyDescent="0.2">
      <c r="A905" s="940">
        <v>3545</v>
      </c>
      <c r="B905" s="940">
        <v>9</v>
      </c>
      <c r="C905" t="s">
        <v>3968</v>
      </c>
      <c r="D905" s="940" t="s">
        <v>3822</v>
      </c>
      <c r="E905" t="s">
        <v>72</v>
      </c>
    </row>
    <row r="906" spans="1:5" x14ac:dyDescent="0.2">
      <c r="A906" s="940">
        <v>1398</v>
      </c>
      <c r="B906" s="940">
        <v>162</v>
      </c>
      <c r="C906" t="s">
        <v>2541</v>
      </c>
      <c r="D906" s="940" t="s">
        <v>3969</v>
      </c>
      <c r="E906" t="s">
        <v>74</v>
      </c>
    </row>
    <row r="907" spans="1:5" x14ac:dyDescent="0.2">
      <c r="A907" s="940">
        <v>1738</v>
      </c>
      <c r="B907" s="940">
        <v>112</v>
      </c>
      <c r="C907" t="s">
        <v>1437</v>
      </c>
      <c r="D907" s="940" t="s">
        <v>5308</v>
      </c>
      <c r="E907" t="s">
        <v>74</v>
      </c>
    </row>
    <row r="908" spans="1:5" x14ac:dyDescent="0.2">
      <c r="A908" s="940">
        <v>518</v>
      </c>
      <c r="B908" s="940">
        <v>529</v>
      </c>
      <c r="C908" t="s">
        <v>9944</v>
      </c>
      <c r="D908" s="940" t="s">
        <v>9945</v>
      </c>
      <c r="E908" t="s">
        <v>80</v>
      </c>
    </row>
    <row r="909" spans="1:5" x14ac:dyDescent="0.2">
      <c r="A909" s="940">
        <v>1289</v>
      </c>
      <c r="B909" s="940">
        <v>187</v>
      </c>
      <c r="C909" t="s">
        <v>1438</v>
      </c>
      <c r="D909" s="940" t="s">
        <v>3970</v>
      </c>
      <c r="E909" t="s">
        <v>74</v>
      </c>
    </row>
    <row r="910" spans="1:5" x14ac:dyDescent="0.2">
      <c r="A910" s="940">
        <v>498</v>
      </c>
      <c r="B910" s="940">
        <v>551</v>
      </c>
      <c r="C910" t="s">
        <v>3971</v>
      </c>
      <c r="D910" s="940" t="s">
        <v>3972</v>
      </c>
      <c r="E910" t="s">
        <v>231</v>
      </c>
    </row>
    <row r="911" spans="1:5" x14ac:dyDescent="0.2">
      <c r="A911" s="940">
        <v>2774</v>
      </c>
      <c r="B911" s="940">
        <v>34</v>
      </c>
      <c r="C911" t="s">
        <v>3973</v>
      </c>
      <c r="D911" s="940" t="s">
        <v>3974</v>
      </c>
      <c r="E911" t="s">
        <v>133</v>
      </c>
    </row>
    <row r="912" spans="1:5" x14ac:dyDescent="0.2">
      <c r="A912" s="940">
        <v>2396</v>
      </c>
      <c r="B912" s="940">
        <v>55</v>
      </c>
      <c r="C912" t="s">
        <v>1439</v>
      </c>
      <c r="D912" s="940" t="s">
        <v>8776</v>
      </c>
      <c r="E912" t="s">
        <v>1214</v>
      </c>
    </row>
    <row r="913" spans="1:5" x14ac:dyDescent="0.2">
      <c r="A913" s="940">
        <v>2423</v>
      </c>
      <c r="B913" s="940">
        <v>53</v>
      </c>
      <c r="C913" t="s">
        <v>3975</v>
      </c>
      <c r="D913" s="940" t="s">
        <v>3976</v>
      </c>
      <c r="E913" t="s">
        <v>99</v>
      </c>
    </row>
    <row r="914" spans="1:5" x14ac:dyDescent="0.2">
      <c r="A914" s="940">
        <v>1383</v>
      </c>
      <c r="B914" s="940">
        <v>166</v>
      </c>
      <c r="C914" t="s">
        <v>1440</v>
      </c>
      <c r="D914" s="940" t="s">
        <v>3977</v>
      </c>
      <c r="E914" t="s">
        <v>120</v>
      </c>
    </row>
    <row r="915" spans="1:5" x14ac:dyDescent="0.2">
      <c r="A915" s="940">
        <v>4294</v>
      </c>
      <c r="B915" s="940">
        <v>0</v>
      </c>
      <c r="C915" t="s">
        <v>9946</v>
      </c>
      <c r="D915" s="940" t="s">
        <v>3307</v>
      </c>
      <c r="E915" t="s">
        <v>120</v>
      </c>
    </row>
    <row r="916" spans="1:5" x14ac:dyDescent="0.2">
      <c r="A916" s="940">
        <v>3483</v>
      </c>
      <c r="B916" s="940">
        <v>10</v>
      </c>
      <c r="C916" t="s">
        <v>3980</v>
      </c>
      <c r="D916" s="940" t="s">
        <v>3981</v>
      </c>
      <c r="E916" t="s">
        <v>129</v>
      </c>
    </row>
    <row r="917" spans="1:5" x14ac:dyDescent="0.2">
      <c r="A917" s="940">
        <v>786</v>
      </c>
      <c r="B917" s="940">
        <v>367</v>
      </c>
      <c r="C917" t="s">
        <v>9947</v>
      </c>
      <c r="D917" s="940" t="s">
        <v>9948</v>
      </c>
      <c r="E917" t="s">
        <v>129</v>
      </c>
    </row>
    <row r="918" spans="1:5" x14ac:dyDescent="0.2">
      <c r="A918" s="940">
        <v>16</v>
      </c>
      <c r="B918" s="940">
        <v>1495</v>
      </c>
      <c r="C918" t="s">
        <v>3982</v>
      </c>
      <c r="D918" s="940" t="s">
        <v>3983</v>
      </c>
      <c r="E918" t="s">
        <v>105</v>
      </c>
    </row>
    <row r="919" spans="1:5" x14ac:dyDescent="0.2">
      <c r="A919" s="940">
        <v>3655</v>
      </c>
      <c r="B919" s="940">
        <v>7</v>
      </c>
      <c r="C919" t="s">
        <v>3984</v>
      </c>
      <c r="D919" s="940" t="s">
        <v>3985</v>
      </c>
      <c r="E919" t="s">
        <v>3986</v>
      </c>
    </row>
    <row r="920" spans="1:5" x14ac:dyDescent="0.2">
      <c r="A920" s="940">
        <v>388</v>
      </c>
      <c r="B920" s="940">
        <v>649</v>
      </c>
      <c r="C920" t="s">
        <v>9949</v>
      </c>
      <c r="D920" s="940" t="s">
        <v>9950</v>
      </c>
      <c r="E920" t="s">
        <v>105</v>
      </c>
    </row>
    <row r="921" spans="1:5" x14ac:dyDescent="0.2">
      <c r="A921" s="940">
        <v>936</v>
      </c>
      <c r="B921" s="940">
        <v>303</v>
      </c>
      <c r="C921" t="s">
        <v>9951</v>
      </c>
      <c r="D921" s="940" t="s">
        <v>9952</v>
      </c>
      <c r="E921" t="s">
        <v>132</v>
      </c>
    </row>
    <row r="922" spans="1:5" x14ac:dyDescent="0.2">
      <c r="A922" s="940">
        <v>4294</v>
      </c>
      <c r="B922" s="940">
        <v>0</v>
      </c>
      <c r="C922" t="s">
        <v>9953</v>
      </c>
      <c r="D922" s="940" t="s">
        <v>4032</v>
      </c>
      <c r="E922" t="s">
        <v>1372</v>
      </c>
    </row>
    <row r="923" spans="1:5" x14ac:dyDescent="0.2">
      <c r="A923" s="940">
        <v>3107</v>
      </c>
      <c r="B923" s="940">
        <v>20</v>
      </c>
      <c r="C923" t="s">
        <v>9954</v>
      </c>
      <c r="D923" s="940" t="s">
        <v>5546</v>
      </c>
      <c r="E923" t="s">
        <v>1460</v>
      </c>
    </row>
    <row r="924" spans="1:5" x14ac:dyDescent="0.2">
      <c r="A924" s="940">
        <v>2339</v>
      </c>
      <c r="B924" s="940">
        <v>59</v>
      </c>
      <c r="C924" t="s">
        <v>197</v>
      </c>
      <c r="D924" s="940" t="s">
        <v>3152</v>
      </c>
      <c r="E924" t="s">
        <v>1256</v>
      </c>
    </row>
    <row r="925" spans="1:5" x14ac:dyDescent="0.2">
      <c r="A925" s="940">
        <v>4294</v>
      </c>
      <c r="B925" s="940">
        <v>0</v>
      </c>
      <c r="C925" t="s">
        <v>9955</v>
      </c>
      <c r="D925" s="940" t="s">
        <v>3358</v>
      </c>
      <c r="E925" t="s">
        <v>105</v>
      </c>
    </row>
    <row r="926" spans="1:5" x14ac:dyDescent="0.2">
      <c r="A926" s="940">
        <v>2630</v>
      </c>
      <c r="B926" s="940">
        <v>40</v>
      </c>
      <c r="C926" t="s">
        <v>3989</v>
      </c>
      <c r="D926" s="940" t="s">
        <v>3990</v>
      </c>
      <c r="E926" t="s">
        <v>3597</v>
      </c>
    </row>
    <row r="927" spans="1:5" x14ac:dyDescent="0.2">
      <c r="A927" s="940">
        <v>1758</v>
      </c>
      <c r="B927" s="940">
        <v>110</v>
      </c>
      <c r="C927" t="s">
        <v>3991</v>
      </c>
      <c r="D927" s="940" t="s">
        <v>3154</v>
      </c>
      <c r="E927" t="s">
        <v>1584</v>
      </c>
    </row>
    <row r="928" spans="1:5" x14ac:dyDescent="0.2">
      <c r="A928" s="940">
        <v>2270</v>
      </c>
      <c r="B928" s="940">
        <v>64</v>
      </c>
      <c r="C928" t="s">
        <v>9956</v>
      </c>
      <c r="D928" s="940" t="s">
        <v>9957</v>
      </c>
      <c r="E928" t="s">
        <v>9939</v>
      </c>
    </row>
    <row r="929" spans="1:5" x14ac:dyDescent="0.2">
      <c r="A929" s="940">
        <v>4294</v>
      </c>
      <c r="B929" s="940">
        <v>0</v>
      </c>
      <c r="C929" t="s">
        <v>3992</v>
      </c>
      <c r="D929" s="940" t="s">
        <v>3993</v>
      </c>
      <c r="E929" t="s">
        <v>120</v>
      </c>
    </row>
    <row r="930" spans="1:5" x14ac:dyDescent="0.2">
      <c r="A930" s="940">
        <v>1334</v>
      </c>
      <c r="B930" s="940">
        <v>174</v>
      </c>
      <c r="C930" t="s">
        <v>1441</v>
      </c>
      <c r="D930" s="940" t="s">
        <v>8776</v>
      </c>
      <c r="E930" t="s">
        <v>1169</v>
      </c>
    </row>
    <row r="931" spans="1:5" x14ac:dyDescent="0.2">
      <c r="A931" s="940">
        <v>1964</v>
      </c>
      <c r="B931" s="940">
        <v>89</v>
      </c>
      <c r="C931" t="s">
        <v>3994</v>
      </c>
      <c r="D931" s="940" t="s">
        <v>3995</v>
      </c>
      <c r="E931" t="s">
        <v>164</v>
      </c>
    </row>
    <row r="932" spans="1:5" x14ac:dyDescent="0.2">
      <c r="A932" s="940">
        <v>1452</v>
      </c>
      <c r="B932" s="940">
        <v>154</v>
      </c>
      <c r="C932" t="s">
        <v>3996</v>
      </c>
      <c r="D932" s="940" t="s">
        <v>3997</v>
      </c>
      <c r="E932" t="s">
        <v>3998</v>
      </c>
    </row>
    <row r="933" spans="1:5" x14ac:dyDescent="0.2">
      <c r="A933" s="940">
        <v>1009</v>
      </c>
      <c r="B933" s="940">
        <v>274</v>
      </c>
      <c r="C933" t="s">
        <v>9958</v>
      </c>
      <c r="D933" s="940" t="s">
        <v>6595</v>
      </c>
      <c r="E933" t="s">
        <v>227</v>
      </c>
    </row>
    <row r="934" spans="1:5" x14ac:dyDescent="0.2">
      <c r="A934" s="940">
        <v>2725</v>
      </c>
      <c r="B934" s="940">
        <v>36</v>
      </c>
      <c r="C934" t="s">
        <v>3999</v>
      </c>
      <c r="D934" s="940" t="s">
        <v>3431</v>
      </c>
      <c r="E934" t="s">
        <v>145</v>
      </c>
    </row>
    <row r="935" spans="1:5" x14ac:dyDescent="0.2">
      <c r="A935" s="940">
        <v>3402</v>
      </c>
      <c r="B935" s="940">
        <v>12</v>
      </c>
      <c r="C935" t="s">
        <v>9959</v>
      </c>
      <c r="D935" s="940" t="s">
        <v>5026</v>
      </c>
      <c r="E935" t="s">
        <v>72</v>
      </c>
    </row>
    <row r="936" spans="1:5" x14ac:dyDescent="0.2">
      <c r="A936" s="940">
        <v>4294</v>
      </c>
      <c r="B936" s="940">
        <v>0</v>
      </c>
      <c r="C936" t="s">
        <v>9960</v>
      </c>
      <c r="D936" s="940" t="s">
        <v>9961</v>
      </c>
      <c r="E936" t="s">
        <v>120</v>
      </c>
    </row>
    <row r="937" spans="1:5" x14ac:dyDescent="0.2">
      <c r="A937" s="940">
        <v>2962</v>
      </c>
      <c r="B937" s="940">
        <v>25</v>
      </c>
      <c r="C937" t="s">
        <v>9962</v>
      </c>
      <c r="D937" s="940" t="s">
        <v>3464</v>
      </c>
      <c r="E937" t="s">
        <v>168</v>
      </c>
    </row>
    <row r="938" spans="1:5" x14ac:dyDescent="0.2">
      <c r="A938" s="940">
        <v>4294</v>
      </c>
      <c r="B938" s="940">
        <v>0</v>
      </c>
      <c r="C938" t="s">
        <v>9963</v>
      </c>
      <c r="D938" s="940" t="s">
        <v>9790</v>
      </c>
      <c r="E938" t="s">
        <v>9939</v>
      </c>
    </row>
    <row r="939" spans="1:5" x14ac:dyDescent="0.2">
      <c r="A939" s="940">
        <v>850</v>
      </c>
      <c r="B939" s="940">
        <v>333</v>
      </c>
      <c r="C939" t="s">
        <v>1444</v>
      </c>
      <c r="D939" s="940" t="s">
        <v>4000</v>
      </c>
      <c r="E939" t="s">
        <v>4001</v>
      </c>
    </row>
    <row r="940" spans="1:5" x14ac:dyDescent="0.2">
      <c r="A940" s="940">
        <v>581</v>
      </c>
      <c r="B940" s="940">
        <v>486</v>
      </c>
      <c r="C940" t="s">
        <v>4002</v>
      </c>
      <c r="D940" s="940" t="s">
        <v>4003</v>
      </c>
      <c r="E940" t="s">
        <v>1285</v>
      </c>
    </row>
    <row r="941" spans="1:5" x14ac:dyDescent="0.2">
      <c r="A941" s="940">
        <v>1334</v>
      </c>
      <c r="B941" s="940">
        <v>174</v>
      </c>
      <c r="C941" t="s">
        <v>1446</v>
      </c>
      <c r="D941" s="940" t="s">
        <v>6901</v>
      </c>
      <c r="E941" t="s">
        <v>1447</v>
      </c>
    </row>
    <row r="942" spans="1:5" x14ac:dyDescent="0.2">
      <c r="A942" s="940">
        <v>1720</v>
      </c>
      <c r="B942" s="940">
        <v>115</v>
      </c>
      <c r="C942" t="s">
        <v>4006</v>
      </c>
      <c r="D942" s="940" t="s">
        <v>4007</v>
      </c>
      <c r="E942" t="s">
        <v>1332</v>
      </c>
    </row>
    <row r="943" spans="1:5" x14ac:dyDescent="0.2">
      <c r="A943" s="940">
        <v>546</v>
      </c>
      <c r="B943" s="940">
        <v>510</v>
      </c>
      <c r="C943" t="s">
        <v>9964</v>
      </c>
      <c r="D943" s="940" t="s">
        <v>9965</v>
      </c>
      <c r="E943" t="s">
        <v>120</v>
      </c>
    </row>
    <row r="944" spans="1:5" x14ac:dyDescent="0.2">
      <c r="A944" s="940">
        <v>544</v>
      </c>
      <c r="B944" s="940">
        <v>511</v>
      </c>
      <c r="C944" t="s">
        <v>4008</v>
      </c>
      <c r="D944" s="940" t="s">
        <v>3693</v>
      </c>
      <c r="E944" t="s">
        <v>140</v>
      </c>
    </row>
    <row r="945" spans="1:5" x14ac:dyDescent="0.2">
      <c r="A945" s="940">
        <v>686</v>
      </c>
      <c r="B945" s="940">
        <v>410</v>
      </c>
      <c r="C945" t="s">
        <v>9966</v>
      </c>
      <c r="D945" s="940" t="s">
        <v>9967</v>
      </c>
      <c r="E945" t="s">
        <v>106</v>
      </c>
    </row>
    <row r="946" spans="1:5" x14ac:dyDescent="0.2">
      <c r="A946" s="940">
        <v>4294</v>
      </c>
      <c r="B946" s="940">
        <v>0</v>
      </c>
      <c r="C946" t="s">
        <v>9968</v>
      </c>
      <c r="D946" s="940" t="s">
        <v>9969</v>
      </c>
      <c r="E946" t="s">
        <v>2624</v>
      </c>
    </row>
    <row r="947" spans="1:5" x14ac:dyDescent="0.2">
      <c r="A947" s="940">
        <v>926</v>
      </c>
      <c r="B947" s="940">
        <v>306</v>
      </c>
      <c r="C947" t="s">
        <v>4011</v>
      </c>
      <c r="D947" s="940" t="s">
        <v>4012</v>
      </c>
      <c r="E947" t="s">
        <v>130</v>
      </c>
    </row>
    <row r="948" spans="1:5" x14ac:dyDescent="0.2">
      <c r="A948" s="940">
        <v>2725</v>
      </c>
      <c r="B948" s="940">
        <v>36</v>
      </c>
      <c r="C948" t="s">
        <v>4011</v>
      </c>
      <c r="D948" s="940" t="s">
        <v>3183</v>
      </c>
      <c r="E948" t="s">
        <v>112</v>
      </c>
    </row>
    <row r="949" spans="1:5" x14ac:dyDescent="0.2">
      <c r="A949" s="940">
        <v>1904</v>
      </c>
      <c r="B949" s="940">
        <v>95</v>
      </c>
      <c r="C949" t="s">
        <v>4015</v>
      </c>
      <c r="D949" s="940" t="s">
        <v>4017</v>
      </c>
      <c r="E949" t="s">
        <v>3648</v>
      </c>
    </row>
    <row r="950" spans="1:5" x14ac:dyDescent="0.2">
      <c r="A950" s="940">
        <v>2101</v>
      </c>
      <c r="B950" s="940">
        <v>77</v>
      </c>
      <c r="C950" t="s">
        <v>4015</v>
      </c>
      <c r="D950" s="940" t="s">
        <v>4016</v>
      </c>
      <c r="E950" t="s">
        <v>99</v>
      </c>
    </row>
    <row r="951" spans="1:5" x14ac:dyDescent="0.2">
      <c r="A951" s="940">
        <v>191</v>
      </c>
      <c r="B951" s="940">
        <v>923</v>
      </c>
      <c r="C951" t="s">
        <v>4018</v>
      </c>
      <c r="D951" s="940" t="s">
        <v>4019</v>
      </c>
      <c r="E951" t="s">
        <v>171</v>
      </c>
    </row>
    <row r="952" spans="1:5" x14ac:dyDescent="0.2">
      <c r="A952" s="940">
        <v>4294</v>
      </c>
      <c r="B952" s="940">
        <v>0</v>
      </c>
      <c r="C952" t="s">
        <v>9970</v>
      </c>
      <c r="D952" s="940" t="s">
        <v>9971</v>
      </c>
      <c r="E952" t="s">
        <v>171</v>
      </c>
    </row>
    <row r="953" spans="1:5" x14ac:dyDescent="0.2">
      <c r="A953" s="940">
        <v>3972</v>
      </c>
      <c r="B953" s="940">
        <v>3</v>
      </c>
      <c r="C953" t="s">
        <v>9972</v>
      </c>
      <c r="D953" s="940" t="s">
        <v>6650</v>
      </c>
      <c r="E953" t="s">
        <v>1475</v>
      </c>
    </row>
    <row r="954" spans="1:5" x14ac:dyDescent="0.2">
      <c r="A954" s="940">
        <v>3048</v>
      </c>
      <c r="B954" s="940">
        <v>22</v>
      </c>
      <c r="C954" t="s">
        <v>4020</v>
      </c>
      <c r="D954" s="940" t="s">
        <v>4021</v>
      </c>
      <c r="E954" t="s">
        <v>1491</v>
      </c>
    </row>
    <row r="955" spans="1:5" x14ac:dyDescent="0.2">
      <c r="A955" s="940">
        <v>1921</v>
      </c>
      <c r="B955" s="940">
        <v>93</v>
      </c>
      <c r="C955" t="s">
        <v>4022</v>
      </c>
      <c r="D955" s="940" t="s">
        <v>4023</v>
      </c>
      <c r="E955" t="s">
        <v>1358</v>
      </c>
    </row>
    <row r="956" spans="1:5" x14ac:dyDescent="0.2">
      <c r="A956" s="940">
        <v>3083</v>
      </c>
      <c r="B956" s="940">
        <v>21</v>
      </c>
      <c r="C956" t="s">
        <v>4022</v>
      </c>
      <c r="D956" s="940" t="s">
        <v>2763</v>
      </c>
      <c r="E956" t="s">
        <v>166</v>
      </c>
    </row>
    <row r="957" spans="1:5" x14ac:dyDescent="0.2">
      <c r="A957" s="940">
        <v>3602</v>
      </c>
      <c r="B957" s="940">
        <v>8</v>
      </c>
      <c r="C957" t="s">
        <v>4024</v>
      </c>
      <c r="D957" s="940" t="s">
        <v>4025</v>
      </c>
      <c r="E957" t="s">
        <v>3986</v>
      </c>
    </row>
    <row r="958" spans="1:5" x14ac:dyDescent="0.2">
      <c r="A958" s="940">
        <v>2649</v>
      </c>
      <c r="B958" s="940">
        <v>39</v>
      </c>
      <c r="C958" t="s">
        <v>4028</v>
      </c>
      <c r="D958" s="940" t="s">
        <v>3654</v>
      </c>
      <c r="E958" t="s">
        <v>110</v>
      </c>
    </row>
    <row r="959" spans="1:5" x14ac:dyDescent="0.2">
      <c r="A959" s="940">
        <v>1366</v>
      </c>
      <c r="B959" s="940">
        <v>169</v>
      </c>
      <c r="C959" t="s">
        <v>4029</v>
      </c>
      <c r="D959" s="940" t="s">
        <v>4030</v>
      </c>
      <c r="E959" t="s">
        <v>120</v>
      </c>
    </row>
    <row r="960" spans="1:5" x14ac:dyDescent="0.2">
      <c r="A960" s="940">
        <v>1133</v>
      </c>
      <c r="B960" s="940">
        <v>228</v>
      </c>
      <c r="C960" t="s">
        <v>4031</v>
      </c>
      <c r="D960" s="940" t="s">
        <v>4032</v>
      </c>
      <c r="E960" t="s">
        <v>3200</v>
      </c>
    </row>
    <row r="961" spans="1:5" x14ac:dyDescent="0.2">
      <c r="A961" s="940">
        <v>2668</v>
      </c>
      <c r="B961" s="940">
        <v>38</v>
      </c>
      <c r="C961" t="s">
        <v>9973</v>
      </c>
      <c r="D961" s="940" t="s">
        <v>9933</v>
      </c>
      <c r="E961" t="s">
        <v>1524</v>
      </c>
    </row>
    <row r="962" spans="1:5" x14ac:dyDescent="0.2">
      <c r="A962" s="940">
        <v>4294</v>
      </c>
      <c r="B962" s="940">
        <v>0</v>
      </c>
      <c r="C962" t="s">
        <v>4033</v>
      </c>
      <c r="D962" s="940" t="s">
        <v>3789</v>
      </c>
      <c r="E962" t="s">
        <v>1460</v>
      </c>
    </row>
    <row r="963" spans="1:5" x14ac:dyDescent="0.2">
      <c r="A963" s="940">
        <v>2514</v>
      </c>
      <c r="B963" s="940">
        <v>46</v>
      </c>
      <c r="C963" t="s">
        <v>4036</v>
      </c>
      <c r="D963" s="940" t="s">
        <v>4037</v>
      </c>
      <c r="E963" t="s">
        <v>1214</v>
      </c>
    </row>
    <row r="964" spans="1:5" x14ac:dyDescent="0.2">
      <c r="A964" s="940">
        <v>3107</v>
      </c>
      <c r="B964" s="940">
        <v>20</v>
      </c>
      <c r="C964" t="s">
        <v>2543</v>
      </c>
      <c r="D964" s="940" t="s">
        <v>9974</v>
      </c>
      <c r="E964" t="s">
        <v>128</v>
      </c>
    </row>
    <row r="965" spans="1:5" x14ac:dyDescent="0.2">
      <c r="A965" s="940">
        <v>2552</v>
      </c>
      <c r="B965" s="940">
        <v>44</v>
      </c>
      <c r="C965" t="s">
        <v>4040</v>
      </c>
      <c r="D965" s="940" t="s">
        <v>4041</v>
      </c>
      <c r="E965" t="s">
        <v>2793</v>
      </c>
    </row>
    <row r="966" spans="1:5" x14ac:dyDescent="0.2">
      <c r="A966" s="940">
        <v>3602</v>
      </c>
      <c r="B966" s="940">
        <v>8</v>
      </c>
      <c r="C966" t="s">
        <v>4044</v>
      </c>
      <c r="D966" s="940" t="s">
        <v>3267</v>
      </c>
      <c r="E966" t="s">
        <v>130</v>
      </c>
    </row>
    <row r="967" spans="1:5" x14ac:dyDescent="0.2">
      <c r="A967" s="940">
        <v>1194</v>
      </c>
      <c r="B967" s="940">
        <v>213</v>
      </c>
      <c r="C967" t="s">
        <v>9975</v>
      </c>
      <c r="D967" s="940" t="s">
        <v>9976</v>
      </c>
      <c r="E967" t="s">
        <v>84</v>
      </c>
    </row>
    <row r="968" spans="1:5" x14ac:dyDescent="0.2">
      <c r="A968" s="940">
        <v>4081</v>
      </c>
      <c r="B968" s="940">
        <v>2</v>
      </c>
      <c r="C968" t="s">
        <v>4045</v>
      </c>
      <c r="D968" s="940" t="s">
        <v>4046</v>
      </c>
      <c r="E968" t="s">
        <v>165</v>
      </c>
    </row>
    <row r="969" spans="1:5" x14ac:dyDescent="0.2">
      <c r="A969" s="940">
        <v>3174</v>
      </c>
      <c r="B969" s="940">
        <v>18</v>
      </c>
      <c r="C969" t="s">
        <v>4047</v>
      </c>
      <c r="D969" s="940" t="s">
        <v>4048</v>
      </c>
      <c r="E969" t="s">
        <v>105</v>
      </c>
    </row>
    <row r="970" spans="1:5" x14ac:dyDescent="0.2">
      <c r="A970" s="940">
        <v>1061</v>
      </c>
      <c r="B970" s="940">
        <v>254</v>
      </c>
      <c r="C970" t="s">
        <v>4049</v>
      </c>
      <c r="D970" s="940" t="s">
        <v>4050</v>
      </c>
      <c r="E970" t="s">
        <v>3140</v>
      </c>
    </row>
    <row r="971" spans="1:5" x14ac:dyDescent="0.2">
      <c r="A971" s="940">
        <v>4294</v>
      </c>
      <c r="B971" s="940">
        <v>0</v>
      </c>
      <c r="C971" t="s">
        <v>4051</v>
      </c>
      <c r="D971" s="940" t="s">
        <v>4052</v>
      </c>
      <c r="E971" t="s">
        <v>171</v>
      </c>
    </row>
    <row r="972" spans="1:5" x14ac:dyDescent="0.2">
      <c r="A972" s="940">
        <v>3083</v>
      </c>
      <c r="B972" s="940">
        <v>21</v>
      </c>
      <c r="C972" t="s">
        <v>4053</v>
      </c>
      <c r="D972" s="940" t="s">
        <v>4054</v>
      </c>
      <c r="E972" t="s">
        <v>1214</v>
      </c>
    </row>
    <row r="973" spans="1:5" x14ac:dyDescent="0.2">
      <c r="A973" s="940">
        <v>2329</v>
      </c>
      <c r="B973" s="940">
        <v>60</v>
      </c>
      <c r="C973" t="s">
        <v>9977</v>
      </c>
      <c r="D973" s="940" t="s">
        <v>5964</v>
      </c>
      <c r="E973" t="s">
        <v>129</v>
      </c>
    </row>
    <row r="974" spans="1:5" x14ac:dyDescent="0.2">
      <c r="A974" s="940">
        <v>3323</v>
      </c>
      <c r="B974" s="940">
        <v>14</v>
      </c>
      <c r="C974" t="s">
        <v>4055</v>
      </c>
      <c r="D974" s="940" t="s">
        <v>4056</v>
      </c>
      <c r="E974" t="s">
        <v>1587</v>
      </c>
    </row>
    <row r="975" spans="1:5" x14ac:dyDescent="0.2">
      <c r="A975" s="940">
        <v>953</v>
      </c>
      <c r="B975" s="940">
        <v>296</v>
      </c>
      <c r="C975" t="s">
        <v>460</v>
      </c>
      <c r="D975" s="940" t="s">
        <v>3931</v>
      </c>
      <c r="E975" t="s">
        <v>1182</v>
      </c>
    </row>
    <row r="976" spans="1:5" x14ac:dyDescent="0.2">
      <c r="A976" s="940">
        <v>1024</v>
      </c>
      <c r="B976" s="940">
        <v>270</v>
      </c>
      <c r="C976" t="s">
        <v>4059</v>
      </c>
      <c r="D976" s="940" t="s">
        <v>4060</v>
      </c>
      <c r="E976" t="s">
        <v>1236</v>
      </c>
    </row>
    <row r="977" spans="1:5" x14ac:dyDescent="0.2">
      <c r="A977" s="940">
        <v>4294</v>
      </c>
      <c r="B977" s="940">
        <v>0</v>
      </c>
      <c r="C977" t="s">
        <v>4061</v>
      </c>
      <c r="D977" s="940" t="s">
        <v>4062</v>
      </c>
      <c r="E977" t="s">
        <v>128</v>
      </c>
    </row>
    <row r="978" spans="1:5" x14ac:dyDescent="0.2">
      <c r="A978" s="940">
        <v>2877</v>
      </c>
      <c r="B978" s="940">
        <v>29</v>
      </c>
      <c r="C978" t="s">
        <v>4063</v>
      </c>
      <c r="D978" s="940" t="s">
        <v>4064</v>
      </c>
      <c r="E978" t="s">
        <v>1408</v>
      </c>
    </row>
    <row r="979" spans="1:5" x14ac:dyDescent="0.2">
      <c r="A979" s="940">
        <v>3174</v>
      </c>
      <c r="B979" s="940">
        <v>18</v>
      </c>
      <c r="C979" t="s">
        <v>9978</v>
      </c>
      <c r="D979" s="940" t="s">
        <v>9979</v>
      </c>
      <c r="E979" t="s">
        <v>1236</v>
      </c>
    </row>
    <row r="980" spans="1:5" x14ac:dyDescent="0.2">
      <c r="A980" s="940">
        <v>1782</v>
      </c>
      <c r="B980" s="940">
        <v>107</v>
      </c>
      <c r="C980" t="s">
        <v>9980</v>
      </c>
      <c r="D980" s="940" t="s">
        <v>7615</v>
      </c>
      <c r="E980" t="s">
        <v>3518</v>
      </c>
    </row>
    <row r="981" spans="1:5" x14ac:dyDescent="0.2">
      <c r="A981" s="940">
        <v>2691</v>
      </c>
      <c r="B981" s="940">
        <v>37</v>
      </c>
      <c r="C981" t="s">
        <v>9981</v>
      </c>
      <c r="D981" s="940" t="s">
        <v>9982</v>
      </c>
      <c r="E981" t="s">
        <v>121</v>
      </c>
    </row>
    <row r="982" spans="1:5" x14ac:dyDescent="0.2">
      <c r="A982" s="940">
        <v>1383</v>
      </c>
      <c r="B982" s="940">
        <v>166</v>
      </c>
      <c r="C982" t="s">
        <v>2544</v>
      </c>
      <c r="D982" s="940" t="s">
        <v>6522</v>
      </c>
      <c r="E982" t="s">
        <v>83</v>
      </c>
    </row>
    <row r="983" spans="1:5" x14ac:dyDescent="0.2">
      <c r="A983" s="940">
        <v>3222</v>
      </c>
      <c r="B983" s="940">
        <v>17</v>
      </c>
      <c r="C983" t="s">
        <v>2544</v>
      </c>
      <c r="D983" s="940" t="s">
        <v>6585</v>
      </c>
      <c r="E983" t="s">
        <v>113</v>
      </c>
    </row>
    <row r="984" spans="1:5" x14ac:dyDescent="0.2">
      <c r="A984" s="940">
        <v>4294</v>
      </c>
      <c r="B984" s="940">
        <v>0</v>
      </c>
      <c r="C984" t="s">
        <v>9983</v>
      </c>
      <c r="D984" s="940" t="s">
        <v>8862</v>
      </c>
      <c r="E984" t="s">
        <v>1467</v>
      </c>
    </row>
    <row r="985" spans="1:5" x14ac:dyDescent="0.2">
      <c r="A985" s="940">
        <v>2150</v>
      </c>
      <c r="B985" s="940">
        <v>73</v>
      </c>
      <c r="C985" t="s">
        <v>4067</v>
      </c>
      <c r="D985" s="940" t="s">
        <v>4068</v>
      </c>
      <c r="E985" t="s">
        <v>127</v>
      </c>
    </row>
    <row r="986" spans="1:5" x14ac:dyDescent="0.2">
      <c r="A986" s="940">
        <v>766</v>
      </c>
      <c r="B986" s="940">
        <v>377</v>
      </c>
      <c r="C986" t="s">
        <v>4069</v>
      </c>
      <c r="D986" s="940" t="s">
        <v>4070</v>
      </c>
      <c r="E986" t="s">
        <v>84</v>
      </c>
    </row>
    <row r="987" spans="1:5" x14ac:dyDescent="0.2">
      <c r="A987" s="940">
        <v>866</v>
      </c>
      <c r="B987" s="940">
        <v>330</v>
      </c>
      <c r="C987" t="s">
        <v>4071</v>
      </c>
      <c r="D987" s="940" t="s">
        <v>3787</v>
      </c>
      <c r="E987" t="s">
        <v>120</v>
      </c>
    </row>
    <row r="988" spans="1:5" x14ac:dyDescent="0.2">
      <c r="A988" s="940">
        <v>2614</v>
      </c>
      <c r="B988" s="940">
        <v>41</v>
      </c>
      <c r="C988" t="s">
        <v>4071</v>
      </c>
      <c r="D988" s="940" t="s">
        <v>4072</v>
      </c>
      <c r="E988" t="s">
        <v>282</v>
      </c>
    </row>
    <row r="989" spans="1:5" x14ac:dyDescent="0.2">
      <c r="A989" s="940">
        <v>1323</v>
      </c>
      <c r="B989" s="940">
        <v>178</v>
      </c>
      <c r="C989" t="s">
        <v>9984</v>
      </c>
      <c r="D989" s="940" t="s">
        <v>9985</v>
      </c>
      <c r="E989" t="s">
        <v>5279</v>
      </c>
    </row>
    <row r="990" spans="1:5" x14ac:dyDescent="0.2">
      <c r="A990" s="940">
        <v>3358</v>
      </c>
      <c r="B990" s="940">
        <v>13</v>
      </c>
      <c r="C990" t="s">
        <v>4073</v>
      </c>
      <c r="D990" s="940" t="s">
        <v>4074</v>
      </c>
      <c r="E990" t="s">
        <v>130</v>
      </c>
    </row>
    <row r="991" spans="1:5" x14ac:dyDescent="0.2">
      <c r="A991" s="940">
        <v>3483</v>
      </c>
      <c r="B991" s="940">
        <v>10</v>
      </c>
      <c r="C991" t="s">
        <v>9986</v>
      </c>
      <c r="D991" s="940" t="s">
        <v>9875</v>
      </c>
      <c r="E991" t="s">
        <v>1156</v>
      </c>
    </row>
    <row r="992" spans="1:5" x14ac:dyDescent="0.2">
      <c r="A992" s="940">
        <v>3882</v>
      </c>
      <c r="B992" s="940">
        <v>4</v>
      </c>
      <c r="C992" t="s">
        <v>4075</v>
      </c>
      <c r="D992" s="940" t="s">
        <v>4076</v>
      </c>
      <c r="E992" t="s">
        <v>105</v>
      </c>
    </row>
    <row r="993" spans="1:5" x14ac:dyDescent="0.2">
      <c r="A993" s="940">
        <v>2014</v>
      </c>
      <c r="B993" s="940">
        <v>84</v>
      </c>
      <c r="C993" t="s">
        <v>4080</v>
      </c>
      <c r="D993" s="940" t="s">
        <v>4081</v>
      </c>
      <c r="E993" t="s">
        <v>4082</v>
      </c>
    </row>
    <row r="994" spans="1:5" x14ac:dyDescent="0.2">
      <c r="A994" s="940">
        <v>2614</v>
      </c>
      <c r="B994" s="940">
        <v>41</v>
      </c>
      <c r="C994" t="s">
        <v>4083</v>
      </c>
      <c r="D994" s="940" t="s">
        <v>4084</v>
      </c>
      <c r="E994" t="s">
        <v>113</v>
      </c>
    </row>
    <row r="995" spans="1:5" x14ac:dyDescent="0.2">
      <c r="A995" s="940">
        <v>2486</v>
      </c>
      <c r="B995" s="940">
        <v>48</v>
      </c>
      <c r="C995" t="s">
        <v>4085</v>
      </c>
      <c r="D995" s="940" t="s">
        <v>4086</v>
      </c>
      <c r="E995" t="s">
        <v>99</v>
      </c>
    </row>
    <row r="996" spans="1:5" x14ac:dyDescent="0.2">
      <c r="A996" s="940">
        <v>738</v>
      </c>
      <c r="B996" s="940">
        <v>387</v>
      </c>
      <c r="C996" t="s">
        <v>1462</v>
      </c>
      <c r="D996" s="940" t="s">
        <v>4087</v>
      </c>
      <c r="E996" t="s">
        <v>99</v>
      </c>
    </row>
    <row r="997" spans="1:5" x14ac:dyDescent="0.2">
      <c r="A997" s="940">
        <v>4294</v>
      </c>
      <c r="B997" s="940">
        <v>0</v>
      </c>
      <c r="C997" t="s">
        <v>9987</v>
      </c>
      <c r="D997" s="940" t="s">
        <v>9988</v>
      </c>
      <c r="E997" t="s">
        <v>171</v>
      </c>
    </row>
    <row r="998" spans="1:5" x14ac:dyDescent="0.2">
      <c r="A998" s="940">
        <v>499</v>
      </c>
      <c r="B998" s="940">
        <v>550</v>
      </c>
      <c r="C998" t="s">
        <v>4088</v>
      </c>
      <c r="D998" s="940" t="s">
        <v>4089</v>
      </c>
      <c r="E998" t="s">
        <v>3098</v>
      </c>
    </row>
    <row r="999" spans="1:5" x14ac:dyDescent="0.2">
      <c r="A999" s="940">
        <v>1268</v>
      </c>
      <c r="B999" s="940">
        <v>191</v>
      </c>
      <c r="C999" t="s">
        <v>4090</v>
      </c>
      <c r="D999" s="940" t="s">
        <v>4091</v>
      </c>
      <c r="E999" t="s">
        <v>105</v>
      </c>
    </row>
    <row r="1000" spans="1:5" x14ac:dyDescent="0.2">
      <c r="A1000" s="940">
        <v>3732</v>
      </c>
      <c r="B1000" s="940">
        <v>6</v>
      </c>
      <c r="C1000" t="s">
        <v>9989</v>
      </c>
      <c r="D1000" s="940" t="s">
        <v>6635</v>
      </c>
      <c r="E1000" t="s">
        <v>118</v>
      </c>
    </row>
    <row r="1001" spans="1:5" x14ac:dyDescent="0.2">
      <c r="A1001" s="940">
        <v>3796</v>
      </c>
      <c r="B1001" s="940">
        <v>5</v>
      </c>
      <c r="C1001" t="s">
        <v>9990</v>
      </c>
      <c r="D1001" s="940" t="s">
        <v>9991</v>
      </c>
      <c r="E1001" t="s">
        <v>117</v>
      </c>
    </row>
    <row r="1002" spans="1:5" x14ac:dyDescent="0.2">
      <c r="A1002" s="940">
        <v>3174</v>
      </c>
      <c r="B1002" s="940">
        <v>18</v>
      </c>
      <c r="C1002" t="s">
        <v>4092</v>
      </c>
      <c r="D1002" s="940" t="s">
        <v>2845</v>
      </c>
      <c r="E1002" t="s">
        <v>83</v>
      </c>
    </row>
    <row r="1003" spans="1:5" x14ac:dyDescent="0.2">
      <c r="A1003" s="940">
        <v>4294</v>
      </c>
      <c r="B1003" s="940">
        <v>0</v>
      </c>
      <c r="C1003" t="s">
        <v>9992</v>
      </c>
      <c r="D1003" s="940" t="s">
        <v>7756</v>
      </c>
      <c r="E1003" t="s">
        <v>120</v>
      </c>
    </row>
    <row r="1004" spans="1:5" x14ac:dyDescent="0.2">
      <c r="A1004" s="940">
        <v>4294</v>
      </c>
      <c r="B1004" s="940">
        <v>0</v>
      </c>
      <c r="C1004" t="s">
        <v>4093</v>
      </c>
      <c r="D1004" s="940" t="s">
        <v>4094</v>
      </c>
      <c r="E1004" t="s">
        <v>3140</v>
      </c>
    </row>
    <row r="1005" spans="1:5" x14ac:dyDescent="0.2">
      <c r="A1005" s="940">
        <v>487</v>
      </c>
      <c r="B1005" s="940">
        <v>566</v>
      </c>
      <c r="C1005" t="s">
        <v>9993</v>
      </c>
      <c r="D1005" s="940" t="s">
        <v>9994</v>
      </c>
      <c r="E1005" t="s">
        <v>121</v>
      </c>
    </row>
    <row r="1006" spans="1:5" x14ac:dyDescent="0.2">
      <c r="A1006" s="940">
        <v>2860</v>
      </c>
      <c r="B1006" s="940">
        <v>30</v>
      </c>
      <c r="C1006" t="s">
        <v>201</v>
      </c>
      <c r="D1006" s="940" t="s">
        <v>9995</v>
      </c>
      <c r="E1006" t="s">
        <v>1460</v>
      </c>
    </row>
    <row r="1007" spans="1:5" x14ac:dyDescent="0.2">
      <c r="A1007" s="940">
        <v>342</v>
      </c>
      <c r="B1007" s="940">
        <v>710</v>
      </c>
      <c r="C1007" t="s">
        <v>4097</v>
      </c>
      <c r="D1007" s="940" t="s">
        <v>4098</v>
      </c>
      <c r="E1007" t="s">
        <v>3140</v>
      </c>
    </row>
    <row r="1008" spans="1:5" x14ac:dyDescent="0.2">
      <c r="A1008" s="940">
        <v>1320</v>
      </c>
      <c r="B1008" s="940">
        <v>180</v>
      </c>
      <c r="C1008" t="s">
        <v>4099</v>
      </c>
      <c r="D1008" s="940" t="s">
        <v>4100</v>
      </c>
      <c r="E1008" t="s">
        <v>166</v>
      </c>
    </row>
    <row r="1009" spans="1:5" x14ac:dyDescent="0.2">
      <c r="A1009" s="940">
        <v>1921</v>
      </c>
      <c r="B1009" s="940">
        <v>93</v>
      </c>
      <c r="C1009" t="s">
        <v>1466</v>
      </c>
      <c r="D1009" s="940" t="s">
        <v>4101</v>
      </c>
      <c r="E1009" t="s">
        <v>120</v>
      </c>
    </row>
    <row r="1010" spans="1:5" x14ac:dyDescent="0.2">
      <c r="A1010" s="940">
        <v>1385</v>
      </c>
      <c r="B1010" s="940">
        <v>165</v>
      </c>
      <c r="C1010" t="s">
        <v>9996</v>
      </c>
      <c r="D1010" s="940" t="s">
        <v>9997</v>
      </c>
      <c r="E1010" t="s">
        <v>213</v>
      </c>
    </row>
    <row r="1011" spans="1:5" x14ac:dyDescent="0.2">
      <c r="A1011" s="940">
        <v>3290</v>
      </c>
      <c r="B1011" s="940">
        <v>15</v>
      </c>
      <c r="C1011" t="s">
        <v>9998</v>
      </c>
      <c r="D1011" s="940" t="s">
        <v>9999</v>
      </c>
      <c r="E1011" t="s">
        <v>1232</v>
      </c>
    </row>
    <row r="1012" spans="1:5" x14ac:dyDescent="0.2">
      <c r="A1012" s="940">
        <v>452</v>
      </c>
      <c r="B1012" s="940">
        <v>590</v>
      </c>
      <c r="C1012" t="s">
        <v>4107</v>
      </c>
      <c r="D1012" s="940" t="s">
        <v>4108</v>
      </c>
      <c r="E1012" t="s">
        <v>1906</v>
      </c>
    </row>
    <row r="1013" spans="1:5" x14ac:dyDescent="0.2">
      <c r="A1013" s="940">
        <v>4294</v>
      </c>
      <c r="B1013" s="940">
        <v>0</v>
      </c>
      <c r="C1013" t="s">
        <v>10000</v>
      </c>
      <c r="D1013" s="940" t="s">
        <v>4585</v>
      </c>
      <c r="E1013" t="s">
        <v>1243</v>
      </c>
    </row>
    <row r="1014" spans="1:5" x14ac:dyDescent="0.2">
      <c r="A1014" s="940">
        <v>4081</v>
      </c>
      <c r="B1014" s="940">
        <v>2</v>
      </c>
      <c r="C1014" t="s">
        <v>4109</v>
      </c>
      <c r="D1014" s="940" t="s">
        <v>4110</v>
      </c>
      <c r="E1014" t="s">
        <v>111</v>
      </c>
    </row>
    <row r="1015" spans="1:5" x14ac:dyDescent="0.2">
      <c r="A1015" s="940">
        <v>752</v>
      </c>
      <c r="B1015" s="940">
        <v>381</v>
      </c>
      <c r="C1015" t="s">
        <v>4111</v>
      </c>
      <c r="D1015" s="940" t="s">
        <v>4112</v>
      </c>
      <c r="E1015" t="s">
        <v>107</v>
      </c>
    </row>
    <row r="1016" spans="1:5" x14ac:dyDescent="0.2">
      <c r="A1016" s="940">
        <v>2014</v>
      </c>
      <c r="B1016" s="940">
        <v>84</v>
      </c>
      <c r="C1016" t="s">
        <v>4113</v>
      </c>
      <c r="D1016" s="940" t="s">
        <v>4114</v>
      </c>
      <c r="E1016" t="s">
        <v>155</v>
      </c>
    </row>
    <row r="1017" spans="1:5" x14ac:dyDescent="0.2">
      <c r="A1017" s="940">
        <v>4181</v>
      </c>
      <c r="B1017" s="940">
        <v>1</v>
      </c>
      <c r="C1017" t="s">
        <v>10001</v>
      </c>
      <c r="D1017" s="940" t="s">
        <v>5052</v>
      </c>
      <c r="E1017" t="s">
        <v>1590</v>
      </c>
    </row>
    <row r="1018" spans="1:5" x14ac:dyDescent="0.2">
      <c r="A1018" s="940">
        <v>4294</v>
      </c>
      <c r="B1018" s="940">
        <v>0</v>
      </c>
      <c r="C1018" t="s">
        <v>10002</v>
      </c>
      <c r="D1018" s="940" t="s">
        <v>10003</v>
      </c>
      <c r="E1018" t="s">
        <v>10004</v>
      </c>
    </row>
    <row r="1019" spans="1:5" x14ac:dyDescent="0.2">
      <c r="A1019" s="940">
        <v>3446</v>
      </c>
      <c r="B1019" s="940">
        <v>11</v>
      </c>
      <c r="C1019" t="s">
        <v>4122</v>
      </c>
      <c r="D1019" s="940" t="s">
        <v>4123</v>
      </c>
      <c r="E1019" t="s">
        <v>163</v>
      </c>
    </row>
    <row r="1020" spans="1:5" x14ac:dyDescent="0.2">
      <c r="A1020" s="940">
        <v>1211</v>
      </c>
      <c r="B1020" s="940">
        <v>205</v>
      </c>
      <c r="C1020" t="s">
        <v>462</v>
      </c>
      <c r="D1020" s="940" t="s">
        <v>4126</v>
      </c>
      <c r="E1020" t="s">
        <v>105</v>
      </c>
    </row>
    <row r="1021" spans="1:5" x14ac:dyDescent="0.2">
      <c r="A1021" s="940">
        <v>4294</v>
      </c>
      <c r="B1021" s="940">
        <v>0</v>
      </c>
      <c r="C1021" t="s">
        <v>10005</v>
      </c>
      <c r="D1021" s="940" t="s">
        <v>9776</v>
      </c>
      <c r="E1021" t="s">
        <v>120</v>
      </c>
    </row>
    <row r="1022" spans="1:5" x14ac:dyDescent="0.2">
      <c r="A1022" s="940">
        <v>4294</v>
      </c>
      <c r="B1022" s="940">
        <v>0</v>
      </c>
      <c r="C1022" t="s">
        <v>4127</v>
      </c>
      <c r="D1022" s="940" t="s">
        <v>3317</v>
      </c>
      <c r="E1022" t="s">
        <v>1423</v>
      </c>
    </row>
    <row r="1023" spans="1:5" x14ac:dyDescent="0.2">
      <c r="A1023" s="940">
        <v>163</v>
      </c>
      <c r="B1023" s="940">
        <v>972</v>
      </c>
      <c r="C1023" t="s">
        <v>688</v>
      </c>
      <c r="D1023" s="940" t="s">
        <v>2893</v>
      </c>
      <c r="E1023" t="s">
        <v>186</v>
      </c>
    </row>
    <row r="1024" spans="1:5" x14ac:dyDescent="0.2">
      <c r="A1024" s="940">
        <v>325</v>
      </c>
      <c r="B1024" s="940">
        <v>730</v>
      </c>
      <c r="C1024" t="s">
        <v>4128</v>
      </c>
      <c r="D1024" s="940" t="s">
        <v>4129</v>
      </c>
      <c r="E1024" t="s">
        <v>122</v>
      </c>
    </row>
    <row r="1025" spans="1:5" x14ac:dyDescent="0.2">
      <c r="A1025" s="940">
        <v>4294</v>
      </c>
      <c r="B1025" s="940">
        <v>0</v>
      </c>
      <c r="C1025" t="s">
        <v>10006</v>
      </c>
      <c r="D1025" s="940" t="s">
        <v>6508</v>
      </c>
      <c r="E1025" t="s">
        <v>105</v>
      </c>
    </row>
    <row r="1026" spans="1:5" x14ac:dyDescent="0.2">
      <c r="A1026" s="940">
        <v>2938</v>
      </c>
      <c r="B1026" s="940">
        <v>26</v>
      </c>
      <c r="C1026" t="s">
        <v>10007</v>
      </c>
      <c r="D1026" s="940" t="s">
        <v>10008</v>
      </c>
      <c r="E1026" t="s">
        <v>105</v>
      </c>
    </row>
    <row r="1027" spans="1:5" x14ac:dyDescent="0.2">
      <c r="A1027" s="940">
        <v>3358</v>
      </c>
      <c r="B1027" s="940">
        <v>13</v>
      </c>
      <c r="C1027" t="s">
        <v>10009</v>
      </c>
      <c r="D1027" s="940" t="s">
        <v>10010</v>
      </c>
      <c r="E1027" t="s">
        <v>213</v>
      </c>
    </row>
    <row r="1028" spans="1:5" x14ac:dyDescent="0.2">
      <c r="A1028" s="940">
        <v>3602</v>
      </c>
      <c r="B1028" s="940">
        <v>8</v>
      </c>
      <c r="C1028" t="s">
        <v>4132</v>
      </c>
      <c r="D1028" s="940" t="s">
        <v>4133</v>
      </c>
      <c r="E1028" t="s">
        <v>130</v>
      </c>
    </row>
    <row r="1029" spans="1:5" x14ac:dyDescent="0.2">
      <c r="A1029" s="940">
        <v>514</v>
      </c>
      <c r="B1029" s="940">
        <v>534</v>
      </c>
      <c r="C1029" t="s">
        <v>10011</v>
      </c>
      <c r="D1029" s="940" t="s">
        <v>10012</v>
      </c>
      <c r="E1029" t="s">
        <v>109</v>
      </c>
    </row>
    <row r="1030" spans="1:5" x14ac:dyDescent="0.2">
      <c r="A1030" s="940">
        <v>3882</v>
      </c>
      <c r="B1030" s="940">
        <v>4</v>
      </c>
      <c r="C1030" t="s">
        <v>1469</v>
      </c>
      <c r="D1030" s="940" t="s">
        <v>6793</v>
      </c>
      <c r="E1030" t="s">
        <v>117</v>
      </c>
    </row>
    <row r="1031" spans="1:5" x14ac:dyDescent="0.2">
      <c r="A1031" s="940">
        <v>283</v>
      </c>
      <c r="B1031" s="940">
        <v>803</v>
      </c>
      <c r="C1031" t="s">
        <v>10013</v>
      </c>
      <c r="D1031" s="940" t="s">
        <v>10014</v>
      </c>
      <c r="E1031" t="s">
        <v>142</v>
      </c>
    </row>
    <row r="1032" spans="1:5" x14ac:dyDescent="0.2">
      <c r="A1032" s="940">
        <v>3483</v>
      </c>
      <c r="B1032" s="940">
        <v>10</v>
      </c>
      <c r="C1032" t="s">
        <v>10015</v>
      </c>
      <c r="D1032" s="940" t="s">
        <v>6900</v>
      </c>
      <c r="E1032" t="s">
        <v>130</v>
      </c>
    </row>
    <row r="1033" spans="1:5" x14ac:dyDescent="0.2">
      <c r="A1033" s="940">
        <v>3655</v>
      </c>
      <c r="B1033" s="940">
        <v>7</v>
      </c>
      <c r="C1033" t="s">
        <v>4136</v>
      </c>
      <c r="D1033" s="940" t="s">
        <v>4137</v>
      </c>
      <c r="E1033" t="s">
        <v>1171</v>
      </c>
    </row>
    <row r="1034" spans="1:5" x14ac:dyDescent="0.2">
      <c r="A1034" s="940">
        <v>1977</v>
      </c>
      <c r="B1034" s="940">
        <v>88</v>
      </c>
      <c r="C1034" t="s">
        <v>1472</v>
      </c>
      <c r="D1034" s="940" t="s">
        <v>10016</v>
      </c>
      <c r="E1034" t="s">
        <v>1384</v>
      </c>
    </row>
    <row r="1035" spans="1:5" x14ac:dyDescent="0.2">
      <c r="A1035" s="940">
        <v>1252</v>
      </c>
      <c r="B1035" s="940">
        <v>193</v>
      </c>
      <c r="C1035" t="s">
        <v>10017</v>
      </c>
      <c r="D1035" s="940" t="s">
        <v>10018</v>
      </c>
      <c r="E1035" t="s">
        <v>120</v>
      </c>
    </row>
    <row r="1036" spans="1:5" x14ac:dyDescent="0.2">
      <c r="A1036" s="940">
        <v>4294</v>
      </c>
      <c r="B1036" s="940">
        <v>0</v>
      </c>
      <c r="C1036" t="s">
        <v>4140</v>
      </c>
      <c r="D1036" s="940" t="s">
        <v>4141</v>
      </c>
      <c r="E1036" t="s">
        <v>1363</v>
      </c>
    </row>
    <row r="1037" spans="1:5" x14ac:dyDescent="0.2">
      <c r="A1037" s="940">
        <v>1704</v>
      </c>
      <c r="B1037" s="940">
        <v>117</v>
      </c>
      <c r="C1037" t="s">
        <v>1473</v>
      </c>
      <c r="D1037" s="940" t="s">
        <v>4142</v>
      </c>
      <c r="E1037" t="s">
        <v>120</v>
      </c>
    </row>
    <row r="1038" spans="1:5" x14ac:dyDescent="0.2">
      <c r="A1038" s="940">
        <v>4181</v>
      </c>
      <c r="B1038" s="940">
        <v>1</v>
      </c>
      <c r="C1038" t="s">
        <v>1474</v>
      </c>
      <c r="D1038" s="940" t="s">
        <v>4143</v>
      </c>
      <c r="E1038" t="s">
        <v>128</v>
      </c>
    </row>
    <row r="1039" spans="1:5" x14ac:dyDescent="0.2">
      <c r="A1039" s="940">
        <v>1790</v>
      </c>
      <c r="B1039" s="940">
        <v>106</v>
      </c>
      <c r="C1039" t="s">
        <v>10019</v>
      </c>
      <c r="D1039" s="940" t="s">
        <v>10020</v>
      </c>
      <c r="E1039" t="s">
        <v>1200</v>
      </c>
    </row>
    <row r="1040" spans="1:5" x14ac:dyDescent="0.2">
      <c r="A1040" s="940">
        <v>4294</v>
      </c>
      <c r="B1040" s="940">
        <v>0</v>
      </c>
      <c r="C1040" t="s">
        <v>4144</v>
      </c>
      <c r="D1040" s="940" t="s">
        <v>4145</v>
      </c>
      <c r="E1040" t="s">
        <v>120</v>
      </c>
    </row>
    <row r="1041" spans="1:5" x14ac:dyDescent="0.2">
      <c r="A1041" s="940">
        <v>4294</v>
      </c>
      <c r="B1041" s="940">
        <v>0</v>
      </c>
      <c r="C1041" t="s">
        <v>4146</v>
      </c>
      <c r="D1041" s="940" t="s">
        <v>4147</v>
      </c>
      <c r="E1041" t="s">
        <v>105</v>
      </c>
    </row>
    <row r="1042" spans="1:5" x14ac:dyDescent="0.2">
      <c r="A1042" s="940">
        <v>3048</v>
      </c>
      <c r="B1042" s="940">
        <v>22</v>
      </c>
      <c r="C1042" t="s">
        <v>10021</v>
      </c>
      <c r="D1042" s="940" t="s">
        <v>10022</v>
      </c>
      <c r="E1042" t="s">
        <v>3597</v>
      </c>
    </row>
    <row r="1043" spans="1:5" x14ac:dyDescent="0.2">
      <c r="A1043" s="940">
        <v>2833</v>
      </c>
      <c r="B1043" s="940">
        <v>31</v>
      </c>
      <c r="C1043" t="s">
        <v>4148</v>
      </c>
      <c r="D1043" s="940" t="s">
        <v>4149</v>
      </c>
      <c r="E1043" t="s">
        <v>1232</v>
      </c>
    </row>
    <row r="1044" spans="1:5" x14ac:dyDescent="0.2">
      <c r="A1044" s="940">
        <v>2794</v>
      </c>
      <c r="B1044" s="940">
        <v>33</v>
      </c>
      <c r="C1044" t="s">
        <v>4150</v>
      </c>
      <c r="D1044" s="940" t="s">
        <v>4151</v>
      </c>
      <c r="E1044" t="s">
        <v>111</v>
      </c>
    </row>
    <row r="1045" spans="1:5" x14ac:dyDescent="0.2">
      <c r="A1045" s="940">
        <v>3545</v>
      </c>
      <c r="B1045" s="940">
        <v>9</v>
      </c>
      <c r="C1045" t="s">
        <v>1476</v>
      </c>
      <c r="D1045" s="940" t="s">
        <v>10023</v>
      </c>
      <c r="E1045" t="s">
        <v>105</v>
      </c>
    </row>
    <row r="1046" spans="1:5" x14ac:dyDescent="0.2">
      <c r="A1046" s="940">
        <v>3483</v>
      </c>
      <c r="B1046" s="940">
        <v>10</v>
      </c>
      <c r="C1046" t="s">
        <v>10024</v>
      </c>
      <c r="D1046" s="940" t="s">
        <v>3633</v>
      </c>
      <c r="E1046" t="s">
        <v>112</v>
      </c>
    </row>
    <row r="1047" spans="1:5" x14ac:dyDescent="0.2">
      <c r="A1047" s="940">
        <v>2150</v>
      </c>
      <c r="B1047" s="940">
        <v>73</v>
      </c>
      <c r="C1047" t="s">
        <v>4154</v>
      </c>
      <c r="D1047" s="940" t="s">
        <v>4155</v>
      </c>
      <c r="E1047" t="s">
        <v>1170</v>
      </c>
    </row>
    <row r="1048" spans="1:5" x14ac:dyDescent="0.2">
      <c r="A1048" s="940">
        <v>436</v>
      </c>
      <c r="B1048" s="940">
        <v>605</v>
      </c>
      <c r="C1048" t="s">
        <v>4156</v>
      </c>
      <c r="D1048" s="940" t="s">
        <v>4157</v>
      </c>
      <c r="E1048" t="s">
        <v>83</v>
      </c>
    </row>
    <row r="1049" spans="1:5" x14ac:dyDescent="0.2">
      <c r="A1049" s="940">
        <v>4294</v>
      </c>
      <c r="B1049" s="940">
        <v>0</v>
      </c>
      <c r="C1049" t="s">
        <v>10025</v>
      </c>
      <c r="D1049" s="940" t="s">
        <v>10026</v>
      </c>
      <c r="E1049" t="s">
        <v>103</v>
      </c>
    </row>
    <row r="1050" spans="1:5" x14ac:dyDescent="0.2">
      <c r="A1050" s="940">
        <v>3972</v>
      </c>
      <c r="B1050" s="940">
        <v>3</v>
      </c>
      <c r="C1050" t="s">
        <v>4160</v>
      </c>
      <c r="D1050" s="940" t="s">
        <v>2626</v>
      </c>
      <c r="E1050" t="s">
        <v>1182</v>
      </c>
    </row>
    <row r="1051" spans="1:5" x14ac:dyDescent="0.2">
      <c r="A1051" s="940">
        <v>140</v>
      </c>
      <c r="B1051" s="940">
        <v>1017</v>
      </c>
      <c r="C1051" t="s">
        <v>4161</v>
      </c>
      <c r="D1051" s="940" t="s">
        <v>4162</v>
      </c>
      <c r="E1051" t="s">
        <v>105</v>
      </c>
    </row>
    <row r="1052" spans="1:5" x14ac:dyDescent="0.2">
      <c r="A1052" s="940">
        <v>2592</v>
      </c>
      <c r="B1052" s="940">
        <v>42</v>
      </c>
      <c r="C1052" t="s">
        <v>85</v>
      </c>
      <c r="D1052" s="940" t="s">
        <v>4163</v>
      </c>
      <c r="E1052" t="s">
        <v>105</v>
      </c>
    </row>
    <row r="1053" spans="1:5" x14ac:dyDescent="0.2">
      <c r="A1053" s="940">
        <v>4294</v>
      </c>
      <c r="B1053" s="940">
        <v>0</v>
      </c>
      <c r="C1053" t="s">
        <v>4165</v>
      </c>
      <c r="D1053" s="940" t="s">
        <v>4166</v>
      </c>
      <c r="E1053" t="s">
        <v>133</v>
      </c>
    </row>
    <row r="1054" spans="1:5" x14ac:dyDescent="0.2">
      <c r="A1054" s="940">
        <v>4081</v>
      </c>
      <c r="B1054" s="940">
        <v>2</v>
      </c>
      <c r="C1054" t="s">
        <v>4167</v>
      </c>
      <c r="D1054" s="940" t="s">
        <v>2962</v>
      </c>
      <c r="E1054" t="s">
        <v>74</v>
      </c>
    </row>
    <row r="1055" spans="1:5" x14ac:dyDescent="0.2">
      <c r="A1055" s="940">
        <v>4294</v>
      </c>
      <c r="B1055" s="940">
        <v>0</v>
      </c>
      <c r="C1055" t="s">
        <v>4168</v>
      </c>
      <c r="D1055" s="940" t="s">
        <v>3614</v>
      </c>
      <c r="E1055" t="s">
        <v>105</v>
      </c>
    </row>
    <row r="1056" spans="1:5" x14ac:dyDescent="0.2">
      <c r="A1056" s="940">
        <v>3545</v>
      </c>
      <c r="B1056" s="940">
        <v>9</v>
      </c>
      <c r="C1056" t="s">
        <v>10027</v>
      </c>
      <c r="D1056" s="940" t="s">
        <v>10028</v>
      </c>
      <c r="E1056" t="s">
        <v>141</v>
      </c>
    </row>
    <row r="1057" spans="1:5" x14ac:dyDescent="0.2">
      <c r="A1057" s="940">
        <v>2514</v>
      </c>
      <c r="B1057" s="940">
        <v>46</v>
      </c>
      <c r="C1057" t="s">
        <v>4169</v>
      </c>
      <c r="D1057" s="940" t="s">
        <v>4170</v>
      </c>
      <c r="E1057" t="s">
        <v>99</v>
      </c>
    </row>
    <row r="1058" spans="1:5" x14ac:dyDescent="0.2">
      <c r="A1058" s="940">
        <v>4294</v>
      </c>
      <c r="B1058" s="940">
        <v>0</v>
      </c>
      <c r="C1058" t="s">
        <v>4172</v>
      </c>
      <c r="D1058" s="940" t="s">
        <v>4173</v>
      </c>
      <c r="E1058" t="s">
        <v>136</v>
      </c>
    </row>
    <row r="1059" spans="1:5" x14ac:dyDescent="0.2">
      <c r="A1059" s="940">
        <v>4294</v>
      </c>
      <c r="B1059" s="940">
        <v>0</v>
      </c>
      <c r="C1059" t="s">
        <v>4174</v>
      </c>
      <c r="D1059" s="940" t="s">
        <v>4175</v>
      </c>
      <c r="E1059" t="s">
        <v>122</v>
      </c>
    </row>
    <row r="1060" spans="1:5" x14ac:dyDescent="0.2">
      <c r="A1060" s="940">
        <v>2339</v>
      </c>
      <c r="B1060" s="940">
        <v>59</v>
      </c>
      <c r="C1060" t="s">
        <v>4176</v>
      </c>
      <c r="D1060" s="940" t="s">
        <v>4177</v>
      </c>
      <c r="E1060" t="s">
        <v>120</v>
      </c>
    </row>
    <row r="1061" spans="1:5" x14ac:dyDescent="0.2">
      <c r="A1061" s="940">
        <v>4294</v>
      </c>
      <c r="B1061" s="940">
        <v>0</v>
      </c>
      <c r="C1061" t="s">
        <v>4178</v>
      </c>
      <c r="D1061" s="940" t="s">
        <v>3560</v>
      </c>
      <c r="E1061" t="s">
        <v>118</v>
      </c>
    </row>
    <row r="1062" spans="1:5" x14ac:dyDescent="0.2">
      <c r="A1062" s="940">
        <v>2938</v>
      </c>
      <c r="B1062" s="940">
        <v>26</v>
      </c>
      <c r="C1062" t="s">
        <v>4179</v>
      </c>
      <c r="D1062" s="940" t="s">
        <v>4180</v>
      </c>
      <c r="E1062" t="s">
        <v>2880</v>
      </c>
    </row>
    <row r="1063" spans="1:5" x14ac:dyDescent="0.2">
      <c r="A1063" s="940">
        <v>2096</v>
      </c>
      <c r="B1063" s="940">
        <v>78</v>
      </c>
      <c r="C1063" t="s">
        <v>4181</v>
      </c>
      <c r="D1063" s="940" t="s">
        <v>4182</v>
      </c>
      <c r="E1063" t="s">
        <v>2880</v>
      </c>
    </row>
    <row r="1064" spans="1:5" x14ac:dyDescent="0.2">
      <c r="A1064" s="940">
        <v>125</v>
      </c>
      <c r="B1064" s="940">
        <v>1049</v>
      </c>
      <c r="C1064" t="s">
        <v>4183</v>
      </c>
      <c r="D1064" s="940" t="s">
        <v>4184</v>
      </c>
      <c r="E1064" t="s">
        <v>1968</v>
      </c>
    </row>
    <row r="1065" spans="1:5" x14ac:dyDescent="0.2">
      <c r="A1065" s="940">
        <v>2014</v>
      </c>
      <c r="B1065" s="940">
        <v>84</v>
      </c>
      <c r="C1065" t="s">
        <v>4185</v>
      </c>
      <c r="D1065" s="940" t="s">
        <v>4186</v>
      </c>
      <c r="E1065" t="s">
        <v>2880</v>
      </c>
    </row>
    <row r="1066" spans="1:5" x14ac:dyDescent="0.2">
      <c r="A1066" s="940">
        <v>1249</v>
      </c>
      <c r="B1066" s="940">
        <v>194</v>
      </c>
      <c r="C1066" t="s">
        <v>203</v>
      </c>
      <c r="D1066" s="940" t="s">
        <v>4187</v>
      </c>
      <c r="E1066" t="s">
        <v>105</v>
      </c>
    </row>
    <row r="1067" spans="1:5" x14ac:dyDescent="0.2">
      <c r="A1067" s="940">
        <v>4294</v>
      </c>
      <c r="B1067" s="940">
        <v>0</v>
      </c>
      <c r="C1067" t="s">
        <v>4188</v>
      </c>
      <c r="D1067" s="940" t="s">
        <v>4189</v>
      </c>
      <c r="E1067" t="s">
        <v>120</v>
      </c>
    </row>
    <row r="1068" spans="1:5" x14ac:dyDescent="0.2">
      <c r="A1068" s="940">
        <v>3083</v>
      </c>
      <c r="B1068" s="940">
        <v>21</v>
      </c>
      <c r="C1068" t="s">
        <v>4190</v>
      </c>
      <c r="D1068" s="940" t="s">
        <v>4191</v>
      </c>
      <c r="E1068" t="s">
        <v>132</v>
      </c>
    </row>
    <row r="1069" spans="1:5" x14ac:dyDescent="0.2">
      <c r="A1069" s="940">
        <v>4294</v>
      </c>
      <c r="B1069" s="940">
        <v>0</v>
      </c>
      <c r="C1069" t="s">
        <v>4192</v>
      </c>
      <c r="D1069" s="940" t="s">
        <v>4193</v>
      </c>
      <c r="E1069" t="s">
        <v>1171</v>
      </c>
    </row>
    <row r="1070" spans="1:5" x14ac:dyDescent="0.2">
      <c r="A1070" s="940">
        <v>1169</v>
      </c>
      <c r="B1070" s="940">
        <v>220</v>
      </c>
      <c r="C1070" t="s">
        <v>10029</v>
      </c>
      <c r="D1070" s="940" t="s">
        <v>10030</v>
      </c>
      <c r="E1070" t="s">
        <v>103</v>
      </c>
    </row>
    <row r="1071" spans="1:5" x14ac:dyDescent="0.2">
      <c r="A1071" s="940">
        <v>1483</v>
      </c>
      <c r="B1071" s="940">
        <v>148</v>
      </c>
      <c r="C1071" t="s">
        <v>10031</v>
      </c>
      <c r="D1071" s="940" t="s">
        <v>10032</v>
      </c>
      <c r="E1071" t="s">
        <v>113</v>
      </c>
    </row>
    <row r="1072" spans="1:5" x14ac:dyDescent="0.2">
      <c r="A1072" s="940">
        <v>731</v>
      </c>
      <c r="B1072" s="940">
        <v>391</v>
      </c>
      <c r="C1072" t="s">
        <v>4194</v>
      </c>
      <c r="D1072" s="940" t="s">
        <v>10033</v>
      </c>
      <c r="E1072" t="s">
        <v>3098</v>
      </c>
    </row>
    <row r="1073" spans="1:5" x14ac:dyDescent="0.2">
      <c r="A1073" s="940">
        <v>895</v>
      </c>
      <c r="B1073" s="940">
        <v>318</v>
      </c>
      <c r="C1073" t="s">
        <v>4196</v>
      </c>
      <c r="D1073" s="940" t="s">
        <v>4197</v>
      </c>
      <c r="E1073" t="s">
        <v>3098</v>
      </c>
    </row>
    <row r="1074" spans="1:5" x14ac:dyDescent="0.2">
      <c r="A1074" s="940">
        <v>1843</v>
      </c>
      <c r="B1074" s="940">
        <v>101</v>
      </c>
      <c r="C1074" t="s">
        <v>204</v>
      </c>
      <c r="D1074" s="940" t="s">
        <v>3792</v>
      </c>
      <c r="E1074" t="s">
        <v>163</v>
      </c>
    </row>
    <row r="1075" spans="1:5" x14ac:dyDescent="0.2">
      <c r="A1075" s="940">
        <v>1696</v>
      </c>
      <c r="B1075" s="940">
        <v>118</v>
      </c>
      <c r="C1075" t="s">
        <v>4198</v>
      </c>
      <c r="D1075" s="940" t="s">
        <v>4199</v>
      </c>
      <c r="E1075" t="s">
        <v>3098</v>
      </c>
    </row>
    <row r="1076" spans="1:5" x14ac:dyDescent="0.2">
      <c r="A1076" s="940">
        <v>3655</v>
      </c>
      <c r="B1076" s="940">
        <v>7</v>
      </c>
      <c r="C1076" t="s">
        <v>10034</v>
      </c>
      <c r="D1076" s="940" t="s">
        <v>5779</v>
      </c>
      <c r="E1076" t="s">
        <v>170</v>
      </c>
    </row>
    <row r="1077" spans="1:5" x14ac:dyDescent="0.2">
      <c r="A1077" s="940">
        <v>1880</v>
      </c>
      <c r="B1077" s="940">
        <v>97</v>
      </c>
      <c r="C1077" t="s">
        <v>4200</v>
      </c>
      <c r="D1077" s="940" t="s">
        <v>4201</v>
      </c>
      <c r="E1077" t="s">
        <v>1475</v>
      </c>
    </row>
    <row r="1078" spans="1:5" x14ac:dyDescent="0.2">
      <c r="A1078" s="940">
        <v>103</v>
      </c>
      <c r="B1078" s="940">
        <v>1114</v>
      </c>
      <c r="C1078" t="s">
        <v>4202</v>
      </c>
      <c r="D1078" s="940" t="s">
        <v>4203</v>
      </c>
      <c r="E1078" t="s">
        <v>4204</v>
      </c>
    </row>
    <row r="1079" spans="1:5" x14ac:dyDescent="0.2">
      <c r="A1079" s="940">
        <v>2180</v>
      </c>
      <c r="B1079" s="940">
        <v>71</v>
      </c>
      <c r="C1079" t="s">
        <v>4205</v>
      </c>
      <c r="D1079" s="940" t="s">
        <v>4206</v>
      </c>
      <c r="E1079" t="s">
        <v>105</v>
      </c>
    </row>
    <row r="1080" spans="1:5" x14ac:dyDescent="0.2">
      <c r="A1080" s="940">
        <v>2592</v>
      </c>
      <c r="B1080" s="940">
        <v>42</v>
      </c>
      <c r="C1080" t="s">
        <v>10035</v>
      </c>
      <c r="D1080" s="940" t="s">
        <v>5741</v>
      </c>
      <c r="E1080" t="s">
        <v>1162</v>
      </c>
    </row>
    <row r="1081" spans="1:5" x14ac:dyDescent="0.2">
      <c r="A1081" s="940">
        <v>1687</v>
      </c>
      <c r="B1081" s="940">
        <v>119</v>
      </c>
      <c r="C1081" t="s">
        <v>4208</v>
      </c>
      <c r="D1081" s="940" t="s">
        <v>4209</v>
      </c>
      <c r="E1081" t="s">
        <v>72</v>
      </c>
    </row>
    <row r="1082" spans="1:5" x14ac:dyDescent="0.2">
      <c r="A1082" s="940">
        <v>1568</v>
      </c>
      <c r="B1082" s="940">
        <v>133</v>
      </c>
      <c r="C1082" t="s">
        <v>4210</v>
      </c>
      <c r="D1082" s="940" t="s">
        <v>4211</v>
      </c>
      <c r="E1082" t="s">
        <v>2880</v>
      </c>
    </row>
    <row r="1083" spans="1:5" x14ac:dyDescent="0.2">
      <c r="A1083" s="940">
        <v>3972</v>
      </c>
      <c r="B1083" s="940">
        <v>3</v>
      </c>
      <c r="C1083" t="s">
        <v>10036</v>
      </c>
      <c r="D1083" s="940" t="s">
        <v>8578</v>
      </c>
      <c r="E1083" t="s">
        <v>165</v>
      </c>
    </row>
    <row r="1084" spans="1:5" x14ac:dyDescent="0.2">
      <c r="A1084" s="940">
        <v>2552</v>
      </c>
      <c r="B1084" s="940">
        <v>44</v>
      </c>
      <c r="C1084" t="s">
        <v>4212</v>
      </c>
      <c r="D1084" s="940" t="s">
        <v>2643</v>
      </c>
      <c r="E1084" t="s">
        <v>165</v>
      </c>
    </row>
    <row r="1085" spans="1:5" x14ac:dyDescent="0.2">
      <c r="A1085" s="940">
        <v>1539</v>
      </c>
      <c r="B1085" s="940">
        <v>138</v>
      </c>
      <c r="C1085" t="s">
        <v>4213</v>
      </c>
      <c r="D1085" s="940" t="s">
        <v>2997</v>
      </c>
      <c r="E1085" t="s">
        <v>107</v>
      </c>
    </row>
    <row r="1086" spans="1:5" x14ac:dyDescent="0.2">
      <c r="A1086" s="940">
        <v>899</v>
      </c>
      <c r="B1086" s="940">
        <v>317</v>
      </c>
      <c r="C1086" t="s">
        <v>10037</v>
      </c>
      <c r="D1086" s="940" t="s">
        <v>10038</v>
      </c>
      <c r="E1086" t="s">
        <v>4679</v>
      </c>
    </row>
    <row r="1087" spans="1:5" x14ac:dyDescent="0.2">
      <c r="A1087" s="940">
        <v>4294</v>
      </c>
      <c r="B1087" s="940">
        <v>0</v>
      </c>
      <c r="C1087" t="s">
        <v>4222</v>
      </c>
      <c r="D1087" s="940" t="s">
        <v>4223</v>
      </c>
      <c r="E1087" t="s">
        <v>1609</v>
      </c>
    </row>
    <row r="1088" spans="1:5" x14ac:dyDescent="0.2">
      <c r="A1088" s="940">
        <v>4294</v>
      </c>
      <c r="B1088" s="940">
        <v>0</v>
      </c>
      <c r="C1088" t="s">
        <v>4224</v>
      </c>
      <c r="D1088" s="940" t="s">
        <v>4223</v>
      </c>
      <c r="E1088" t="s">
        <v>1609</v>
      </c>
    </row>
    <row r="1089" spans="1:5" x14ac:dyDescent="0.2">
      <c r="A1089" s="940">
        <v>484</v>
      </c>
      <c r="B1089" s="940">
        <v>569</v>
      </c>
      <c r="C1089" t="s">
        <v>10039</v>
      </c>
      <c r="D1089" s="940" t="s">
        <v>10040</v>
      </c>
      <c r="E1089" t="s">
        <v>200</v>
      </c>
    </row>
    <row r="1090" spans="1:5" x14ac:dyDescent="0.2">
      <c r="A1090" s="940">
        <v>4294</v>
      </c>
      <c r="B1090" s="940">
        <v>0</v>
      </c>
      <c r="C1090" t="s">
        <v>10041</v>
      </c>
      <c r="D1090" s="940" t="s">
        <v>4355</v>
      </c>
      <c r="E1090" t="s">
        <v>105</v>
      </c>
    </row>
    <row r="1091" spans="1:5" x14ac:dyDescent="0.2">
      <c r="A1091" s="940">
        <v>2218</v>
      </c>
      <c r="B1091" s="940">
        <v>68</v>
      </c>
      <c r="C1091" t="s">
        <v>1497</v>
      </c>
      <c r="D1091" s="940" t="s">
        <v>4230</v>
      </c>
      <c r="E1091" t="s">
        <v>120</v>
      </c>
    </row>
    <row r="1092" spans="1:5" x14ac:dyDescent="0.2">
      <c r="A1092" s="940">
        <v>4294</v>
      </c>
      <c r="B1092" s="940">
        <v>0</v>
      </c>
      <c r="C1092" t="s">
        <v>4232</v>
      </c>
      <c r="D1092" s="940" t="s">
        <v>4233</v>
      </c>
      <c r="E1092" t="s">
        <v>1961</v>
      </c>
    </row>
    <row r="1093" spans="1:5" x14ac:dyDescent="0.2">
      <c r="A1093" s="940">
        <v>4294</v>
      </c>
      <c r="B1093" s="940">
        <v>0</v>
      </c>
      <c r="C1093" t="s">
        <v>4235</v>
      </c>
      <c r="D1093" s="940" t="s">
        <v>4236</v>
      </c>
      <c r="E1093" t="s">
        <v>1968</v>
      </c>
    </row>
    <row r="1094" spans="1:5" x14ac:dyDescent="0.2">
      <c r="A1094" s="940">
        <v>4294</v>
      </c>
      <c r="B1094" s="940">
        <v>0</v>
      </c>
      <c r="C1094" t="s">
        <v>4237</v>
      </c>
      <c r="D1094" s="940" t="s">
        <v>4238</v>
      </c>
      <c r="E1094" t="s">
        <v>105</v>
      </c>
    </row>
    <row r="1095" spans="1:5" x14ac:dyDescent="0.2">
      <c r="A1095" s="940">
        <v>3358</v>
      </c>
      <c r="B1095" s="940">
        <v>13</v>
      </c>
      <c r="C1095" t="s">
        <v>4241</v>
      </c>
      <c r="D1095" s="940" t="s">
        <v>4242</v>
      </c>
      <c r="E1095" t="s">
        <v>105</v>
      </c>
    </row>
    <row r="1096" spans="1:5" x14ac:dyDescent="0.2">
      <c r="A1096" s="940">
        <v>3602</v>
      </c>
      <c r="B1096" s="940">
        <v>8</v>
      </c>
      <c r="C1096" t="s">
        <v>1499</v>
      </c>
      <c r="D1096" s="940" t="s">
        <v>10042</v>
      </c>
      <c r="E1096" t="s">
        <v>117</v>
      </c>
    </row>
    <row r="1097" spans="1:5" x14ac:dyDescent="0.2">
      <c r="A1097" s="940">
        <v>14</v>
      </c>
      <c r="B1097" s="940">
        <v>1509</v>
      </c>
      <c r="C1097" t="s">
        <v>4243</v>
      </c>
      <c r="D1097" s="940" t="s">
        <v>2711</v>
      </c>
      <c r="E1097" t="s">
        <v>103</v>
      </c>
    </row>
    <row r="1098" spans="1:5" x14ac:dyDescent="0.2">
      <c r="A1098" s="940">
        <v>4294</v>
      </c>
      <c r="B1098" s="940">
        <v>0</v>
      </c>
      <c r="C1098" t="s">
        <v>10043</v>
      </c>
      <c r="D1098" s="940" t="s">
        <v>10044</v>
      </c>
      <c r="E1098" t="s">
        <v>105</v>
      </c>
    </row>
    <row r="1099" spans="1:5" x14ac:dyDescent="0.2">
      <c r="A1099" s="940">
        <v>595</v>
      </c>
      <c r="B1099" s="940">
        <v>476</v>
      </c>
      <c r="C1099" t="s">
        <v>4244</v>
      </c>
      <c r="D1099" s="940" t="s">
        <v>4245</v>
      </c>
      <c r="E1099" t="s">
        <v>112</v>
      </c>
    </row>
    <row r="1100" spans="1:5" x14ac:dyDescent="0.2">
      <c r="A1100" s="940">
        <v>3136</v>
      </c>
      <c r="B1100" s="940">
        <v>19</v>
      </c>
      <c r="C1100" t="s">
        <v>10045</v>
      </c>
      <c r="D1100" s="940" t="s">
        <v>5175</v>
      </c>
      <c r="E1100" t="s">
        <v>164</v>
      </c>
    </row>
    <row r="1101" spans="1:5" x14ac:dyDescent="0.2">
      <c r="A1101" s="940">
        <v>3358</v>
      </c>
      <c r="B1101" s="940">
        <v>13</v>
      </c>
      <c r="C1101" t="s">
        <v>4246</v>
      </c>
      <c r="D1101" s="940" t="s">
        <v>4247</v>
      </c>
      <c r="E1101" t="s">
        <v>99</v>
      </c>
    </row>
    <row r="1102" spans="1:5" x14ac:dyDescent="0.2">
      <c r="A1102" s="940">
        <v>1334</v>
      </c>
      <c r="B1102" s="940">
        <v>174</v>
      </c>
      <c r="C1102" t="s">
        <v>10046</v>
      </c>
      <c r="D1102" s="940" t="s">
        <v>10047</v>
      </c>
      <c r="E1102" t="s">
        <v>6903</v>
      </c>
    </row>
    <row r="1103" spans="1:5" x14ac:dyDescent="0.2">
      <c r="A1103" s="940">
        <v>3796</v>
      </c>
      <c r="B1103" s="940">
        <v>5</v>
      </c>
      <c r="C1103" t="s">
        <v>10048</v>
      </c>
      <c r="D1103" s="940" t="s">
        <v>9969</v>
      </c>
      <c r="E1103" t="s">
        <v>164</v>
      </c>
    </row>
    <row r="1104" spans="1:5" x14ac:dyDescent="0.2">
      <c r="A1104" s="940">
        <v>1457</v>
      </c>
      <c r="B1104" s="940">
        <v>153</v>
      </c>
      <c r="C1104" t="s">
        <v>4248</v>
      </c>
      <c r="D1104" s="940" t="s">
        <v>4249</v>
      </c>
      <c r="E1104" t="s">
        <v>120</v>
      </c>
    </row>
    <row r="1105" spans="1:5" x14ac:dyDescent="0.2">
      <c r="A1105" s="940">
        <v>572</v>
      </c>
      <c r="B1105" s="940">
        <v>490</v>
      </c>
      <c r="C1105" t="s">
        <v>4250</v>
      </c>
      <c r="D1105" s="940" t="s">
        <v>4251</v>
      </c>
      <c r="E1105" t="s">
        <v>2542</v>
      </c>
    </row>
    <row r="1106" spans="1:5" x14ac:dyDescent="0.2">
      <c r="A1106" s="940">
        <v>1629</v>
      </c>
      <c r="B1106" s="940">
        <v>124</v>
      </c>
      <c r="C1106" t="s">
        <v>4252</v>
      </c>
      <c r="D1106" s="940" t="s">
        <v>3679</v>
      </c>
      <c r="E1106" t="s">
        <v>122</v>
      </c>
    </row>
    <row r="1107" spans="1:5" x14ac:dyDescent="0.2">
      <c r="A1107" s="940">
        <v>3174</v>
      </c>
      <c r="B1107" s="940">
        <v>18</v>
      </c>
      <c r="C1107" t="s">
        <v>4253</v>
      </c>
      <c r="D1107" s="940" t="s">
        <v>4254</v>
      </c>
      <c r="E1107" t="s">
        <v>120</v>
      </c>
    </row>
    <row r="1108" spans="1:5" x14ac:dyDescent="0.2">
      <c r="A1108" s="940">
        <v>3222</v>
      </c>
      <c r="B1108" s="940">
        <v>17</v>
      </c>
      <c r="C1108" t="s">
        <v>4255</v>
      </c>
      <c r="D1108" s="940" t="s">
        <v>4256</v>
      </c>
      <c r="E1108" t="s">
        <v>1587</v>
      </c>
    </row>
    <row r="1109" spans="1:5" x14ac:dyDescent="0.2">
      <c r="A1109" s="940">
        <v>4294</v>
      </c>
      <c r="B1109" s="940">
        <v>0</v>
      </c>
      <c r="C1109" t="s">
        <v>10049</v>
      </c>
      <c r="D1109" s="940" t="s">
        <v>4943</v>
      </c>
      <c r="E1109" t="s">
        <v>105</v>
      </c>
    </row>
    <row r="1110" spans="1:5" x14ac:dyDescent="0.2">
      <c r="A1110" s="940">
        <v>4294</v>
      </c>
      <c r="B1110" s="940">
        <v>0</v>
      </c>
      <c r="C1110" t="s">
        <v>10050</v>
      </c>
      <c r="D1110" s="940" t="s">
        <v>4453</v>
      </c>
      <c r="E1110" t="s">
        <v>136</v>
      </c>
    </row>
    <row r="1111" spans="1:5" x14ac:dyDescent="0.2">
      <c r="A1111" s="940">
        <v>3655</v>
      </c>
      <c r="B1111" s="940">
        <v>7</v>
      </c>
      <c r="C1111" t="s">
        <v>1502</v>
      </c>
      <c r="D1111" s="940" t="s">
        <v>6416</v>
      </c>
      <c r="E1111" t="s">
        <v>117</v>
      </c>
    </row>
    <row r="1112" spans="1:5" x14ac:dyDescent="0.2">
      <c r="A1112" s="940">
        <v>2029</v>
      </c>
      <c r="B1112" s="940">
        <v>83</v>
      </c>
      <c r="C1112" t="s">
        <v>4257</v>
      </c>
      <c r="D1112" s="940" t="s">
        <v>2936</v>
      </c>
      <c r="E1112" t="s">
        <v>3140</v>
      </c>
    </row>
    <row r="1113" spans="1:5" x14ac:dyDescent="0.2">
      <c r="A1113" s="940">
        <v>2434</v>
      </c>
      <c r="B1113" s="940">
        <v>52</v>
      </c>
      <c r="C1113" t="s">
        <v>4258</v>
      </c>
      <c r="D1113" s="940" t="s">
        <v>4259</v>
      </c>
      <c r="E1113" t="s">
        <v>1341</v>
      </c>
    </row>
    <row r="1114" spans="1:5" x14ac:dyDescent="0.2">
      <c r="A1114" s="940">
        <v>996</v>
      </c>
      <c r="B1114" s="940">
        <v>279</v>
      </c>
      <c r="C1114" t="s">
        <v>1503</v>
      </c>
      <c r="D1114" s="940" t="s">
        <v>10051</v>
      </c>
      <c r="E1114" t="s">
        <v>74</v>
      </c>
    </row>
    <row r="1115" spans="1:5" x14ac:dyDescent="0.2">
      <c r="A1115" s="940">
        <v>4294</v>
      </c>
      <c r="B1115" s="940">
        <v>0</v>
      </c>
      <c r="C1115" t="s">
        <v>4260</v>
      </c>
      <c r="D1115" s="940" t="s">
        <v>4261</v>
      </c>
      <c r="E1115" t="s">
        <v>120</v>
      </c>
    </row>
    <row r="1116" spans="1:5" x14ac:dyDescent="0.2">
      <c r="A1116" s="940">
        <v>4081</v>
      </c>
      <c r="B1116" s="940">
        <v>2</v>
      </c>
      <c r="C1116" t="s">
        <v>4262</v>
      </c>
      <c r="D1116" s="940" t="s">
        <v>4263</v>
      </c>
      <c r="E1116" t="s">
        <v>120</v>
      </c>
    </row>
    <row r="1117" spans="1:5" x14ac:dyDescent="0.2">
      <c r="A1117" s="940">
        <v>1169</v>
      </c>
      <c r="B1117" s="940">
        <v>220</v>
      </c>
      <c r="C1117" t="s">
        <v>10052</v>
      </c>
      <c r="D1117" s="940" t="s">
        <v>10053</v>
      </c>
      <c r="E1117" t="s">
        <v>7933</v>
      </c>
    </row>
    <row r="1118" spans="1:5" x14ac:dyDescent="0.2">
      <c r="A1118" s="940">
        <v>2115</v>
      </c>
      <c r="B1118" s="940">
        <v>76</v>
      </c>
      <c r="C1118" t="s">
        <v>10054</v>
      </c>
      <c r="D1118" s="940" t="s">
        <v>10055</v>
      </c>
      <c r="E1118" t="s">
        <v>1524</v>
      </c>
    </row>
    <row r="1119" spans="1:5" x14ac:dyDescent="0.2">
      <c r="A1119" s="940">
        <v>3972</v>
      </c>
      <c r="B1119" s="940">
        <v>3</v>
      </c>
      <c r="C1119" t="s">
        <v>10056</v>
      </c>
      <c r="D1119" s="940" t="s">
        <v>10057</v>
      </c>
      <c r="E1119" t="s">
        <v>120</v>
      </c>
    </row>
    <row r="1120" spans="1:5" x14ac:dyDescent="0.2">
      <c r="A1120" s="940">
        <v>1100</v>
      </c>
      <c r="B1120" s="940">
        <v>241</v>
      </c>
      <c r="C1120" t="s">
        <v>4264</v>
      </c>
      <c r="D1120" s="940" t="s">
        <v>4265</v>
      </c>
      <c r="E1120" t="s">
        <v>1282</v>
      </c>
    </row>
    <row r="1121" spans="1:5" x14ac:dyDescent="0.2">
      <c r="A1121" s="940">
        <v>3222</v>
      </c>
      <c r="B1121" s="940">
        <v>17</v>
      </c>
      <c r="C1121" t="s">
        <v>4268</v>
      </c>
      <c r="D1121" s="940" t="s">
        <v>4269</v>
      </c>
      <c r="E1121" t="s">
        <v>1221</v>
      </c>
    </row>
    <row r="1122" spans="1:5" x14ac:dyDescent="0.2">
      <c r="A1122" s="940">
        <v>407</v>
      </c>
      <c r="B1122" s="940">
        <v>636</v>
      </c>
      <c r="C1122" t="s">
        <v>4270</v>
      </c>
      <c r="D1122" s="940" t="s">
        <v>4271</v>
      </c>
      <c r="E1122" t="s">
        <v>1307</v>
      </c>
    </row>
    <row r="1123" spans="1:5" x14ac:dyDescent="0.2">
      <c r="A1123" s="940">
        <v>2138</v>
      </c>
      <c r="B1123" s="940">
        <v>74</v>
      </c>
      <c r="C1123" t="s">
        <v>4272</v>
      </c>
      <c r="D1123" s="940" t="s">
        <v>4273</v>
      </c>
      <c r="E1123" t="s">
        <v>127</v>
      </c>
    </row>
    <row r="1124" spans="1:5" x14ac:dyDescent="0.2">
      <c r="A1124" s="940">
        <v>760</v>
      </c>
      <c r="B1124" s="940">
        <v>379</v>
      </c>
      <c r="C1124" t="s">
        <v>4274</v>
      </c>
      <c r="D1124" s="940" t="s">
        <v>4275</v>
      </c>
      <c r="E1124" t="s">
        <v>2877</v>
      </c>
    </row>
    <row r="1125" spans="1:5" x14ac:dyDescent="0.2">
      <c r="A1125" s="940">
        <v>1483</v>
      </c>
      <c r="B1125" s="940">
        <v>148</v>
      </c>
      <c r="C1125" t="s">
        <v>1505</v>
      </c>
      <c r="D1125" s="940" t="s">
        <v>4276</v>
      </c>
      <c r="E1125" t="s">
        <v>1307</v>
      </c>
    </row>
    <row r="1126" spans="1:5" x14ac:dyDescent="0.2">
      <c r="A1126" s="940">
        <v>796</v>
      </c>
      <c r="B1126" s="940">
        <v>360</v>
      </c>
      <c r="C1126" t="s">
        <v>4277</v>
      </c>
      <c r="D1126" s="940" t="s">
        <v>4278</v>
      </c>
      <c r="E1126" t="s">
        <v>1906</v>
      </c>
    </row>
    <row r="1127" spans="1:5" x14ac:dyDescent="0.2">
      <c r="A1127" s="940">
        <v>3323</v>
      </c>
      <c r="B1127" s="940">
        <v>14</v>
      </c>
      <c r="C1127" t="s">
        <v>4279</v>
      </c>
      <c r="D1127" s="940" t="s">
        <v>4280</v>
      </c>
      <c r="E1127" t="s">
        <v>2542</v>
      </c>
    </row>
    <row r="1128" spans="1:5" x14ac:dyDescent="0.2">
      <c r="A1128" s="940">
        <v>1687</v>
      </c>
      <c r="B1128" s="940">
        <v>119</v>
      </c>
      <c r="C1128" t="s">
        <v>4281</v>
      </c>
      <c r="D1128" s="940" t="s">
        <v>4282</v>
      </c>
      <c r="E1128" t="s">
        <v>186</v>
      </c>
    </row>
    <row r="1129" spans="1:5" x14ac:dyDescent="0.2">
      <c r="A1129" s="940">
        <v>2242</v>
      </c>
      <c r="B1129" s="940">
        <v>66</v>
      </c>
      <c r="C1129" t="s">
        <v>4283</v>
      </c>
      <c r="D1129" s="940" t="s">
        <v>4284</v>
      </c>
      <c r="E1129" t="s">
        <v>4001</v>
      </c>
    </row>
    <row r="1130" spans="1:5" x14ac:dyDescent="0.2">
      <c r="A1130" s="940">
        <v>3796</v>
      </c>
      <c r="B1130" s="940">
        <v>5</v>
      </c>
      <c r="C1130" t="s">
        <v>4285</v>
      </c>
      <c r="D1130" s="940" t="s">
        <v>4286</v>
      </c>
      <c r="E1130" t="s">
        <v>118</v>
      </c>
    </row>
    <row r="1131" spans="1:5" x14ac:dyDescent="0.2">
      <c r="A1131" s="940">
        <v>4294</v>
      </c>
      <c r="B1131" s="940">
        <v>0</v>
      </c>
      <c r="C1131" t="s">
        <v>4287</v>
      </c>
      <c r="D1131" s="940" t="s">
        <v>4288</v>
      </c>
      <c r="E1131" t="s">
        <v>4289</v>
      </c>
    </row>
    <row r="1132" spans="1:5" x14ac:dyDescent="0.2">
      <c r="A1132" s="940">
        <v>2270</v>
      </c>
      <c r="B1132" s="940">
        <v>64</v>
      </c>
      <c r="C1132" t="s">
        <v>4290</v>
      </c>
      <c r="D1132" s="940" t="s">
        <v>3556</v>
      </c>
      <c r="E1132" t="s">
        <v>165</v>
      </c>
    </row>
    <row r="1133" spans="1:5" x14ac:dyDescent="0.2">
      <c r="A1133" s="940">
        <v>420</v>
      </c>
      <c r="B1133" s="940">
        <v>626</v>
      </c>
      <c r="C1133" t="s">
        <v>4293</v>
      </c>
      <c r="D1133" s="940" t="s">
        <v>4294</v>
      </c>
      <c r="E1133" t="s">
        <v>1507</v>
      </c>
    </row>
    <row r="1134" spans="1:5" x14ac:dyDescent="0.2">
      <c r="A1134" s="940">
        <v>449</v>
      </c>
      <c r="B1134" s="940">
        <v>595</v>
      </c>
      <c r="C1134" t="s">
        <v>4297</v>
      </c>
      <c r="D1134" s="940" t="s">
        <v>4298</v>
      </c>
      <c r="E1134" t="s">
        <v>1507</v>
      </c>
    </row>
    <row r="1135" spans="1:5" x14ac:dyDescent="0.2">
      <c r="A1135" s="940">
        <v>2533</v>
      </c>
      <c r="B1135" s="940">
        <v>45</v>
      </c>
      <c r="C1135" t="s">
        <v>4301</v>
      </c>
      <c r="D1135" s="940" t="s">
        <v>4302</v>
      </c>
      <c r="E1135" t="s">
        <v>1493</v>
      </c>
    </row>
    <row r="1136" spans="1:5" x14ac:dyDescent="0.2">
      <c r="A1136" s="940">
        <v>1445</v>
      </c>
      <c r="B1136" s="940">
        <v>155</v>
      </c>
      <c r="C1136" t="s">
        <v>10058</v>
      </c>
      <c r="D1136" s="940" t="s">
        <v>10059</v>
      </c>
      <c r="E1136" t="s">
        <v>83</v>
      </c>
    </row>
    <row r="1137" spans="1:5" x14ac:dyDescent="0.2">
      <c r="A1137" s="940">
        <v>2592</v>
      </c>
      <c r="B1137" s="940">
        <v>42</v>
      </c>
      <c r="C1137" t="s">
        <v>10060</v>
      </c>
      <c r="D1137" s="940" t="s">
        <v>10061</v>
      </c>
      <c r="E1137" t="s">
        <v>140</v>
      </c>
    </row>
    <row r="1138" spans="1:5" x14ac:dyDescent="0.2">
      <c r="A1138" s="940">
        <v>3655</v>
      </c>
      <c r="B1138" s="940">
        <v>7</v>
      </c>
      <c r="C1138" t="s">
        <v>4303</v>
      </c>
      <c r="D1138" s="940" t="s">
        <v>4304</v>
      </c>
      <c r="E1138" t="s">
        <v>186</v>
      </c>
    </row>
    <row r="1139" spans="1:5" x14ac:dyDescent="0.2">
      <c r="A1139" s="940">
        <v>2649</v>
      </c>
      <c r="B1139" s="940">
        <v>39</v>
      </c>
      <c r="C1139" t="s">
        <v>10062</v>
      </c>
      <c r="D1139" s="940" t="s">
        <v>10063</v>
      </c>
      <c r="E1139" t="s">
        <v>111</v>
      </c>
    </row>
    <row r="1140" spans="1:5" x14ac:dyDescent="0.2">
      <c r="A1140" s="940">
        <v>977</v>
      </c>
      <c r="B1140" s="940">
        <v>287</v>
      </c>
      <c r="C1140" t="s">
        <v>10064</v>
      </c>
      <c r="D1140" s="940" t="s">
        <v>10065</v>
      </c>
      <c r="E1140" t="s">
        <v>105</v>
      </c>
    </row>
    <row r="1141" spans="1:5" x14ac:dyDescent="0.2">
      <c r="A1141" s="940">
        <v>1345</v>
      </c>
      <c r="B1141" s="940">
        <v>172</v>
      </c>
      <c r="C1141" t="s">
        <v>10066</v>
      </c>
      <c r="D1141" s="940" t="s">
        <v>10067</v>
      </c>
      <c r="E1141" t="s">
        <v>427</v>
      </c>
    </row>
    <row r="1142" spans="1:5" x14ac:dyDescent="0.2">
      <c r="A1142" s="940">
        <v>3972</v>
      </c>
      <c r="B1142" s="940">
        <v>3</v>
      </c>
      <c r="C1142" t="s">
        <v>10068</v>
      </c>
      <c r="D1142" s="940" t="s">
        <v>8105</v>
      </c>
      <c r="E1142" t="s">
        <v>105</v>
      </c>
    </row>
    <row r="1143" spans="1:5" x14ac:dyDescent="0.2">
      <c r="A1143" s="940">
        <v>4294</v>
      </c>
      <c r="B1143" s="940">
        <v>0</v>
      </c>
      <c r="C1143" t="s">
        <v>4305</v>
      </c>
      <c r="D1143" s="940" t="s">
        <v>4306</v>
      </c>
      <c r="E1143" t="s">
        <v>105</v>
      </c>
    </row>
    <row r="1144" spans="1:5" x14ac:dyDescent="0.2">
      <c r="A1144" s="940">
        <v>3972</v>
      </c>
      <c r="B1144" s="940">
        <v>3</v>
      </c>
      <c r="C1144" t="s">
        <v>4309</v>
      </c>
      <c r="D1144" s="940" t="s">
        <v>3808</v>
      </c>
      <c r="E1144" t="s">
        <v>130</v>
      </c>
    </row>
    <row r="1145" spans="1:5" x14ac:dyDescent="0.2">
      <c r="A1145" s="940">
        <v>1488</v>
      </c>
      <c r="B1145" s="940">
        <v>146</v>
      </c>
      <c r="C1145" t="s">
        <v>1509</v>
      </c>
      <c r="D1145" s="940" t="s">
        <v>10069</v>
      </c>
      <c r="E1145" t="s">
        <v>1271</v>
      </c>
    </row>
    <row r="1146" spans="1:5" x14ac:dyDescent="0.2">
      <c r="A1146" s="940">
        <v>3972</v>
      </c>
      <c r="B1146" s="940">
        <v>3</v>
      </c>
      <c r="C1146" t="s">
        <v>4310</v>
      </c>
      <c r="D1146" s="940" t="s">
        <v>4311</v>
      </c>
      <c r="E1146" t="s">
        <v>111</v>
      </c>
    </row>
    <row r="1147" spans="1:5" x14ac:dyDescent="0.2">
      <c r="A1147" s="940">
        <v>919</v>
      </c>
      <c r="B1147" s="940">
        <v>308</v>
      </c>
      <c r="C1147" t="s">
        <v>4313</v>
      </c>
      <c r="D1147" s="940" t="s">
        <v>4314</v>
      </c>
      <c r="E1147" t="s">
        <v>3058</v>
      </c>
    </row>
    <row r="1148" spans="1:5" x14ac:dyDescent="0.2">
      <c r="A1148" s="940">
        <v>4294</v>
      </c>
      <c r="B1148" s="940">
        <v>0</v>
      </c>
      <c r="C1148" t="s">
        <v>4315</v>
      </c>
      <c r="D1148" s="940" t="s">
        <v>4316</v>
      </c>
      <c r="E1148" t="s">
        <v>469</v>
      </c>
    </row>
    <row r="1149" spans="1:5" x14ac:dyDescent="0.2">
      <c r="A1149" s="940">
        <v>1556</v>
      </c>
      <c r="B1149" s="940">
        <v>135</v>
      </c>
      <c r="C1149" t="s">
        <v>4317</v>
      </c>
      <c r="D1149" s="940" t="s">
        <v>4318</v>
      </c>
      <c r="E1149" t="s">
        <v>661</v>
      </c>
    </row>
    <row r="1150" spans="1:5" x14ac:dyDescent="0.2">
      <c r="A1150" s="940">
        <v>4181</v>
      </c>
      <c r="B1150" s="940">
        <v>1</v>
      </c>
      <c r="C1150" t="s">
        <v>4319</v>
      </c>
      <c r="D1150" s="940" t="s">
        <v>3431</v>
      </c>
      <c r="E1150" t="s">
        <v>105</v>
      </c>
    </row>
    <row r="1151" spans="1:5" x14ac:dyDescent="0.2">
      <c r="A1151" s="940">
        <v>2138</v>
      </c>
      <c r="B1151" s="940">
        <v>74</v>
      </c>
      <c r="C1151" t="s">
        <v>10070</v>
      </c>
      <c r="D1151" s="940" t="s">
        <v>7808</v>
      </c>
      <c r="E1151" t="s">
        <v>1507</v>
      </c>
    </row>
    <row r="1152" spans="1:5" x14ac:dyDescent="0.2">
      <c r="A1152" s="940">
        <v>4294</v>
      </c>
      <c r="B1152" s="940">
        <v>0</v>
      </c>
      <c r="C1152" t="s">
        <v>4320</v>
      </c>
      <c r="D1152" s="940" t="s">
        <v>3594</v>
      </c>
      <c r="E1152" t="s">
        <v>1285</v>
      </c>
    </row>
    <row r="1153" spans="1:5" x14ac:dyDescent="0.2">
      <c r="A1153" s="940">
        <v>2124</v>
      </c>
      <c r="B1153" s="940">
        <v>75</v>
      </c>
      <c r="C1153" t="s">
        <v>4321</v>
      </c>
      <c r="D1153" s="940" t="s">
        <v>4322</v>
      </c>
      <c r="E1153" t="s">
        <v>1211</v>
      </c>
    </row>
    <row r="1154" spans="1:5" x14ac:dyDescent="0.2">
      <c r="A1154" s="940">
        <v>1964</v>
      </c>
      <c r="B1154" s="940">
        <v>89</v>
      </c>
      <c r="C1154" t="s">
        <v>4323</v>
      </c>
      <c r="D1154" s="940" t="s">
        <v>4324</v>
      </c>
      <c r="E1154" t="s">
        <v>171</v>
      </c>
    </row>
    <row r="1155" spans="1:5" x14ac:dyDescent="0.2">
      <c r="A1155" s="940">
        <v>97</v>
      </c>
      <c r="B1155" s="940">
        <v>1140</v>
      </c>
      <c r="C1155" t="s">
        <v>207</v>
      </c>
      <c r="D1155" s="940" t="s">
        <v>2781</v>
      </c>
      <c r="E1155" t="s">
        <v>166</v>
      </c>
    </row>
    <row r="1156" spans="1:5" x14ac:dyDescent="0.2">
      <c r="A1156" s="940">
        <v>1191</v>
      </c>
      <c r="B1156" s="940">
        <v>214</v>
      </c>
      <c r="C1156" t="s">
        <v>10071</v>
      </c>
      <c r="D1156" s="940" t="s">
        <v>10072</v>
      </c>
      <c r="E1156" t="s">
        <v>145</v>
      </c>
    </row>
    <row r="1157" spans="1:5" x14ac:dyDescent="0.2">
      <c r="A1157" s="940">
        <v>4181</v>
      </c>
      <c r="B1157" s="940">
        <v>1</v>
      </c>
      <c r="C1157" t="s">
        <v>4325</v>
      </c>
      <c r="D1157" s="940" t="s">
        <v>4326</v>
      </c>
      <c r="E1157" t="s">
        <v>74</v>
      </c>
    </row>
    <row r="1158" spans="1:5" x14ac:dyDescent="0.2">
      <c r="A1158" s="940">
        <v>4294</v>
      </c>
      <c r="B1158" s="940">
        <v>0</v>
      </c>
      <c r="C1158" t="s">
        <v>10073</v>
      </c>
      <c r="D1158" s="940" t="s">
        <v>10074</v>
      </c>
      <c r="E1158" t="s">
        <v>128</v>
      </c>
    </row>
    <row r="1159" spans="1:5" x14ac:dyDescent="0.2">
      <c r="A1159" s="940">
        <v>2614</v>
      </c>
      <c r="B1159" s="940">
        <v>41</v>
      </c>
      <c r="C1159" t="s">
        <v>10075</v>
      </c>
      <c r="D1159" s="940" t="s">
        <v>5270</v>
      </c>
      <c r="E1159" t="s">
        <v>120</v>
      </c>
    </row>
    <row r="1160" spans="1:5" x14ac:dyDescent="0.2">
      <c r="A1160" s="940">
        <v>1499</v>
      </c>
      <c r="B1160" s="940">
        <v>144</v>
      </c>
      <c r="C1160" t="s">
        <v>10076</v>
      </c>
      <c r="D1160" s="940" t="s">
        <v>10077</v>
      </c>
      <c r="E1160" t="s">
        <v>83</v>
      </c>
    </row>
    <row r="1161" spans="1:5" x14ac:dyDescent="0.2">
      <c r="A1161" s="940">
        <v>2794</v>
      </c>
      <c r="B1161" s="940">
        <v>33</v>
      </c>
      <c r="C1161" t="s">
        <v>4329</v>
      </c>
      <c r="D1161" s="940" t="s">
        <v>3586</v>
      </c>
      <c r="E1161" t="s">
        <v>120</v>
      </c>
    </row>
    <row r="1162" spans="1:5" x14ac:dyDescent="0.2">
      <c r="A1162" s="940">
        <v>128</v>
      </c>
      <c r="B1162" s="940">
        <v>1047</v>
      </c>
      <c r="C1162" t="s">
        <v>4330</v>
      </c>
      <c r="D1162" s="940" t="s">
        <v>4331</v>
      </c>
      <c r="E1162" t="s">
        <v>105</v>
      </c>
    </row>
    <row r="1163" spans="1:5" x14ac:dyDescent="0.2">
      <c r="A1163" s="940">
        <v>4294</v>
      </c>
      <c r="B1163" s="940">
        <v>0</v>
      </c>
      <c r="C1163" t="s">
        <v>4332</v>
      </c>
      <c r="D1163" s="940" t="s">
        <v>4333</v>
      </c>
      <c r="E1163" t="s">
        <v>130</v>
      </c>
    </row>
    <row r="1164" spans="1:5" x14ac:dyDescent="0.2">
      <c r="A1164" s="940">
        <v>4294</v>
      </c>
      <c r="B1164" s="940">
        <v>0</v>
      </c>
      <c r="C1164" t="s">
        <v>4334</v>
      </c>
      <c r="D1164" s="940" t="s">
        <v>3185</v>
      </c>
      <c r="E1164" t="s">
        <v>1182</v>
      </c>
    </row>
    <row r="1165" spans="1:5" x14ac:dyDescent="0.2">
      <c r="A1165" s="940">
        <v>1720</v>
      </c>
      <c r="B1165" s="940">
        <v>115</v>
      </c>
      <c r="C1165" t="s">
        <v>4335</v>
      </c>
      <c r="D1165" s="940" t="s">
        <v>2731</v>
      </c>
      <c r="E1165" t="s">
        <v>2880</v>
      </c>
    </row>
    <row r="1166" spans="1:5" x14ac:dyDescent="0.2">
      <c r="A1166" s="940">
        <v>1462</v>
      </c>
      <c r="B1166" s="940">
        <v>152</v>
      </c>
      <c r="C1166" t="s">
        <v>10078</v>
      </c>
      <c r="D1166" s="940" t="s">
        <v>10079</v>
      </c>
      <c r="E1166" t="s">
        <v>103</v>
      </c>
    </row>
    <row r="1167" spans="1:5" x14ac:dyDescent="0.2">
      <c r="A1167" s="940">
        <v>290</v>
      </c>
      <c r="B1167" s="940">
        <v>784</v>
      </c>
      <c r="C1167" t="s">
        <v>4337</v>
      </c>
      <c r="D1167" s="940" t="s">
        <v>4338</v>
      </c>
      <c r="E1167" t="s">
        <v>165</v>
      </c>
    </row>
    <row r="1168" spans="1:5" x14ac:dyDescent="0.2">
      <c r="A1168" s="940">
        <v>4181</v>
      </c>
      <c r="B1168" s="940">
        <v>1</v>
      </c>
      <c r="C1168" t="s">
        <v>4339</v>
      </c>
      <c r="D1168" s="940" t="s">
        <v>4340</v>
      </c>
      <c r="E1168" t="s">
        <v>120</v>
      </c>
    </row>
    <row r="1169" spans="1:5" x14ac:dyDescent="0.2">
      <c r="A1169" s="940">
        <v>602</v>
      </c>
      <c r="B1169" s="940">
        <v>470</v>
      </c>
      <c r="C1169" t="s">
        <v>4343</v>
      </c>
      <c r="D1169" s="940" t="s">
        <v>4344</v>
      </c>
      <c r="E1169" t="s">
        <v>103</v>
      </c>
    </row>
    <row r="1170" spans="1:5" x14ac:dyDescent="0.2">
      <c r="A1170" s="940">
        <v>2450</v>
      </c>
      <c r="B1170" s="940">
        <v>51</v>
      </c>
      <c r="C1170" t="s">
        <v>4345</v>
      </c>
      <c r="D1170" s="940" t="s">
        <v>4346</v>
      </c>
      <c r="E1170" t="s">
        <v>1358</v>
      </c>
    </row>
    <row r="1171" spans="1:5" x14ac:dyDescent="0.2">
      <c r="A1171" s="940">
        <v>4294</v>
      </c>
      <c r="B1171" s="940">
        <v>0</v>
      </c>
      <c r="C1171" t="s">
        <v>4347</v>
      </c>
      <c r="D1171" s="940" t="s">
        <v>4348</v>
      </c>
      <c r="E1171" t="s">
        <v>1311</v>
      </c>
    </row>
    <row r="1172" spans="1:5" x14ac:dyDescent="0.2">
      <c r="A1172" s="940">
        <v>4294</v>
      </c>
      <c r="B1172" s="940">
        <v>0</v>
      </c>
      <c r="C1172" t="s">
        <v>4349</v>
      </c>
      <c r="D1172" s="940" t="s">
        <v>2753</v>
      </c>
      <c r="E1172" t="s">
        <v>120</v>
      </c>
    </row>
    <row r="1173" spans="1:5" x14ac:dyDescent="0.2">
      <c r="A1173" s="940">
        <v>1574</v>
      </c>
      <c r="B1173" s="940">
        <v>132</v>
      </c>
      <c r="C1173" t="s">
        <v>4350</v>
      </c>
      <c r="D1173" s="940" t="s">
        <v>4351</v>
      </c>
      <c r="E1173" t="s">
        <v>1435</v>
      </c>
    </row>
    <row r="1174" spans="1:5" x14ac:dyDescent="0.2">
      <c r="A1174" s="940">
        <v>2254</v>
      </c>
      <c r="B1174" s="940">
        <v>65</v>
      </c>
      <c r="C1174" t="s">
        <v>4352</v>
      </c>
      <c r="D1174" s="940" t="s">
        <v>4353</v>
      </c>
      <c r="E1174" t="s">
        <v>1214</v>
      </c>
    </row>
    <row r="1175" spans="1:5" x14ac:dyDescent="0.2">
      <c r="A1175" s="940">
        <v>4294</v>
      </c>
      <c r="B1175" s="940">
        <v>0</v>
      </c>
      <c r="C1175" t="s">
        <v>10080</v>
      </c>
      <c r="D1175" s="940" t="s">
        <v>10081</v>
      </c>
      <c r="E1175" t="s">
        <v>105</v>
      </c>
    </row>
    <row r="1176" spans="1:5" x14ac:dyDescent="0.2">
      <c r="A1176" s="940">
        <v>1993</v>
      </c>
      <c r="B1176" s="940">
        <v>86</v>
      </c>
      <c r="C1176" t="s">
        <v>4354</v>
      </c>
      <c r="D1176" s="940" t="s">
        <v>4355</v>
      </c>
      <c r="E1176" t="s">
        <v>120</v>
      </c>
    </row>
    <row r="1177" spans="1:5" x14ac:dyDescent="0.2">
      <c r="A1177" s="940">
        <v>788</v>
      </c>
      <c r="B1177" s="940">
        <v>366</v>
      </c>
      <c r="C1177" t="s">
        <v>4356</v>
      </c>
      <c r="D1177" s="940" t="s">
        <v>4357</v>
      </c>
      <c r="E1177" t="s">
        <v>4358</v>
      </c>
    </row>
    <row r="1178" spans="1:5" x14ac:dyDescent="0.2">
      <c r="A1178" s="940">
        <v>1102</v>
      </c>
      <c r="B1178" s="940">
        <v>240</v>
      </c>
      <c r="C1178" t="s">
        <v>387</v>
      </c>
      <c r="D1178" s="940" t="s">
        <v>4359</v>
      </c>
      <c r="E1178" t="s">
        <v>120</v>
      </c>
    </row>
    <row r="1179" spans="1:5" x14ac:dyDescent="0.2">
      <c r="A1179" s="940">
        <v>3602</v>
      </c>
      <c r="B1179" s="940">
        <v>8</v>
      </c>
      <c r="C1179" t="s">
        <v>10082</v>
      </c>
      <c r="D1179" s="940" t="s">
        <v>6124</v>
      </c>
      <c r="E1179" t="s">
        <v>163</v>
      </c>
    </row>
    <row r="1180" spans="1:5" x14ac:dyDescent="0.2">
      <c r="A1180" s="940">
        <v>4294</v>
      </c>
      <c r="B1180" s="940">
        <v>0</v>
      </c>
      <c r="C1180" t="s">
        <v>4360</v>
      </c>
      <c r="D1180" s="940" t="s">
        <v>2753</v>
      </c>
      <c r="E1180" t="s">
        <v>1248</v>
      </c>
    </row>
    <row r="1181" spans="1:5" x14ac:dyDescent="0.2">
      <c r="A1181" s="940">
        <v>4294</v>
      </c>
      <c r="B1181" s="940">
        <v>0</v>
      </c>
      <c r="C1181" t="s">
        <v>10083</v>
      </c>
      <c r="D1181" s="940" t="s">
        <v>10084</v>
      </c>
      <c r="E1181" t="s">
        <v>105</v>
      </c>
    </row>
    <row r="1182" spans="1:5" x14ac:dyDescent="0.2">
      <c r="A1182" s="940">
        <v>1308</v>
      </c>
      <c r="B1182" s="940">
        <v>182</v>
      </c>
      <c r="C1182" t="s">
        <v>4362</v>
      </c>
      <c r="D1182" s="940" t="s">
        <v>4363</v>
      </c>
      <c r="E1182" t="s">
        <v>109</v>
      </c>
    </row>
    <row r="1183" spans="1:5" x14ac:dyDescent="0.2">
      <c r="A1183" s="940">
        <v>1240</v>
      </c>
      <c r="B1183" s="940">
        <v>197</v>
      </c>
      <c r="C1183" t="s">
        <v>4364</v>
      </c>
      <c r="D1183" s="940" t="s">
        <v>4365</v>
      </c>
      <c r="E1183" t="s">
        <v>109</v>
      </c>
    </row>
    <row r="1184" spans="1:5" x14ac:dyDescent="0.2">
      <c r="A1184" s="940">
        <v>4294</v>
      </c>
      <c r="B1184" s="940">
        <v>0</v>
      </c>
      <c r="C1184" t="s">
        <v>4368</v>
      </c>
      <c r="D1184" s="940" t="s">
        <v>4369</v>
      </c>
      <c r="E1184" t="s">
        <v>105</v>
      </c>
    </row>
    <row r="1185" spans="1:5" x14ac:dyDescent="0.2">
      <c r="A1185" s="940">
        <v>3008</v>
      </c>
      <c r="B1185" s="940">
        <v>23</v>
      </c>
      <c r="C1185" t="s">
        <v>10085</v>
      </c>
      <c r="D1185" s="940" t="s">
        <v>3125</v>
      </c>
      <c r="E1185" t="s">
        <v>72</v>
      </c>
    </row>
    <row r="1186" spans="1:5" x14ac:dyDescent="0.2">
      <c r="A1186" s="940">
        <v>3083</v>
      </c>
      <c r="B1186" s="940">
        <v>21</v>
      </c>
      <c r="C1186" t="s">
        <v>4370</v>
      </c>
      <c r="D1186" s="940" t="s">
        <v>3942</v>
      </c>
      <c r="E1186" t="s">
        <v>120</v>
      </c>
    </row>
    <row r="1187" spans="1:5" x14ac:dyDescent="0.2">
      <c r="A1187" s="940">
        <v>4294</v>
      </c>
      <c r="B1187" s="940">
        <v>0</v>
      </c>
      <c r="C1187" t="s">
        <v>10086</v>
      </c>
      <c r="D1187" s="940" t="s">
        <v>7451</v>
      </c>
      <c r="E1187" t="s">
        <v>2667</v>
      </c>
    </row>
    <row r="1188" spans="1:5" x14ac:dyDescent="0.2">
      <c r="A1188" s="940">
        <v>3972</v>
      </c>
      <c r="B1188" s="940">
        <v>3</v>
      </c>
      <c r="C1188" t="s">
        <v>10087</v>
      </c>
      <c r="D1188" s="940" t="s">
        <v>4372</v>
      </c>
      <c r="E1188" t="s">
        <v>4373</v>
      </c>
    </row>
    <row r="1189" spans="1:5" x14ac:dyDescent="0.2">
      <c r="A1189" s="940">
        <v>4294</v>
      </c>
      <c r="B1189" s="940">
        <v>0</v>
      </c>
      <c r="C1189" t="s">
        <v>10088</v>
      </c>
      <c r="D1189" s="940" t="s">
        <v>5942</v>
      </c>
      <c r="E1189" t="s">
        <v>128</v>
      </c>
    </row>
    <row r="1190" spans="1:5" x14ac:dyDescent="0.2">
      <c r="A1190" s="940">
        <v>353</v>
      </c>
      <c r="B1190" s="940">
        <v>695</v>
      </c>
      <c r="C1190" t="s">
        <v>10089</v>
      </c>
      <c r="D1190" s="940" t="s">
        <v>10090</v>
      </c>
      <c r="E1190" t="s">
        <v>84</v>
      </c>
    </row>
    <row r="1191" spans="1:5" x14ac:dyDescent="0.2">
      <c r="A1191" s="940">
        <v>1046</v>
      </c>
      <c r="B1191" s="940">
        <v>260</v>
      </c>
      <c r="C1191" t="s">
        <v>4374</v>
      </c>
      <c r="D1191" s="940" t="s">
        <v>4375</v>
      </c>
      <c r="E1191" t="s">
        <v>1435</v>
      </c>
    </row>
    <row r="1192" spans="1:5" x14ac:dyDescent="0.2">
      <c r="A1192" s="940">
        <v>1298</v>
      </c>
      <c r="B1192" s="940">
        <v>185</v>
      </c>
      <c r="C1192" t="s">
        <v>689</v>
      </c>
      <c r="D1192" s="940" t="s">
        <v>4376</v>
      </c>
      <c r="E1192" t="s">
        <v>105</v>
      </c>
    </row>
    <row r="1193" spans="1:5" x14ac:dyDescent="0.2">
      <c r="A1193" s="940">
        <v>3083</v>
      </c>
      <c r="B1193" s="940">
        <v>21</v>
      </c>
      <c r="C1193" t="s">
        <v>4377</v>
      </c>
      <c r="D1193" s="940" t="s">
        <v>3832</v>
      </c>
      <c r="E1193" t="s">
        <v>120</v>
      </c>
    </row>
    <row r="1194" spans="1:5" x14ac:dyDescent="0.2">
      <c r="A1194" s="940">
        <v>908</v>
      </c>
      <c r="B1194" s="940">
        <v>312</v>
      </c>
      <c r="C1194" t="s">
        <v>1528</v>
      </c>
      <c r="D1194" s="940" t="s">
        <v>4378</v>
      </c>
      <c r="E1194" t="s">
        <v>1507</v>
      </c>
    </row>
    <row r="1195" spans="1:5" x14ac:dyDescent="0.2">
      <c r="A1195" s="940">
        <v>3446</v>
      </c>
      <c r="B1195" s="940">
        <v>11</v>
      </c>
      <c r="C1195" t="s">
        <v>10091</v>
      </c>
      <c r="D1195" s="940" t="s">
        <v>10092</v>
      </c>
      <c r="E1195" t="s">
        <v>4001</v>
      </c>
    </row>
    <row r="1196" spans="1:5" x14ac:dyDescent="0.2">
      <c r="A1196" s="940">
        <v>4294</v>
      </c>
      <c r="B1196" s="940">
        <v>0</v>
      </c>
      <c r="C1196" t="s">
        <v>4379</v>
      </c>
      <c r="D1196" s="940" t="s">
        <v>4380</v>
      </c>
      <c r="E1196" t="s">
        <v>4381</v>
      </c>
    </row>
    <row r="1197" spans="1:5" x14ac:dyDescent="0.2">
      <c r="A1197" s="940">
        <v>3545</v>
      </c>
      <c r="B1197" s="940">
        <v>9</v>
      </c>
      <c r="C1197" t="s">
        <v>10093</v>
      </c>
      <c r="D1197" s="940" t="s">
        <v>10094</v>
      </c>
      <c r="E1197" t="s">
        <v>103</v>
      </c>
    </row>
    <row r="1198" spans="1:5" x14ac:dyDescent="0.2">
      <c r="A1198" s="940">
        <v>4181</v>
      </c>
      <c r="B1198" s="940">
        <v>1</v>
      </c>
      <c r="C1198" t="s">
        <v>4384</v>
      </c>
      <c r="D1198" s="940" t="s">
        <v>4385</v>
      </c>
      <c r="E1198" t="s">
        <v>120</v>
      </c>
    </row>
    <row r="1199" spans="1:5" x14ac:dyDescent="0.2">
      <c r="A1199" s="940">
        <v>4294</v>
      </c>
      <c r="B1199" s="940">
        <v>0</v>
      </c>
      <c r="C1199" t="s">
        <v>4386</v>
      </c>
      <c r="D1199" s="940" t="s">
        <v>4387</v>
      </c>
      <c r="E1199" t="s">
        <v>142</v>
      </c>
    </row>
    <row r="1200" spans="1:5" x14ac:dyDescent="0.2">
      <c r="A1200" s="940">
        <v>1279</v>
      </c>
      <c r="B1200" s="940">
        <v>189</v>
      </c>
      <c r="C1200" t="s">
        <v>1532</v>
      </c>
      <c r="D1200" s="940" t="s">
        <v>4388</v>
      </c>
      <c r="E1200" t="s">
        <v>257</v>
      </c>
    </row>
    <row r="1201" spans="1:5" x14ac:dyDescent="0.2">
      <c r="A1201" s="940">
        <v>4294</v>
      </c>
      <c r="B1201" s="940">
        <v>0</v>
      </c>
      <c r="C1201" t="s">
        <v>4389</v>
      </c>
      <c r="D1201" s="940" t="s">
        <v>4390</v>
      </c>
      <c r="E1201" t="s">
        <v>126</v>
      </c>
    </row>
    <row r="1202" spans="1:5" x14ac:dyDescent="0.2">
      <c r="A1202" s="940">
        <v>3483</v>
      </c>
      <c r="B1202" s="940">
        <v>10</v>
      </c>
      <c r="C1202" t="s">
        <v>10095</v>
      </c>
      <c r="D1202" s="940" t="s">
        <v>6621</v>
      </c>
      <c r="E1202" t="s">
        <v>1214</v>
      </c>
    </row>
    <row r="1203" spans="1:5" x14ac:dyDescent="0.2">
      <c r="A1203" s="940">
        <v>4294</v>
      </c>
      <c r="B1203" s="940">
        <v>0</v>
      </c>
      <c r="C1203" t="s">
        <v>10096</v>
      </c>
      <c r="D1203" s="940" t="s">
        <v>10097</v>
      </c>
      <c r="E1203" t="s">
        <v>105</v>
      </c>
    </row>
    <row r="1204" spans="1:5" x14ac:dyDescent="0.2">
      <c r="A1204" s="940">
        <v>2819</v>
      </c>
      <c r="B1204" s="940">
        <v>32</v>
      </c>
      <c r="C1204" t="s">
        <v>4391</v>
      </c>
      <c r="D1204" s="940" t="s">
        <v>4392</v>
      </c>
      <c r="E1204" t="s">
        <v>73</v>
      </c>
    </row>
    <row r="1205" spans="1:5" x14ac:dyDescent="0.2">
      <c r="A1205" s="940">
        <v>4294</v>
      </c>
      <c r="B1205" s="940">
        <v>0</v>
      </c>
      <c r="C1205" t="s">
        <v>4391</v>
      </c>
      <c r="D1205" s="940" t="s">
        <v>4218</v>
      </c>
      <c r="E1205" t="s">
        <v>83</v>
      </c>
    </row>
    <row r="1206" spans="1:5" x14ac:dyDescent="0.2">
      <c r="A1206" s="940">
        <v>4294</v>
      </c>
      <c r="B1206" s="940">
        <v>0</v>
      </c>
      <c r="C1206" t="s">
        <v>4393</v>
      </c>
      <c r="D1206" s="940" t="s">
        <v>4394</v>
      </c>
      <c r="E1206" t="s">
        <v>4395</v>
      </c>
    </row>
    <row r="1207" spans="1:5" x14ac:dyDescent="0.2">
      <c r="A1207" s="940">
        <v>3655</v>
      </c>
      <c r="B1207" s="940">
        <v>7</v>
      </c>
      <c r="C1207" t="s">
        <v>1534</v>
      </c>
      <c r="D1207" s="940" t="s">
        <v>4396</v>
      </c>
      <c r="E1207" t="s">
        <v>105</v>
      </c>
    </row>
    <row r="1208" spans="1:5" x14ac:dyDescent="0.2">
      <c r="A1208" s="940">
        <v>1035</v>
      </c>
      <c r="B1208" s="940">
        <v>264</v>
      </c>
      <c r="C1208" t="s">
        <v>1535</v>
      </c>
      <c r="D1208" s="940" t="s">
        <v>10098</v>
      </c>
      <c r="E1208" t="s">
        <v>1222</v>
      </c>
    </row>
    <row r="1209" spans="1:5" x14ac:dyDescent="0.2">
      <c r="A1209" s="940">
        <v>1057</v>
      </c>
      <c r="B1209" s="940">
        <v>255</v>
      </c>
      <c r="C1209" t="s">
        <v>1536</v>
      </c>
      <c r="D1209" s="940" t="s">
        <v>3686</v>
      </c>
      <c r="E1209" t="s">
        <v>74</v>
      </c>
    </row>
    <row r="1210" spans="1:5" x14ac:dyDescent="0.2">
      <c r="A1210" s="940">
        <v>185</v>
      </c>
      <c r="B1210" s="940">
        <v>938</v>
      </c>
      <c r="C1210" t="s">
        <v>4397</v>
      </c>
      <c r="D1210" s="940" t="s">
        <v>4398</v>
      </c>
      <c r="E1210" t="s">
        <v>106</v>
      </c>
    </row>
    <row r="1211" spans="1:5" x14ac:dyDescent="0.2">
      <c r="A1211" s="940">
        <v>3882</v>
      </c>
      <c r="B1211" s="940">
        <v>4</v>
      </c>
      <c r="C1211" t="s">
        <v>4399</v>
      </c>
      <c r="D1211" s="940" t="s">
        <v>3822</v>
      </c>
      <c r="E1211" t="s">
        <v>120</v>
      </c>
    </row>
    <row r="1212" spans="1:5" x14ac:dyDescent="0.2">
      <c r="A1212" s="940">
        <v>4294</v>
      </c>
      <c r="B1212" s="940">
        <v>0</v>
      </c>
      <c r="C1212" t="s">
        <v>4400</v>
      </c>
      <c r="D1212" s="940" t="s">
        <v>4401</v>
      </c>
      <c r="E1212" t="s">
        <v>105</v>
      </c>
    </row>
    <row r="1213" spans="1:5" x14ac:dyDescent="0.2">
      <c r="A1213" s="940">
        <v>4181</v>
      </c>
      <c r="B1213" s="940">
        <v>1</v>
      </c>
      <c r="C1213" t="s">
        <v>10099</v>
      </c>
      <c r="D1213" s="940" t="s">
        <v>6697</v>
      </c>
      <c r="E1213" t="s">
        <v>213</v>
      </c>
    </row>
    <row r="1214" spans="1:5" x14ac:dyDescent="0.2">
      <c r="A1214" s="940">
        <v>1585</v>
      </c>
      <c r="B1214" s="940">
        <v>131</v>
      </c>
      <c r="C1214" t="s">
        <v>4402</v>
      </c>
      <c r="D1214" s="940" t="s">
        <v>3326</v>
      </c>
      <c r="E1214" t="s">
        <v>1236</v>
      </c>
    </row>
    <row r="1215" spans="1:5" x14ac:dyDescent="0.2">
      <c r="A1215" s="940">
        <v>3358</v>
      </c>
      <c r="B1215" s="940">
        <v>13</v>
      </c>
      <c r="C1215" t="s">
        <v>4403</v>
      </c>
      <c r="D1215" s="940" t="s">
        <v>3582</v>
      </c>
      <c r="E1215" t="s">
        <v>99</v>
      </c>
    </row>
    <row r="1216" spans="1:5" x14ac:dyDescent="0.2">
      <c r="A1216" s="940">
        <v>4081</v>
      </c>
      <c r="B1216" s="940">
        <v>2</v>
      </c>
      <c r="C1216" t="s">
        <v>4404</v>
      </c>
      <c r="D1216" s="940" t="s">
        <v>4405</v>
      </c>
      <c r="E1216" t="s">
        <v>99</v>
      </c>
    </row>
    <row r="1217" spans="1:5" x14ac:dyDescent="0.2">
      <c r="A1217" s="940">
        <v>4294</v>
      </c>
      <c r="B1217" s="940">
        <v>0</v>
      </c>
      <c r="C1217" t="s">
        <v>4406</v>
      </c>
      <c r="D1217" s="940" t="s">
        <v>4407</v>
      </c>
      <c r="E1217" t="s">
        <v>120</v>
      </c>
    </row>
    <row r="1218" spans="1:5" x14ac:dyDescent="0.2">
      <c r="A1218" s="940">
        <v>883</v>
      </c>
      <c r="B1218" s="940">
        <v>325</v>
      </c>
      <c r="C1218" t="s">
        <v>1538</v>
      </c>
      <c r="D1218" s="940" t="s">
        <v>4408</v>
      </c>
      <c r="E1218" t="s">
        <v>120</v>
      </c>
    </row>
    <row r="1219" spans="1:5" x14ac:dyDescent="0.2">
      <c r="A1219" s="940">
        <v>3655</v>
      </c>
      <c r="B1219" s="940">
        <v>7</v>
      </c>
      <c r="C1219" t="s">
        <v>4409</v>
      </c>
      <c r="D1219" s="940" t="s">
        <v>2753</v>
      </c>
      <c r="E1219" t="s">
        <v>111</v>
      </c>
    </row>
    <row r="1220" spans="1:5" x14ac:dyDescent="0.2">
      <c r="A1220" s="940">
        <v>699</v>
      </c>
      <c r="B1220" s="940">
        <v>403</v>
      </c>
      <c r="C1220" t="s">
        <v>4410</v>
      </c>
      <c r="D1220" s="940" t="s">
        <v>4411</v>
      </c>
      <c r="E1220" t="s">
        <v>2880</v>
      </c>
    </row>
    <row r="1221" spans="1:5" x14ac:dyDescent="0.2">
      <c r="A1221" s="940">
        <v>4294</v>
      </c>
      <c r="B1221" s="940">
        <v>0</v>
      </c>
      <c r="C1221" t="s">
        <v>4412</v>
      </c>
      <c r="D1221" s="940" t="s">
        <v>4413</v>
      </c>
      <c r="E1221" t="s">
        <v>2979</v>
      </c>
    </row>
    <row r="1222" spans="1:5" x14ac:dyDescent="0.2">
      <c r="A1222" s="940">
        <v>3048</v>
      </c>
      <c r="B1222" s="940">
        <v>22</v>
      </c>
      <c r="C1222" t="s">
        <v>4414</v>
      </c>
      <c r="D1222" s="940" t="s">
        <v>3745</v>
      </c>
      <c r="E1222" t="s">
        <v>2979</v>
      </c>
    </row>
    <row r="1223" spans="1:5" x14ac:dyDescent="0.2">
      <c r="A1223" s="940">
        <v>1936</v>
      </c>
      <c r="B1223" s="940">
        <v>92</v>
      </c>
      <c r="C1223" t="s">
        <v>10100</v>
      </c>
      <c r="D1223" s="940" t="s">
        <v>5807</v>
      </c>
      <c r="E1223" t="s">
        <v>2723</v>
      </c>
    </row>
    <row r="1224" spans="1:5" x14ac:dyDescent="0.2">
      <c r="A1224" s="940">
        <v>3446</v>
      </c>
      <c r="B1224" s="940">
        <v>11</v>
      </c>
      <c r="C1224" t="s">
        <v>4415</v>
      </c>
      <c r="D1224" s="940" t="s">
        <v>4416</v>
      </c>
      <c r="E1224" t="s">
        <v>120</v>
      </c>
    </row>
    <row r="1225" spans="1:5" x14ac:dyDescent="0.2">
      <c r="A1225" s="940">
        <v>2486</v>
      </c>
      <c r="B1225" s="940">
        <v>48</v>
      </c>
      <c r="C1225" t="s">
        <v>4417</v>
      </c>
      <c r="D1225" s="940" t="s">
        <v>4418</v>
      </c>
      <c r="E1225" t="s">
        <v>120</v>
      </c>
    </row>
    <row r="1226" spans="1:5" x14ac:dyDescent="0.2">
      <c r="A1226" s="940">
        <v>1964</v>
      </c>
      <c r="B1226" s="940">
        <v>89</v>
      </c>
      <c r="C1226" t="s">
        <v>10101</v>
      </c>
      <c r="D1226" s="940" t="s">
        <v>10102</v>
      </c>
      <c r="E1226" t="s">
        <v>120</v>
      </c>
    </row>
    <row r="1227" spans="1:5" x14ac:dyDescent="0.2">
      <c r="A1227" s="940">
        <v>1894</v>
      </c>
      <c r="B1227" s="940">
        <v>96</v>
      </c>
      <c r="C1227" t="s">
        <v>10103</v>
      </c>
      <c r="D1227" s="940" t="s">
        <v>10104</v>
      </c>
      <c r="E1227" t="s">
        <v>186</v>
      </c>
    </row>
    <row r="1228" spans="1:5" x14ac:dyDescent="0.2">
      <c r="A1228" s="940">
        <v>4081</v>
      </c>
      <c r="B1228" s="940">
        <v>2</v>
      </c>
      <c r="C1228" t="s">
        <v>4419</v>
      </c>
      <c r="D1228" s="940" t="s">
        <v>3594</v>
      </c>
      <c r="E1228" t="s">
        <v>1182</v>
      </c>
    </row>
    <row r="1229" spans="1:5" x14ac:dyDescent="0.2">
      <c r="A1229" s="940">
        <v>1027</v>
      </c>
      <c r="B1229" s="940">
        <v>268</v>
      </c>
      <c r="C1229" t="s">
        <v>4420</v>
      </c>
      <c r="D1229" s="940" t="s">
        <v>4421</v>
      </c>
      <c r="E1229" t="s">
        <v>103</v>
      </c>
    </row>
    <row r="1230" spans="1:5" x14ac:dyDescent="0.2">
      <c r="A1230" s="940">
        <v>1330</v>
      </c>
      <c r="B1230" s="940">
        <v>175</v>
      </c>
      <c r="C1230" t="s">
        <v>4422</v>
      </c>
      <c r="D1230" s="940" t="s">
        <v>4423</v>
      </c>
      <c r="E1230" t="s">
        <v>1158</v>
      </c>
    </row>
    <row r="1231" spans="1:5" x14ac:dyDescent="0.2">
      <c r="A1231" s="940">
        <v>2833</v>
      </c>
      <c r="B1231" s="940">
        <v>31</v>
      </c>
      <c r="C1231" t="s">
        <v>4424</v>
      </c>
      <c r="D1231" s="940" t="s">
        <v>4209</v>
      </c>
      <c r="E1231" t="s">
        <v>188</v>
      </c>
    </row>
    <row r="1232" spans="1:5" x14ac:dyDescent="0.2">
      <c r="A1232" s="940">
        <v>1244</v>
      </c>
      <c r="B1232" s="940">
        <v>196</v>
      </c>
      <c r="C1232" t="s">
        <v>1543</v>
      </c>
      <c r="D1232" s="940" t="s">
        <v>5744</v>
      </c>
      <c r="E1232" t="s">
        <v>1544</v>
      </c>
    </row>
    <row r="1233" spans="1:5" x14ac:dyDescent="0.2">
      <c r="A1233" s="940">
        <v>3655</v>
      </c>
      <c r="B1233" s="940">
        <v>7</v>
      </c>
      <c r="C1233" t="s">
        <v>4431</v>
      </c>
      <c r="D1233" s="940" t="s">
        <v>4432</v>
      </c>
      <c r="E1233" t="s">
        <v>1435</v>
      </c>
    </row>
    <row r="1234" spans="1:5" x14ac:dyDescent="0.2">
      <c r="A1234" s="940">
        <v>2915</v>
      </c>
      <c r="B1234" s="940">
        <v>27</v>
      </c>
      <c r="C1234" t="s">
        <v>10105</v>
      </c>
      <c r="D1234" s="940" t="s">
        <v>10106</v>
      </c>
      <c r="E1234" t="s">
        <v>1267</v>
      </c>
    </row>
    <row r="1235" spans="1:5" x14ac:dyDescent="0.2">
      <c r="A1235" s="940">
        <v>1758</v>
      </c>
      <c r="B1235" s="940">
        <v>110</v>
      </c>
      <c r="C1235" t="s">
        <v>4433</v>
      </c>
      <c r="D1235" s="940" t="s">
        <v>4434</v>
      </c>
      <c r="E1235" t="s">
        <v>208</v>
      </c>
    </row>
    <row r="1236" spans="1:5" x14ac:dyDescent="0.2">
      <c r="A1236" s="940">
        <v>1524</v>
      </c>
      <c r="B1236" s="940">
        <v>141</v>
      </c>
      <c r="C1236" t="s">
        <v>4435</v>
      </c>
      <c r="D1236" s="940" t="s">
        <v>4436</v>
      </c>
      <c r="E1236" t="s">
        <v>112</v>
      </c>
    </row>
    <row r="1237" spans="1:5" x14ac:dyDescent="0.2">
      <c r="A1237" s="940">
        <v>572</v>
      </c>
      <c r="B1237" s="940">
        <v>490</v>
      </c>
      <c r="C1237" t="s">
        <v>4437</v>
      </c>
      <c r="D1237" s="940" t="s">
        <v>4438</v>
      </c>
      <c r="E1237" t="s">
        <v>3200</v>
      </c>
    </row>
    <row r="1238" spans="1:5" x14ac:dyDescent="0.2">
      <c r="A1238" s="940">
        <v>1345</v>
      </c>
      <c r="B1238" s="940">
        <v>172</v>
      </c>
      <c r="C1238" t="s">
        <v>4439</v>
      </c>
      <c r="D1238" s="940" t="s">
        <v>4440</v>
      </c>
      <c r="E1238" t="s">
        <v>99</v>
      </c>
    </row>
    <row r="1239" spans="1:5" x14ac:dyDescent="0.2">
      <c r="A1239" s="940">
        <v>1249</v>
      </c>
      <c r="B1239" s="940">
        <v>194</v>
      </c>
      <c r="C1239" t="s">
        <v>10107</v>
      </c>
      <c r="D1239" s="940" t="s">
        <v>10108</v>
      </c>
      <c r="E1239" t="s">
        <v>155</v>
      </c>
    </row>
    <row r="1240" spans="1:5" x14ac:dyDescent="0.2">
      <c r="A1240" s="940">
        <v>3083</v>
      </c>
      <c r="B1240" s="940">
        <v>21</v>
      </c>
      <c r="C1240" t="s">
        <v>4441</v>
      </c>
      <c r="D1240" s="940" t="s">
        <v>4442</v>
      </c>
      <c r="E1240" t="s">
        <v>1286</v>
      </c>
    </row>
    <row r="1241" spans="1:5" x14ac:dyDescent="0.2">
      <c r="A1241" s="940">
        <v>4181</v>
      </c>
      <c r="B1241" s="940">
        <v>1</v>
      </c>
      <c r="C1241" t="s">
        <v>4443</v>
      </c>
      <c r="D1241" s="940" t="s">
        <v>4401</v>
      </c>
      <c r="E1241" t="s">
        <v>74</v>
      </c>
    </row>
    <row r="1242" spans="1:5" x14ac:dyDescent="0.2">
      <c r="A1242" s="940">
        <v>1018</v>
      </c>
      <c r="B1242" s="940">
        <v>272</v>
      </c>
      <c r="C1242" t="s">
        <v>467</v>
      </c>
      <c r="D1242" s="940" t="s">
        <v>3151</v>
      </c>
      <c r="E1242" t="s">
        <v>74</v>
      </c>
    </row>
    <row r="1243" spans="1:5" x14ac:dyDescent="0.2">
      <c r="A1243" s="940">
        <v>4181</v>
      </c>
      <c r="B1243" s="940">
        <v>1</v>
      </c>
      <c r="C1243" t="s">
        <v>4446</v>
      </c>
      <c r="D1243" s="940" t="s">
        <v>4447</v>
      </c>
      <c r="E1243" t="s">
        <v>128</v>
      </c>
    </row>
    <row r="1244" spans="1:5" x14ac:dyDescent="0.2">
      <c r="A1244" s="940">
        <v>2056</v>
      </c>
      <c r="B1244" s="940">
        <v>81</v>
      </c>
      <c r="C1244" t="s">
        <v>10109</v>
      </c>
      <c r="D1244" s="940" t="s">
        <v>3762</v>
      </c>
      <c r="E1244" t="s">
        <v>120</v>
      </c>
    </row>
    <row r="1245" spans="1:5" x14ac:dyDescent="0.2">
      <c r="A1245" s="940">
        <v>3446</v>
      </c>
      <c r="B1245" s="940">
        <v>11</v>
      </c>
      <c r="C1245" t="s">
        <v>10110</v>
      </c>
      <c r="D1245" s="940" t="s">
        <v>10111</v>
      </c>
      <c r="E1245" t="s">
        <v>120</v>
      </c>
    </row>
    <row r="1246" spans="1:5" x14ac:dyDescent="0.2">
      <c r="A1246" s="940">
        <v>260</v>
      </c>
      <c r="B1246" s="940">
        <v>825</v>
      </c>
      <c r="C1246" t="s">
        <v>4448</v>
      </c>
      <c r="D1246" s="940" t="s">
        <v>4449</v>
      </c>
      <c r="E1246" t="s">
        <v>84</v>
      </c>
    </row>
    <row r="1247" spans="1:5" x14ac:dyDescent="0.2">
      <c r="A1247" s="940">
        <v>4294</v>
      </c>
      <c r="B1247" s="940">
        <v>0</v>
      </c>
      <c r="C1247" t="s">
        <v>4450</v>
      </c>
      <c r="D1247" s="940" t="s">
        <v>2682</v>
      </c>
      <c r="E1247" t="s">
        <v>111</v>
      </c>
    </row>
    <row r="1248" spans="1:5" x14ac:dyDescent="0.2">
      <c r="A1248" s="940">
        <v>4294</v>
      </c>
      <c r="B1248" s="940">
        <v>0</v>
      </c>
      <c r="C1248" t="s">
        <v>4451</v>
      </c>
      <c r="D1248" s="940" t="s">
        <v>3601</v>
      </c>
      <c r="E1248" t="s">
        <v>1363</v>
      </c>
    </row>
    <row r="1249" spans="1:5" x14ac:dyDescent="0.2">
      <c r="A1249" s="940">
        <v>4294</v>
      </c>
      <c r="B1249" s="940">
        <v>0</v>
      </c>
      <c r="C1249" t="s">
        <v>4452</v>
      </c>
      <c r="D1249" s="940" t="s">
        <v>4453</v>
      </c>
      <c r="E1249" t="s">
        <v>246</v>
      </c>
    </row>
    <row r="1250" spans="1:5" x14ac:dyDescent="0.2">
      <c r="A1250" s="940">
        <v>3136</v>
      </c>
      <c r="B1250" s="940">
        <v>19</v>
      </c>
      <c r="C1250" t="s">
        <v>10112</v>
      </c>
      <c r="D1250" s="940" t="s">
        <v>3414</v>
      </c>
      <c r="E1250" t="s">
        <v>113</v>
      </c>
    </row>
    <row r="1251" spans="1:5" x14ac:dyDescent="0.2">
      <c r="A1251" s="940">
        <v>3483</v>
      </c>
      <c r="B1251" s="940">
        <v>10</v>
      </c>
      <c r="C1251" t="s">
        <v>4454</v>
      </c>
      <c r="D1251" s="940" t="s">
        <v>4353</v>
      </c>
      <c r="E1251" t="s">
        <v>120</v>
      </c>
    </row>
    <row r="1252" spans="1:5" x14ac:dyDescent="0.2">
      <c r="A1252" s="940">
        <v>3972</v>
      </c>
      <c r="B1252" s="940">
        <v>3</v>
      </c>
      <c r="C1252" t="s">
        <v>4455</v>
      </c>
      <c r="D1252" s="940" t="s">
        <v>4456</v>
      </c>
      <c r="E1252" t="s">
        <v>2291</v>
      </c>
    </row>
    <row r="1253" spans="1:5" x14ac:dyDescent="0.2">
      <c r="A1253" s="940">
        <v>2725</v>
      </c>
      <c r="B1253" s="940">
        <v>36</v>
      </c>
      <c r="C1253" t="s">
        <v>10113</v>
      </c>
      <c r="D1253" s="940" t="s">
        <v>4037</v>
      </c>
      <c r="E1253" t="s">
        <v>179</v>
      </c>
    </row>
    <row r="1254" spans="1:5" x14ac:dyDescent="0.2">
      <c r="A1254" s="940">
        <v>254</v>
      </c>
      <c r="B1254" s="940">
        <v>832</v>
      </c>
      <c r="C1254" t="s">
        <v>4457</v>
      </c>
      <c r="D1254" s="940" t="s">
        <v>4458</v>
      </c>
      <c r="E1254" t="s">
        <v>2613</v>
      </c>
    </row>
    <row r="1255" spans="1:5" x14ac:dyDescent="0.2">
      <c r="A1255" s="940">
        <v>139</v>
      </c>
      <c r="B1255" s="940">
        <v>1018</v>
      </c>
      <c r="C1255" t="s">
        <v>4459</v>
      </c>
      <c r="D1255" s="940" t="s">
        <v>4460</v>
      </c>
      <c r="E1255" t="s">
        <v>4461</v>
      </c>
    </row>
    <row r="1256" spans="1:5" x14ac:dyDescent="0.2">
      <c r="A1256" s="940">
        <v>2353</v>
      </c>
      <c r="B1256" s="940">
        <v>58</v>
      </c>
      <c r="C1256" t="s">
        <v>10114</v>
      </c>
      <c r="D1256" s="940" t="s">
        <v>10115</v>
      </c>
      <c r="E1256" t="s">
        <v>147</v>
      </c>
    </row>
    <row r="1257" spans="1:5" x14ac:dyDescent="0.2">
      <c r="A1257" s="940">
        <v>2286</v>
      </c>
      <c r="B1257" s="940">
        <v>63</v>
      </c>
      <c r="C1257" t="s">
        <v>4462</v>
      </c>
      <c r="D1257" s="940" t="s">
        <v>4463</v>
      </c>
      <c r="E1257" t="s">
        <v>1236</v>
      </c>
    </row>
    <row r="1258" spans="1:5" x14ac:dyDescent="0.2">
      <c r="A1258" s="940">
        <v>1413</v>
      </c>
      <c r="B1258" s="940">
        <v>160</v>
      </c>
      <c r="C1258" t="s">
        <v>4464</v>
      </c>
      <c r="D1258" s="940" t="s">
        <v>4465</v>
      </c>
      <c r="E1258" t="s">
        <v>4466</v>
      </c>
    </row>
    <row r="1259" spans="1:5" x14ac:dyDescent="0.2">
      <c r="A1259" s="940">
        <v>2286</v>
      </c>
      <c r="B1259" s="940">
        <v>63</v>
      </c>
      <c r="C1259" t="s">
        <v>1551</v>
      </c>
      <c r="D1259" s="940" t="s">
        <v>6839</v>
      </c>
      <c r="E1259" t="s">
        <v>139</v>
      </c>
    </row>
    <row r="1260" spans="1:5" x14ac:dyDescent="0.2">
      <c r="A1260" s="940">
        <v>857</v>
      </c>
      <c r="B1260" s="940">
        <v>332</v>
      </c>
      <c r="C1260" t="s">
        <v>4467</v>
      </c>
      <c r="D1260" s="940" t="s">
        <v>4468</v>
      </c>
      <c r="E1260" t="s">
        <v>103</v>
      </c>
    </row>
    <row r="1261" spans="1:5" x14ac:dyDescent="0.2">
      <c r="A1261" s="940">
        <v>4081</v>
      </c>
      <c r="B1261" s="940">
        <v>2</v>
      </c>
      <c r="C1261" t="s">
        <v>10116</v>
      </c>
      <c r="D1261" s="940" t="s">
        <v>10117</v>
      </c>
      <c r="E1261" t="s">
        <v>72</v>
      </c>
    </row>
    <row r="1262" spans="1:5" x14ac:dyDescent="0.2">
      <c r="A1262" s="940">
        <v>2860</v>
      </c>
      <c r="B1262" s="940">
        <v>30</v>
      </c>
      <c r="C1262" t="s">
        <v>4472</v>
      </c>
      <c r="D1262" s="940" t="s">
        <v>4473</v>
      </c>
      <c r="E1262" t="s">
        <v>99</v>
      </c>
    </row>
    <row r="1263" spans="1:5" x14ac:dyDescent="0.2">
      <c r="A1263" s="940">
        <v>1018</v>
      </c>
      <c r="B1263" s="940">
        <v>272</v>
      </c>
      <c r="C1263" t="s">
        <v>4476</v>
      </c>
      <c r="D1263" s="940" t="s">
        <v>4477</v>
      </c>
      <c r="E1263" t="s">
        <v>99</v>
      </c>
    </row>
    <row r="1264" spans="1:5" x14ac:dyDescent="0.2">
      <c r="A1264" s="940">
        <v>1107</v>
      </c>
      <c r="B1264" s="940">
        <v>237</v>
      </c>
      <c r="C1264" t="s">
        <v>4478</v>
      </c>
      <c r="D1264" s="940" t="s">
        <v>4479</v>
      </c>
      <c r="E1264" t="s">
        <v>99</v>
      </c>
    </row>
    <row r="1265" spans="1:5" x14ac:dyDescent="0.2">
      <c r="A1265" s="940">
        <v>4294</v>
      </c>
      <c r="B1265" s="940">
        <v>0</v>
      </c>
      <c r="C1265" t="s">
        <v>10118</v>
      </c>
      <c r="D1265" s="940" t="s">
        <v>10119</v>
      </c>
      <c r="E1265" t="s">
        <v>1258</v>
      </c>
    </row>
    <row r="1266" spans="1:5" x14ac:dyDescent="0.2">
      <c r="A1266" s="940">
        <v>870</v>
      </c>
      <c r="B1266" s="940">
        <v>328</v>
      </c>
      <c r="C1266" t="s">
        <v>215</v>
      </c>
      <c r="D1266" s="940" t="s">
        <v>10120</v>
      </c>
      <c r="E1266" t="s">
        <v>1284</v>
      </c>
    </row>
    <row r="1267" spans="1:5" x14ac:dyDescent="0.2">
      <c r="A1267" s="940">
        <v>2379</v>
      </c>
      <c r="B1267" s="940">
        <v>56</v>
      </c>
      <c r="C1267" t="s">
        <v>4486</v>
      </c>
      <c r="D1267" s="940" t="s">
        <v>4487</v>
      </c>
      <c r="E1267" t="s">
        <v>3687</v>
      </c>
    </row>
    <row r="1268" spans="1:5" x14ac:dyDescent="0.2">
      <c r="A1268" s="940">
        <v>1728</v>
      </c>
      <c r="B1268" s="940">
        <v>114</v>
      </c>
      <c r="C1268" t="s">
        <v>4488</v>
      </c>
      <c r="D1268" s="940" t="s">
        <v>4489</v>
      </c>
      <c r="E1268" t="s">
        <v>1968</v>
      </c>
    </row>
    <row r="1269" spans="1:5" x14ac:dyDescent="0.2">
      <c r="A1269" s="940">
        <v>1861</v>
      </c>
      <c r="B1269" s="940">
        <v>99</v>
      </c>
      <c r="C1269" t="s">
        <v>1554</v>
      </c>
      <c r="D1269" s="940" t="s">
        <v>4490</v>
      </c>
      <c r="E1269" t="s">
        <v>115</v>
      </c>
    </row>
    <row r="1270" spans="1:5" x14ac:dyDescent="0.2">
      <c r="A1270" s="940">
        <v>1511</v>
      </c>
      <c r="B1270" s="940">
        <v>143</v>
      </c>
      <c r="C1270" t="s">
        <v>4491</v>
      </c>
      <c r="D1270" s="940" t="s">
        <v>4492</v>
      </c>
      <c r="E1270" t="s">
        <v>2291</v>
      </c>
    </row>
    <row r="1271" spans="1:5" x14ac:dyDescent="0.2">
      <c r="A1271" s="940">
        <v>1334</v>
      </c>
      <c r="B1271" s="940">
        <v>174</v>
      </c>
      <c r="C1271" t="s">
        <v>4493</v>
      </c>
      <c r="D1271" s="940" t="s">
        <v>4494</v>
      </c>
      <c r="E1271" t="s">
        <v>1493</v>
      </c>
    </row>
    <row r="1272" spans="1:5" x14ac:dyDescent="0.2">
      <c r="A1272" s="940">
        <v>4294</v>
      </c>
      <c r="B1272" s="940">
        <v>0</v>
      </c>
      <c r="C1272" t="s">
        <v>10121</v>
      </c>
      <c r="D1272" s="940" t="s">
        <v>3166</v>
      </c>
      <c r="E1272" t="s">
        <v>117</v>
      </c>
    </row>
    <row r="1273" spans="1:5" x14ac:dyDescent="0.2">
      <c r="A1273" s="940">
        <v>192</v>
      </c>
      <c r="B1273" s="940">
        <v>922</v>
      </c>
      <c r="C1273" t="s">
        <v>4498</v>
      </c>
      <c r="D1273" s="940" t="s">
        <v>4499</v>
      </c>
      <c r="E1273" t="s">
        <v>105</v>
      </c>
    </row>
    <row r="1274" spans="1:5" x14ac:dyDescent="0.2">
      <c r="A1274" s="940">
        <v>2124</v>
      </c>
      <c r="B1274" s="940">
        <v>75</v>
      </c>
      <c r="C1274" t="s">
        <v>10122</v>
      </c>
      <c r="D1274" s="940" t="s">
        <v>5613</v>
      </c>
      <c r="E1274" t="s">
        <v>1968</v>
      </c>
    </row>
    <row r="1275" spans="1:5" x14ac:dyDescent="0.2">
      <c r="A1275" s="940">
        <v>889</v>
      </c>
      <c r="B1275" s="940">
        <v>323</v>
      </c>
      <c r="C1275" t="s">
        <v>1557</v>
      </c>
      <c r="D1275" s="940" t="s">
        <v>4500</v>
      </c>
      <c r="E1275" t="s">
        <v>1162</v>
      </c>
    </row>
    <row r="1276" spans="1:5" x14ac:dyDescent="0.2">
      <c r="A1276" s="940">
        <v>2630</v>
      </c>
      <c r="B1276" s="940">
        <v>40</v>
      </c>
      <c r="C1276" t="s">
        <v>10123</v>
      </c>
      <c r="D1276" s="940" t="s">
        <v>10124</v>
      </c>
      <c r="E1276" t="s">
        <v>136</v>
      </c>
    </row>
    <row r="1277" spans="1:5" x14ac:dyDescent="0.2">
      <c r="A1277" s="940">
        <v>2980</v>
      </c>
      <c r="B1277" s="940">
        <v>24</v>
      </c>
      <c r="C1277" t="s">
        <v>4503</v>
      </c>
      <c r="D1277" s="940" t="s">
        <v>4504</v>
      </c>
      <c r="E1277" t="s">
        <v>1248</v>
      </c>
    </row>
    <row r="1278" spans="1:5" x14ac:dyDescent="0.2">
      <c r="A1278" s="940">
        <v>3545</v>
      </c>
      <c r="B1278" s="940">
        <v>9</v>
      </c>
      <c r="C1278" t="s">
        <v>4505</v>
      </c>
      <c r="D1278" s="940" t="s">
        <v>4506</v>
      </c>
      <c r="E1278" t="s">
        <v>4470</v>
      </c>
    </row>
    <row r="1279" spans="1:5" x14ac:dyDescent="0.2">
      <c r="A1279" s="940">
        <v>2819</v>
      </c>
      <c r="B1279" s="940">
        <v>32</v>
      </c>
      <c r="C1279" t="s">
        <v>1558</v>
      </c>
      <c r="D1279" s="940" t="s">
        <v>6931</v>
      </c>
      <c r="E1279" t="s">
        <v>119</v>
      </c>
    </row>
    <row r="1280" spans="1:5" x14ac:dyDescent="0.2">
      <c r="A1280" s="940">
        <v>3358</v>
      </c>
      <c r="B1280" s="940">
        <v>13</v>
      </c>
      <c r="C1280" t="s">
        <v>4511</v>
      </c>
      <c r="D1280" s="940" t="s">
        <v>4512</v>
      </c>
      <c r="E1280" t="s">
        <v>144</v>
      </c>
    </row>
    <row r="1281" spans="1:5" x14ac:dyDescent="0.2">
      <c r="A1281" s="940">
        <v>3972</v>
      </c>
      <c r="B1281" s="940">
        <v>3</v>
      </c>
      <c r="C1281" t="s">
        <v>10125</v>
      </c>
      <c r="D1281" s="940" t="s">
        <v>6621</v>
      </c>
      <c r="E1281" t="s">
        <v>6430</v>
      </c>
    </row>
    <row r="1282" spans="1:5" x14ac:dyDescent="0.2">
      <c r="A1282" s="940">
        <v>4294</v>
      </c>
      <c r="B1282" s="940">
        <v>0</v>
      </c>
      <c r="C1282" t="s">
        <v>10126</v>
      </c>
      <c r="D1282" s="940" t="s">
        <v>10127</v>
      </c>
      <c r="E1282" t="s">
        <v>10128</v>
      </c>
    </row>
    <row r="1283" spans="1:5" x14ac:dyDescent="0.2">
      <c r="A1283" s="940">
        <v>2014</v>
      </c>
      <c r="B1283" s="940">
        <v>84</v>
      </c>
      <c r="C1283" t="s">
        <v>4515</v>
      </c>
      <c r="D1283" s="940" t="s">
        <v>3970</v>
      </c>
      <c r="E1283" t="s">
        <v>113</v>
      </c>
    </row>
    <row r="1284" spans="1:5" x14ac:dyDescent="0.2">
      <c r="A1284" s="940">
        <v>1511</v>
      </c>
      <c r="B1284" s="940">
        <v>143</v>
      </c>
      <c r="C1284" t="s">
        <v>1559</v>
      </c>
      <c r="D1284" s="940" t="s">
        <v>4388</v>
      </c>
      <c r="E1284" t="s">
        <v>160</v>
      </c>
    </row>
    <row r="1285" spans="1:5" x14ac:dyDescent="0.2">
      <c r="A1285" s="940">
        <v>2056</v>
      </c>
      <c r="B1285" s="940">
        <v>81</v>
      </c>
      <c r="C1285" t="s">
        <v>4516</v>
      </c>
      <c r="D1285" s="940" t="s">
        <v>4517</v>
      </c>
      <c r="E1285" t="s">
        <v>106</v>
      </c>
    </row>
    <row r="1286" spans="1:5" x14ac:dyDescent="0.2">
      <c r="A1286" s="940">
        <v>4294</v>
      </c>
      <c r="B1286" s="940">
        <v>0</v>
      </c>
      <c r="C1286" t="s">
        <v>10129</v>
      </c>
      <c r="D1286" s="940" t="s">
        <v>4580</v>
      </c>
      <c r="E1286" t="s">
        <v>171</v>
      </c>
    </row>
    <row r="1287" spans="1:5" x14ac:dyDescent="0.2">
      <c r="A1287" s="940">
        <v>1806</v>
      </c>
      <c r="B1287" s="940">
        <v>104</v>
      </c>
      <c r="C1287" t="s">
        <v>4520</v>
      </c>
      <c r="D1287" s="940" t="s">
        <v>4521</v>
      </c>
      <c r="E1287" t="s">
        <v>1182</v>
      </c>
    </row>
    <row r="1288" spans="1:5" x14ac:dyDescent="0.2">
      <c r="A1288" s="940">
        <v>1861</v>
      </c>
      <c r="B1288" s="940">
        <v>99</v>
      </c>
      <c r="C1288" t="s">
        <v>4522</v>
      </c>
      <c r="D1288" s="940" t="s">
        <v>4523</v>
      </c>
      <c r="E1288" t="s">
        <v>3137</v>
      </c>
    </row>
    <row r="1289" spans="1:5" x14ac:dyDescent="0.2">
      <c r="A1289" s="940">
        <v>2379</v>
      </c>
      <c r="B1289" s="940">
        <v>56</v>
      </c>
      <c r="C1289" t="s">
        <v>2546</v>
      </c>
      <c r="D1289" s="940" t="s">
        <v>7993</v>
      </c>
      <c r="E1289" t="s">
        <v>73</v>
      </c>
    </row>
    <row r="1290" spans="1:5" x14ac:dyDescent="0.2">
      <c r="A1290" s="940">
        <v>488</v>
      </c>
      <c r="B1290" s="940">
        <v>565</v>
      </c>
      <c r="C1290" t="s">
        <v>10130</v>
      </c>
      <c r="D1290" s="940" t="s">
        <v>10131</v>
      </c>
      <c r="E1290" t="s">
        <v>1156</v>
      </c>
    </row>
    <row r="1291" spans="1:5" x14ac:dyDescent="0.2">
      <c r="A1291" s="940">
        <v>340</v>
      </c>
      <c r="B1291" s="940">
        <v>711</v>
      </c>
      <c r="C1291" t="s">
        <v>4524</v>
      </c>
      <c r="D1291" s="940" t="s">
        <v>4525</v>
      </c>
      <c r="E1291" t="s">
        <v>112</v>
      </c>
    </row>
    <row r="1292" spans="1:5" x14ac:dyDescent="0.2">
      <c r="A1292" s="940">
        <v>1641</v>
      </c>
      <c r="B1292" s="940">
        <v>123</v>
      </c>
      <c r="C1292" t="s">
        <v>4526</v>
      </c>
      <c r="D1292" s="940" t="s">
        <v>4527</v>
      </c>
      <c r="E1292" t="s">
        <v>99</v>
      </c>
    </row>
    <row r="1293" spans="1:5" x14ac:dyDescent="0.2">
      <c r="A1293" s="940">
        <v>4294</v>
      </c>
      <c r="B1293" s="940">
        <v>0</v>
      </c>
      <c r="C1293" t="s">
        <v>4528</v>
      </c>
      <c r="D1293" s="940" t="s">
        <v>4529</v>
      </c>
      <c r="E1293" t="s">
        <v>120</v>
      </c>
    </row>
    <row r="1294" spans="1:5" x14ac:dyDescent="0.2">
      <c r="A1294" s="940">
        <v>4294</v>
      </c>
      <c r="B1294" s="940">
        <v>0</v>
      </c>
      <c r="C1294" t="s">
        <v>10132</v>
      </c>
      <c r="D1294" s="940" t="s">
        <v>8946</v>
      </c>
      <c r="E1294" t="s">
        <v>99</v>
      </c>
    </row>
    <row r="1295" spans="1:5" x14ac:dyDescent="0.2">
      <c r="A1295" s="940">
        <v>2894</v>
      </c>
      <c r="B1295" s="940">
        <v>28</v>
      </c>
      <c r="C1295" t="s">
        <v>4530</v>
      </c>
      <c r="D1295" s="940" t="s">
        <v>3555</v>
      </c>
      <c r="E1295" t="s">
        <v>170</v>
      </c>
    </row>
    <row r="1296" spans="1:5" x14ac:dyDescent="0.2">
      <c r="A1296" s="940">
        <v>3796</v>
      </c>
      <c r="B1296" s="940">
        <v>5</v>
      </c>
      <c r="C1296" t="s">
        <v>4531</v>
      </c>
      <c r="D1296" s="940" t="s">
        <v>2747</v>
      </c>
      <c r="E1296" t="s">
        <v>1507</v>
      </c>
    </row>
    <row r="1297" spans="1:5" x14ac:dyDescent="0.2">
      <c r="A1297" s="940">
        <v>4181</v>
      </c>
      <c r="B1297" s="940">
        <v>1</v>
      </c>
      <c r="C1297" t="s">
        <v>10133</v>
      </c>
      <c r="D1297" s="940" t="s">
        <v>10134</v>
      </c>
      <c r="E1297" t="s">
        <v>1251</v>
      </c>
    </row>
    <row r="1298" spans="1:5" x14ac:dyDescent="0.2">
      <c r="A1298" s="940">
        <v>1536</v>
      </c>
      <c r="B1298" s="940">
        <v>139</v>
      </c>
      <c r="C1298" t="s">
        <v>4532</v>
      </c>
      <c r="D1298" s="940" t="s">
        <v>4533</v>
      </c>
      <c r="E1298" t="s">
        <v>1251</v>
      </c>
    </row>
    <row r="1299" spans="1:5" x14ac:dyDescent="0.2">
      <c r="A1299" s="940">
        <v>1774</v>
      </c>
      <c r="B1299" s="940">
        <v>108</v>
      </c>
      <c r="C1299" t="s">
        <v>10135</v>
      </c>
      <c r="D1299" s="940" t="s">
        <v>10136</v>
      </c>
      <c r="E1299" t="s">
        <v>2542</v>
      </c>
    </row>
    <row r="1300" spans="1:5" x14ac:dyDescent="0.2">
      <c r="A1300" s="940">
        <v>895</v>
      </c>
      <c r="B1300" s="940">
        <v>318</v>
      </c>
      <c r="C1300" t="s">
        <v>10137</v>
      </c>
      <c r="D1300" s="940" t="s">
        <v>10138</v>
      </c>
      <c r="E1300" t="s">
        <v>1460</v>
      </c>
    </row>
    <row r="1301" spans="1:5" x14ac:dyDescent="0.2">
      <c r="A1301" s="940">
        <v>2819</v>
      </c>
      <c r="B1301" s="940">
        <v>32</v>
      </c>
      <c r="C1301" t="s">
        <v>4534</v>
      </c>
      <c r="D1301" s="940" t="s">
        <v>2780</v>
      </c>
      <c r="E1301" t="s">
        <v>83</v>
      </c>
    </row>
    <row r="1302" spans="1:5" x14ac:dyDescent="0.2">
      <c r="A1302" s="940">
        <v>1729</v>
      </c>
      <c r="B1302" s="940">
        <v>113</v>
      </c>
      <c r="C1302" t="s">
        <v>4535</v>
      </c>
      <c r="D1302" s="940" t="s">
        <v>3812</v>
      </c>
      <c r="E1302" t="s">
        <v>2660</v>
      </c>
    </row>
    <row r="1303" spans="1:5" x14ac:dyDescent="0.2">
      <c r="A1303" s="940">
        <v>3136</v>
      </c>
      <c r="B1303" s="940">
        <v>19</v>
      </c>
      <c r="C1303" t="s">
        <v>4536</v>
      </c>
      <c r="D1303" s="940" t="s">
        <v>4537</v>
      </c>
      <c r="E1303" t="s">
        <v>129</v>
      </c>
    </row>
    <row r="1304" spans="1:5" x14ac:dyDescent="0.2">
      <c r="A1304" s="940">
        <v>2042</v>
      </c>
      <c r="B1304" s="940">
        <v>82</v>
      </c>
      <c r="C1304" t="s">
        <v>4538</v>
      </c>
      <c r="D1304" s="940" t="s">
        <v>4288</v>
      </c>
      <c r="E1304" t="s">
        <v>1179</v>
      </c>
    </row>
    <row r="1305" spans="1:5" x14ac:dyDescent="0.2">
      <c r="A1305" s="940">
        <v>1543</v>
      </c>
      <c r="B1305" s="940">
        <v>137</v>
      </c>
      <c r="C1305" t="s">
        <v>4539</v>
      </c>
      <c r="D1305" s="940" t="s">
        <v>3873</v>
      </c>
      <c r="E1305" t="s">
        <v>74</v>
      </c>
    </row>
    <row r="1306" spans="1:5" x14ac:dyDescent="0.2">
      <c r="A1306" s="940">
        <v>4294</v>
      </c>
      <c r="B1306" s="940">
        <v>0</v>
      </c>
      <c r="C1306" t="s">
        <v>4540</v>
      </c>
      <c r="D1306" s="940" t="s">
        <v>4541</v>
      </c>
      <c r="E1306" t="s">
        <v>130</v>
      </c>
    </row>
    <row r="1307" spans="1:5" x14ac:dyDescent="0.2">
      <c r="A1307" s="940">
        <v>2067</v>
      </c>
      <c r="B1307" s="940">
        <v>80</v>
      </c>
      <c r="C1307" t="s">
        <v>4542</v>
      </c>
      <c r="D1307" s="940" t="s">
        <v>4543</v>
      </c>
      <c r="E1307" t="s">
        <v>1284</v>
      </c>
    </row>
    <row r="1308" spans="1:5" x14ac:dyDescent="0.2">
      <c r="A1308" s="940">
        <v>4181</v>
      </c>
      <c r="B1308" s="940">
        <v>1</v>
      </c>
      <c r="C1308" t="s">
        <v>4544</v>
      </c>
      <c r="D1308" s="940" t="s">
        <v>4545</v>
      </c>
      <c r="E1308" t="s">
        <v>163</v>
      </c>
    </row>
    <row r="1309" spans="1:5" x14ac:dyDescent="0.2">
      <c r="A1309" s="940">
        <v>1169</v>
      </c>
      <c r="B1309" s="940">
        <v>220</v>
      </c>
      <c r="C1309" t="s">
        <v>10139</v>
      </c>
      <c r="D1309" s="940" t="s">
        <v>3855</v>
      </c>
      <c r="E1309" t="s">
        <v>120</v>
      </c>
    </row>
    <row r="1310" spans="1:5" x14ac:dyDescent="0.2">
      <c r="A1310" s="940">
        <v>3358</v>
      </c>
      <c r="B1310" s="940">
        <v>13</v>
      </c>
      <c r="C1310" t="s">
        <v>10140</v>
      </c>
      <c r="D1310" s="940" t="s">
        <v>10141</v>
      </c>
      <c r="E1310" t="s">
        <v>1524</v>
      </c>
    </row>
    <row r="1311" spans="1:5" x14ac:dyDescent="0.2">
      <c r="A1311" s="940">
        <v>1479</v>
      </c>
      <c r="B1311" s="940">
        <v>149</v>
      </c>
      <c r="C1311" t="s">
        <v>4550</v>
      </c>
      <c r="D1311" s="940" t="s">
        <v>4551</v>
      </c>
      <c r="E1311" t="s">
        <v>127</v>
      </c>
    </row>
    <row r="1312" spans="1:5" x14ac:dyDescent="0.2">
      <c r="A1312" s="940">
        <v>3545</v>
      </c>
      <c r="B1312" s="940">
        <v>9</v>
      </c>
      <c r="C1312" t="s">
        <v>4552</v>
      </c>
      <c r="D1312" s="940" t="s">
        <v>4553</v>
      </c>
      <c r="E1312" t="s">
        <v>1460</v>
      </c>
    </row>
    <row r="1313" spans="1:5" x14ac:dyDescent="0.2">
      <c r="A1313" s="940">
        <v>4294</v>
      </c>
      <c r="B1313" s="940">
        <v>0</v>
      </c>
      <c r="C1313" t="s">
        <v>4554</v>
      </c>
      <c r="D1313" s="940" t="s">
        <v>4555</v>
      </c>
      <c r="E1313" t="s">
        <v>111</v>
      </c>
    </row>
    <row r="1314" spans="1:5" x14ac:dyDescent="0.2">
      <c r="A1314" s="940">
        <v>1746</v>
      </c>
      <c r="B1314" s="940">
        <v>111</v>
      </c>
      <c r="C1314" t="s">
        <v>4556</v>
      </c>
      <c r="D1314" s="940" t="s">
        <v>3460</v>
      </c>
      <c r="E1314" t="s">
        <v>105</v>
      </c>
    </row>
    <row r="1315" spans="1:5" x14ac:dyDescent="0.2">
      <c r="A1315" s="940">
        <v>3008</v>
      </c>
      <c r="B1315" s="940">
        <v>23</v>
      </c>
      <c r="C1315" t="s">
        <v>4557</v>
      </c>
      <c r="D1315" s="940" t="s">
        <v>4558</v>
      </c>
      <c r="E1315" t="s">
        <v>105</v>
      </c>
    </row>
    <row r="1316" spans="1:5" x14ac:dyDescent="0.2">
      <c r="A1316" s="940">
        <v>3174</v>
      </c>
      <c r="B1316" s="940">
        <v>18</v>
      </c>
      <c r="C1316" t="s">
        <v>10142</v>
      </c>
      <c r="D1316" s="940" t="s">
        <v>10143</v>
      </c>
      <c r="E1316" t="s">
        <v>1491</v>
      </c>
    </row>
    <row r="1317" spans="1:5" x14ac:dyDescent="0.2">
      <c r="A1317" s="940">
        <v>2794</v>
      </c>
      <c r="B1317" s="940">
        <v>33</v>
      </c>
      <c r="C1317" t="s">
        <v>10144</v>
      </c>
      <c r="D1317" s="940" t="s">
        <v>3160</v>
      </c>
      <c r="E1317" t="s">
        <v>136</v>
      </c>
    </row>
    <row r="1318" spans="1:5" x14ac:dyDescent="0.2">
      <c r="A1318" s="940">
        <v>1790</v>
      </c>
      <c r="B1318" s="940">
        <v>106</v>
      </c>
      <c r="C1318" t="s">
        <v>4559</v>
      </c>
      <c r="D1318" s="940" t="s">
        <v>3615</v>
      </c>
      <c r="E1318" t="s">
        <v>1236</v>
      </c>
    </row>
    <row r="1319" spans="1:5" x14ac:dyDescent="0.2">
      <c r="A1319" s="940">
        <v>222</v>
      </c>
      <c r="B1319" s="940">
        <v>878</v>
      </c>
      <c r="C1319" t="s">
        <v>10145</v>
      </c>
      <c r="D1319" s="940" t="s">
        <v>10146</v>
      </c>
      <c r="E1319" t="s">
        <v>105</v>
      </c>
    </row>
    <row r="1320" spans="1:5" x14ac:dyDescent="0.2">
      <c r="A1320" s="940">
        <v>2691</v>
      </c>
      <c r="B1320" s="940">
        <v>37</v>
      </c>
      <c r="C1320" t="s">
        <v>10147</v>
      </c>
      <c r="D1320" s="940" t="s">
        <v>10148</v>
      </c>
      <c r="E1320" t="s">
        <v>122</v>
      </c>
    </row>
    <row r="1321" spans="1:5" x14ac:dyDescent="0.2">
      <c r="A1321" s="940">
        <v>2233</v>
      </c>
      <c r="B1321" s="940">
        <v>67</v>
      </c>
      <c r="C1321" t="s">
        <v>4560</v>
      </c>
      <c r="D1321" s="940" t="s">
        <v>3790</v>
      </c>
      <c r="E1321" t="s">
        <v>1214</v>
      </c>
    </row>
    <row r="1322" spans="1:5" x14ac:dyDescent="0.2">
      <c r="A1322" s="940">
        <v>1157</v>
      </c>
      <c r="B1322" s="940">
        <v>223</v>
      </c>
      <c r="C1322" t="s">
        <v>10149</v>
      </c>
      <c r="D1322" s="940" t="s">
        <v>10150</v>
      </c>
      <c r="E1322" t="s">
        <v>121</v>
      </c>
    </row>
    <row r="1323" spans="1:5" x14ac:dyDescent="0.2">
      <c r="A1323" s="940">
        <v>1079</v>
      </c>
      <c r="B1323" s="940">
        <v>249</v>
      </c>
      <c r="C1323" t="s">
        <v>216</v>
      </c>
      <c r="D1323" s="940" t="s">
        <v>4845</v>
      </c>
      <c r="E1323" t="s">
        <v>469</v>
      </c>
    </row>
    <row r="1324" spans="1:5" x14ac:dyDescent="0.2">
      <c r="A1324" s="940">
        <v>1511</v>
      </c>
      <c r="B1324" s="940">
        <v>143</v>
      </c>
      <c r="C1324" t="s">
        <v>1562</v>
      </c>
      <c r="D1324" s="940" t="s">
        <v>7624</v>
      </c>
      <c r="E1324" t="s">
        <v>120</v>
      </c>
    </row>
    <row r="1325" spans="1:5" x14ac:dyDescent="0.2">
      <c r="A1325" s="940">
        <v>4294</v>
      </c>
      <c r="B1325" s="940">
        <v>0</v>
      </c>
      <c r="C1325" t="s">
        <v>4561</v>
      </c>
      <c r="D1325" s="940" t="s">
        <v>4562</v>
      </c>
      <c r="E1325" t="s">
        <v>3383</v>
      </c>
    </row>
    <row r="1326" spans="1:5" x14ac:dyDescent="0.2">
      <c r="A1326" s="940">
        <v>2691</v>
      </c>
      <c r="B1326" s="940">
        <v>37</v>
      </c>
      <c r="C1326" t="s">
        <v>4563</v>
      </c>
      <c r="D1326" s="940" t="s">
        <v>4564</v>
      </c>
      <c r="E1326" t="s">
        <v>3137</v>
      </c>
    </row>
    <row r="1327" spans="1:5" x14ac:dyDescent="0.2">
      <c r="A1327" s="940">
        <v>2514</v>
      </c>
      <c r="B1327" s="940">
        <v>46</v>
      </c>
      <c r="C1327" t="s">
        <v>4565</v>
      </c>
      <c r="D1327" s="940" t="s">
        <v>4566</v>
      </c>
      <c r="E1327" t="s">
        <v>1315</v>
      </c>
    </row>
    <row r="1328" spans="1:5" x14ac:dyDescent="0.2">
      <c r="A1328" s="940">
        <v>1420</v>
      </c>
      <c r="B1328" s="940">
        <v>159</v>
      </c>
      <c r="C1328" t="s">
        <v>4567</v>
      </c>
      <c r="D1328" s="940" t="s">
        <v>10151</v>
      </c>
      <c r="E1328" t="s">
        <v>10152</v>
      </c>
    </row>
    <row r="1329" spans="1:5" x14ac:dyDescent="0.2">
      <c r="A1329" s="940">
        <v>421</v>
      </c>
      <c r="B1329" s="940">
        <v>624</v>
      </c>
      <c r="C1329" t="s">
        <v>217</v>
      </c>
      <c r="D1329" s="940" t="s">
        <v>4569</v>
      </c>
      <c r="E1329" t="s">
        <v>105</v>
      </c>
    </row>
    <row r="1330" spans="1:5" x14ac:dyDescent="0.2">
      <c r="A1330" s="940">
        <v>1651</v>
      </c>
      <c r="B1330" s="940">
        <v>122</v>
      </c>
      <c r="C1330" t="s">
        <v>4570</v>
      </c>
      <c r="D1330" s="940" t="s">
        <v>4571</v>
      </c>
      <c r="E1330" t="s">
        <v>4572</v>
      </c>
    </row>
    <row r="1331" spans="1:5" x14ac:dyDescent="0.2">
      <c r="A1331" s="940">
        <v>4294</v>
      </c>
      <c r="B1331" s="940">
        <v>0</v>
      </c>
      <c r="C1331" t="s">
        <v>10153</v>
      </c>
      <c r="D1331" s="940" t="s">
        <v>9470</v>
      </c>
      <c r="E1331" t="s">
        <v>99</v>
      </c>
    </row>
    <row r="1332" spans="1:5" x14ac:dyDescent="0.2">
      <c r="A1332" s="940">
        <v>4294</v>
      </c>
      <c r="B1332" s="940">
        <v>0</v>
      </c>
      <c r="C1332" t="s">
        <v>1564</v>
      </c>
      <c r="D1332" s="940" t="s">
        <v>4035</v>
      </c>
      <c r="E1332" t="s">
        <v>1363</v>
      </c>
    </row>
    <row r="1333" spans="1:5" x14ac:dyDescent="0.2">
      <c r="A1333" s="940">
        <v>2745</v>
      </c>
      <c r="B1333" s="940">
        <v>35</v>
      </c>
      <c r="C1333" t="s">
        <v>4573</v>
      </c>
      <c r="D1333" s="940" t="s">
        <v>3592</v>
      </c>
      <c r="E1333" t="s">
        <v>4574</v>
      </c>
    </row>
    <row r="1334" spans="1:5" x14ac:dyDescent="0.2">
      <c r="A1334" s="940">
        <v>158</v>
      </c>
      <c r="B1334" s="940">
        <v>991</v>
      </c>
      <c r="C1334" t="s">
        <v>4575</v>
      </c>
      <c r="D1334" s="940" t="s">
        <v>4576</v>
      </c>
      <c r="E1334" t="s">
        <v>1332</v>
      </c>
    </row>
    <row r="1335" spans="1:5" x14ac:dyDescent="0.2">
      <c r="A1335" s="940">
        <v>1233</v>
      </c>
      <c r="B1335" s="940">
        <v>199</v>
      </c>
      <c r="C1335" t="s">
        <v>815</v>
      </c>
      <c r="D1335" s="940" t="s">
        <v>4037</v>
      </c>
      <c r="E1335" t="s">
        <v>1460</v>
      </c>
    </row>
    <row r="1336" spans="1:5" x14ac:dyDescent="0.2">
      <c r="A1336" s="940">
        <v>2254</v>
      </c>
      <c r="B1336" s="940">
        <v>65</v>
      </c>
      <c r="C1336" t="s">
        <v>4577</v>
      </c>
      <c r="D1336" s="940" t="s">
        <v>4578</v>
      </c>
      <c r="E1336" t="s">
        <v>1156</v>
      </c>
    </row>
    <row r="1337" spans="1:5" x14ac:dyDescent="0.2">
      <c r="A1337" s="940">
        <v>2270</v>
      </c>
      <c r="B1337" s="940">
        <v>64</v>
      </c>
      <c r="C1337" t="s">
        <v>4579</v>
      </c>
      <c r="D1337" s="940" t="s">
        <v>4580</v>
      </c>
      <c r="E1337" t="s">
        <v>128</v>
      </c>
    </row>
    <row r="1338" spans="1:5" x14ac:dyDescent="0.2">
      <c r="A1338" s="940">
        <v>1342</v>
      </c>
      <c r="B1338" s="940">
        <v>173</v>
      </c>
      <c r="C1338" t="s">
        <v>10154</v>
      </c>
      <c r="D1338" s="940" t="s">
        <v>4106</v>
      </c>
      <c r="E1338" t="s">
        <v>122</v>
      </c>
    </row>
    <row r="1339" spans="1:5" x14ac:dyDescent="0.2">
      <c r="A1339" s="940">
        <v>4294</v>
      </c>
      <c r="B1339" s="940">
        <v>0</v>
      </c>
      <c r="C1339" t="s">
        <v>4581</v>
      </c>
      <c r="D1339" s="940" t="s">
        <v>4582</v>
      </c>
      <c r="E1339" t="s">
        <v>4583</v>
      </c>
    </row>
    <row r="1340" spans="1:5" x14ac:dyDescent="0.2">
      <c r="A1340" s="940">
        <v>4081</v>
      </c>
      <c r="B1340" s="940">
        <v>2</v>
      </c>
      <c r="C1340" t="s">
        <v>4584</v>
      </c>
      <c r="D1340" s="940" t="s">
        <v>4585</v>
      </c>
      <c r="E1340" t="s">
        <v>171</v>
      </c>
    </row>
    <row r="1341" spans="1:5" x14ac:dyDescent="0.2">
      <c r="A1341" s="940">
        <v>1445</v>
      </c>
      <c r="B1341" s="940">
        <v>155</v>
      </c>
      <c r="C1341" t="s">
        <v>4586</v>
      </c>
      <c r="D1341" s="940" t="s">
        <v>4587</v>
      </c>
      <c r="E1341" t="s">
        <v>1493</v>
      </c>
    </row>
    <row r="1342" spans="1:5" x14ac:dyDescent="0.2">
      <c r="A1342" s="940">
        <v>2270</v>
      </c>
      <c r="B1342" s="940">
        <v>64</v>
      </c>
      <c r="C1342" t="s">
        <v>4588</v>
      </c>
      <c r="D1342" s="940" t="s">
        <v>10155</v>
      </c>
      <c r="E1342" t="s">
        <v>106</v>
      </c>
    </row>
    <row r="1343" spans="1:5" x14ac:dyDescent="0.2">
      <c r="A1343" s="940">
        <v>3402</v>
      </c>
      <c r="B1343" s="940">
        <v>12</v>
      </c>
      <c r="C1343" t="s">
        <v>10156</v>
      </c>
      <c r="D1343" s="940" t="s">
        <v>10157</v>
      </c>
      <c r="E1343" t="s">
        <v>83</v>
      </c>
    </row>
    <row r="1344" spans="1:5" x14ac:dyDescent="0.2">
      <c r="A1344" s="940">
        <v>2150</v>
      </c>
      <c r="B1344" s="940">
        <v>73</v>
      </c>
      <c r="C1344" t="s">
        <v>4591</v>
      </c>
      <c r="D1344" s="940" t="s">
        <v>4592</v>
      </c>
      <c r="E1344" t="s">
        <v>132</v>
      </c>
    </row>
    <row r="1345" spans="1:5" x14ac:dyDescent="0.2">
      <c r="A1345" s="940">
        <v>182</v>
      </c>
      <c r="B1345" s="940">
        <v>942</v>
      </c>
      <c r="C1345" t="s">
        <v>693</v>
      </c>
      <c r="D1345" s="940" t="s">
        <v>4594</v>
      </c>
      <c r="E1345" t="s">
        <v>120</v>
      </c>
    </row>
    <row r="1346" spans="1:5" x14ac:dyDescent="0.2">
      <c r="A1346" s="940">
        <v>1499</v>
      </c>
      <c r="B1346" s="940">
        <v>144</v>
      </c>
      <c r="C1346" t="s">
        <v>693</v>
      </c>
      <c r="D1346" s="940" t="s">
        <v>10158</v>
      </c>
      <c r="E1346" t="s">
        <v>1200</v>
      </c>
    </row>
    <row r="1347" spans="1:5" x14ac:dyDescent="0.2">
      <c r="A1347" s="940">
        <v>3136</v>
      </c>
      <c r="B1347" s="940">
        <v>19</v>
      </c>
      <c r="C1347" t="s">
        <v>693</v>
      </c>
      <c r="D1347" s="940" t="s">
        <v>10159</v>
      </c>
      <c r="E1347" t="s">
        <v>1467</v>
      </c>
    </row>
    <row r="1348" spans="1:5" x14ac:dyDescent="0.2">
      <c r="A1348" s="940">
        <v>4181</v>
      </c>
      <c r="B1348" s="940">
        <v>1</v>
      </c>
      <c r="C1348" t="s">
        <v>4596</v>
      </c>
      <c r="D1348" s="940" t="s">
        <v>4597</v>
      </c>
      <c r="E1348" t="s">
        <v>120</v>
      </c>
    </row>
    <row r="1349" spans="1:5" x14ac:dyDescent="0.2">
      <c r="A1349" s="940">
        <v>4181</v>
      </c>
      <c r="B1349" s="940">
        <v>1</v>
      </c>
      <c r="C1349" t="s">
        <v>4598</v>
      </c>
      <c r="D1349" s="940" t="s">
        <v>4599</v>
      </c>
      <c r="E1349" t="s">
        <v>1968</v>
      </c>
    </row>
    <row r="1350" spans="1:5" x14ac:dyDescent="0.2">
      <c r="A1350" s="940">
        <v>3796</v>
      </c>
      <c r="B1350" s="940">
        <v>5</v>
      </c>
      <c r="C1350" t="s">
        <v>388</v>
      </c>
      <c r="D1350" s="940" t="s">
        <v>4600</v>
      </c>
      <c r="E1350" t="s">
        <v>120</v>
      </c>
    </row>
    <row r="1351" spans="1:5" x14ac:dyDescent="0.2">
      <c r="A1351" s="940">
        <v>1117</v>
      </c>
      <c r="B1351" s="940">
        <v>235</v>
      </c>
      <c r="C1351" t="s">
        <v>1567</v>
      </c>
      <c r="D1351" s="940" t="s">
        <v>4601</v>
      </c>
      <c r="E1351" t="s">
        <v>3487</v>
      </c>
    </row>
    <row r="1352" spans="1:5" x14ac:dyDescent="0.2">
      <c r="A1352" s="940">
        <v>1133</v>
      </c>
      <c r="B1352" s="940">
        <v>228</v>
      </c>
      <c r="C1352" t="s">
        <v>1568</v>
      </c>
      <c r="D1352" s="940" t="s">
        <v>4602</v>
      </c>
      <c r="E1352" t="s">
        <v>120</v>
      </c>
    </row>
    <row r="1353" spans="1:5" x14ac:dyDescent="0.2">
      <c r="A1353" s="940">
        <v>187</v>
      </c>
      <c r="B1353" s="940">
        <v>933</v>
      </c>
      <c r="C1353" t="s">
        <v>218</v>
      </c>
      <c r="D1353" s="940" t="s">
        <v>4603</v>
      </c>
      <c r="E1353" t="s">
        <v>105</v>
      </c>
    </row>
    <row r="1354" spans="1:5" x14ac:dyDescent="0.2">
      <c r="A1354" s="940">
        <v>2552</v>
      </c>
      <c r="B1354" s="940">
        <v>44</v>
      </c>
      <c r="C1354" t="s">
        <v>10160</v>
      </c>
      <c r="D1354" s="940" t="s">
        <v>6270</v>
      </c>
      <c r="E1354" t="s">
        <v>1222</v>
      </c>
    </row>
    <row r="1355" spans="1:5" x14ac:dyDescent="0.2">
      <c r="A1355" s="940">
        <v>4294</v>
      </c>
      <c r="B1355" s="940">
        <v>0</v>
      </c>
      <c r="C1355" t="s">
        <v>4606</v>
      </c>
      <c r="D1355" s="940" t="s">
        <v>4607</v>
      </c>
      <c r="E1355" t="s">
        <v>120</v>
      </c>
    </row>
    <row r="1356" spans="1:5" x14ac:dyDescent="0.2">
      <c r="A1356" s="940">
        <v>4294</v>
      </c>
      <c r="B1356" s="940">
        <v>0</v>
      </c>
      <c r="C1356" t="s">
        <v>4608</v>
      </c>
      <c r="D1356" s="940" t="s">
        <v>4609</v>
      </c>
      <c r="E1356" t="s">
        <v>137</v>
      </c>
    </row>
    <row r="1357" spans="1:5" x14ac:dyDescent="0.2">
      <c r="A1357" s="940">
        <v>3655</v>
      </c>
      <c r="B1357" s="940">
        <v>7</v>
      </c>
      <c r="C1357" t="s">
        <v>4612</v>
      </c>
      <c r="D1357" s="940" t="s">
        <v>4613</v>
      </c>
      <c r="E1357" t="s">
        <v>130</v>
      </c>
    </row>
    <row r="1358" spans="1:5" x14ac:dyDescent="0.2">
      <c r="A1358" s="940">
        <v>1359</v>
      </c>
      <c r="B1358" s="940">
        <v>170</v>
      </c>
      <c r="C1358" t="s">
        <v>2547</v>
      </c>
      <c r="D1358" s="940" t="s">
        <v>4614</v>
      </c>
      <c r="E1358" t="s">
        <v>73</v>
      </c>
    </row>
    <row r="1359" spans="1:5" x14ac:dyDescent="0.2">
      <c r="A1359" s="940">
        <v>365</v>
      </c>
      <c r="B1359" s="940">
        <v>677</v>
      </c>
      <c r="C1359" t="s">
        <v>10161</v>
      </c>
      <c r="D1359" s="940" t="s">
        <v>10162</v>
      </c>
      <c r="E1359" t="s">
        <v>1507</v>
      </c>
    </row>
    <row r="1360" spans="1:5" x14ac:dyDescent="0.2">
      <c r="A1360" s="940">
        <v>89</v>
      </c>
      <c r="B1360" s="940">
        <v>1154</v>
      </c>
      <c r="C1360" t="s">
        <v>10163</v>
      </c>
      <c r="D1360" s="940" t="s">
        <v>10164</v>
      </c>
      <c r="E1360" t="s">
        <v>105</v>
      </c>
    </row>
    <row r="1361" spans="1:5" x14ac:dyDescent="0.2">
      <c r="A1361" s="940">
        <v>4294</v>
      </c>
      <c r="B1361" s="940">
        <v>0</v>
      </c>
      <c r="C1361" t="s">
        <v>4615</v>
      </c>
      <c r="D1361" s="940" t="s">
        <v>4616</v>
      </c>
      <c r="E1361" t="s">
        <v>105</v>
      </c>
    </row>
    <row r="1362" spans="1:5" x14ac:dyDescent="0.2">
      <c r="A1362" s="940">
        <v>1956</v>
      </c>
      <c r="B1362" s="940">
        <v>90</v>
      </c>
      <c r="C1362" t="s">
        <v>4617</v>
      </c>
      <c r="D1362" s="940" t="s">
        <v>2868</v>
      </c>
      <c r="E1362" t="s">
        <v>1158</v>
      </c>
    </row>
    <row r="1363" spans="1:5" x14ac:dyDescent="0.2">
      <c r="A1363" s="940">
        <v>2150</v>
      </c>
      <c r="B1363" s="940">
        <v>73</v>
      </c>
      <c r="C1363" t="s">
        <v>4617</v>
      </c>
      <c r="D1363" s="940" t="s">
        <v>4618</v>
      </c>
      <c r="E1363" t="s">
        <v>1158</v>
      </c>
    </row>
    <row r="1364" spans="1:5" x14ac:dyDescent="0.2">
      <c r="A1364" s="940">
        <v>2379</v>
      </c>
      <c r="B1364" s="940">
        <v>56</v>
      </c>
      <c r="C1364" t="s">
        <v>4617</v>
      </c>
      <c r="D1364" s="940" t="s">
        <v>8100</v>
      </c>
      <c r="E1364" t="s">
        <v>118</v>
      </c>
    </row>
    <row r="1365" spans="1:5" x14ac:dyDescent="0.2">
      <c r="A1365" s="940">
        <v>4294</v>
      </c>
      <c r="B1365" s="940">
        <v>0</v>
      </c>
      <c r="C1365" t="s">
        <v>4621</v>
      </c>
      <c r="D1365" s="940" t="s">
        <v>4611</v>
      </c>
      <c r="E1365" t="s">
        <v>74</v>
      </c>
    </row>
    <row r="1366" spans="1:5" x14ac:dyDescent="0.2">
      <c r="A1366" s="940">
        <v>4294</v>
      </c>
      <c r="B1366" s="940">
        <v>0</v>
      </c>
      <c r="C1366" t="s">
        <v>10165</v>
      </c>
      <c r="D1366" s="940" t="s">
        <v>4616</v>
      </c>
      <c r="E1366" t="s">
        <v>1587</v>
      </c>
    </row>
    <row r="1367" spans="1:5" x14ac:dyDescent="0.2">
      <c r="A1367" s="940">
        <v>3483</v>
      </c>
      <c r="B1367" s="940">
        <v>10</v>
      </c>
      <c r="C1367" t="s">
        <v>4624</v>
      </c>
      <c r="D1367" s="940" t="s">
        <v>4625</v>
      </c>
      <c r="E1367" t="s">
        <v>1214</v>
      </c>
    </row>
    <row r="1368" spans="1:5" x14ac:dyDescent="0.2">
      <c r="A1368" s="940">
        <v>613</v>
      </c>
      <c r="B1368" s="940">
        <v>458</v>
      </c>
      <c r="C1368" t="s">
        <v>4626</v>
      </c>
      <c r="D1368" s="940" t="s">
        <v>4627</v>
      </c>
      <c r="E1368" t="s">
        <v>2880</v>
      </c>
    </row>
    <row r="1369" spans="1:5" x14ac:dyDescent="0.2">
      <c r="A1369" s="940">
        <v>3732</v>
      </c>
      <c r="B1369" s="940">
        <v>6</v>
      </c>
      <c r="C1369" t="s">
        <v>4626</v>
      </c>
      <c r="D1369" s="940" t="s">
        <v>10166</v>
      </c>
      <c r="E1369" t="s">
        <v>1162</v>
      </c>
    </row>
    <row r="1370" spans="1:5" x14ac:dyDescent="0.2">
      <c r="A1370" s="940">
        <v>2014</v>
      </c>
      <c r="B1370" s="940">
        <v>84</v>
      </c>
      <c r="C1370" t="s">
        <v>4628</v>
      </c>
      <c r="D1370" s="940" t="s">
        <v>4629</v>
      </c>
      <c r="E1370" t="s">
        <v>126</v>
      </c>
    </row>
    <row r="1371" spans="1:5" x14ac:dyDescent="0.2">
      <c r="A1371" s="940">
        <v>4081</v>
      </c>
      <c r="B1371" s="940">
        <v>2</v>
      </c>
      <c r="C1371" t="s">
        <v>4630</v>
      </c>
      <c r="D1371" s="940" t="s">
        <v>4631</v>
      </c>
      <c r="E1371" t="s">
        <v>176</v>
      </c>
    </row>
    <row r="1372" spans="1:5" x14ac:dyDescent="0.2">
      <c r="A1372" s="940">
        <v>4181</v>
      </c>
      <c r="B1372" s="940">
        <v>1</v>
      </c>
      <c r="C1372" t="s">
        <v>4632</v>
      </c>
      <c r="D1372" s="940" t="s">
        <v>4633</v>
      </c>
      <c r="E1372" t="s">
        <v>128</v>
      </c>
    </row>
    <row r="1373" spans="1:5" x14ac:dyDescent="0.2">
      <c r="A1373" s="940">
        <v>4294</v>
      </c>
      <c r="B1373" s="940">
        <v>0</v>
      </c>
      <c r="C1373" t="s">
        <v>4632</v>
      </c>
      <c r="D1373" s="940" t="s">
        <v>4634</v>
      </c>
      <c r="E1373" t="s">
        <v>2660</v>
      </c>
    </row>
    <row r="1374" spans="1:5" x14ac:dyDescent="0.2">
      <c r="A1374" s="940">
        <v>2915</v>
      </c>
      <c r="B1374" s="940">
        <v>27</v>
      </c>
      <c r="C1374" t="s">
        <v>10167</v>
      </c>
      <c r="D1374" s="940" t="s">
        <v>4477</v>
      </c>
      <c r="E1374" t="s">
        <v>99</v>
      </c>
    </row>
    <row r="1375" spans="1:5" x14ac:dyDescent="0.2">
      <c r="A1375" s="940">
        <v>4294</v>
      </c>
      <c r="B1375" s="940">
        <v>0</v>
      </c>
      <c r="C1375" t="s">
        <v>4635</v>
      </c>
      <c r="D1375" s="940" t="s">
        <v>4636</v>
      </c>
      <c r="E1375" t="s">
        <v>99</v>
      </c>
    </row>
    <row r="1376" spans="1:5" x14ac:dyDescent="0.2">
      <c r="A1376" s="940">
        <v>3323</v>
      </c>
      <c r="B1376" s="940">
        <v>14</v>
      </c>
      <c r="C1376" t="s">
        <v>4637</v>
      </c>
      <c r="D1376" s="940" t="s">
        <v>3997</v>
      </c>
      <c r="E1376" t="s">
        <v>129</v>
      </c>
    </row>
    <row r="1377" spans="1:5" x14ac:dyDescent="0.2">
      <c r="A1377" s="940">
        <v>4081</v>
      </c>
      <c r="B1377" s="940">
        <v>2</v>
      </c>
      <c r="C1377" t="s">
        <v>10168</v>
      </c>
      <c r="D1377" s="940" t="s">
        <v>2669</v>
      </c>
      <c r="E1377" t="s">
        <v>130</v>
      </c>
    </row>
    <row r="1378" spans="1:5" x14ac:dyDescent="0.2">
      <c r="A1378" s="940">
        <v>1956</v>
      </c>
      <c r="B1378" s="940">
        <v>90</v>
      </c>
      <c r="C1378" t="s">
        <v>4638</v>
      </c>
      <c r="D1378" s="940" t="s">
        <v>4639</v>
      </c>
      <c r="E1378" t="s">
        <v>122</v>
      </c>
    </row>
    <row r="1379" spans="1:5" x14ac:dyDescent="0.2">
      <c r="A1379" s="940">
        <v>1826</v>
      </c>
      <c r="B1379" s="940">
        <v>102</v>
      </c>
      <c r="C1379" t="s">
        <v>4640</v>
      </c>
      <c r="D1379" s="940" t="s">
        <v>4641</v>
      </c>
      <c r="E1379" t="s">
        <v>132</v>
      </c>
    </row>
    <row r="1380" spans="1:5" x14ac:dyDescent="0.2">
      <c r="A1380" s="940">
        <v>2774</v>
      </c>
      <c r="B1380" s="940">
        <v>34</v>
      </c>
      <c r="C1380" t="s">
        <v>10169</v>
      </c>
      <c r="D1380" s="940" t="s">
        <v>8308</v>
      </c>
      <c r="E1380" t="s">
        <v>105</v>
      </c>
    </row>
    <row r="1381" spans="1:5" x14ac:dyDescent="0.2">
      <c r="A1381" s="940">
        <v>1089</v>
      </c>
      <c r="B1381" s="940">
        <v>245</v>
      </c>
      <c r="C1381" t="s">
        <v>1575</v>
      </c>
      <c r="D1381" s="940" t="s">
        <v>9234</v>
      </c>
      <c r="E1381" t="s">
        <v>227</v>
      </c>
    </row>
    <row r="1382" spans="1:5" x14ac:dyDescent="0.2">
      <c r="A1382" s="940">
        <v>4294</v>
      </c>
      <c r="B1382" s="940">
        <v>0</v>
      </c>
      <c r="C1382" t="s">
        <v>10170</v>
      </c>
      <c r="D1382" s="940" t="s">
        <v>5613</v>
      </c>
      <c r="E1382" t="s">
        <v>4574</v>
      </c>
    </row>
    <row r="1383" spans="1:5" x14ac:dyDescent="0.2">
      <c r="A1383" s="940">
        <v>4294</v>
      </c>
      <c r="B1383" s="940">
        <v>0</v>
      </c>
      <c r="C1383" t="s">
        <v>10171</v>
      </c>
      <c r="D1383" s="940" t="s">
        <v>10172</v>
      </c>
      <c r="E1383" t="s">
        <v>10004</v>
      </c>
    </row>
    <row r="1384" spans="1:5" x14ac:dyDescent="0.2">
      <c r="A1384" s="940">
        <v>4181</v>
      </c>
      <c r="B1384" s="940">
        <v>1</v>
      </c>
      <c r="C1384" t="s">
        <v>4642</v>
      </c>
      <c r="D1384" s="940" t="s">
        <v>6305</v>
      </c>
      <c r="E1384" t="s">
        <v>120</v>
      </c>
    </row>
    <row r="1385" spans="1:5" x14ac:dyDescent="0.2">
      <c r="A1385" s="940">
        <v>2533</v>
      </c>
      <c r="B1385" s="940">
        <v>45</v>
      </c>
      <c r="C1385" t="s">
        <v>10173</v>
      </c>
      <c r="D1385" s="940" t="s">
        <v>10174</v>
      </c>
      <c r="E1385" t="s">
        <v>5699</v>
      </c>
    </row>
    <row r="1386" spans="1:5" x14ac:dyDescent="0.2">
      <c r="A1386" s="940">
        <v>4294</v>
      </c>
      <c r="B1386" s="940">
        <v>0</v>
      </c>
      <c r="C1386" t="s">
        <v>4646</v>
      </c>
      <c r="D1386" s="940" t="s">
        <v>4647</v>
      </c>
      <c r="E1386" t="s">
        <v>160</v>
      </c>
    </row>
    <row r="1387" spans="1:5" x14ac:dyDescent="0.2">
      <c r="A1387" s="940">
        <v>2475</v>
      </c>
      <c r="B1387" s="940">
        <v>49</v>
      </c>
      <c r="C1387" t="s">
        <v>4650</v>
      </c>
      <c r="D1387" s="940" t="s">
        <v>4651</v>
      </c>
      <c r="E1387" t="s">
        <v>3114</v>
      </c>
    </row>
    <row r="1388" spans="1:5" x14ac:dyDescent="0.2">
      <c r="A1388" s="940">
        <v>1434</v>
      </c>
      <c r="B1388" s="940">
        <v>157</v>
      </c>
      <c r="C1388" t="s">
        <v>10175</v>
      </c>
      <c r="D1388" s="940" t="s">
        <v>5809</v>
      </c>
      <c r="E1388" t="s">
        <v>9311</v>
      </c>
    </row>
    <row r="1389" spans="1:5" x14ac:dyDescent="0.2">
      <c r="A1389" s="940">
        <v>3655</v>
      </c>
      <c r="B1389" s="940">
        <v>7</v>
      </c>
      <c r="C1389" t="s">
        <v>10176</v>
      </c>
      <c r="D1389" s="940" t="s">
        <v>6387</v>
      </c>
      <c r="E1389" t="s">
        <v>1578</v>
      </c>
    </row>
    <row r="1390" spans="1:5" x14ac:dyDescent="0.2">
      <c r="A1390" s="940">
        <v>1912</v>
      </c>
      <c r="B1390" s="940">
        <v>94</v>
      </c>
      <c r="C1390" t="s">
        <v>4652</v>
      </c>
      <c r="D1390" s="940" t="s">
        <v>4653</v>
      </c>
      <c r="E1390" t="s">
        <v>4654</v>
      </c>
    </row>
    <row r="1391" spans="1:5" x14ac:dyDescent="0.2">
      <c r="A1391" s="940">
        <v>1861</v>
      </c>
      <c r="B1391" s="940">
        <v>99</v>
      </c>
      <c r="C1391" t="s">
        <v>1577</v>
      </c>
      <c r="D1391" s="940" t="s">
        <v>4656</v>
      </c>
      <c r="E1391" t="s">
        <v>1578</v>
      </c>
    </row>
    <row r="1392" spans="1:5" x14ac:dyDescent="0.2">
      <c r="A1392" s="940">
        <v>2938</v>
      </c>
      <c r="B1392" s="940">
        <v>26</v>
      </c>
      <c r="C1392" t="s">
        <v>1577</v>
      </c>
      <c r="D1392" s="940" t="s">
        <v>4211</v>
      </c>
      <c r="E1392" t="s">
        <v>120</v>
      </c>
    </row>
    <row r="1393" spans="1:5" x14ac:dyDescent="0.2">
      <c r="A1393" s="940">
        <v>1252</v>
      </c>
      <c r="B1393" s="940">
        <v>193</v>
      </c>
      <c r="C1393" t="s">
        <v>223</v>
      </c>
      <c r="D1393" s="940" t="s">
        <v>4657</v>
      </c>
      <c r="E1393" t="s">
        <v>105</v>
      </c>
    </row>
    <row r="1394" spans="1:5" x14ac:dyDescent="0.2">
      <c r="A1394" s="940">
        <v>1880</v>
      </c>
      <c r="B1394" s="940">
        <v>97</v>
      </c>
      <c r="C1394" t="s">
        <v>1579</v>
      </c>
      <c r="D1394" s="940" t="s">
        <v>3640</v>
      </c>
      <c r="E1394" t="s">
        <v>104</v>
      </c>
    </row>
    <row r="1395" spans="1:5" x14ac:dyDescent="0.2">
      <c r="A1395" s="940">
        <v>2833</v>
      </c>
      <c r="B1395" s="940">
        <v>31</v>
      </c>
      <c r="C1395" t="s">
        <v>10177</v>
      </c>
      <c r="D1395" s="940" t="s">
        <v>2848</v>
      </c>
      <c r="E1395" t="s">
        <v>120</v>
      </c>
    </row>
    <row r="1396" spans="1:5" x14ac:dyDescent="0.2">
      <c r="A1396" s="940">
        <v>220</v>
      </c>
      <c r="B1396" s="940">
        <v>880</v>
      </c>
      <c r="C1396" t="s">
        <v>4661</v>
      </c>
      <c r="D1396" s="940" t="s">
        <v>4662</v>
      </c>
      <c r="E1396" t="s">
        <v>1214</v>
      </c>
    </row>
    <row r="1397" spans="1:5" x14ac:dyDescent="0.2">
      <c r="A1397" s="940">
        <v>4081</v>
      </c>
      <c r="B1397" s="940">
        <v>2</v>
      </c>
      <c r="C1397" t="s">
        <v>10178</v>
      </c>
      <c r="D1397" s="940" t="s">
        <v>10179</v>
      </c>
      <c r="E1397" t="s">
        <v>1447</v>
      </c>
    </row>
    <row r="1398" spans="1:5" x14ac:dyDescent="0.2">
      <c r="A1398" s="940">
        <v>3136</v>
      </c>
      <c r="B1398" s="940">
        <v>19</v>
      </c>
      <c r="C1398" t="s">
        <v>4663</v>
      </c>
      <c r="D1398" s="940" t="s">
        <v>4664</v>
      </c>
      <c r="E1398" t="s">
        <v>1236</v>
      </c>
    </row>
    <row r="1399" spans="1:5" x14ac:dyDescent="0.2">
      <c r="A1399" s="940">
        <v>1389</v>
      </c>
      <c r="B1399" s="940">
        <v>164</v>
      </c>
      <c r="C1399" t="s">
        <v>4665</v>
      </c>
      <c r="D1399" s="940" t="s">
        <v>4666</v>
      </c>
      <c r="E1399" t="s">
        <v>4667</v>
      </c>
    </row>
    <row r="1400" spans="1:5" x14ac:dyDescent="0.2">
      <c r="A1400" s="940">
        <v>650</v>
      </c>
      <c r="B1400" s="940">
        <v>433</v>
      </c>
      <c r="C1400" t="s">
        <v>10180</v>
      </c>
      <c r="D1400" s="940" t="s">
        <v>10181</v>
      </c>
      <c r="E1400" t="s">
        <v>175</v>
      </c>
    </row>
    <row r="1401" spans="1:5" x14ac:dyDescent="0.2">
      <c r="A1401" s="940">
        <v>4294</v>
      </c>
      <c r="B1401" s="940">
        <v>0</v>
      </c>
      <c r="C1401" t="s">
        <v>10182</v>
      </c>
      <c r="D1401" s="940" t="s">
        <v>7913</v>
      </c>
      <c r="E1401" t="s">
        <v>111</v>
      </c>
    </row>
    <row r="1402" spans="1:5" x14ac:dyDescent="0.2">
      <c r="A1402" s="940">
        <v>3136</v>
      </c>
      <c r="B1402" s="940">
        <v>19</v>
      </c>
      <c r="C1402" t="s">
        <v>4668</v>
      </c>
      <c r="D1402" s="940" t="s">
        <v>4669</v>
      </c>
      <c r="E1402" t="s">
        <v>74</v>
      </c>
    </row>
    <row r="1403" spans="1:5" x14ac:dyDescent="0.2">
      <c r="A1403" s="940">
        <v>1378</v>
      </c>
      <c r="B1403" s="940">
        <v>167</v>
      </c>
      <c r="C1403" t="s">
        <v>1581</v>
      </c>
      <c r="D1403" s="940" t="s">
        <v>4670</v>
      </c>
      <c r="E1403" t="s">
        <v>1311</v>
      </c>
    </row>
    <row r="1404" spans="1:5" x14ac:dyDescent="0.2">
      <c r="A1404" s="940">
        <v>815</v>
      </c>
      <c r="B1404" s="940">
        <v>354</v>
      </c>
      <c r="C1404" t="s">
        <v>226</v>
      </c>
      <c r="D1404" s="940" t="s">
        <v>3015</v>
      </c>
      <c r="E1404" t="s">
        <v>72</v>
      </c>
    </row>
    <row r="1405" spans="1:5" x14ac:dyDescent="0.2">
      <c r="A1405" s="940">
        <v>2571</v>
      </c>
      <c r="B1405" s="940">
        <v>43</v>
      </c>
      <c r="C1405" t="s">
        <v>4671</v>
      </c>
      <c r="D1405" s="940" t="s">
        <v>4672</v>
      </c>
      <c r="E1405" t="s">
        <v>105</v>
      </c>
    </row>
    <row r="1406" spans="1:5" x14ac:dyDescent="0.2">
      <c r="A1406" s="940">
        <v>2915</v>
      </c>
      <c r="B1406" s="940">
        <v>27</v>
      </c>
      <c r="C1406" t="s">
        <v>10183</v>
      </c>
      <c r="D1406" s="940" t="s">
        <v>10184</v>
      </c>
      <c r="E1406" t="s">
        <v>1340</v>
      </c>
    </row>
    <row r="1407" spans="1:5" x14ac:dyDescent="0.2">
      <c r="A1407" s="940">
        <v>3972</v>
      </c>
      <c r="B1407" s="940">
        <v>3</v>
      </c>
      <c r="C1407" t="s">
        <v>4673</v>
      </c>
      <c r="D1407" s="940" t="s">
        <v>3028</v>
      </c>
      <c r="E1407" t="s">
        <v>4674</v>
      </c>
    </row>
    <row r="1408" spans="1:5" x14ac:dyDescent="0.2">
      <c r="A1408" s="940">
        <v>915</v>
      </c>
      <c r="B1408" s="940">
        <v>309</v>
      </c>
      <c r="C1408" t="s">
        <v>10185</v>
      </c>
      <c r="D1408" s="940" t="s">
        <v>4899</v>
      </c>
      <c r="E1408" t="s">
        <v>99</v>
      </c>
    </row>
    <row r="1409" spans="1:5" x14ac:dyDescent="0.2">
      <c r="A1409" s="940">
        <v>2193</v>
      </c>
      <c r="B1409" s="940">
        <v>70</v>
      </c>
      <c r="C1409" t="s">
        <v>1582</v>
      </c>
      <c r="D1409" s="940" t="s">
        <v>2912</v>
      </c>
      <c r="E1409" t="s">
        <v>183</v>
      </c>
    </row>
    <row r="1410" spans="1:5" x14ac:dyDescent="0.2">
      <c r="A1410" s="940">
        <v>4294</v>
      </c>
      <c r="B1410" s="940">
        <v>0</v>
      </c>
      <c r="C1410" t="s">
        <v>10186</v>
      </c>
      <c r="D1410" s="940" t="s">
        <v>8341</v>
      </c>
      <c r="E1410" t="s">
        <v>1236</v>
      </c>
    </row>
    <row r="1411" spans="1:5" x14ac:dyDescent="0.2">
      <c r="A1411" s="940">
        <v>4294</v>
      </c>
      <c r="B1411" s="940">
        <v>0</v>
      </c>
      <c r="C1411" t="s">
        <v>4682</v>
      </c>
      <c r="D1411" s="940" t="s">
        <v>4683</v>
      </c>
      <c r="E1411" t="s">
        <v>111</v>
      </c>
    </row>
    <row r="1412" spans="1:5" x14ac:dyDescent="0.2">
      <c r="A1412" s="940">
        <v>2270</v>
      </c>
      <c r="B1412" s="940">
        <v>64</v>
      </c>
      <c r="C1412" t="s">
        <v>4684</v>
      </c>
      <c r="D1412" s="940" t="s">
        <v>4685</v>
      </c>
      <c r="E1412" t="s">
        <v>147</v>
      </c>
    </row>
    <row r="1413" spans="1:5" x14ac:dyDescent="0.2">
      <c r="A1413" s="940">
        <v>1144</v>
      </c>
      <c r="B1413" s="940">
        <v>226</v>
      </c>
      <c r="C1413" t="s">
        <v>1583</v>
      </c>
      <c r="D1413" s="940" t="s">
        <v>4686</v>
      </c>
      <c r="E1413" t="s">
        <v>1584</v>
      </c>
    </row>
    <row r="1414" spans="1:5" x14ac:dyDescent="0.2">
      <c r="A1414" s="940">
        <v>4294</v>
      </c>
      <c r="B1414" s="940">
        <v>0</v>
      </c>
      <c r="C1414" t="s">
        <v>4687</v>
      </c>
      <c r="D1414" s="940" t="s">
        <v>4688</v>
      </c>
      <c r="E1414" t="s">
        <v>120</v>
      </c>
    </row>
    <row r="1415" spans="1:5" x14ac:dyDescent="0.2">
      <c r="A1415" s="940">
        <v>110</v>
      </c>
      <c r="B1415" s="940">
        <v>1091</v>
      </c>
      <c r="C1415" t="s">
        <v>4689</v>
      </c>
      <c r="D1415" s="940" t="s">
        <v>4690</v>
      </c>
      <c r="E1415" t="s">
        <v>83</v>
      </c>
    </row>
    <row r="1416" spans="1:5" x14ac:dyDescent="0.2">
      <c r="A1416" s="940">
        <v>1274</v>
      </c>
      <c r="B1416" s="940">
        <v>190</v>
      </c>
      <c r="C1416" t="s">
        <v>1585</v>
      </c>
      <c r="D1416" s="940" t="s">
        <v>4691</v>
      </c>
      <c r="E1416" t="s">
        <v>1332</v>
      </c>
    </row>
    <row r="1417" spans="1:5" x14ac:dyDescent="0.2">
      <c r="A1417" s="940">
        <v>3402</v>
      </c>
      <c r="B1417" s="940">
        <v>12</v>
      </c>
      <c r="C1417" t="s">
        <v>4692</v>
      </c>
      <c r="D1417" s="940" t="s">
        <v>2703</v>
      </c>
      <c r="E1417" t="s">
        <v>4395</v>
      </c>
    </row>
    <row r="1418" spans="1:5" x14ac:dyDescent="0.2">
      <c r="A1418" s="940">
        <v>1274</v>
      </c>
      <c r="B1418" s="940">
        <v>190</v>
      </c>
      <c r="C1418" t="s">
        <v>4693</v>
      </c>
      <c r="D1418" s="940" t="s">
        <v>2987</v>
      </c>
      <c r="E1418" t="s">
        <v>122</v>
      </c>
    </row>
    <row r="1419" spans="1:5" x14ac:dyDescent="0.2">
      <c r="A1419" s="940">
        <v>4294</v>
      </c>
      <c r="B1419" s="940">
        <v>0</v>
      </c>
      <c r="C1419" t="s">
        <v>4694</v>
      </c>
      <c r="D1419" s="940" t="s">
        <v>4048</v>
      </c>
      <c r="E1419" t="s">
        <v>109</v>
      </c>
    </row>
    <row r="1420" spans="1:5" x14ac:dyDescent="0.2">
      <c r="A1420" s="940">
        <v>1457</v>
      </c>
      <c r="B1420" s="940">
        <v>153</v>
      </c>
      <c r="C1420" t="s">
        <v>10187</v>
      </c>
      <c r="D1420" s="940" t="s">
        <v>10188</v>
      </c>
      <c r="E1420" t="s">
        <v>109</v>
      </c>
    </row>
    <row r="1421" spans="1:5" x14ac:dyDescent="0.2">
      <c r="A1421" s="940">
        <v>1676</v>
      </c>
      <c r="B1421" s="940">
        <v>120</v>
      </c>
      <c r="C1421" t="s">
        <v>4695</v>
      </c>
      <c r="D1421" s="940" t="s">
        <v>4696</v>
      </c>
      <c r="E1421" t="s">
        <v>115</v>
      </c>
    </row>
    <row r="1422" spans="1:5" x14ac:dyDescent="0.2">
      <c r="A1422" s="940">
        <v>3446</v>
      </c>
      <c r="B1422" s="940">
        <v>11</v>
      </c>
      <c r="C1422" t="s">
        <v>4695</v>
      </c>
      <c r="D1422" s="940" t="s">
        <v>3686</v>
      </c>
      <c r="E1422" t="s">
        <v>170</v>
      </c>
    </row>
    <row r="1423" spans="1:5" x14ac:dyDescent="0.2">
      <c r="A1423" s="940">
        <v>2980</v>
      </c>
      <c r="B1423" s="940">
        <v>24</v>
      </c>
      <c r="C1423" t="s">
        <v>4697</v>
      </c>
      <c r="D1423" s="940" t="s">
        <v>4698</v>
      </c>
      <c r="E1423" t="s">
        <v>4699</v>
      </c>
    </row>
    <row r="1424" spans="1:5" x14ac:dyDescent="0.2">
      <c r="A1424" s="940">
        <v>4081</v>
      </c>
      <c r="B1424" s="940">
        <v>2</v>
      </c>
      <c r="C1424" t="s">
        <v>4700</v>
      </c>
      <c r="D1424" s="940" t="s">
        <v>4701</v>
      </c>
      <c r="E1424" t="s">
        <v>3114</v>
      </c>
    </row>
    <row r="1425" spans="1:5" x14ac:dyDescent="0.2">
      <c r="A1425" s="940">
        <v>72</v>
      </c>
      <c r="B1425" s="940">
        <v>1193</v>
      </c>
      <c r="C1425" t="s">
        <v>4702</v>
      </c>
      <c r="D1425" s="940" t="s">
        <v>4703</v>
      </c>
      <c r="E1425" t="s">
        <v>105</v>
      </c>
    </row>
    <row r="1426" spans="1:5" x14ac:dyDescent="0.2">
      <c r="A1426" s="940">
        <v>2067</v>
      </c>
      <c r="B1426" s="940">
        <v>80</v>
      </c>
      <c r="C1426" t="s">
        <v>4704</v>
      </c>
      <c r="D1426" s="940" t="s">
        <v>3546</v>
      </c>
      <c r="E1426" t="s">
        <v>120</v>
      </c>
    </row>
    <row r="1427" spans="1:5" x14ac:dyDescent="0.2">
      <c r="A1427" s="940">
        <v>329</v>
      </c>
      <c r="B1427" s="940">
        <v>724</v>
      </c>
      <c r="C1427" t="s">
        <v>4705</v>
      </c>
      <c r="D1427" s="940" t="s">
        <v>4706</v>
      </c>
      <c r="E1427" t="s">
        <v>1190</v>
      </c>
    </row>
    <row r="1428" spans="1:5" x14ac:dyDescent="0.2">
      <c r="A1428" s="940">
        <v>2774</v>
      </c>
      <c r="B1428" s="940">
        <v>34</v>
      </c>
      <c r="C1428" t="s">
        <v>475</v>
      </c>
      <c r="D1428" s="940" t="s">
        <v>4707</v>
      </c>
      <c r="E1428" t="s">
        <v>1214</v>
      </c>
    </row>
    <row r="1429" spans="1:5" x14ac:dyDescent="0.2">
      <c r="A1429" s="940">
        <v>184</v>
      </c>
      <c r="B1429" s="940">
        <v>940</v>
      </c>
      <c r="C1429" t="s">
        <v>10189</v>
      </c>
      <c r="D1429" s="940" t="s">
        <v>10190</v>
      </c>
      <c r="E1429" t="s">
        <v>6003</v>
      </c>
    </row>
    <row r="1430" spans="1:5" x14ac:dyDescent="0.2">
      <c r="A1430" s="940">
        <v>3483</v>
      </c>
      <c r="B1430" s="940">
        <v>10</v>
      </c>
      <c r="C1430" t="s">
        <v>10191</v>
      </c>
      <c r="D1430" s="940" t="s">
        <v>7507</v>
      </c>
      <c r="E1430" t="s">
        <v>4674</v>
      </c>
    </row>
    <row r="1431" spans="1:5" x14ac:dyDescent="0.2">
      <c r="A1431" s="940">
        <v>1738</v>
      </c>
      <c r="B1431" s="940">
        <v>112</v>
      </c>
      <c r="C1431" t="s">
        <v>10192</v>
      </c>
      <c r="D1431" s="940" t="s">
        <v>10193</v>
      </c>
      <c r="E1431" t="s">
        <v>3058</v>
      </c>
    </row>
    <row r="1432" spans="1:5" x14ac:dyDescent="0.2">
      <c r="A1432" s="940">
        <v>4294</v>
      </c>
      <c r="B1432" s="940">
        <v>0</v>
      </c>
      <c r="C1432" t="s">
        <v>4708</v>
      </c>
      <c r="D1432" s="940" t="s">
        <v>3411</v>
      </c>
      <c r="E1432" t="s">
        <v>4674</v>
      </c>
    </row>
    <row r="1433" spans="1:5" x14ac:dyDescent="0.2">
      <c r="A1433" s="940">
        <v>2552</v>
      </c>
      <c r="B1433" s="940">
        <v>44</v>
      </c>
      <c r="C1433" t="s">
        <v>4710</v>
      </c>
      <c r="D1433" s="940" t="s">
        <v>4711</v>
      </c>
      <c r="E1433" t="s">
        <v>1214</v>
      </c>
    </row>
    <row r="1434" spans="1:5" x14ac:dyDescent="0.2">
      <c r="A1434" s="940">
        <v>2725</v>
      </c>
      <c r="B1434" s="940">
        <v>36</v>
      </c>
      <c r="C1434" t="s">
        <v>10194</v>
      </c>
      <c r="D1434" s="940" t="s">
        <v>5543</v>
      </c>
      <c r="E1434" t="s">
        <v>72</v>
      </c>
    </row>
    <row r="1435" spans="1:5" x14ac:dyDescent="0.2">
      <c r="A1435" s="940">
        <v>1729</v>
      </c>
      <c r="B1435" s="940">
        <v>113</v>
      </c>
      <c r="C1435" t="s">
        <v>1589</v>
      </c>
      <c r="D1435" s="940" t="s">
        <v>4712</v>
      </c>
      <c r="E1435" t="s">
        <v>1590</v>
      </c>
    </row>
    <row r="1436" spans="1:5" x14ac:dyDescent="0.2">
      <c r="A1436" s="940">
        <v>1806</v>
      </c>
      <c r="B1436" s="940">
        <v>104</v>
      </c>
      <c r="C1436" t="s">
        <v>4715</v>
      </c>
      <c r="D1436" s="940" t="s">
        <v>4716</v>
      </c>
      <c r="E1436" t="s">
        <v>120</v>
      </c>
    </row>
    <row r="1437" spans="1:5" x14ac:dyDescent="0.2">
      <c r="A1437" s="940">
        <v>4294</v>
      </c>
      <c r="B1437" s="940">
        <v>0</v>
      </c>
      <c r="C1437" t="s">
        <v>4717</v>
      </c>
      <c r="D1437" s="940" t="s">
        <v>3086</v>
      </c>
      <c r="E1437" t="s">
        <v>117</v>
      </c>
    </row>
    <row r="1438" spans="1:5" x14ac:dyDescent="0.2">
      <c r="A1438" s="940">
        <v>3796</v>
      </c>
      <c r="B1438" s="940">
        <v>5</v>
      </c>
      <c r="C1438" t="s">
        <v>10195</v>
      </c>
      <c r="D1438" s="940" t="s">
        <v>6159</v>
      </c>
      <c r="E1438" t="s">
        <v>2963</v>
      </c>
    </row>
    <row r="1439" spans="1:5" x14ac:dyDescent="0.2">
      <c r="A1439" s="940">
        <v>3882</v>
      </c>
      <c r="B1439" s="940">
        <v>4</v>
      </c>
      <c r="C1439" t="s">
        <v>4718</v>
      </c>
      <c r="D1439" s="940" t="s">
        <v>4719</v>
      </c>
      <c r="E1439" t="s">
        <v>165</v>
      </c>
    </row>
    <row r="1440" spans="1:5" x14ac:dyDescent="0.2">
      <c r="A1440" s="940">
        <v>2894</v>
      </c>
      <c r="B1440" s="940">
        <v>28</v>
      </c>
      <c r="C1440" t="s">
        <v>4723</v>
      </c>
      <c r="D1440" s="940" t="s">
        <v>4724</v>
      </c>
      <c r="E1440" t="s">
        <v>144</v>
      </c>
    </row>
    <row r="1441" spans="1:5" x14ac:dyDescent="0.2">
      <c r="A1441" s="940">
        <v>2745</v>
      </c>
      <c r="B1441" s="940">
        <v>35</v>
      </c>
      <c r="C1441" t="s">
        <v>4727</v>
      </c>
      <c r="D1441" s="940" t="s">
        <v>4728</v>
      </c>
      <c r="E1441" t="s">
        <v>863</v>
      </c>
    </row>
    <row r="1442" spans="1:5" x14ac:dyDescent="0.2">
      <c r="A1442" s="940">
        <v>1826</v>
      </c>
      <c r="B1442" s="940">
        <v>102</v>
      </c>
      <c r="C1442" t="s">
        <v>4730</v>
      </c>
      <c r="D1442" s="940" t="s">
        <v>2870</v>
      </c>
      <c r="E1442" t="s">
        <v>74</v>
      </c>
    </row>
    <row r="1443" spans="1:5" x14ac:dyDescent="0.2">
      <c r="A1443" s="940">
        <v>2571</v>
      </c>
      <c r="B1443" s="940">
        <v>43</v>
      </c>
      <c r="C1443" t="s">
        <v>4731</v>
      </c>
      <c r="D1443" s="940" t="s">
        <v>4732</v>
      </c>
      <c r="E1443" t="s">
        <v>4104</v>
      </c>
    </row>
    <row r="1444" spans="1:5" x14ac:dyDescent="0.2">
      <c r="A1444" s="940">
        <v>85</v>
      </c>
      <c r="B1444" s="940">
        <v>1163</v>
      </c>
      <c r="C1444" t="s">
        <v>4733</v>
      </c>
      <c r="D1444" s="940" t="s">
        <v>4734</v>
      </c>
      <c r="E1444" t="s">
        <v>4735</v>
      </c>
    </row>
    <row r="1445" spans="1:5" x14ac:dyDescent="0.2">
      <c r="A1445" s="940">
        <v>192</v>
      </c>
      <c r="B1445" s="940">
        <v>922</v>
      </c>
      <c r="C1445" t="s">
        <v>4736</v>
      </c>
      <c r="D1445" s="940" t="s">
        <v>4737</v>
      </c>
      <c r="E1445" t="s">
        <v>105</v>
      </c>
    </row>
    <row r="1446" spans="1:5" x14ac:dyDescent="0.2">
      <c r="A1446" s="940">
        <v>3972</v>
      </c>
      <c r="B1446" s="940">
        <v>3</v>
      </c>
      <c r="C1446" t="s">
        <v>4738</v>
      </c>
      <c r="D1446" s="940" t="s">
        <v>2647</v>
      </c>
      <c r="E1446" t="s">
        <v>179</v>
      </c>
    </row>
    <row r="1447" spans="1:5" x14ac:dyDescent="0.2">
      <c r="A1447" s="940">
        <v>3222</v>
      </c>
      <c r="B1447" s="940">
        <v>17</v>
      </c>
      <c r="C1447" t="s">
        <v>4739</v>
      </c>
      <c r="D1447" s="940" t="s">
        <v>4740</v>
      </c>
      <c r="E1447" t="s">
        <v>113</v>
      </c>
    </row>
    <row r="1448" spans="1:5" x14ac:dyDescent="0.2">
      <c r="A1448" s="940">
        <v>4294</v>
      </c>
      <c r="B1448" s="940">
        <v>0</v>
      </c>
      <c r="C1448" t="s">
        <v>10196</v>
      </c>
      <c r="D1448" s="940" t="s">
        <v>4215</v>
      </c>
      <c r="E1448" t="s">
        <v>105</v>
      </c>
    </row>
    <row r="1449" spans="1:5" x14ac:dyDescent="0.2">
      <c r="A1449" s="940">
        <v>2329</v>
      </c>
      <c r="B1449" s="940">
        <v>60</v>
      </c>
      <c r="C1449" t="s">
        <v>10197</v>
      </c>
      <c r="D1449" s="940" t="s">
        <v>10198</v>
      </c>
      <c r="E1449" t="s">
        <v>2542</v>
      </c>
    </row>
    <row r="1450" spans="1:5" x14ac:dyDescent="0.2">
      <c r="A1450" s="940">
        <v>3796</v>
      </c>
      <c r="B1450" s="940">
        <v>5</v>
      </c>
      <c r="C1450" t="s">
        <v>4741</v>
      </c>
      <c r="D1450" s="940" t="s">
        <v>3405</v>
      </c>
      <c r="E1450" t="s">
        <v>4742</v>
      </c>
    </row>
    <row r="1451" spans="1:5" x14ac:dyDescent="0.2">
      <c r="A1451" s="940">
        <v>4294</v>
      </c>
      <c r="B1451" s="940">
        <v>0</v>
      </c>
      <c r="C1451" t="s">
        <v>10199</v>
      </c>
      <c r="D1451" s="940" t="s">
        <v>10200</v>
      </c>
      <c r="E1451" t="s">
        <v>163</v>
      </c>
    </row>
    <row r="1452" spans="1:5" x14ac:dyDescent="0.2">
      <c r="A1452" s="940">
        <v>52</v>
      </c>
      <c r="B1452" s="940">
        <v>1289</v>
      </c>
      <c r="C1452" t="s">
        <v>4743</v>
      </c>
      <c r="D1452" s="940" t="s">
        <v>4744</v>
      </c>
      <c r="E1452" t="s">
        <v>1171</v>
      </c>
    </row>
    <row r="1453" spans="1:5" x14ac:dyDescent="0.2">
      <c r="A1453" s="940">
        <v>4294</v>
      </c>
      <c r="B1453" s="940">
        <v>0</v>
      </c>
      <c r="C1453" t="s">
        <v>4745</v>
      </c>
      <c r="D1453" s="940" t="s">
        <v>4445</v>
      </c>
      <c r="E1453" t="s">
        <v>128</v>
      </c>
    </row>
    <row r="1454" spans="1:5" x14ac:dyDescent="0.2">
      <c r="A1454" s="940">
        <v>1936</v>
      </c>
      <c r="B1454" s="940">
        <v>92</v>
      </c>
      <c r="C1454" t="s">
        <v>4750</v>
      </c>
      <c r="D1454" s="940" t="s">
        <v>4751</v>
      </c>
      <c r="E1454" t="s">
        <v>99</v>
      </c>
    </row>
    <row r="1455" spans="1:5" x14ac:dyDescent="0.2">
      <c r="A1455" s="940">
        <v>3972</v>
      </c>
      <c r="B1455" s="940">
        <v>3</v>
      </c>
      <c r="C1455" t="s">
        <v>4752</v>
      </c>
      <c r="D1455" s="940" t="s">
        <v>4753</v>
      </c>
      <c r="E1455" t="s">
        <v>105</v>
      </c>
    </row>
    <row r="1456" spans="1:5" x14ac:dyDescent="0.2">
      <c r="A1456" s="940">
        <v>2860</v>
      </c>
      <c r="B1456" s="940">
        <v>30</v>
      </c>
      <c r="C1456" t="s">
        <v>10201</v>
      </c>
      <c r="D1456" s="940" t="s">
        <v>4479</v>
      </c>
      <c r="E1456" t="s">
        <v>165</v>
      </c>
    </row>
    <row r="1457" spans="1:5" x14ac:dyDescent="0.2">
      <c r="A1457" s="940">
        <v>3655</v>
      </c>
      <c r="B1457" s="940">
        <v>7</v>
      </c>
      <c r="C1457" t="s">
        <v>10202</v>
      </c>
      <c r="D1457" s="940" t="s">
        <v>5584</v>
      </c>
      <c r="E1457" t="s">
        <v>170</v>
      </c>
    </row>
    <row r="1458" spans="1:5" x14ac:dyDescent="0.2">
      <c r="A1458" s="940">
        <v>3358</v>
      </c>
      <c r="B1458" s="940">
        <v>13</v>
      </c>
      <c r="C1458" t="s">
        <v>4754</v>
      </c>
      <c r="D1458" s="940" t="s">
        <v>4755</v>
      </c>
      <c r="E1458" t="s">
        <v>99</v>
      </c>
    </row>
    <row r="1459" spans="1:5" x14ac:dyDescent="0.2">
      <c r="A1459" s="940">
        <v>3083</v>
      </c>
      <c r="B1459" s="940">
        <v>21</v>
      </c>
      <c r="C1459" t="s">
        <v>4756</v>
      </c>
      <c r="D1459" s="940" t="s">
        <v>4755</v>
      </c>
      <c r="E1459" t="s">
        <v>99</v>
      </c>
    </row>
    <row r="1460" spans="1:5" x14ac:dyDescent="0.2">
      <c r="A1460" s="940">
        <v>4081</v>
      </c>
      <c r="B1460" s="940">
        <v>2</v>
      </c>
      <c r="C1460" t="s">
        <v>4757</v>
      </c>
      <c r="D1460" s="940" t="s">
        <v>4758</v>
      </c>
      <c r="E1460" t="s">
        <v>1285</v>
      </c>
    </row>
    <row r="1461" spans="1:5" x14ac:dyDescent="0.2">
      <c r="A1461" s="940">
        <v>3882</v>
      </c>
      <c r="B1461" s="940">
        <v>4</v>
      </c>
      <c r="C1461" t="s">
        <v>10203</v>
      </c>
      <c r="D1461" s="940" t="s">
        <v>9261</v>
      </c>
      <c r="E1461" t="s">
        <v>4470</v>
      </c>
    </row>
    <row r="1462" spans="1:5" x14ac:dyDescent="0.2">
      <c r="A1462" s="940">
        <v>3796</v>
      </c>
      <c r="B1462" s="940">
        <v>5</v>
      </c>
      <c r="C1462" t="s">
        <v>4759</v>
      </c>
      <c r="D1462" s="940" t="s">
        <v>3981</v>
      </c>
      <c r="E1462" t="s">
        <v>105</v>
      </c>
    </row>
    <row r="1463" spans="1:5" x14ac:dyDescent="0.2">
      <c r="A1463" s="940">
        <v>3545</v>
      </c>
      <c r="B1463" s="940">
        <v>9</v>
      </c>
      <c r="C1463" t="s">
        <v>10204</v>
      </c>
      <c r="D1463" s="940" t="s">
        <v>10205</v>
      </c>
      <c r="E1463" t="s">
        <v>128</v>
      </c>
    </row>
    <row r="1464" spans="1:5" x14ac:dyDescent="0.2">
      <c r="A1464" s="940">
        <v>19</v>
      </c>
      <c r="B1464" s="940">
        <v>1476</v>
      </c>
      <c r="C1464" t="s">
        <v>10206</v>
      </c>
      <c r="D1464" s="940" t="s">
        <v>10207</v>
      </c>
      <c r="E1464" t="s">
        <v>10208</v>
      </c>
    </row>
    <row r="1465" spans="1:5" x14ac:dyDescent="0.2">
      <c r="A1465" s="940">
        <v>1946</v>
      </c>
      <c r="B1465" s="940">
        <v>91</v>
      </c>
      <c r="C1465" t="s">
        <v>10209</v>
      </c>
      <c r="D1465" s="940" t="s">
        <v>6802</v>
      </c>
      <c r="E1465" t="s">
        <v>1435</v>
      </c>
    </row>
    <row r="1466" spans="1:5" x14ac:dyDescent="0.2">
      <c r="A1466" s="940">
        <v>1609</v>
      </c>
      <c r="B1466" s="940">
        <v>127</v>
      </c>
      <c r="C1466" t="s">
        <v>4760</v>
      </c>
      <c r="D1466" s="940" t="s">
        <v>4761</v>
      </c>
      <c r="E1466" t="s">
        <v>130</v>
      </c>
    </row>
    <row r="1467" spans="1:5" x14ac:dyDescent="0.2">
      <c r="A1467" s="940">
        <v>1086</v>
      </c>
      <c r="B1467" s="940">
        <v>246</v>
      </c>
      <c r="C1467" t="s">
        <v>4762</v>
      </c>
      <c r="D1467" s="940" t="s">
        <v>4763</v>
      </c>
      <c r="E1467" t="s">
        <v>105</v>
      </c>
    </row>
    <row r="1468" spans="1:5" x14ac:dyDescent="0.2">
      <c r="A1468" s="940">
        <v>1704</v>
      </c>
      <c r="B1468" s="940">
        <v>117</v>
      </c>
      <c r="C1468" t="s">
        <v>10210</v>
      </c>
      <c r="D1468" s="940" t="s">
        <v>7158</v>
      </c>
      <c r="E1468" t="s">
        <v>113</v>
      </c>
    </row>
    <row r="1469" spans="1:5" x14ac:dyDescent="0.2">
      <c r="A1469" s="940">
        <v>1403</v>
      </c>
      <c r="B1469" s="940">
        <v>161</v>
      </c>
      <c r="C1469" t="s">
        <v>10211</v>
      </c>
      <c r="D1469" s="940" t="s">
        <v>10212</v>
      </c>
      <c r="E1469" t="s">
        <v>1493</v>
      </c>
    </row>
    <row r="1470" spans="1:5" x14ac:dyDescent="0.2">
      <c r="A1470" s="940">
        <v>4294</v>
      </c>
      <c r="B1470" s="940">
        <v>0</v>
      </c>
      <c r="C1470" t="s">
        <v>4764</v>
      </c>
      <c r="D1470" s="940" t="s">
        <v>4765</v>
      </c>
      <c r="E1470" t="s">
        <v>120</v>
      </c>
    </row>
    <row r="1471" spans="1:5" x14ac:dyDescent="0.2">
      <c r="A1471" s="940">
        <v>30</v>
      </c>
      <c r="B1471" s="940">
        <v>1419</v>
      </c>
      <c r="C1471" t="s">
        <v>4766</v>
      </c>
      <c r="D1471" s="940" t="s">
        <v>4767</v>
      </c>
      <c r="E1471" t="s">
        <v>1214</v>
      </c>
    </row>
    <row r="1472" spans="1:5" x14ac:dyDescent="0.2">
      <c r="A1472" s="940">
        <v>2168</v>
      </c>
      <c r="B1472" s="940">
        <v>72</v>
      </c>
      <c r="C1472" t="s">
        <v>4768</v>
      </c>
      <c r="D1472" s="940" t="s">
        <v>4769</v>
      </c>
      <c r="E1472" t="s">
        <v>112</v>
      </c>
    </row>
    <row r="1473" spans="1:5" x14ac:dyDescent="0.2">
      <c r="A1473" s="940">
        <v>4294</v>
      </c>
      <c r="B1473" s="940">
        <v>0</v>
      </c>
      <c r="C1473" t="s">
        <v>10213</v>
      </c>
      <c r="D1473" s="940" t="s">
        <v>5524</v>
      </c>
      <c r="E1473" t="s">
        <v>120</v>
      </c>
    </row>
    <row r="1474" spans="1:5" x14ac:dyDescent="0.2">
      <c r="A1474" s="940">
        <v>4081</v>
      </c>
      <c r="B1474" s="940">
        <v>2</v>
      </c>
      <c r="C1474" t="s">
        <v>4770</v>
      </c>
      <c r="D1474" s="940" t="s">
        <v>3594</v>
      </c>
      <c r="E1474" t="s">
        <v>110</v>
      </c>
    </row>
    <row r="1475" spans="1:5" x14ac:dyDescent="0.2">
      <c r="A1475" s="940">
        <v>2794</v>
      </c>
      <c r="B1475" s="940">
        <v>33</v>
      </c>
      <c r="C1475" t="s">
        <v>4771</v>
      </c>
      <c r="D1475" s="940" t="s">
        <v>4772</v>
      </c>
      <c r="E1475" t="s">
        <v>165</v>
      </c>
    </row>
    <row r="1476" spans="1:5" x14ac:dyDescent="0.2">
      <c r="A1476" s="940">
        <v>4294</v>
      </c>
      <c r="B1476" s="940">
        <v>0</v>
      </c>
      <c r="C1476" t="s">
        <v>4773</v>
      </c>
      <c r="D1476" s="940" t="s">
        <v>3749</v>
      </c>
      <c r="E1476" t="s">
        <v>1200</v>
      </c>
    </row>
    <row r="1477" spans="1:5" x14ac:dyDescent="0.2">
      <c r="A1477" s="940">
        <v>2819</v>
      </c>
      <c r="B1477" s="940">
        <v>32</v>
      </c>
      <c r="C1477" t="s">
        <v>10214</v>
      </c>
      <c r="D1477" s="940" t="s">
        <v>5503</v>
      </c>
      <c r="E1477" t="s">
        <v>165</v>
      </c>
    </row>
    <row r="1478" spans="1:5" x14ac:dyDescent="0.2">
      <c r="A1478" s="940">
        <v>4294</v>
      </c>
      <c r="B1478" s="940">
        <v>0</v>
      </c>
      <c r="C1478" t="s">
        <v>10215</v>
      </c>
      <c r="D1478" s="940" t="s">
        <v>5420</v>
      </c>
      <c r="E1478" t="s">
        <v>99</v>
      </c>
    </row>
    <row r="1479" spans="1:5" x14ac:dyDescent="0.2">
      <c r="A1479" s="940">
        <v>3402</v>
      </c>
      <c r="B1479" s="940">
        <v>12</v>
      </c>
      <c r="C1479" t="s">
        <v>10216</v>
      </c>
      <c r="D1479" s="940" t="s">
        <v>5952</v>
      </c>
      <c r="E1479" t="s">
        <v>10217</v>
      </c>
    </row>
    <row r="1480" spans="1:5" x14ac:dyDescent="0.2">
      <c r="A1480" s="940">
        <v>1651</v>
      </c>
      <c r="B1480" s="940">
        <v>122</v>
      </c>
      <c r="C1480" t="s">
        <v>1602</v>
      </c>
      <c r="D1480" s="940" t="s">
        <v>3152</v>
      </c>
      <c r="E1480" t="s">
        <v>1447</v>
      </c>
    </row>
    <row r="1481" spans="1:5" x14ac:dyDescent="0.2">
      <c r="A1481" s="940">
        <v>945</v>
      </c>
      <c r="B1481" s="940">
        <v>300</v>
      </c>
      <c r="C1481" t="s">
        <v>4774</v>
      </c>
      <c r="D1481" s="940" t="s">
        <v>4775</v>
      </c>
      <c r="E1481" t="s">
        <v>4776</v>
      </c>
    </row>
    <row r="1482" spans="1:5" x14ac:dyDescent="0.2">
      <c r="A1482" s="940">
        <v>1413</v>
      </c>
      <c r="B1482" s="940">
        <v>160</v>
      </c>
      <c r="C1482" t="s">
        <v>4777</v>
      </c>
      <c r="D1482" s="940" t="s">
        <v>4778</v>
      </c>
      <c r="E1482" t="s">
        <v>4373</v>
      </c>
    </row>
    <row r="1483" spans="1:5" x14ac:dyDescent="0.2">
      <c r="A1483" s="940">
        <v>4294</v>
      </c>
      <c r="B1483" s="940">
        <v>0</v>
      </c>
      <c r="C1483" t="s">
        <v>4779</v>
      </c>
      <c r="D1483" s="940" t="s">
        <v>4780</v>
      </c>
      <c r="E1483" t="s">
        <v>4583</v>
      </c>
    </row>
    <row r="1484" spans="1:5" x14ac:dyDescent="0.2">
      <c r="A1484" s="940">
        <v>1120</v>
      </c>
      <c r="B1484" s="940">
        <v>233</v>
      </c>
      <c r="C1484" t="s">
        <v>4781</v>
      </c>
      <c r="D1484" s="940" t="s">
        <v>4782</v>
      </c>
      <c r="E1484" t="s">
        <v>3951</v>
      </c>
    </row>
    <row r="1485" spans="1:5" x14ac:dyDescent="0.2">
      <c r="A1485" s="940">
        <v>3483</v>
      </c>
      <c r="B1485" s="940">
        <v>10</v>
      </c>
      <c r="C1485" t="s">
        <v>4783</v>
      </c>
      <c r="D1485" s="940" t="s">
        <v>4784</v>
      </c>
      <c r="E1485" t="s">
        <v>1578</v>
      </c>
    </row>
    <row r="1486" spans="1:5" x14ac:dyDescent="0.2">
      <c r="A1486" s="940">
        <v>2514</v>
      </c>
      <c r="B1486" s="940">
        <v>46</v>
      </c>
      <c r="C1486" t="s">
        <v>4785</v>
      </c>
      <c r="D1486" s="940" t="s">
        <v>4786</v>
      </c>
      <c r="E1486" t="s">
        <v>99</v>
      </c>
    </row>
    <row r="1487" spans="1:5" x14ac:dyDescent="0.2">
      <c r="A1487" s="940">
        <v>2006</v>
      </c>
      <c r="B1487" s="940">
        <v>85</v>
      </c>
      <c r="C1487" t="s">
        <v>4787</v>
      </c>
      <c r="D1487" s="940" t="s">
        <v>4788</v>
      </c>
      <c r="E1487" t="s">
        <v>4789</v>
      </c>
    </row>
    <row r="1488" spans="1:5" x14ac:dyDescent="0.2">
      <c r="A1488" s="940">
        <v>1687</v>
      </c>
      <c r="B1488" s="940">
        <v>119</v>
      </c>
      <c r="C1488" t="s">
        <v>4790</v>
      </c>
      <c r="D1488" s="940" t="s">
        <v>4791</v>
      </c>
      <c r="E1488" t="s">
        <v>1261</v>
      </c>
    </row>
    <row r="1489" spans="1:5" x14ac:dyDescent="0.2">
      <c r="A1489" s="940">
        <v>609</v>
      </c>
      <c r="B1489" s="940">
        <v>461</v>
      </c>
      <c r="C1489" t="s">
        <v>10218</v>
      </c>
      <c r="D1489" s="940" t="s">
        <v>10219</v>
      </c>
      <c r="E1489" t="s">
        <v>427</v>
      </c>
    </row>
    <row r="1490" spans="1:5" x14ac:dyDescent="0.2">
      <c r="A1490" s="940">
        <v>1345</v>
      </c>
      <c r="B1490" s="940">
        <v>172</v>
      </c>
      <c r="C1490" t="s">
        <v>10220</v>
      </c>
      <c r="D1490" s="940" t="s">
        <v>10221</v>
      </c>
      <c r="E1490" t="s">
        <v>103</v>
      </c>
    </row>
    <row r="1491" spans="1:5" x14ac:dyDescent="0.2">
      <c r="A1491" s="940">
        <v>2980</v>
      </c>
      <c r="B1491" s="940">
        <v>24</v>
      </c>
      <c r="C1491" t="s">
        <v>4792</v>
      </c>
      <c r="D1491" s="940" t="s">
        <v>4793</v>
      </c>
      <c r="E1491" t="s">
        <v>1200</v>
      </c>
    </row>
    <row r="1492" spans="1:5" x14ac:dyDescent="0.2">
      <c r="A1492" s="940">
        <v>1704</v>
      </c>
      <c r="B1492" s="940">
        <v>117</v>
      </c>
      <c r="C1492" t="s">
        <v>4794</v>
      </c>
      <c r="D1492" s="940" t="s">
        <v>4795</v>
      </c>
      <c r="E1492" t="s">
        <v>251</v>
      </c>
    </row>
    <row r="1493" spans="1:5" x14ac:dyDescent="0.2">
      <c r="A1493" s="940">
        <v>2193</v>
      </c>
      <c r="B1493" s="940">
        <v>70</v>
      </c>
      <c r="C1493" t="s">
        <v>4798</v>
      </c>
      <c r="D1493" s="940" t="s">
        <v>4799</v>
      </c>
      <c r="E1493" t="s">
        <v>72</v>
      </c>
    </row>
    <row r="1494" spans="1:5" x14ac:dyDescent="0.2">
      <c r="A1494" s="940">
        <v>4294</v>
      </c>
      <c r="B1494" s="940">
        <v>0</v>
      </c>
      <c r="C1494" t="s">
        <v>4800</v>
      </c>
      <c r="D1494" s="940" t="s">
        <v>4593</v>
      </c>
      <c r="E1494" t="s">
        <v>1156</v>
      </c>
    </row>
    <row r="1495" spans="1:5" x14ac:dyDescent="0.2">
      <c r="A1495" s="940">
        <v>1485</v>
      </c>
      <c r="B1495" s="940">
        <v>147</v>
      </c>
      <c r="C1495" t="s">
        <v>4803</v>
      </c>
      <c r="D1495" s="940" t="s">
        <v>4804</v>
      </c>
      <c r="E1495" t="s">
        <v>661</v>
      </c>
    </row>
    <row r="1496" spans="1:5" x14ac:dyDescent="0.2">
      <c r="A1496" s="940">
        <v>679</v>
      </c>
      <c r="B1496" s="940">
        <v>416</v>
      </c>
      <c r="C1496" t="s">
        <v>4805</v>
      </c>
      <c r="D1496" s="940" t="s">
        <v>4806</v>
      </c>
      <c r="E1496" t="s">
        <v>74</v>
      </c>
    </row>
    <row r="1497" spans="1:5" x14ac:dyDescent="0.2">
      <c r="A1497" s="940">
        <v>2379</v>
      </c>
      <c r="B1497" s="940">
        <v>56</v>
      </c>
      <c r="C1497" t="s">
        <v>4807</v>
      </c>
      <c r="D1497" s="940" t="s">
        <v>4808</v>
      </c>
      <c r="E1497" t="s">
        <v>110</v>
      </c>
    </row>
    <row r="1498" spans="1:5" x14ac:dyDescent="0.2">
      <c r="A1498" s="940">
        <v>959</v>
      </c>
      <c r="B1498" s="940">
        <v>293</v>
      </c>
      <c r="C1498" t="s">
        <v>816</v>
      </c>
      <c r="D1498" s="940" t="s">
        <v>3679</v>
      </c>
      <c r="E1498" t="s">
        <v>110</v>
      </c>
    </row>
    <row r="1499" spans="1:5" x14ac:dyDescent="0.2">
      <c r="A1499" s="940">
        <v>3483</v>
      </c>
      <c r="B1499" s="940">
        <v>10</v>
      </c>
      <c r="C1499" t="s">
        <v>10222</v>
      </c>
      <c r="D1499" s="940" t="s">
        <v>10223</v>
      </c>
      <c r="E1499" t="s">
        <v>1168</v>
      </c>
    </row>
    <row r="1500" spans="1:5" x14ac:dyDescent="0.2">
      <c r="A1500" s="940">
        <v>3446</v>
      </c>
      <c r="B1500" s="940">
        <v>11</v>
      </c>
      <c r="C1500" t="s">
        <v>4809</v>
      </c>
      <c r="D1500" s="940" t="s">
        <v>4810</v>
      </c>
      <c r="E1500" t="s">
        <v>1384</v>
      </c>
    </row>
    <row r="1501" spans="1:5" x14ac:dyDescent="0.2">
      <c r="A1501" s="940">
        <v>1233</v>
      </c>
      <c r="B1501" s="940">
        <v>199</v>
      </c>
      <c r="C1501" t="s">
        <v>10224</v>
      </c>
      <c r="D1501" s="940" t="s">
        <v>10225</v>
      </c>
      <c r="E1501" t="s">
        <v>140</v>
      </c>
    </row>
    <row r="1502" spans="1:5" x14ac:dyDescent="0.2">
      <c r="A1502" s="940">
        <v>4294</v>
      </c>
      <c r="B1502" s="940">
        <v>0</v>
      </c>
      <c r="C1502" t="s">
        <v>4811</v>
      </c>
      <c r="D1502" s="940" t="s">
        <v>4013</v>
      </c>
      <c r="E1502" t="s">
        <v>111</v>
      </c>
    </row>
    <row r="1503" spans="1:5" x14ac:dyDescent="0.2">
      <c r="A1503" s="940">
        <v>2552</v>
      </c>
      <c r="B1503" s="940">
        <v>44</v>
      </c>
      <c r="C1503" t="s">
        <v>4812</v>
      </c>
      <c r="D1503" s="940" t="s">
        <v>4813</v>
      </c>
      <c r="E1503" t="s">
        <v>2613</v>
      </c>
    </row>
    <row r="1504" spans="1:5" x14ac:dyDescent="0.2">
      <c r="A1504" s="940">
        <v>21</v>
      </c>
      <c r="B1504" s="940">
        <v>1464</v>
      </c>
      <c r="C1504" t="s">
        <v>4814</v>
      </c>
      <c r="D1504" s="940" t="s">
        <v>4815</v>
      </c>
      <c r="E1504" t="s">
        <v>142</v>
      </c>
    </row>
    <row r="1505" spans="1:5" x14ac:dyDescent="0.2">
      <c r="A1505" s="940">
        <v>4294</v>
      </c>
      <c r="B1505" s="940">
        <v>0</v>
      </c>
      <c r="C1505" t="s">
        <v>4818</v>
      </c>
      <c r="D1505" s="940" t="s">
        <v>4819</v>
      </c>
      <c r="E1505" t="s">
        <v>74</v>
      </c>
    </row>
    <row r="1506" spans="1:5" x14ac:dyDescent="0.2">
      <c r="A1506" s="940">
        <v>2668</v>
      </c>
      <c r="B1506" s="940">
        <v>38</v>
      </c>
      <c r="C1506" t="s">
        <v>1613</v>
      </c>
      <c r="D1506" s="940" t="s">
        <v>10226</v>
      </c>
      <c r="E1506" t="s">
        <v>1214</v>
      </c>
    </row>
    <row r="1507" spans="1:5" x14ac:dyDescent="0.2">
      <c r="A1507" s="940">
        <v>3136</v>
      </c>
      <c r="B1507" s="940">
        <v>19</v>
      </c>
      <c r="C1507" t="s">
        <v>694</v>
      </c>
      <c r="D1507" s="940" t="s">
        <v>8464</v>
      </c>
      <c r="E1507" t="s">
        <v>1467</v>
      </c>
    </row>
    <row r="1508" spans="1:5" x14ac:dyDescent="0.2">
      <c r="A1508" s="940">
        <v>537</v>
      </c>
      <c r="B1508" s="940">
        <v>513</v>
      </c>
      <c r="C1508" t="s">
        <v>4823</v>
      </c>
      <c r="D1508" s="940" t="s">
        <v>4824</v>
      </c>
      <c r="E1508" t="s">
        <v>2880</v>
      </c>
    </row>
    <row r="1509" spans="1:5" x14ac:dyDescent="0.2">
      <c r="A1509" s="940">
        <v>4294</v>
      </c>
      <c r="B1509" s="940">
        <v>0</v>
      </c>
      <c r="C1509" t="s">
        <v>10227</v>
      </c>
      <c r="D1509" s="940" t="s">
        <v>6991</v>
      </c>
      <c r="E1509" t="s">
        <v>1460</v>
      </c>
    </row>
    <row r="1510" spans="1:5" x14ac:dyDescent="0.2">
      <c r="A1510" s="940">
        <v>1641</v>
      </c>
      <c r="B1510" s="940">
        <v>123</v>
      </c>
      <c r="C1510" t="s">
        <v>10228</v>
      </c>
      <c r="D1510" s="940" t="s">
        <v>10229</v>
      </c>
      <c r="E1510" t="s">
        <v>1171</v>
      </c>
    </row>
    <row r="1511" spans="1:5" x14ac:dyDescent="0.2">
      <c r="A1511" s="940">
        <v>4294</v>
      </c>
      <c r="B1511" s="940">
        <v>0</v>
      </c>
      <c r="C1511" t="s">
        <v>10230</v>
      </c>
      <c r="D1511" s="940" t="s">
        <v>6314</v>
      </c>
      <c r="E1511" t="s">
        <v>1702</v>
      </c>
    </row>
    <row r="1512" spans="1:5" x14ac:dyDescent="0.2">
      <c r="A1512" s="940">
        <v>3972</v>
      </c>
      <c r="B1512" s="940">
        <v>3</v>
      </c>
      <c r="C1512" t="s">
        <v>4827</v>
      </c>
      <c r="D1512" s="940" t="s">
        <v>4828</v>
      </c>
      <c r="E1512" t="s">
        <v>1844</v>
      </c>
    </row>
    <row r="1513" spans="1:5" x14ac:dyDescent="0.2">
      <c r="A1513" s="940">
        <v>1334</v>
      </c>
      <c r="B1513" s="940">
        <v>174</v>
      </c>
      <c r="C1513" t="s">
        <v>10231</v>
      </c>
      <c r="D1513" s="940" t="s">
        <v>10232</v>
      </c>
      <c r="E1513" t="s">
        <v>113</v>
      </c>
    </row>
    <row r="1514" spans="1:5" x14ac:dyDescent="0.2">
      <c r="A1514" s="940">
        <v>4294</v>
      </c>
      <c r="B1514" s="940">
        <v>0</v>
      </c>
      <c r="C1514" t="s">
        <v>4829</v>
      </c>
      <c r="D1514" s="940" t="s">
        <v>4830</v>
      </c>
      <c r="E1514" t="s">
        <v>4722</v>
      </c>
    </row>
    <row r="1515" spans="1:5" x14ac:dyDescent="0.2">
      <c r="A1515" s="940">
        <v>2218</v>
      </c>
      <c r="B1515" s="940">
        <v>68</v>
      </c>
      <c r="C1515" t="s">
        <v>4831</v>
      </c>
      <c r="D1515" s="940" t="s">
        <v>3095</v>
      </c>
      <c r="E1515" t="s">
        <v>105</v>
      </c>
    </row>
    <row r="1516" spans="1:5" x14ac:dyDescent="0.2">
      <c r="A1516" s="940">
        <v>3882</v>
      </c>
      <c r="B1516" s="940">
        <v>4</v>
      </c>
      <c r="C1516" t="s">
        <v>4832</v>
      </c>
      <c r="D1516" s="940" t="s">
        <v>4833</v>
      </c>
      <c r="E1516" t="s">
        <v>1171</v>
      </c>
    </row>
    <row r="1517" spans="1:5" x14ac:dyDescent="0.2">
      <c r="A1517" s="940">
        <v>3882</v>
      </c>
      <c r="B1517" s="940">
        <v>4</v>
      </c>
      <c r="C1517" t="s">
        <v>4836</v>
      </c>
      <c r="D1517" s="940" t="s">
        <v>2820</v>
      </c>
      <c r="E1517" t="s">
        <v>120</v>
      </c>
    </row>
    <row r="1518" spans="1:5" x14ac:dyDescent="0.2">
      <c r="A1518" s="940">
        <v>3882</v>
      </c>
      <c r="B1518" s="940">
        <v>4</v>
      </c>
      <c r="C1518" t="s">
        <v>4837</v>
      </c>
      <c r="D1518" s="940" t="s">
        <v>4407</v>
      </c>
      <c r="E1518" t="s">
        <v>120</v>
      </c>
    </row>
    <row r="1519" spans="1:5" x14ac:dyDescent="0.2">
      <c r="A1519" s="940">
        <v>4081</v>
      </c>
      <c r="B1519" s="940">
        <v>2</v>
      </c>
      <c r="C1519" t="s">
        <v>4838</v>
      </c>
      <c r="D1519" s="940" t="s">
        <v>4839</v>
      </c>
      <c r="E1519" t="s">
        <v>1447</v>
      </c>
    </row>
    <row r="1520" spans="1:5" x14ac:dyDescent="0.2">
      <c r="A1520" s="940">
        <v>2462</v>
      </c>
      <c r="B1520" s="940">
        <v>50</v>
      </c>
      <c r="C1520" t="s">
        <v>4840</v>
      </c>
      <c r="D1520" s="940" t="s">
        <v>4841</v>
      </c>
      <c r="E1520" t="s">
        <v>120</v>
      </c>
    </row>
    <row r="1521" spans="1:5" x14ac:dyDescent="0.2">
      <c r="A1521" s="940">
        <v>959</v>
      </c>
      <c r="B1521" s="940">
        <v>293</v>
      </c>
      <c r="C1521" t="s">
        <v>4844</v>
      </c>
      <c r="D1521" s="940" t="s">
        <v>4845</v>
      </c>
      <c r="E1521" t="s">
        <v>105</v>
      </c>
    </row>
    <row r="1522" spans="1:5" x14ac:dyDescent="0.2">
      <c r="A1522" s="940">
        <v>4081</v>
      </c>
      <c r="B1522" s="940">
        <v>2</v>
      </c>
      <c r="C1522" t="s">
        <v>10233</v>
      </c>
      <c r="D1522" s="940" t="s">
        <v>5165</v>
      </c>
      <c r="E1522" t="s">
        <v>111</v>
      </c>
    </row>
    <row r="1523" spans="1:5" x14ac:dyDescent="0.2">
      <c r="A1523" s="940">
        <v>2614</v>
      </c>
      <c r="B1523" s="940">
        <v>41</v>
      </c>
      <c r="C1523" t="s">
        <v>10234</v>
      </c>
      <c r="D1523" s="940" t="s">
        <v>10235</v>
      </c>
      <c r="E1523" t="s">
        <v>113</v>
      </c>
    </row>
    <row r="1524" spans="1:5" x14ac:dyDescent="0.2">
      <c r="A1524" s="940">
        <v>697</v>
      </c>
      <c r="B1524" s="940">
        <v>404</v>
      </c>
      <c r="C1524" t="s">
        <v>10236</v>
      </c>
      <c r="D1524" s="940" t="s">
        <v>10030</v>
      </c>
      <c r="E1524" t="s">
        <v>106</v>
      </c>
    </row>
    <row r="1525" spans="1:5" x14ac:dyDescent="0.2">
      <c r="A1525" s="940">
        <v>4294</v>
      </c>
      <c r="B1525" s="940">
        <v>0</v>
      </c>
      <c r="C1525" t="s">
        <v>4846</v>
      </c>
      <c r="D1525" s="940" t="s">
        <v>4847</v>
      </c>
      <c r="E1525" t="s">
        <v>120</v>
      </c>
    </row>
    <row r="1526" spans="1:5" x14ac:dyDescent="0.2">
      <c r="A1526" s="940">
        <v>4181</v>
      </c>
      <c r="B1526" s="940">
        <v>1</v>
      </c>
      <c r="C1526" t="s">
        <v>10237</v>
      </c>
      <c r="D1526" s="940" t="s">
        <v>6244</v>
      </c>
      <c r="E1526" t="s">
        <v>6555</v>
      </c>
    </row>
    <row r="1527" spans="1:5" x14ac:dyDescent="0.2">
      <c r="A1527" s="940">
        <v>2938</v>
      </c>
      <c r="B1527" s="940">
        <v>26</v>
      </c>
      <c r="C1527" t="s">
        <v>10238</v>
      </c>
      <c r="D1527" s="940" t="s">
        <v>9847</v>
      </c>
      <c r="E1527" t="s">
        <v>164</v>
      </c>
    </row>
    <row r="1528" spans="1:5" x14ac:dyDescent="0.2">
      <c r="A1528" s="940">
        <v>508</v>
      </c>
      <c r="B1528" s="940">
        <v>540</v>
      </c>
      <c r="C1528" t="s">
        <v>10239</v>
      </c>
      <c r="D1528" s="940" t="s">
        <v>10240</v>
      </c>
      <c r="E1528" t="s">
        <v>136</v>
      </c>
    </row>
    <row r="1529" spans="1:5" x14ac:dyDescent="0.2">
      <c r="A1529" s="940">
        <v>3083</v>
      </c>
      <c r="B1529" s="940">
        <v>21</v>
      </c>
      <c r="C1529" t="s">
        <v>4848</v>
      </c>
      <c r="D1529" s="940" t="s">
        <v>3248</v>
      </c>
      <c r="E1529" t="s">
        <v>1384</v>
      </c>
    </row>
    <row r="1530" spans="1:5" x14ac:dyDescent="0.2">
      <c r="A1530" s="940">
        <v>3323</v>
      </c>
      <c r="B1530" s="940">
        <v>14</v>
      </c>
      <c r="C1530" t="s">
        <v>4849</v>
      </c>
      <c r="D1530" s="940" t="s">
        <v>4850</v>
      </c>
      <c r="E1530" t="s">
        <v>120</v>
      </c>
    </row>
    <row r="1531" spans="1:5" x14ac:dyDescent="0.2">
      <c r="A1531" s="940">
        <v>4294</v>
      </c>
      <c r="B1531" s="940">
        <v>0</v>
      </c>
      <c r="C1531" t="s">
        <v>10241</v>
      </c>
      <c r="D1531" s="940" t="s">
        <v>10242</v>
      </c>
      <c r="E1531" t="s">
        <v>661</v>
      </c>
    </row>
    <row r="1532" spans="1:5" x14ac:dyDescent="0.2">
      <c r="A1532" s="940">
        <v>2691</v>
      </c>
      <c r="B1532" s="940">
        <v>37</v>
      </c>
      <c r="C1532" t="s">
        <v>4851</v>
      </c>
      <c r="D1532" s="940" t="s">
        <v>4852</v>
      </c>
      <c r="E1532" t="s">
        <v>74</v>
      </c>
    </row>
    <row r="1533" spans="1:5" x14ac:dyDescent="0.2">
      <c r="A1533" s="940">
        <v>1524</v>
      </c>
      <c r="B1533" s="940">
        <v>141</v>
      </c>
      <c r="C1533" t="s">
        <v>4855</v>
      </c>
      <c r="D1533" s="940" t="s">
        <v>3253</v>
      </c>
      <c r="E1533" t="s">
        <v>365</v>
      </c>
    </row>
    <row r="1534" spans="1:5" x14ac:dyDescent="0.2">
      <c r="A1534" s="940">
        <v>1184</v>
      </c>
      <c r="B1534" s="940">
        <v>216</v>
      </c>
      <c r="C1534" t="s">
        <v>818</v>
      </c>
      <c r="D1534" s="940" t="s">
        <v>4856</v>
      </c>
      <c r="E1534" t="s">
        <v>365</v>
      </c>
    </row>
    <row r="1535" spans="1:5" x14ac:dyDescent="0.2">
      <c r="A1535" s="940">
        <v>973</v>
      </c>
      <c r="B1535" s="940">
        <v>289</v>
      </c>
      <c r="C1535" t="s">
        <v>4857</v>
      </c>
      <c r="D1535" s="940" t="s">
        <v>4858</v>
      </c>
      <c r="E1535" t="s">
        <v>2880</v>
      </c>
    </row>
    <row r="1536" spans="1:5" x14ac:dyDescent="0.2">
      <c r="A1536" s="940">
        <v>2254</v>
      </c>
      <c r="B1536" s="940">
        <v>65</v>
      </c>
      <c r="C1536" t="s">
        <v>1617</v>
      </c>
      <c r="D1536" s="940" t="s">
        <v>4698</v>
      </c>
      <c r="E1536" t="s">
        <v>469</v>
      </c>
    </row>
    <row r="1537" spans="1:5" x14ac:dyDescent="0.2">
      <c r="A1537" s="940">
        <v>3446</v>
      </c>
      <c r="B1537" s="940">
        <v>11</v>
      </c>
      <c r="C1537" t="s">
        <v>10243</v>
      </c>
      <c r="D1537" s="940" t="s">
        <v>3313</v>
      </c>
      <c r="E1537" t="s">
        <v>1236</v>
      </c>
    </row>
    <row r="1538" spans="1:5" x14ac:dyDescent="0.2">
      <c r="A1538" s="940">
        <v>1211</v>
      </c>
      <c r="B1538" s="940">
        <v>205</v>
      </c>
      <c r="C1538" t="s">
        <v>1618</v>
      </c>
      <c r="D1538" s="940" t="s">
        <v>4859</v>
      </c>
      <c r="E1538" t="s">
        <v>120</v>
      </c>
    </row>
    <row r="1539" spans="1:5" x14ac:dyDescent="0.2">
      <c r="A1539" s="940">
        <v>558</v>
      </c>
      <c r="B1539" s="940">
        <v>499</v>
      </c>
      <c r="C1539" t="s">
        <v>1619</v>
      </c>
      <c r="D1539" s="940" t="s">
        <v>4860</v>
      </c>
      <c r="E1539" t="s">
        <v>105</v>
      </c>
    </row>
    <row r="1540" spans="1:5" x14ac:dyDescent="0.2">
      <c r="A1540" s="940">
        <v>1880</v>
      </c>
      <c r="B1540" s="940">
        <v>97</v>
      </c>
      <c r="C1540" t="s">
        <v>10244</v>
      </c>
      <c r="D1540" s="940" t="s">
        <v>10245</v>
      </c>
      <c r="E1540" t="s">
        <v>117</v>
      </c>
    </row>
    <row r="1541" spans="1:5" x14ac:dyDescent="0.2">
      <c r="A1541" s="940">
        <v>3655</v>
      </c>
      <c r="B1541" s="940">
        <v>7</v>
      </c>
      <c r="C1541" t="s">
        <v>4861</v>
      </c>
      <c r="D1541" s="940" t="s">
        <v>4477</v>
      </c>
      <c r="E1541" t="s">
        <v>208</v>
      </c>
    </row>
    <row r="1542" spans="1:5" x14ac:dyDescent="0.2">
      <c r="A1542" s="940">
        <v>4294</v>
      </c>
      <c r="B1542" s="940">
        <v>0</v>
      </c>
      <c r="C1542" t="s">
        <v>10246</v>
      </c>
      <c r="D1542" s="940" t="s">
        <v>9734</v>
      </c>
      <c r="E1542" t="s">
        <v>614</v>
      </c>
    </row>
    <row r="1543" spans="1:5" x14ac:dyDescent="0.2">
      <c r="A1543" s="940">
        <v>4081</v>
      </c>
      <c r="B1543" s="940">
        <v>2</v>
      </c>
      <c r="C1543" t="s">
        <v>2548</v>
      </c>
      <c r="D1543" s="940" t="s">
        <v>4862</v>
      </c>
      <c r="E1543" t="s">
        <v>2549</v>
      </c>
    </row>
    <row r="1544" spans="1:5" x14ac:dyDescent="0.2">
      <c r="A1544" s="940">
        <v>996</v>
      </c>
      <c r="B1544" s="940">
        <v>279</v>
      </c>
      <c r="C1544" t="s">
        <v>4865</v>
      </c>
      <c r="D1544" s="940" t="s">
        <v>4866</v>
      </c>
      <c r="E1544" t="s">
        <v>183</v>
      </c>
    </row>
    <row r="1545" spans="1:5" x14ac:dyDescent="0.2">
      <c r="A1545" s="940">
        <v>73</v>
      </c>
      <c r="B1545" s="940">
        <v>1190</v>
      </c>
      <c r="C1545" t="s">
        <v>10247</v>
      </c>
      <c r="D1545" s="940" t="s">
        <v>10248</v>
      </c>
      <c r="E1545" t="s">
        <v>1190</v>
      </c>
    </row>
    <row r="1546" spans="1:5" x14ac:dyDescent="0.2">
      <c r="A1546" s="940">
        <v>4294</v>
      </c>
      <c r="B1546" s="940">
        <v>0</v>
      </c>
      <c r="C1546" t="s">
        <v>10249</v>
      </c>
      <c r="D1546" s="940" t="s">
        <v>10250</v>
      </c>
      <c r="E1546" t="s">
        <v>99</v>
      </c>
    </row>
    <row r="1547" spans="1:5" x14ac:dyDescent="0.2">
      <c r="A1547" s="940">
        <v>4294</v>
      </c>
      <c r="B1547" s="940">
        <v>0</v>
      </c>
      <c r="C1547" t="s">
        <v>10251</v>
      </c>
      <c r="D1547" s="940" t="s">
        <v>6284</v>
      </c>
      <c r="E1547" t="s">
        <v>120</v>
      </c>
    </row>
    <row r="1548" spans="1:5" x14ac:dyDescent="0.2">
      <c r="A1548" s="940">
        <v>3545</v>
      </c>
      <c r="B1548" s="940">
        <v>9</v>
      </c>
      <c r="C1548" t="s">
        <v>4871</v>
      </c>
      <c r="D1548" s="940" t="s">
        <v>4348</v>
      </c>
      <c r="E1548" t="s">
        <v>120</v>
      </c>
    </row>
    <row r="1549" spans="1:5" x14ac:dyDescent="0.2">
      <c r="A1549" s="940">
        <v>1473</v>
      </c>
      <c r="B1549" s="940">
        <v>150</v>
      </c>
      <c r="C1549" t="s">
        <v>10252</v>
      </c>
      <c r="D1549" s="940" t="s">
        <v>10253</v>
      </c>
      <c r="E1549" t="s">
        <v>1182</v>
      </c>
    </row>
    <row r="1550" spans="1:5" x14ac:dyDescent="0.2">
      <c r="A1550" s="940">
        <v>113</v>
      </c>
      <c r="B1550" s="940">
        <v>1085</v>
      </c>
      <c r="C1550" t="s">
        <v>4872</v>
      </c>
      <c r="D1550" s="940" t="s">
        <v>4873</v>
      </c>
      <c r="E1550" t="s">
        <v>132</v>
      </c>
    </row>
    <row r="1551" spans="1:5" x14ac:dyDescent="0.2">
      <c r="A1551" s="940">
        <v>3048</v>
      </c>
      <c r="B1551" s="940">
        <v>22</v>
      </c>
      <c r="C1551" t="s">
        <v>10254</v>
      </c>
      <c r="D1551" s="940" t="s">
        <v>10255</v>
      </c>
      <c r="E1551" t="s">
        <v>175</v>
      </c>
    </row>
    <row r="1552" spans="1:5" x14ac:dyDescent="0.2">
      <c r="A1552" s="940">
        <v>4294</v>
      </c>
      <c r="B1552" s="940">
        <v>0</v>
      </c>
      <c r="C1552" t="s">
        <v>10256</v>
      </c>
      <c r="D1552" s="940" t="s">
        <v>5148</v>
      </c>
      <c r="E1552" t="s">
        <v>1261</v>
      </c>
    </row>
    <row r="1553" spans="1:5" x14ac:dyDescent="0.2">
      <c r="A1553" s="940">
        <v>2571</v>
      </c>
      <c r="B1553" s="940">
        <v>43</v>
      </c>
      <c r="C1553" t="s">
        <v>4874</v>
      </c>
      <c r="D1553" s="940" t="s">
        <v>3935</v>
      </c>
      <c r="E1553" t="s">
        <v>2880</v>
      </c>
    </row>
    <row r="1554" spans="1:5" x14ac:dyDescent="0.2">
      <c r="A1554" s="940">
        <v>2962</v>
      </c>
      <c r="B1554" s="940">
        <v>25</v>
      </c>
      <c r="C1554" t="s">
        <v>4876</v>
      </c>
      <c r="D1554" s="940" t="s">
        <v>4877</v>
      </c>
      <c r="E1554" t="s">
        <v>110</v>
      </c>
    </row>
    <row r="1555" spans="1:5" x14ac:dyDescent="0.2">
      <c r="A1555" s="940">
        <v>4181</v>
      </c>
      <c r="B1555" s="940">
        <v>1</v>
      </c>
      <c r="C1555" t="s">
        <v>4878</v>
      </c>
      <c r="D1555" s="940" t="s">
        <v>4879</v>
      </c>
      <c r="E1555" t="s">
        <v>2979</v>
      </c>
    </row>
    <row r="1556" spans="1:5" x14ac:dyDescent="0.2">
      <c r="A1556" s="940">
        <v>944</v>
      </c>
      <c r="B1556" s="940">
        <v>301</v>
      </c>
      <c r="C1556" t="s">
        <v>10257</v>
      </c>
      <c r="D1556" s="940" t="s">
        <v>10258</v>
      </c>
      <c r="E1556" t="s">
        <v>10259</v>
      </c>
    </row>
    <row r="1557" spans="1:5" x14ac:dyDescent="0.2">
      <c r="A1557" s="940">
        <v>2083</v>
      </c>
      <c r="B1557" s="940">
        <v>79</v>
      </c>
      <c r="C1557" t="s">
        <v>4880</v>
      </c>
      <c r="D1557" s="940" t="s">
        <v>4881</v>
      </c>
      <c r="E1557" t="s">
        <v>1158</v>
      </c>
    </row>
    <row r="1558" spans="1:5" x14ac:dyDescent="0.2">
      <c r="A1558" s="940">
        <v>1852</v>
      </c>
      <c r="B1558" s="940">
        <v>100</v>
      </c>
      <c r="C1558" t="s">
        <v>4882</v>
      </c>
      <c r="D1558" s="940" t="s">
        <v>4883</v>
      </c>
      <c r="E1558" t="s">
        <v>175</v>
      </c>
    </row>
    <row r="1559" spans="1:5" x14ac:dyDescent="0.2">
      <c r="A1559" s="940">
        <v>1539</v>
      </c>
      <c r="B1559" s="940">
        <v>138</v>
      </c>
      <c r="C1559" t="s">
        <v>1622</v>
      </c>
      <c r="D1559" s="940" t="s">
        <v>10260</v>
      </c>
      <c r="E1559" t="s">
        <v>74</v>
      </c>
    </row>
    <row r="1560" spans="1:5" x14ac:dyDescent="0.2">
      <c r="A1560" s="940">
        <v>2180</v>
      </c>
      <c r="B1560" s="940">
        <v>71</v>
      </c>
      <c r="C1560" t="s">
        <v>10261</v>
      </c>
      <c r="D1560" s="940" t="s">
        <v>9991</v>
      </c>
      <c r="E1560" t="s">
        <v>118</v>
      </c>
    </row>
    <row r="1561" spans="1:5" x14ac:dyDescent="0.2">
      <c r="A1561" s="940">
        <v>735</v>
      </c>
      <c r="B1561" s="940">
        <v>389</v>
      </c>
      <c r="C1561" t="s">
        <v>4885</v>
      </c>
      <c r="D1561" s="940" t="s">
        <v>4886</v>
      </c>
      <c r="E1561" t="s">
        <v>4887</v>
      </c>
    </row>
    <row r="1562" spans="1:5" x14ac:dyDescent="0.2">
      <c r="A1562" s="940">
        <v>4294</v>
      </c>
      <c r="B1562" s="940">
        <v>0</v>
      </c>
      <c r="C1562" t="s">
        <v>10262</v>
      </c>
      <c r="D1562" s="940" t="s">
        <v>3617</v>
      </c>
      <c r="E1562" t="s">
        <v>72</v>
      </c>
    </row>
    <row r="1563" spans="1:5" x14ac:dyDescent="0.2">
      <c r="A1563" s="940">
        <v>2745</v>
      </c>
      <c r="B1563" s="940">
        <v>35</v>
      </c>
      <c r="C1563" t="s">
        <v>10263</v>
      </c>
      <c r="D1563" s="940" t="s">
        <v>10264</v>
      </c>
      <c r="E1563" t="s">
        <v>1447</v>
      </c>
    </row>
    <row r="1564" spans="1:5" x14ac:dyDescent="0.2">
      <c r="A1564" s="940">
        <v>272</v>
      </c>
      <c r="B1564" s="940">
        <v>812</v>
      </c>
      <c r="C1564" t="s">
        <v>10265</v>
      </c>
      <c r="D1564" s="940" t="s">
        <v>10266</v>
      </c>
      <c r="E1564" t="s">
        <v>84</v>
      </c>
    </row>
    <row r="1565" spans="1:5" x14ac:dyDescent="0.2">
      <c r="A1565" s="940">
        <v>4181</v>
      </c>
      <c r="B1565" s="940">
        <v>1</v>
      </c>
      <c r="C1565" t="s">
        <v>4888</v>
      </c>
      <c r="D1565" s="940" t="s">
        <v>4889</v>
      </c>
      <c r="E1565" t="s">
        <v>99</v>
      </c>
    </row>
    <row r="1566" spans="1:5" x14ac:dyDescent="0.2">
      <c r="A1566" s="940">
        <v>1676</v>
      </c>
      <c r="B1566" s="940">
        <v>120</v>
      </c>
      <c r="C1566" t="s">
        <v>4890</v>
      </c>
      <c r="D1566" s="940" t="s">
        <v>4891</v>
      </c>
      <c r="E1566" t="s">
        <v>99</v>
      </c>
    </row>
    <row r="1567" spans="1:5" x14ac:dyDescent="0.2">
      <c r="A1567" s="940">
        <v>2486</v>
      </c>
      <c r="B1567" s="940">
        <v>48</v>
      </c>
      <c r="C1567" t="s">
        <v>10267</v>
      </c>
      <c r="D1567" s="940" t="s">
        <v>7675</v>
      </c>
      <c r="E1567" t="s">
        <v>140</v>
      </c>
    </row>
    <row r="1568" spans="1:5" x14ac:dyDescent="0.2">
      <c r="A1568" s="940">
        <v>2533</v>
      </c>
      <c r="B1568" s="940">
        <v>45</v>
      </c>
      <c r="C1568" t="s">
        <v>4894</v>
      </c>
      <c r="D1568" s="940" t="s">
        <v>4895</v>
      </c>
      <c r="E1568" t="s">
        <v>73</v>
      </c>
    </row>
    <row r="1569" spans="1:5" x14ac:dyDescent="0.2">
      <c r="A1569" s="940">
        <v>936</v>
      </c>
      <c r="B1569" s="940">
        <v>303</v>
      </c>
      <c r="C1569" t="s">
        <v>481</v>
      </c>
      <c r="D1569" s="940" t="s">
        <v>4896</v>
      </c>
      <c r="E1569" t="s">
        <v>74</v>
      </c>
    </row>
    <row r="1570" spans="1:5" x14ac:dyDescent="0.2">
      <c r="A1570" s="940">
        <v>757</v>
      </c>
      <c r="B1570" s="940">
        <v>380</v>
      </c>
      <c r="C1570" t="s">
        <v>235</v>
      </c>
      <c r="D1570" s="940" t="s">
        <v>4897</v>
      </c>
      <c r="E1570" t="s">
        <v>74</v>
      </c>
    </row>
    <row r="1571" spans="1:5" x14ac:dyDescent="0.2">
      <c r="A1571" s="940">
        <v>76</v>
      </c>
      <c r="B1571" s="940">
        <v>1184</v>
      </c>
      <c r="C1571" t="s">
        <v>4898</v>
      </c>
      <c r="D1571" s="940" t="s">
        <v>4899</v>
      </c>
      <c r="E1571" t="s">
        <v>83</v>
      </c>
    </row>
    <row r="1572" spans="1:5" x14ac:dyDescent="0.2">
      <c r="A1572" s="940">
        <v>3250</v>
      </c>
      <c r="B1572" s="940">
        <v>16</v>
      </c>
      <c r="C1572" t="s">
        <v>10268</v>
      </c>
      <c r="D1572" s="940" t="s">
        <v>10269</v>
      </c>
      <c r="E1572" t="s">
        <v>139</v>
      </c>
    </row>
    <row r="1573" spans="1:5" x14ac:dyDescent="0.2">
      <c r="A1573" s="940">
        <v>4294</v>
      </c>
      <c r="B1573" s="940">
        <v>0</v>
      </c>
      <c r="C1573" t="s">
        <v>4902</v>
      </c>
      <c r="D1573" s="940" t="s">
        <v>4903</v>
      </c>
      <c r="E1573" t="s">
        <v>106</v>
      </c>
    </row>
    <row r="1574" spans="1:5" x14ac:dyDescent="0.2">
      <c r="A1574" s="940">
        <v>3602</v>
      </c>
      <c r="B1574" s="940">
        <v>8</v>
      </c>
      <c r="C1574" t="s">
        <v>4907</v>
      </c>
      <c r="D1574" s="940" t="s">
        <v>4908</v>
      </c>
      <c r="E1574" t="s">
        <v>1939</v>
      </c>
    </row>
    <row r="1575" spans="1:5" x14ac:dyDescent="0.2">
      <c r="A1575" s="940">
        <v>860</v>
      </c>
      <c r="B1575" s="940">
        <v>331</v>
      </c>
      <c r="C1575" t="s">
        <v>4909</v>
      </c>
      <c r="D1575" s="940" t="s">
        <v>4910</v>
      </c>
      <c r="E1575" t="s">
        <v>113</v>
      </c>
    </row>
    <row r="1576" spans="1:5" x14ac:dyDescent="0.2">
      <c r="A1576" s="940">
        <v>550</v>
      </c>
      <c r="B1576" s="940">
        <v>509</v>
      </c>
      <c r="C1576" t="s">
        <v>4911</v>
      </c>
      <c r="D1576" s="940" t="s">
        <v>4912</v>
      </c>
      <c r="E1576" t="s">
        <v>122</v>
      </c>
    </row>
    <row r="1577" spans="1:5" x14ac:dyDescent="0.2">
      <c r="A1577" s="940">
        <v>3446</v>
      </c>
      <c r="B1577" s="940">
        <v>11</v>
      </c>
      <c r="C1577" t="s">
        <v>4913</v>
      </c>
      <c r="D1577" s="940" t="s">
        <v>4914</v>
      </c>
      <c r="E1577" t="s">
        <v>147</v>
      </c>
    </row>
    <row r="1578" spans="1:5" x14ac:dyDescent="0.2">
      <c r="A1578" s="940">
        <v>3972</v>
      </c>
      <c r="B1578" s="940">
        <v>3</v>
      </c>
      <c r="C1578" t="s">
        <v>4915</v>
      </c>
      <c r="D1578" s="940" t="s">
        <v>4916</v>
      </c>
      <c r="E1578" t="s">
        <v>1170</v>
      </c>
    </row>
    <row r="1579" spans="1:5" x14ac:dyDescent="0.2">
      <c r="A1579" s="940">
        <v>3972</v>
      </c>
      <c r="B1579" s="940">
        <v>3</v>
      </c>
      <c r="C1579" t="s">
        <v>10270</v>
      </c>
      <c r="D1579" s="940" t="s">
        <v>7456</v>
      </c>
      <c r="E1579" t="s">
        <v>145</v>
      </c>
    </row>
    <row r="1580" spans="1:5" x14ac:dyDescent="0.2">
      <c r="A1580" s="940">
        <v>3290</v>
      </c>
      <c r="B1580" s="940">
        <v>15</v>
      </c>
      <c r="C1580" t="s">
        <v>4917</v>
      </c>
      <c r="D1580" s="940" t="s">
        <v>4719</v>
      </c>
      <c r="E1580" t="s">
        <v>1170</v>
      </c>
    </row>
    <row r="1581" spans="1:5" x14ac:dyDescent="0.2">
      <c r="A1581" s="940">
        <v>3602</v>
      </c>
      <c r="B1581" s="940">
        <v>8</v>
      </c>
      <c r="C1581" t="s">
        <v>4918</v>
      </c>
      <c r="D1581" s="940" t="s">
        <v>4919</v>
      </c>
      <c r="E1581" t="s">
        <v>4920</v>
      </c>
    </row>
    <row r="1582" spans="1:5" x14ac:dyDescent="0.2">
      <c r="A1582" s="940">
        <v>3545</v>
      </c>
      <c r="B1582" s="940">
        <v>9</v>
      </c>
      <c r="C1582" t="s">
        <v>10271</v>
      </c>
      <c r="D1582" s="940" t="s">
        <v>10272</v>
      </c>
      <c r="E1582" t="s">
        <v>1741</v>
      </c>
    </row>
    <row r="1583" spans="1:5" x14ac:dyDescent="0.2">
      <c r="A1583" s="940">
        <v>4294</v>
      </c>
      <c r="B1583" s="940">
        <v>0</v>
      </c>
      <c r="C1583" t="s">
        <v>4924</v>
      </c>
      <c r="D1583" s="940" t="s">
        <v>4925</v>
      </c>
      <c r="E1583" t="s">
        <v>99</v>
      </c>
    </row>
    <row r="1584" spans="1:5" x14ac:dyDescent="0.2">
      <c r="A1584" s="940">
        <v>4181</v>
      </c>
      <c r="B1584" s="940">
        <v>1</v>
      </c>
      <c r="C1584" t="s">
        <v>4926</v>
      </c>
      <c r="D1584" s="940" t="s">
        <v>4927</v>
      </c>
      <c r="E1584" t="s">
        <v>3673</v>
      </c>
    </row>
    <row r="1585" spans="1:5" x14ac:dyDescent="0.2">
      <c r="A1585" s="940">
        <v>1041</v>
      </c>
      <c r="B1585" s="940">
        <v>262</v>
      </c>
      <c r="C1585" t="s">
        <v>4928</v>
      </c>
      <c r="D1585" s="940" t="s">
        <v>4929</v>
      </c>
      <c r="E1585" t="s">
        <v>99</v>
      </c>
    </row>
    <row r="1586" spans="1:5" x14ac:dyDescent="0.2">
      <c r="A1586" s="940">
        <v>2691</v>
      </c>
      <c r="B1586" s="940">
        <v>37</v>
      </c>
      <c r="C1586" t="s">
        <v>10273</v>
      </c>
      <c r="D1586" s="940" t="s">
        <v>6768</v>
      </c>
      <c r="E1586" t="s">
        <v>1214</v>
      </c>
    </row>
    <row r="1587" spans="1:5" x14ac:dyDescent="0.2">
      <c r="A1587" s="940">
        <v>2270</v>
      </c>
      <c r="B1587" s="940">
        <v>64</v>
      </c>
      <c r="C1587" t="s">
        <v>1627</v>
      </c>
      <c r="D1587" s="940" t="s">
        <v>4930</v>
      </c>
      <c r="E1587" t="s">
        <v>1214</v>
      </c>
    </row>
    <row r="1588" spans="1:5" x14ac:dyDescent="0.2">
      <c r="A1588" s="940">
        <v>1641</v>
      </c>
      <c r="B1588" s="940">
        <v>123</v>
      </c>
      <c r="C1588" t="s">
        <v>10274</v>
      </c>
      <c r="D1588" s="940" t="s">
        <v>3378</v>
      </c>
      <c r="E1588" t="s">
        <v>115</v>
      </c>
    </row>
    <row r="1589" spans="1:5" x14ac:dyDescent="0.2">
      <c r="A1589" s="940">
        <v>53</v>
      </c>
      <c r="B1589" s="940">
        <v>1283</v>
      </c>
      <c r="C1589" t="s">
        <v>4931</v>
      </c>
      <c r="D1589" s="940" t="s">
        <v>4932</v>
      </c>
      <c r="E1589" t="s">
        <v>105</v>
      </c>
    </row>
    <row r="1590" spans="1:5" x14ac:dyDescent="0.2">
      <c r="A1590" s="940">
        <v>3008</v>
      </c>
      <c r="B1590" s="940">
        <v>23</v>
      </c>
      <c r="C1590" t="s">
        <v>10275</v>
      </c>
      <c r="D1590" s="940" t="s">
        <v>5600</v>
      </c>
      <c r="E1590" t="s">
        <v>200</v>
      </c>
    </row>
    <row r="1591" spans="1:5" x14ac:dyDescent="0.2">
      <c r="A1591" s="940">
        <v>4294</v>
      </c>
      <c r="B1591" s="940">
        <v>0</v>
      </c>
      <c r="C1591" t="s">
        <v>4933</v>
      </c>
      <c r="D1591" s="940" t="s">
        <v>4934</v>
      </c>
      <c r="E1591" t="s">
        <v>469</v>
      </c>
    </row>
    <row r="1592" spans="1:5" x14ac:dyDescent="0.2">
      <c r="A1592" s="940">
        <v>4294</v>
      </c>
      <c r="B1592" s="940">
        <v>0</v>
      </c>
      <c r="C1592" t="s">
        <v>4935</v>
      </c>
      <c r="D1592" s="940" t="s">
        <v>4936</v>
      </c>
      <c r="E1592" t="s">
        <v>99</v>
      </c>
    </row>
    <row r="1593" spans="1:5" x14ac:dyDescent="0.2">
      <c r="A1593" s="940">
        <v>1714</v>
      </c>
      <c r="B1593" s="940">
        <v>116</v>
      </c>
      <c r="C1593" t="s">
        <v>10276</v>
      </c>
      <c r="D1593" s="940" t="s">
        <v>10277</v>
      </c>
      <c r="E1593" t="s">
        <v>1447</v>
      </c>
    </row>
    <row r="1594" spans="1:5" x14ac:dyDescent="0.2">
      <c r="A1594" s="940">
        <v>1746</v>
      </c>
      <c r="B1594" s="940">
        <v>111</v>
      </c>
      <c r="C1594" t="s">
        <v>10278</v>
      </c>
      <c r="D1594" s="940" t="s">
        <v>10279</v>
      </c>
      <c r="E1594" t="s">
        <v>3200</v>
      </c>
    </row>
    <row r="1595" spans="1:5" x14ac:dyDescent="0.2">
      <c r="A1595" s="940">
        <v>3250</v>
      </c>
      <c r="B1595" s="940">
        <v>16</v>
      </c>
      <c r="C1595" t="s">
        <v>10280</v>
      </c>
      <c r="D1595" s="940" t="s">
        <v>7363</v>
      </c>
      <c r="E1595" t="s">
        <v>10281</v>
      </c>
    </row>
    <row r="1596" spans="1:5" x14ac:dyDescent="0.2">
      <c r="A1596" s="940">
        <v>4294</v>
      </c>
      <c r="B1596" s="940">
        <v>0</v>
      </c>
      <c r="C1596" t="s">
        <v>4939</v>
      </c>
      <c r="D1596" s="940" t="s">
        <v>4940</v>
      </c>
      <c r="E1596" t="s">
        <v>469</v>
      </c>
    </row>
    <row r="1597" spans="1:5" x14ac:dyDescent="0.2">
      <c r="A1597" s="940">
        <v>4294</v>
      </c>
      <c r="B1597" s="940">
        <v>0</v>
      </c>
      <c r="C1597" t="s">
        <v>4941</v>
      </c>
      <c r="D1597" s="940" t="s">
        <v>3586</v>
      </c>
      <c r="E1597" t="s">
        <v>128</v>
      </c>
    </row>
    <row r="1598" spans="1:5" x14ac:dyDescent="0.2">
      <c r="A1598" s="940">
        <v>2029</v>
      </c>
      <c r="B1598" s="940">
        <v>83</v>
      </c>
      <c r="C1598" t="s">
        <v>4942</v>
      </c>
      <c r="D1598" s="940" t="s">
        <v>4943</v>
      </c>
      <c r="E1598" t="s">
        <v>99</v>
      </c>
    </row>
    <row r="1599" spans="1:5" x14ac:dyDescent="0.2">
      <c r="A1599" s="940">
        <v>2592</v>
      </c>
      <c r="B1599" s="940">
        <v>42</v>
      </c>
      <c r="C1599" t="s">
        <v>4944</v>
      </c>
      <c r="D1599" s="940" t="s">
        <v>3301</v>
      </c>
      <c r="E1599" t="s">
        <v>99</v>
      </c>
    </row>
    <row r="1600" spans="1:5" x14ac:dyDescent="0.2">
      <c r="A1600" s="940">
        <v>4294</v>
      </c>
      <c r="B1600" s="940">
        <v>0</v>
      </c>
      <c r="C1600" t="s">
        <v>4947</v>
      </c>
      <c r="D1600" s="940" t="s">
        <v>4948</v>
      </c>
      <c r="E1600" t="s">
        <v>105</v>
      </c>
    </row>
    <row r="1601" spans="1:5" x14ac:dyDescent="0.2">
      <c r="A1601" s="940">
        <v>4181</v>
      </c>
      <c r="B1601" s="940">
        <v>1</v>
      </c>
      <c r="C1601" t="s">
        <v>4949</v>
      </c>
      <c r="D1601" s="940" t="s">
        <v>4950</v>
      </c>
      <c r="E1601" t="s">
        <v>105</v>
      </c>
    </row>
    <row r="1602" spans="1:5" x14ac:dyDescent="0.2">
      <c r="A1602" s="940">
        <v>2450</v>
      </c>
      <c r="B1602" s="940">
        <v>51</v>
      </c>
      <c r="C1602" t="s">
        <v>4951</v>
      </c>
      <c r="D1602" s="940" t="s">
        <v>4952</v>
      </c>
      <c r="E1602" t="s">
        <v>1214</v>
      </c>
    </row>
    <row r="1603" spans="1:5" x14ac:dyDescent="0.2">
      <c r="A1603" s="940">
        <v>2833</v>
      </c>
      <c r="B1603" s="940">
        <v>31</v>
      </c>
      <c r="C1603" t="s">
        <v>4953</v>
      </c>
      <c r="D1603" s="940" t="s">
        <v>4954</v>
      </c>
      <c r="E1603" t="s">
        <v>120</v>
      </c>
    </row>
    <row r="1604" spans="1:5" x14ac:dyDescent="0.2">
      <c r="A1604" s="940">
        <v>4294</v>
      </c>
      <c r="B1604" s="940">
        <v>0</v>
      </c>
      <c r="C1604" t="s">
        <v>4955</v>
      </c>
      <c r="D1604" s="940" t="s">
        <v>4956</v>
      </c>
      <c r="E1604" t="s">
        <v>120</v>
      </c>
    </row>
    <row r="1605" spans="1:5" x14ac:dyDescent="0.2">
      <c r="A1605" s="940">
        <v>3602</v>
      </c>
      <c r="B1605" s="940">
        <v>8</v>
      </c>
      <c r="C1605" t="s">
        <v>4958</v>
      </c>
      <c r="D1605" s="940" t="s">
        <v>3873</v>
      </c>
      <c r="E1605" t="s">
        <v>173</v>
      </c>
    </row>
    <row r="1606" spans="1:5" x14ac:dyDescent="0.2">
      <c r="A1606" s="940">
        <v>724</v>
      </c>
      <c r="B1606" s="940">
        <v>394</v>
      </c>
      <c r="C1606" t="s">
        <v>4961</v>
      </c>
      <c r="D1606" s="940" t="s">
        <v>4962</v>
      </c>
      <c r="E1606" t="s">
        <v>208</v>
      </c>
    </row>
    <row r="1607" spans="1:5" x14ac:dyDescent="0.2">
      <c r="A1607" s="940">
        <v>4294</v>
      </c>
      <c r="B1607" s="940">
        <v>0</v>
      </c>
      <c r="C1607" t="s">
        <v>1632</v>
      </c>
      <c r="D1607" s="940" t="s">
        <v>3438</v>
      </c>
      <c r="E1607" t="s">
        <v>7474</v>
      </c>
    </row>
    <row r="1608" spans="1:5" x14ac:dyDescent="0.2">
      <c r="A1608" s="940">
        <v>534</v>
      </c>
      <c r="B1608" s="940">
        <v>516</v>
      </c>
      <c r="C1608" t="s">
        <v>4963</v>
      </c>
      <c r="D1608" s="940" t="s">
        <v>4964</v>
      </c>
      <c r="E1608" t="s">
        <v>1236</v>
      </c>
    </row>
    <row r="1609" spans="1:5" x14ac:dyDescent="0.2">
      <c r="A1609" s="940">
        <v>2014</v>
      </c>
      <c r="B1609" s="940">
        <v>84</v>
      </c>
      <c r="C1609" t="s">
        <v>4967</v>
      </c>
      <c r="D1609" s="940" t="s">
        <v>4968</v>
      </c>
      <c r="E1609" t="s">
        <v>4969</v>
      </c>
    </row>
    <row r="1610" spans="1:5" x14ac:dyDescent="0.2">
      <c r="A1610" s="940">
        <v>4294</v>
      </c>
      <c r="B1610" s="940">
        <v>0</v>
      </c>
      <c r="C1610" t="s">
        <v>10282</v>
      </c>
      <c r="D1610" s="940" t="s">
        <v>10283</v>
      </c>
      <c r="E1610" t="s">
        <v>1171</v>
      </c>
    </row>
    <row r="1611" spans="1:5" x14ac:dyDescent="0.2">
      <c r="A1611" s="940">
        <v>2339</v>
      </c>
      <c r="B1611" s="940">
        <v>59</v>
      </c>
      <c r="C1611" t="s">
        <v>10284</v>
      </c>
      <c r="D1611" s="940" t="s">
        <v>10285</v>
      </c>
      <c r="E1611" t="s">
        <v>113</v>
      </c>
    </row>
    <row r="1612" spans="1:5" x14ac:dyDescent="0.2">
      <c r="A1612" s="940">
        <v>3402</v>
      </c>
      <c r="B1612" s="940">
        <v>12</v>
      </c>
      <c r="C1612" t="s">
        <v>10286</v>
      </c>
      <c r="D1612" s="940" t="s">
        <v>10287</v>
      </c>
      <c r="E1612" t="s">
        <v>106</v>
      </c>
    </row>
    <row r="1613" spans="1:5" x14ac:dyDescent="0.2">
      <c r="A1613" s="940">
        <v>327</v>
      </c>
      <c r="B1613" s="940">
        <v>728</v>
      </c>
      <c r="C1613" t="s">
        <v>4971</v>
      </c>
      <c r="D1613" s="940" t="s">
        <v>4972</v>
      </c>
      <c r="E1613" t="s">
        <v>120</v>
      </c>
    </row>
    <row r="1614" spans="1:5" x14ac:dyDescent="0.2">
      <c r="A1614" s="940">
        <v>4181</v>
      </c>
      <c r="B1614" s="940">
        <v>1</v>
      </c>
      <c r="C1614" t="s">
        <v>10288</v>
      </c>
      <c r="D1614" s="940" t="s">
        <v>5524</v>
      </c>
      <c r="E1614" t="s">
        <v>10289</v>
      </c>
    </row>
    <row r="1615" spans="1:5" x14ac:dyDescent="0.2">
      <c r="A1615" s="940">
        <v>2242</v>
      </c>
      <c r="B1615" s="940">
        <v>66</v>
      </c>
      <c r="C1615" t="s">
        <v>4973</v>
      </c>
      <c r="D1615" s="940" t="s">
        <v>4974</v>
      </c>
      <c r="E1615" t="s">
        <v>1372</v>
      </c>
    </row>
    <row r="1616" spans="1:5" x14ac:dyDescent="0.2">
      <c r="A1616" s="940">
        <v>297</v>
      </c>
      <c r="B1616" s="940">
        <v>775</v>
      </c>
      <c r="C1616" t="s">
        <v>4975</v>
      </c>
      <c r="D1616" s="940" t="s">
        <v>3912</v>
      </c>
      <c r="E1616" t="s">
        <v>111</v>
      </c>
    </row>
    <row r="1617" spans="1:5" x14ac:dyDescent="0.2">
      <c r="A1617" s="940">
        <v>2254</v>
      </c>
      <c r="B1617" s="940">
        <v>65</v>
      </c>
      <c r="C1617" t="s">
        <v>4978</v>
      </c>
      <c r="D1617" s="940" t="s">
        <v>2788</v>
      </c>
      <c r="E1617" t="s">
        <v>111</v>
      </c>
    </row>
    <row r="1618" spans="1:5" x14ac:dyDescent="0.2">
      <c r="A1618" s="940">
        <v>2042</v>
      </c>
      <c r="B1618" s="940">
        <v>82</v>
      </c>
      <c r="C1618" t="s">
        <v>10290</v>
      </c>
      <c r="D1618" s="940" t="s">
        <v>10291</v>
      </c>
      <c r="E1618" t="s">
        <v>1493</v>
      </c>
    </row>
    <row r="1619" spans="1:5" x14ac:dyDescent="0.2">
      <c r="A1619" s="940">
        <v>3048</v>
      </c>
      <c r="B1619" s="940">
        <v>22</v>
      </c>
      <c r="C1619" t="s">
        <v>4979</v>
      </c>
      <c r="D1619" s="940" t="s">
        <v>4980</v>
      </c>
      <c r="E1619" t="s">
        <v>72</v>
      </c>
    </row>
    <row r="1620" spans="1:5" x14ac:dyDescent="0.2">
      <c r="A1620" s="940">
        <v>4294</v>
      </c>
      <c r="B1620" s="940">
        <v>0</v>
      </c>
      <c r="C1620" t="s">
        <v>10292</v>
      </c>
      <c r="D1620" s="940" t="s">
        <v>10293</v>
      </c>
      <c r="E1620" t="s">
        <v>1961</v>
      </c>
    </row>
    <row r="1621" spans="1:5" x14ac:dyDescent="0.2">
      <c r="A1621" s="940">
        <v>4294</v>
      </c>
      <c r="B1621" s="940">
        <v>0</v>
      </c>
      <c r="C1621" t="s">
        <v>4985</v>
      </c>
      <c r="D1621" s="940" t="s">
        <v>3808</v>
      </c>
      <c r="E1621" t="s">
        <v>74</v>
      </c>
    </row>
    <row r="1622" spans="1:5" x14ac:dyDescent="0.2">
      <c r="A1622" s="940">
        <v>4181</v>
      </c>
      <c r="B1622" s="940">
        <v>1</v>
      </c>
      <c r="C1622" t="s">
        <v>4986</v>
      </c>
      <c r="D1622" s="940" t="s">
        <v>3364</v>
      </c>
      <c r="E1622" t="s">
        <v>1364</v>
      </c>
    </row>
    <row r="1623" spans="1:5" x14ac:dyDescent="0.2">
      <c r="A1623" s="940">
        <v>1651</v>
      </c>
      <c r="B1623" s="940">
        <v>122</v>
      </c>
      <c r="C1623" t="s">
        <v>1635</v>
      </c>
      <c r="D1623" s="940" t="s">
        <v>4187</v>
      </c>
      <c r="E1623" t="s">
        <v>120</v>
      </c>
    </row>
    <row r="1624" spans="1:5" x14ac:dyDescent="0.2">
      <c r="A1624" s="940">
        <v>3796</v>
      </c>
      <c r="B1624" s="940">
        <v>5</v>
      </c>
      <c r="C1624" t="s">
        <v>4991</v>
      </c>
      <c r="D1624" s="940" t="s">
        <v>4992</v>
      </c>
      <c r="E1624" t="s">
        <v>120</v>
      </c>
    </row>
    <row r="1625" spans="1:5" x14ac:dyDescent="0.2">
      <c r="A1625" s="940">
        <v>4294</v>
      </c>
      <c r="B1625" s="940">
        <v>0</v>
      </c>
      <c r="C1625" t="s">
        <v>4993</v>
      </c>
      <c r="D1625" s="940" t="s">
        <v>3558</v>
      </c>
      <c r="E1625" t="s">
        <v>105</v>
      </c>
    </row>
    <row r="1626" spans="1:5" x14ac:dyDescent="0.2">
      <c r="A1626" s="940">
        <v>2691</v>
      </c>
      <c r="B1626" s="940">
        <v>37</v>
      </c>
      <c r="C1626" t="s">
        <v>10294</v>
      </c>
      <c r="D1626" s="940" t="s">
        <v>4477</v>
      </c>
      <c r="E1626" t="s">
        <v>130</v>
      </c>
    </row>
    <row r="1627" spans="1:5" x14ac:dyDescent="0.2">
      <c r="A1627" s="940">
        <v>1651</v>
      </c>
      <c r="B1627" s="940">
        <v>122</v>
      </c>
      <c r="C1627" t="s">
        <v>239</v>
      </c>
      <c r="D1627" s="940" t="s">
        <v>4995</v>
      </c>
      <c r="E1627" t="s">
        <v>120</v>
      </c>
    </row>
    <row r="1628" spans="1:5" x14ac:dyDescent="0.2">
      <c r="A1628" s="940">
        <v>611</v>
      </c>
      <c r="B1628" s="940">
        <v>459</v>
      </c>
      <c r="C1628" t="s">
        <v>10295</v>
      </c>
      <c r="D1628" s="940" t="s">
        <v>10296</v>
      </c>
      <c r="E1628" t="s">
        <v>1332</v>
      </c>
    </row>
    <row r="1629" spans="1:5" x14ac:dyDescent="0.2">
      <c r="A1629" s="940">
        <v>1746</v>
      </c>
      <c r="B1629" s="940">
        <v>111</v>
      </c>
      <c r="C1629" t="s">
        <v>1637</v>
      </c>
      <c r="D1629" s="940" t="s">
        <v>10297</v>
      </c>
      <c r="E1629" t="s">
        <v>3597</v>
      </c>
    </row>
    <row r="1630" spans="1:5" x14ac:dyDescent="0.2">
      <c r="A1630" s="940">
        <v>4294</v>
      </c>
      <c r="B1630" s="940">
        <v>0</v>
      </c>
      <c r="C1630" t="s">
        <v>4996</v>
      </c>
      <c r="D1630" s="940" t="s">
        <v>4997</v>
      </c>
      <c r="E1630" t="s">
        <v>163</v>
      </c>
    </row>
    <row r="1631" spans="1:5" x14ac:dyDescent="0.2">
      <c r="A1631" s="940">
        <v>3882</v>
      </c>
      <c r="B1631" s="940">
        <v>4</v>
      </c>
      <c r="C1631" t="s">
        <v>4998</v>
      </c>
      <c r="D1631" s="940" t="s">
        <v>4094</v>
      </c>
      <c r="E1631" t="s">
        <v>1214</v>
      </c>
    </row>
    <row r="1632" spans="1:5" x14ac:dyDescent="0.2">
      <c r="A1632" s="940">
        <v>2180</v>
      </c>
      <c r="B1632" s="940">
        <v>71</v>
      </c>
      <c r="C1632" t="s">
        <v>10298</v>
      </c>
      <c r="D1632" s="940" t="s">
        <v>7087</v>
      </c>
      <c r="E1632" t="s">
        <v>120</v>
      </c>
    </row>
    <row r="1633" spans="1:5" x14ac:dyDescent="0.2">
      <c r="A1633" s="940">
        <v>2067</v>
      </c>
      <c r="B1633" s="940">
        <v>80</v>
      </c>
      <c r="C1633" t="s">
        <v>4999</v>
      </c>
      <c r="D1633" s="940" t="s">
        <v>5000</v>
      </c>
      <c r="E1633" t="s">
        <v>2880</v>
      </c>
    </row>
    <row r="1634" spans="1:5" x14ac:dyDescent="0.2">
      <c r="A1634" s="940">
        <v>2339</v>
      </c>
      <c r="B1634" s="940">
        <v>59</v>
      </c>
      <c r="C1634" t="s">
        <v>10299</v>
      </c>
      <c r="D1634" s="940" t="s">
        <v>10300</v>
      </c>
      <c r="E1634" t="s">
        <v>120</v>
      </c>
    </row>
    <row r="1635" spans="1:5" x14ac:dyDescent="0.2">
      <c r="A1635" s="940">
        <v>3402</v>
      </c>
      <c r="B1635" s="940">
        <v>12</v>
      </c>
      <c r="C1635" t="s">
        <v>5001</v>
      </c>
      <c r="D1635" s="940" t="s">
        <v>3388</v>
      </c>
      <c r="E1635" t="s">
        <v>1968</v>
      </c>
    </row>
    <row r="1636" spans="1:5" x14ac:dyDescent="0.2">
      <c r="A1636" s="940">
        <v>3882</v>
      </c>
      <c r="B1636" s="940">
        <v>4</v>
      </c>
      <c r="C1636" t="s">
        <v>5001</v>
      </c>
      <c r="D1636" s="940" t="s">
        <v>5495</v>
      </c>
      <c r="E1636" t="s">
        <v>5279</v>
      </c>
    </row>
    <row r="1637" spans="1:5" x14ac:dyDescent="0.2">
      <c r="A1637" s="940">
        <v>502</v>
      </c>
      <c r="B1637" s="940">
        <v>544</v>
      </c>
      <c r="C1637" t="s">
        <v>5002</v>
      </c>
      <c r="D1637" s="940" t="s">
        <v>5003</v>
      </c>
      <c r="E1637" t="s">
        <v>2880</v>
      </c>
    </row>
    <row r="1638" spans="1:5" x14ac:dyDescent="0.2">
      <c r="A1638" s="940">
        <v>400</v>
      </c>
      <c r="B1638" s="940">
        <v>643</v>
      </c>
      <c r="C1638" t="s">
        <v>5004</v>
      </c>
      <c r="D1638" s="940" t="s">
        <v>5005</v>
      </c>
      <c r="E1638" t="s">
        <v>103</v>
      </c>
    </row>
    <row r="1639" spans="1:5" x14ac:dyDescent="0.2">
      <c r="A1639" s="940">
        <v>3358</v>
      </c>
      <c r="B1639" s="940">
        <v>13</v>
      </c>
      <c r="C1639" t="s">
        <v>240</v>
      </c>
      <c r="D1639" s="940" t="s">
        <v>6271</v>
      </c>
      <c r="E1639" t="s">
        <v>3908</v>
      </c>
    </row>
    <row r="1640" spans="1:5" x14ac:dyDescent="0.2">
      <c r="A1640" s="940">
        <v>4081</v>
      </c>
      <c r="B1640" s="940">
        <v>2</v>
      </c>
      <c r="C1640" t="s">
        <v>5010</v>
      </c>
      <c r="D1640" s="940" t="s">
        <v>5011</v>
      </c>
      <c r="E1640" t="s">
        <v>105</v>
      </c>
    </row>
    <row r="1641" spans="1:5" x14ac:dyDescent="0.2">
      <c r="A1641" s="940">
        <v>1790</v>
      </c>
      <c r="B1641" s="940">
        <v>106</v>
      </c>
      <c r="C1641" t="s">
        <v>5012</v>
      </c>
      <c r="D1641" s="940" t="s">
        <v>5013</v>
      </c>
      <c r="E1641" t="s">
        <v>110</v>
      </c>
    </row>
    <row r="1642" spans="1:5" x14ac:dyDescent="0.2">
      <c r="A1642" s="940">
        <v>2193</v>
      </c>
      <c r="B1642" s="940">
        <v>70</v>
      </c>
      <c r="C1642" t="s">
        <v>5014</v>
      </c>
      <c r="D1642" s="940" t="s">
        <v>8811</v>
      </c>
      <c r="E1642" t="s">
        <v>2793</v>
      </c>
    </row>
    <row r="1643" spans="1:5" x14ac:dyDescent="0.2">
      <c r="A1643" s="940">
        <v>3446</v>
      </c>
      <c r="B1643" s="940">
        <v>11</v>
      </c>
      <c r="C1643" t="s">
        <v>5014</v>
      </c>
      <c r="D1643" s="940" t="s">
        <v>3818</v>
      </c>
      <c r="E1643" t="s">
        <v>2928</v>
      </c>
    </row>
    <row r="1644" spans="1:5" x14ac:dyDescent="0.2">
      <c r="A1644" s="940">
        <v>1035</v>
      </c>
      <c r="B1644" s="940">
        <v>264</v>
      </c>
      <c r="C1644" t="s">
        <v>5017</v>
      </c>
      <c r="D1644" s="940" t="s">
        <v>5018</v>
      </c>
      <c r="E1644" t="s">
        <v>2880</v>
      </c>
    </row>
    <row r="1645" spans="1:5" x14ac:dyDescent="0.2">
      <c r="A1645" s="940">
        <v>80</v>
      </c>
      <c r="B1645" s="940">
        <v>1179</v>
      </c>
      <c r="C1645" t="s">
        <v>5019</v>
      </c>
      <c r="D1645" s="940" t="s">
        <v>5020</v>
      </c>
      <c r="E1645" t="s">
        <v>105</v>
      </c>
    </row>
    <row r="1646" spans="1:5" x14ac:dyDescent="0.2">
      <c r="A1646" s="940">
        <v>3732</v>
      </c>
      <c r="B1646" s="940">
        <v>6</v>
      </c>
      <c r="C1646" t="s">
        <v>5021</v>
      </c>
      <c r="D1646" s="940" t="s">
        <v>4206</v>
      </c>
      <c r="E1646" t="s">
        <v>1256</v>
      </c>
    </row>
    <row r="1647" spans="1:5" x14ac:dyDescent="0.2">
      <c r="A1647" s="940">
        <v>3882</v>
      </c>
      <c r="B1647" s="940">
        <v>4</v>
      </c>
      <c r="C1647" t="s">
        <v>5021</v>
      </c>
      <c r="D1647" s="940" t="s">
        <v>5022</v>
      </c>
      <c r="E1647" t="s">
        <v>120</v>
      </c>
    </row>
    <row r="1648" spans="1:5" x14ac:dyDescent="0.2">
      <c r="A1648" s="940">
        <v>160</v>
      </c>
      <c r="B1648" s="940">
        <v>982</v>
      </c>
      <c r="C1648" t="s">
        <v>391</v>
      </c>
      <c r="D1648" s="940" t="s">
        <v>5023</v>
      </c>
      <c r="E1648" t="s">
        <v>103</v>
      </c>
    </row>
    <row r="1649" spans="1:5" x14ac:dyDescent="0.2">
      <c r="A1649" s="940">
        <v>4294</v>
      </c>
      <c r="B1649" s="940">
        <v>0</v>
      </c>
      <c r="C1649" t="s">
        <v>391</v>
      </c>
      <c r="D1649" s="940" t="s">
        <v>5026</v>
      </c>
      <c r="E1649" t="s">
        <v>1343</v>
      </c>
    </row>
    <row r="1650" spans="1:5" x14ac:dyDescent="0.2">
      <c r="A1650" s="940">
        <v>124</v>
      </c>
      <c r="B1650" s="940">
        <v>1058</v>
      </c>
      <c r="C1650" t="s">
        <v>1642</v>
      </c>
      <c r="D1650" s="940" t="s">
        <v>5027</v>
      </c>
      <c r="E1650" t="s">
        <v>120</v>
      </c>
    </row>
    <row r="1651" spans="1:5" x14ac:dyDescent="0.2">
      <c r="A1651" s="940">
        <v>2329</v>
      </c>
      <c r="B1651" s="940">
        <v>60</v>
      </c>
      <c r="C1651" t="s">
        <v>1642</v>
      </c>
      <c r="D1651" s="940" t="s">
        <v>5028</v>
      </c>
      <c r="E1651" t="s">
        <v>1372</v>
      </c>
    </row>
    <row r="1652" spans="1:5" x14ac:dyDescent="0.2">
      <c r="A1652" s="940">
        <v>4294</v>
      </c>
      <c r="B1652" s="940">
        <v>0</v>
      </c>
      <c r="C1652" t="s">
        <v>1642</v>
      </c>
      <c r="D1652" s="940" t="s">
        <v>5030</v>
      </c>
      <c r="E1652" t="s">
        <v>120</v>
      </c>
    </row>
    <row r="1653" spans="1:5" x14ac:dyDescent="0.2">
      <c r="A1653" s="940">
        <v>2312</v>
      </c>
      <c r="B1653" s="940">
        <v>61</v>
      </c>
      <c r="C1653" t="s">
        <v>1643</v>
      </c>
      <c r="D1653" s="940" t="s">
        <v>10301</v>
      </c>
      <c r="E1653" t="s">
        <v>170</v>
      </c>
    </row>
    <row r="1654" spans="1:5" x14ac:dyDescent="0.2">
      <c r="A1654" s="940">
        <v>4294</v>
      </c>
      <c r="B1654" s="940">
        <v>0</v>
      </c>
      <c r="C1654" t="s">
        <v>10302</v>
      </c>
      <c r="D1654" s="940" t="s">
        <v>5062</v>
      </c>
      <c r="E1654" t="s">
        <v>122</v>
      </c>
    </row>
    <row r="1655" spans="1:5" x14ac:dyDescent="0.2">
      <c r="A1655" s="940">
        <v>789</v>
      </c>
      <c r="B1655" s="940">
        <v>365</v>
      </c>
      <c r="C1655" t="s">
        <v>482</v>
      </c>
      <c r="D1655" s="940" t="s">
        <v>5031</v>
      </c>
      <c r="E1655" t="s">
        <v>83</v>
      </c>
    </row>
    <row r="1656" spans="1:5" x14ac:dyDescent="0.2">
      <c r="A1656" s="940">
        <v>1285</v>
      </c>
      <c r="B1656" s="940">
        <v>188</v>
      </c>
      <c r="C1656" t="s">
        <v>10303</v>
      </c>
      <c r="D1656" s="940" t="s">
        <v>10304</v>
      </c>
      <c r="E1656" t="s">
        <v>10305</v>
      </c>
    </row>
    <row r="1657" spans="1:5" x14ac:dyDescent="0.2">
      <c r="A1657" s="940">
        <v>4294</v>
      </c>
      <c r="B1657" s="940">
        <v>0</v>
      </c>
      <c r="C1657" t="s">
        <v>10303</v>
      </c>
      <c r="D1657" s="940" t="s">
        <v>10306</v>
      </c>
      <c r="E1657" t="s">
        <v>1258</v>
      </c>
    </row>
    <row r="1658" spans="1:5" x14ac:dyDescent="0.2">
      <c r="A1658" s="940">
        <v>4294</v>
      </c>
      <c r="B1658" s="940">
        <v>0</v>
      </c>
      <c r="C1658" t="s">
        <v>10307</v>
      </c>
      <c r="D1658" s="940" t="s">
        <v>6035</v>
      </c>
      <c r="E1658" t="s">
        <v>105</v>
      </c>
    </row>
    <row r="1659" spans="1:5" x14ac:dyDescent="0.2">
      <c r="A1659" s="940">
        <v>3008</v>
      </c>
      <c r="B1659" s="940">
        <v>23</v>
      </c>
      <c r="C1659" t="s">
        <v>10308</v>
      </c>
      <c r="D1659" s="940" t="s">
        <v>10309</v>
      </c>
      <c r="E1659" t="s">
        <v>136</v>
      </c>
    </row>
    <row r="1660" spans="1:5" x14ac:dyDescent="0.2">
      <c r="A1660" s="940">
        <v>1359</v>
      </c>
      <c r="B1660" s="940">
        <v>170</v>
      </c>
      <c r="C1660" t="s">
        <v>1645</v>
      </c>
      <c r="D1660" s="940" t="s">
        <v>5035</v>
      </c>
      <c r="E1660" t="s">
        <v>1236</v>
      </c>
    </row>
    <row r="1661" spans="1:5" x14ac:dyDescent="0.2">
      <c r="A1661" s="940">
        <v>1746</v>
      </c>
      <c r="B1661" s="940">
        <v>111</v>
      </c>
      <c r="C1661" t="s">
        <v>5036</v>
      </c>
      <c r="D1661" s="940" t="s">
        <v>5037</v>
      </c>
      <c r="E1661" t="s">
        <v>2880</v>
      </c>
    </row>
    <row r="1662" spans="1:5" x14ac:dyDescent="0.2">
      <c r="A1662" s="940">
        <v>3882</v>
      </c>
      <c r="B1662" s="940">
        <v>4</v>
      </c>
      <c r="C1662" t="s">
        <v>10310</v>
      </c>
      <c r="D1662" s="940" t="s">
        <v>10311</v>
      </c>
      <c r="E1662" t="s">
        <v>4104</v>
      </c>
    </row>
    <row r="1663" spans="1:5" x14ac:dyDescent="0.2">
      <c r="A1663" s="940">
        <v>46</v>
      </c>
      <c r="B1663" s="940">
        <v>1311</v>
      </c>
      <c r="C1663" t="s">
        <v>71</v>
      </c>
      <c r="D1663" s="940" t="s">
        <v>5040</v>
      </c>
      <c r="E1663" t="s">
        <v>130</v>
      </c>
    </row>
    <row r="1664" spans="1:5" x14ac:dyDescent="0.2">
      <c r="A1664" s="940">
        <v>1704</v>
      </c>
      <c r="B1664" s="940">
        <v>117</v>
      </c>
      <c r="C1664" t="s">
        <v>5041</v>
      </c>
      <c r="D1664" s="940" t="s">
        <v>3584</v>
      </c>
      <c r="E1664" t="s">
        <v>1171</v>
      </c>
    </row>
    <row r="1665" spans="1:5" x14ac:dyDescent="0.2">
      <c r="A1665" s="940">
        <v>4294</v>
      </c>
      <c r="B1665" s="940">
        <v>0</v>
      </c>
      <c r="C1665" t="s">
        <v>5043</v>
      </c>
      <c r="D1665" s="940" t="s">
        <v>4223</v>
      </c>
      <c r="E1665" t="s">
        <v>105</v>
      </c>
    </row>
    <row r="1666" spans="1:5" x14ac:dyDescent="0.2">
      <c r="A1666" s="940">
        <v>1259</v>
      </c>
      <c r="B1666" s="940">
        <v>192</v>
      </c>
      <c r="C1666" t="s">
        <v>1647</v>
      </c>
      <c r="D1666" s="940" t="s">
        <v>10312</v>
      </c>
      <c r="E1666" t="s">
        <v>251</v>
      </c>
    </row>
    <row r="1667" spans="1:5" x14ac:dyDescent="0.2">
      <c r="A1667" s="940">
        <v>1279</v>
      </c>
      <c r="B1667" s="940">
        <v>189</v>
      </c>
      <c r="C1667" t="s">
        <v>1648</v>
      </c>
      <c r="D1667" s="940" t="s">
        <v>5044</v>
      </c>
      <c r="E1667" t="s">
        <v>105</v>
      </c>
    </row>
    <row r="1668" spans="1:5" x14ac:dyDescent="0.2">
      <c r="A1668" s="940">
        <v>4294</v>
      </c>
      <c r="B1668" s="940">
        <v>0</v>
      </c>
      <c r="C1668" t="s">
        <v>5045</v>
      </c>
      <c r="D1668" s="940" t="s">
        <v>5046</v>
      </c>
      <c r="E1668" t="s">
        <v>74</v>
      </c>
    </row>
    <row r="1669" spans="1:5" x14ac:dyDescent="0.2">
      <c r="A1669" s="940">
        <v>1696</v>
      </c>
      <c r="B1669" s="940">
        <v>118</v>
      </c>
      <c r="C1669" t="s">
        <v>5049</v>
      </c>
      <c r="D1669" s="940" t="s">
        <v>5050</v>
      </c>
      <c r="E1669" t="s">
        <v>128</v>
      </c>
    </row>
    <row r="1670" spans="1:5" x14ac:dyDescent="0.2">
      <c r="A1670" s="940">
        <v>3655</v>
      </c>
      <c r="B1670" s="940">
        <v>7</v>
      </c>
      <c r="C1670" t="s">
        <v>10313</v>
      </c>
      <c r="D1670" s="940" t="s">
        <v>6841</v>
      </c>
      <c r="E1670" t="s">
        <v>105</v>
      </c>
    </row>
    <row r="1671" spans="1:5" x14ac:dyDescent="0.2">
      <c r="A1671" s="940">
        <v>1668</v>
      </c>
      <c r="B1671" s="940">
        <v>121</v>
      </c>
      <c r="C1671" t="s">
        <v>10314</v>
      </c>
      <c r="D1671" s="940" t="s">
        <v>10315</v>
      </c>
      <c r="E1671" t="s">
        <v>120</v>
      </c>
    </row>
    <row r="1672" spans="1:5" x14ac:dyDescent="0.2">
      <c r="A1672" s="940">
        <v>2514</v>
      </c>
      <c r="B1672" s="940">
        <v>46</v>
      </c>
      <c r="C1672" t="s">
        <v>5051</v>
      </c>
      <c r="D1672" s="940" t="s">
        <v>5052</v>
      </c>
      <c r="E1672" t="s">
        <v>128</v>
      </c>
    </row>
    <row r="1673" spans="1:5" x14ac:dyDescent="0.2">
      <c r="A1673" s="940">
        <v>981</v>
      </c>
      <c r="B1673" s="940">
        <v>286</v>
      </c>
      <c r="C1673" t="s">
        <v>5053</v>
      </c>
      <c r="D1673" s="940" t="s">
        <v>5054</v>
      </c>
      <c r="E1673" t="s">
        <v>80</v>
      </c>
    </row>
    <row r="1674" spans="1:5" x14ac:dyDescent="0.2">
      <c r="A1674" s="940">
        <v>66</v>
      </c>
      <c r="B1674" s="940">
        <v>1227</v>
      </c>
      <c r="C1674" t="s">
        <v>5055</v>
      </c>
      <c r="D1674" s="940" t="s">
        <v>5056</v>
      </c>
      <c r="E1674" t="s">
        <v>142</v>
      </c>
    </row>
    <row r="1675" spans="1:5" x14ac:dyDescent="0.2">
      <c r="A1675" s="940">
        <v>1048</v>
      </c>
      <c r="B1675" s="940">
        <v>259</v>
      </c>
      <c r="C1675" t="s">
        <v>5057</v>
      </c>
      <c r="D1675" s="940" t="s">
        <v>5058</v>
      </c>
      <c r="E1675" t="s">
        <v>103</v>
      </c>
    </row>
    <row r="1676" spans="1:5" x14ac:dyDescent="0.2">
      <c r="A1676" s="940">
        <v>3796</v>
      </c>
      <c r="B1676" s="940">
        <v>5</v>
      </c>
      <c r="C1676" t="s">
        <v>5059</v>
      </c>
      <c r="D1676" s="940" t="s">
        <v>5060</v>
      </c>
      <c r="E1676" t="s">
        <v>1290</v>
      </c>
    </row>
    <row r="1677" spans="1:5" x14ac:dyDescent="0.2">
      <c r="A1677" s="940">
        <v>939</v>
      </c>
      <c r="B1677" s="940">
        <v>302</v>
      </c>
      <c r="C1677" t="s">
        <v>5065</v>
      </c>
      <c r="D1677" s="940" t="s">
        <v>5066</v>
      </c>
      <c r="E1677" t="s">
        <v>105</v>
      </c>
    </row>
    <row r="1678" spans="1:5" x14ac:dyDescent="0.2">
      <c r="A1678" s="940">
        <v>680</v>
      </c>
      <c r="B1678" s="940">
        <v>415</v>
      </c>
      <c r="C1678" t="s">
        <v>5067</v>
      </c>
      <c r="D1678" s="940" t="s">
        <v>5068</v>
      </c>
      <c r="E1678" t="s">
        <v>105</v>
      </c>
    </row>
    <row r="1679" spans="1:5" x14ac:dyDescent="0.2">
      <c r="A1679" s="940">
        <v>2029</v>
      </c>
      <c r="B1679" s="940">
        <v>83</v>
      </c>
      <c r="C1679" t="s">
        <v>5069</v>
      </c>
      <c r="D1679" s="940" t="s">
        <v>5070</v>
      </c>
      <c r="E1679" t="s">
        <v>105</v>
      </c>
    </row>
    <row r="1680" spans="1:5" x14ac:dyDescent="0.2">
      <c r="A1680" s="940">
        <v>3796</v>
      </c>
      <c r="B1680" s="940">
        <v>5</v>
      </c>
      <c r="C1680" t="s">
        <v>10316</v>
      </c>
      <c r="D1680" s="940" t="s">
        <v>4952</v>
      </c>
      <c r="E1680" t="s">
        <v>165</v>
      </c>
    </row>
    <row r="1681" spans="1:5" x14ac:dyDescent="0.2">
      <c r="A1681" s="940">
        <v>200</v>
      </c>
      <c r="B1681" s="940">
        <v>918</v>
      </c>
      <c r="C1681" t="s">
        <v>10317</v>
      </c>
      <c r="D1681" s="940" t="s">
        <v>10318</v>
      </c>
      <c r="E1681" t="s">
        <v>105</v>
      </c>
    </row>
    <row r="1682" spans="1:5" x14ac:dyDescent="0.2">
      <c r="A1682" s="940">
        <v>2450</v>
      </c>
      <c r="B1682" s="940">
        <v>51</v>
      </c>
      <c r="C1682" t="s">
        <v>10319</v>
      </c>
      <c r="D1682" s="940" t="s">
        <v>8804</v>
      </c>
      <c r="E1682" t="s">
        <v>1358</v>
      </c>
    </row>
    <row r="1683" spans="1:5" x14ac:dyDescent="0.2">
      <c r="A1683" s="940">
        <v>949</v>
      </c>
      <c r="B1683" s="940">
        <v>297</v>
      </c>
      <c r="C1683" t="s">
        <v>1651</v>
      </c>
      <c r="D1683" s="940" t="s">
        <v>5071</v>
      </c>
      <c r="E1683" t="s">
        <v>1200</v>
      </c>
    </row>
    <row r="1684" spans="1:5" x14ac:dyDescent="0.2">
      <c r="A1684" s="940">
        <v>2552</v>
      </c>
      <c r="B1684" s="940">
        <v>44</v>
      </c>
      <c r="C1684" t="s">
        <v>1651</v>
      </c>
      <c r="D1684" s="940" t="s">
        <v>2965</v>
      </c>
      <c r="E1684" t="s">
        <v>99</v>
      </c>
    </row>
    <row r="1685" spans="1:5" x14ac:dyDescent="0.2">
      <c r="A1685" s="940">
        <v>977</v>
      </c>
      <c r="B1685" s="940">
        <v>287</v>
      </c>
      <c r="C1685" t="s">
        <v>5072</v>
      </c>
      <c r="D1685" s="940" t="s">
        <v>10320</v>
      </c>
      <c r="E1685" t="s">
        <v>1705</v>
      </c>
    </row>
    <row r="1686" spans="1:5" x14ac:dyDescent="0.2">
      <c r="A1686" s="940">
        <v>1687</v>
      </c>
      <c r="B1686" s="940">
        <v>119</v>
      </c>
      <c r="C1686" t="s">
        <v>5072</v>
      </c>
      <c r="D1686" s="940" t="s">
        <v>4453</v>
      </c>
      <c r="E1686" t="s">
        <v>120</v>
      </c>
    </row>
    <row r="1687" spans="1:5" x14ac:dyDescent="0.2">
      <c r="A1687" s="940">
        <v>4294</v>
      </c>
      <c r="B1687" s="940">
        <v>0</v>
      </c>
      <c r="C1687" t="s">
        <v>5072</v>
      </c>
      <c r="D1687" s="940" t="s">
        <v>10072</v>
      </c>
      <c r="E1687" t="s">
        <v>145</v>
      </c>
    </row>
    <row r="1688" spans="1:5" x14ac:dyDescent="0.2">
      <c r="A1688" s="940">
        <v>2614</v>
      </c>
      <c r="B1688" s="940">
        <v>41</v>
      </c>
      <c r="C1688" t="s">
        <v>5073</v>
      </c>
      <c r="D1688" s="940" t="s">
        <v>5074</v>
      </c>
      <c r="E1688" t="s">
        <v>1700</v>
      </c>
    </row>
    <row r="1689" spans="1:5" x14ac:dyDescent="0.2">
      <c r="A1689" s="940">
        <v>3107</v>
      </c>
      <c r="B1689" s="940">
        <v>20</v>
      </c>
      <c r="C1689" t="s">
        <v>5075</v>
      </c>
      <c r="D1689" s="940" t="s">
        <v>4879</v>
      </c>
      <c r="E1689" t="s">
        <v>1332</v>
      </c>
    </row>
    <row r="1690" spans="1:5" x14ac:dyDescent="0.2">
      <c r="A1690" s="940">
        <v>3483</v>
      </c>
      <c r="B1690" s="940">
        <v>10</v>
      </c>
      <c r="C1690" t="s">
        <v>5075</v>
      </c>
      <c r="D1690" s="940" t="s">
        <v>3714</v>
      </c>
      <c r="E1690" t="s">
        <v>2561</v>
      </c>
    </row>
    <row r="1691" spans="1:5" x14ac:dyDescent="0.2">
      <c r="A1691" s="940">
        <v>690</v>
      </c>
      <c r="B1691" s="940">
        <v>408</v>
      </c>
      <c r="C1691" t="s">
        <v>10321</v>
      </c>
      <c r="D1691" s="940" t="s">
        <v>9190</v>
      </c>
      <c r="E1691" t="s">
        <v>1372</v>
      </c>
    </row>
    <row r="1692" spans="1:5" x14ac:dyDescent="0.2">
      <c r="A1692" s="940">
        <v>2571</v>
      </c>
      <c r="B1692" s="940">
        <v>43</v>
      </c>
      <c r="C1692" t="s">
        <v>5078</v>
      </c>
      <c r="D1692" s="940" t="s">
        <v>5079</v>
      </c>
      <c r="E1692" t="s">
        <v>1214</v>
      </c>
    </row>
    <row r="1693" spans="1:5" x14ac:dyDescent="0.2">
      <c r="A1693" s="940">
        <v>2691</v>
      </c>
      <c r="B1693" s="940">
        <v>37</v>
      </c>
      <c r="C1693" t="s">
        <v>5080</v>
      </c>
      <c r="D1693" s="940" t="s">
        <v>3773</v>
      </c>
      <c r="E1693" t="s">
        <v>3597</v>
      </c>
    </row>
    <row r="1694" spans="1:5" x14ac:dyDescent="0.2">
      <c r="A1694" s="940">
        <v>2552</v>
      </c>
      <c r="B1694" s="940">
        <v>44</v>
      </c>
      <c r="C1694" t="s">
        <v>5083</v>
      </c>
      <c r="D1694" s="940" t="s">
        <v>4263</v>
      </c>
      <c r="E1694" t="s">
        <v>1311</v>
      </c>
    </row>
    <row r="1695" spans="1:5" x14ac:dyDescent="0.2">
      <c r="A1695" s="940">
        <v>4294</v>
      </c>
      <c r="B1695" s="940">
        <v>0</v>
      </c>
      <c r="C1695" t="s">
        <v>10322</v>
      </c>
      <c r="D1695" s="940" t="s">
        <v>10323</v>
      </c>
      <c r="E1695" t="s">
        <v>147</v>
      </c>
    </row>
    <row r="1696" spans="1:5" x14ac:dyDescent="0.2">
      <c r="A1696" s="940">
        <v>3545</v>
      </c>
      <c r="B1696" s="940">
        <v>9</v>
      </c>
      <c r="C1696" t="s">
        <v>10324</v>
      </c>
      <c r="D1696" s="940" t="s">
        <v>4806</v>
      </c>
      <c r="E1696" t="s">
        <v>120</v>
      </c>
    </row>
    <row r="1697" spans="1:5" x14ac:dyDescent="0.2">
      <c r="A1697" s="940">
        <v>237</v>
      </c>
      <c r="B1697" s="940">
        <v>855</v>
      </c>
      <c r="C1697" t="s">
        <v>5084</v>
      </c>
      <c r="D1697" s="940" t="s">
        <v>5085</v>
      </c>
      <c r="E1697" t="s">
        <v>122</v>
      </c>
    </row>
    <row r="1698" spans="1:5" x14ac:dyDescent="0.2">
      <c r="A1698" s="940">
        <v>1009</v>
      </c>
      <c r="B1698" s="940">
        <v>274</v>
      </c>
      <c r="C1698" t="s">
        <v>10325</v>
      </c>
      <c r="D1698" s="940" t="s">
        <v>10326</v>
      </c>
      <c r="E1698" t="s">
        <v>112</v>
      </c>
    </row>
    <row r="1699" spans="1:5" x14ac:dyDescent="0.2">
      <c r="A1699" s="940">
        <v>3290</v>
      </c>
      <c r="B1699" s="940">
        <v>15</v>
      </c>
      <c r="C1699" t="s">
        <v>5086</v>
      </c>
      <c r="D1699" s="940" t="s">
        <v>4177</v>
      </c>
      <c r="E1699" t="s">
        <v>863</v>
      </c>
    </row>
    <row r="1700" spans="1:5" x14ac:dyDescent="0.2">
      <c r="A1700" s="940">
        <v>4294</v>
      </c>
      <c r="B1700" s="940">
        <v>0</v>
      </c>
      <c r="C1700" t="s">
        <v>10327</v>
      </c>
      <c r="D1700" s="940" t="s">
        <v>3269</v>
      </c>
      <c r="E1700" t="s">
        <v>10328</v>
      </c>
    </row>
    <row r="1701" spans="1:5" x14ac:dyDescent="0.2">
      <c r="A1701" s="940">
        <v>569</v>
      </c>
      <c r="B1701" s="940">
        <v>492</v>
      </c>
      <c r="C1701" t="s">
        <v>10329</v>
      </c>
      <c r="D1701" s="940" t="s">
        <v>10330</v>
      </c>
      <c r="E1701" t="s">
        <v>119</v>
      </c>
    </row>
    <row r="1702" spans="1:5" x14ac:dyDescent="0.2">
      <c r="A1702" s="940">
        <v>2833</v>
      </c>
      <c r="B1702" s="940">
        <v>31</v>
      </c>
      <c r="C1702" t="s">
        <v>5087</v>
      </c>
      <c r="D1702" s="940" t="s">
        <v>5088</v>
      </c>
      <c r="E1702" t="s">
        <v>2916</v>
      </c>
    </row>
    <row r="1703" spans="1:5" x14ac:dyDescent="0.2">
      <c r="A1703" s="940">
        <v>3402</v>
      </c>
      <c r="B1703" s="940">
        <v>12</v>
      </c>
      <c r="C1703" t="s">
        <v>5089</v>
      </c>
      <c r="D1703" s="940" t="s">
        <v>3645</v>
      </c>
      <c r="E1703" t="s">
        <v>1447</v>
      </c>
    </row>
    <row r="1704" spans="1:5" x14ac:dyDescent="0.2">
      <c r="A1704" s="940">
        <v>136</v>
      </c>
      <c r="B1704" s="940">
        <v>1019</v>
      </c>
      <c r="C1704" t="s">
        <v>5090</v>
      </c>
      <c r="D1704" s="940" t="s">
        <v>5091</v>
      </c>
      <c r="E1704" t="s">
        <v>120</v>
      </c>
    </row>
    <row r="1705" spans="1:5" x14ac:dyDescent="0.2">
      <c r="A1705" s="940">
        <v>3972</v>
      </c>
      <c r="B1705" s="940">
        <v>3</v>
      </c>
      <c r="C1705" t="s">
        <v>5092</v>
      </c>
      <c r="D1705" s="940" t="s">
        <v>5093</v>
      </c>
      <c r="E1705" t="s">
        <v>213</v>
      </c>
    </row>
    <row r="1706" spans="1:5" x14ac:dyDescent="0.2">
      <c r="A1706" s="940">
        <v>604</v>
      </c>
      <c r="B1706" s="940">
        <v>469</v>
      </c>
      <c r="C1706" t="s">
        <v>10331</v>
      </c>
      <c r="D1706" s="940" t="s">
        <v>10332</v>
      </c>
      <c r="E1706" t="s">
        <v>104</v>
      </c>
    </row>
    <row r="1707" spans="1:5" x14ac:dyDescent="0.2">
      <c r="A1707" s="940">
        <v>2774</v>
      </c>
      <c r="B1707" s="940">
        <v>34</v>
      </c>
      <c r="C1707" t="s">
        <v>10333</v>
      </c>
      <c r="D1707" s="940" t="s">
        <v>3004</v>
      </c>
      <c r="E1707" t="s">
        <v>136</v>
      </c>
    </row>
    <row r="1708" spans="1:5" x14ac:dyDescent="0.2">
      <c r="A1708" s="940">
        <v>2938</v>
      </c>
      <c r="B1708" s="940">
        <v>26</v>
      </c>
      <c r="C1708" t="s">
        <v>5094</v>
      </c>
      <c r="D1708" s="940" t="s">
        <v>4479</v>
      </c>
      <c r="E1708" t="s">
        <v>1286</v>
      </c>
    </row>
    <row r="1709" spans="1:5" x14ac:dyDescent="0.2">
      <c r="A1709" s="940">
        <v>3882</v>
      </c>
      <c r="B1709" s="940">
        <v>4</v>
      </c>
      <c r="C1709" t="s">
        <v>10334</v>
      </c>
      <c r="D1709" s="940" t="s">
        <v>5028</v>
      </c>
      <c r="E1709" t="s">
        <v>10335</v>
      </c>
    </row>
    <row r="1710" spans="1:5" x14ac:dyDescent="0.2">
      <c r="A1710" s="940">
        <v>3446</v>
      </c>
      <c r="B1710" s="940">
        <v>11</v>
      </c>
      <c r="C1710" t="s">
        <v>10336</v>
      </c>
      <c r="D1710" s="940" t="s">
        <v>10337</v>
      </c>
      <c r="E1710" t="s">
        <v>163</v>
      </c>
    </row>
    <row r="1711" spans="1:5" x14ac:dyDescent="0.2">
      <c r="A1711" s="940">
        <v>981</v>
      </c>
      <c r="B1711" s="940">
        <v>286</v>
      </c>
      <c r="C1711" t="s">
        <v>5095</v>
      </c>
      <c r="D1711" s="940" t="s">
        <v>5096</v>
      </c>
      <c r="E1711" t="s">
        <v>105</v>
      </c>
    </row>
    <row r="1712" spans="1:5" x14ac:dyDescent="0.2">
      <c r="A1712" s="940">
        <v>3882</v>
      </c>
      <c r="B1712" s="940">
        <v>4</v>
      </c>
      <c r="C1712" t="s">
        <v>10338</v>
      </c>
      <c r="D1712" s="940" t="s">
        <v>10339</v>
      </c>
      <c r="E1712" t="s">
        <v>120</v>
      </c>
    </row>
    <row r="1713" spans="1:5" x14ac:dyDescent="0.2">
      <c r="A1713" s="940">
        <v>2450</v>
      </c>
      <c r="B1713" s="940">
        <v>51</v>
      </c>
      <c r="C1713" t="s">
        <v>5097</v>
      </c>
      <c r="D1713" s="940" t="s">
        <v>5098</v>
      </c>
      <c r="E1713" t="s">
        <v>1332</v>
      </c>
    </row>
    <row r="1714" spans="1:5" x14ac:dyDescent="0.2">
      <c r="A1714" s="940">
        <v>2042</v>
      </c>
      <c r="B1714" s="940">
        <v>82</v>
      </c>
      <c r="C1714" t="s">
        <v>5101</v>
      </c>
      <c r="D1714" s="940" t="s">
        <v>5102</v>
      </c>
      <c r="E1714" t="s">
        <v>1372</v>
      </c>
    </row>
    <row r="1715" spans="1:5" x14ac:dyDescent="0.2">
      <c r="A1715" s="940">
        <v>3545</v>
      </c>
      <c r="B1715" s="940">
        <v>9</v>
      </c>
      <c r="C1715" t="s">
        <v>5103</v>
      </c>
      <c r="D1715" s="940" t="s">
        <v>3047</v>
      </c>
      <c r="E1715" t="s">
        <v>1609</v>
      </c>
    </row>
    <row r="1716" spans="1:5" x14ac:dyDescent="0.2">
      <c r="A1716" s="940">
        <v>1355</v>
      </c>
      <c r="B1716" s="940">
        <v>171</v>
      </c>
      <c r="C1716" t="s">
        <v>1657</v>
      </c>
      <c r="D1716" s="940" t="s">
        <v>5107</v>
      </c>
      <c r="E1716" t="s">
        <v>1590</v>
      </c>
    </row>
    <row r="1717" spans="1:5" x14ac:dyDescent="0.2">
      <c r="A1717" s="940">
        <v>3083</v>
      </c>
      <c r="B1717" s="940">
        <v>21</v>
      </c>
      <c r="C1717" t="s">
        <v>5108</v>
      </c>
      <c r="D1717" s="940" t="s">
        <v>2814</v>
      </c>
      <c r="E1717" t="s">
        <v>130</v>
      </c>
    </row>
    <row r="1718" spans="1:5" x14ac:dyDescent="0.2">
      <c r="A1718" s="940">
        <v>1345</v>
      </c>
      <c r="B1718" s="940">
        <v>172</v>
      </c>
      <c r="C1718" t="s">
        <v>820</v>
      </c>
      <c r="D1718" s="940" t="s">
        <v>10285</v>
      </c>
      <c r="E1718" t="s">
        <v>3687</v>
      </c>
    </row>
    <row r="1719" spans="1:5" x14ac:dyDescent="0.2">
      <c r="A1719" s="940">
        <v>3972</v>
      </c>
      <c r="B1719" s="940">
        <v>3</v>
      </c>
      <c r="C1719" t="s">
        <v>10340</v>
      </c>
      <c r="D1719" s="940" t="s">
        <v>4974</v>
      </c>
      <c r="E1719" t="s">
        <v>113</v>
      </c>
    </row>
    <row r="1720" spans="1:5" x14ac:dyDescent="0.2">
      <c r="A1720" s="940">
        <v>696</v>
      </c>
      <c r="B1720" s="940">
        <v>405</v>
      </c>
      <c r="C1720" t="s">
        <v>10341</v>
      </c>
      <c r="D1720" s="940" t="s">
        <v>10342</v>
      </c>
      <c r="E1720" t="s">
        <v>122</v>
      </c>
    </row>
    <row r="1721" spans="1:5" x14ac:dyDescent="0.2">
      <c r="A1721" s="940">
        <v>74</v>
      </c>
      <c r="B1721" s="940">
        <v>1188</v>
      </c>
      <c r="C1721" t="s">
        <v>242</v>
      </c>
      <c r="D1721" s="940" t="s">
        <v>5109</v>
      </c>
      <c r="E1721" t="s">
        <v>1171</v>
      </c>
    </row>
    <row r="1722" spans="1:5" x14ac:dyDescent="0.2">
      <c r="A1722" s="940">
        <v>1746</v>
      </c>
      <c r="B1722" s="940">
        <v>111</v>
      </c>
      <c r="C1722" t="s">
        <v>10343</v>
      </c>
      <c r="D1722" s="940" t="s">
        <v>10306</v>
      </c>
      <c r="E1722" t="s">
        <v>9015</v>
      </c>
    </row>
    <row r="1723" spans="1:5" x14ac:dyDescent="0.2">
      <c r="A1723" s="940">
        <v>2592</v>
      </c>
      <c r="B1723" s="940">
        <v>42</v>
      </c>
      <c r="C1723" t="s">
        <v>5110</v>
      </c>
      <c r="D1723" s="940" t="s">
        <v>4877</v>
      </c>
      <c r="E1723" t="s">
        <v>1182</v>
      </c>
    </row>
    <row r="1724" spans="1:5" x14ac:dyDescent="0.2">
      <c r="A1724" s="940">
        <v>18</v>
      </c>
      <c r="B1724" s="940">
        <v>1489</v>
      </c>
      <c r="C1724" t="s">
        <v>5111</v>
      </c>
      <c r="D1724" s="940" t="s">
        <v>5112</v>
      </c>
      <c r="E1724" t="s">
        <v>74</v>
      </c>
    </row>
    <row r="1725" spans="1:5" x14ac:dyDescent="0.2">
      <c r="A1725" s="940">
        <v>4081</v>
      </c>
      <c r="B1725" s="940">
        <v>2</v>
      </c>
      <c r="C1725" t="s">
        <v>10344</v>
      </c>
      <c r="D1725" s="940" t="s">
        <v>9171</v>
      </c>
      <c r="E1725" t="s">
        <v>130</v>
      </c>
    </row>
    <row r="1726" spans="1:5" x14ac:dyDescent="0.2">
      <c r="A1726" s="940">
        <v>3882</v>
      </c>
      <c r="B1726" s="940">
        <v>4</v>
      </c>
      <c r="C1726" t="s">
        <v>5115</v>
      </c>
      <c r="D1726" s="940" t="s">
        <v>5116</v>
      </c>
      <c r="E1726" t="s">
        <v>3137</v>
      </c>
    </row>
    <row r="1727" spans="1:5" x14ac:dyDescent="0.2">
      <c r="A1727" s="940">
        <v>2962</v>
      </c>
      <c r="B1727" s="940">
        <v>25</v>
      </c>
      <c r="C1727" t="s">
        <v>5117</v>
      </c>
      <c r="D1727" s="940" t="s">
        <v>5118</v>
      </c>
      <c r="E1727" t="s">
        <v>3137</v>
      </c>
    </row>
    <row r="1728" spans="1:5" x14ac:dyDescent="0.2">
      <c r="A1728" s="940">
        <v>3545</v>
      </c>
      <c r="B1728" s="940">
        <v>9</v>
      </c>
      <c r="C1728" t="s">
        <v>10345</v>
      </c>
      <c r="D1728" s="940" t="s">
        <v>2635</v>
      </c>
      <c r="E1728" t="s">
        <v>122</v>
      </c>
    </row>
    <row r="1729" spans="1:5" x14ac:dyDescent="0.2">
      <c r="A1729" s="940">
        <v>3882</v>
      </c>
      <c r="B1729" s="940">
        <v>4</v>
      </c>
      <c r="C1729" t="s">
        <v>10346</v>
      </c>
      <c r="D1729" s="940" t="s">
        <v>10347</v>
      </c>
      <c r="E1729" t="s">
        <v>1200</v>
      </c>
    </row>
    <row r="1730" spans="1:5" x14ac:dyDescent="0.2">
      <c r="A1730" s="940">
        <v>3972</v>
      </c>
      <c r="B1730" s="940">
        <v>3</v>
      </c>
      <c r="C1730" t="s">
        <v>5119</v>
      </c>
      <c r="D1730" s="940" t="s">
        <v>5120</v>
      </c>
      <c r="E1730" t="s">
        <v>3066</v>
      </c>
    </row>
    <row r="1731" spans="1:5" x14ac:dyDescent="0.2">
      <c r="A1731" s="940">
        <v>2242</v>
      </c>
      <c r="B1731" s="940">
        <v>66</v>
      </c>
      <c r="C1731" t="s">
        <v>5121</v>
      </c>
      <c r="D1731" s="940" t="s">
        <v>5122</v>
      </c>
      <c r="E1731" t="s">
        <v>1609</v>
      </c>
    </row>
    <row r="1732" spans="1:5" x14ac:dyDescent="0.2">
      <c r="A1732" s="940">
        <v>4294</v>
      </c>
      <c r="B1732" s="940">
        <v>0</v>
      </c>
      <c r="C1732" t="s">
        <v>10348</v>
      </c>
      <c r="D1732" s="940" t="s">
        <v>3464</v>
      </c>
      <c r="E1732" t="s">
        <v>74</v>
      </c>
    </row>
    <row r="1733" spans="1:5" x14ac:dyDescent="0.2">
      <c r="A1733" s="940">
        <v>1027</v>
      </c>
      <c r="B1733" s="940">
        <v>268</v>
      </c>
      <c r="C1733" t="s">
        <v>5123</v>
      </c>
      <c r="D1733" s="940" t="s">
        <v>5124</v>
      </c>
      <c r="E1733" t="s">
        <v>72</v>
      </c>
    </row>
    <row r="1734" spans="1:5" x14ac:dyDescent="0.2">
      <c r="A1734" s="940">
        <v>1479</v>
      </c>
      <c r="B1734" s="940">
        <v>149</v>
      </c>
      <c r="C1734" t="s">
        <v>5127</v>
      </c>
      <c r="D1734" s="940" t="s">
        <v>3726</v>
      </c>
      <c r="E1734" t="s">
        <v>74</v>
      </c>
    </row>
    <row r="1735" spans="1:5" x14ac:dyDescent="0.2">
      <c r="A1735" s="940">
        <v>4294</v>
      </c>
      <c r="B1735" s="940">
        <v>0</v>
      </c>
      <c r="C1735" t="s">
        <v>10349</v>
      </c>
      <c r="D1735" s="940" t="s">
        <v>3834</v>
      </c>
      <c r="E1735" t="s">
        <v>130</v>
      </c>
    </row>
    <row r="1736" spans="1:5" x14ac:dyDescent="0.2">
      <c r="A1736" s="940">
        <v>3882</v>
      </c>
      <c r="B1736" s="940">
        <v>4</v>
      </c>
      <c r="C1736" t="s">
        <v>10350</v>
      </c>
      <c r="D1736" s="940" t="s">
        <v>8233</v>
      </c>
      <c r="E1736" t="s">
        <v>105</v>
      </c>
    </row>
    <row r="1737" spans="1:5" x14ac:dyDescent="0.2">
      <c r="A1737" s="940">
        <v>259</v>
      </c>
      <c r="B1737" s="940">
        <v>826</v>
      </c>
      <c r="C1737" t="s">
        <v>5128</v>
      </c>
      <c r="D1737" s="940" t="s">
        <v>5129</v>
      </c>
      <c r="E1737" t="s">
        <v>104</v>
      </c>
    </row>
    <row r="1738" spans="1:5" x14ac:dyDescent="0.2">
      <c r="A1738" s="940">
        <v>1308</v>
      </c>
      <c r="B1738" s="940">
        <v>182</v>
      </c>
      <c r="C1738" t="s">
        <v>10351</v>
      </c>
      <c r="D1738" s="940" t="s">
        <v>10352</v>
      </c>
      <c r="E1738" t="s">
        <v>1179</v>
      </c>
    </row>
    <row r="1739" spans="1:5" x14ac:dyDescent="0.2">
      <c r="A1739" s="940">
        <v>4294</v>
      </c>
      <c r="B1739" s="940">
        <v>0</v>
      </c>
      <c r="C1739" t="s">
        <v>10353</v>
      </c>
      <c r="D1739" s="940" t="s">
        <v>10354</v>
      </c>
      <c r="E1739" t="s">
        <v>144</v>
      </c>
    </row>
    <row r="1740" spans="1:5" x14ac:dyDescent="0.2">
      <c r="A1740" s="940">
        <v>3655</v>
      </c>
      <c r="B1740" s="940">
        <v>7</v>
      </c>
      <c r="C1740" t="s">
        <v>5130</v>
      </c>
      <c r="D1740" s="940" t="s">
        <v>5131</v>
      </c>
      <c r="E1740" t="s">
        <v>1171</v>
      </c>
    </row>
    <row r="1741" spans="1:5" x14ac:dyDescent="0.2">
      <c r="A1741" s="940">
        <v>3250</v>
      </c>
      <c r="B1741" s="940">
        <v>16</v>
      </c>
      <c r="C1741" t="s">
        <v>5132</v>
      </c>
      <c r="D1741" s="940" t="s">
        <v>5133</v>
      </c>
      <c r="E1741" t="s">
        <v>3954</v>
      </c>
    </row>
    <row r="1742" spans="1:5" x14ac:dyDescent="0.2">
      <c r="A1742" s="940">
        <v>812</v>
      </c>
      <c r="B1742" s="940">
        <v>355</v>
      </c>
      <c r="C1742" t="s">
        <v>1665</v>
      </c>
      <c r="D1742" s="940" t="s">
        <v>4512</v>
      </c>
      <c r="E1742" t="s">
        <v>73</v>
      </c>
    </row>
    <row r="1743" spans="1:5" x14ac:dyDescent="0.2">
      <c r="A1743" s="940">
        <v>990</v>
      </c>
      <c r="B1743" s="940">
        <v>282</v>
      </c>
      <c r="C1743" t="s">
        <v>5137</v>
      </c>
      <c r="D1743" s="940" t="s">
        <v>5138</v>
      </c>
      <c r="E1743" t="s">
        <v>105</v>
      </c>
    </row>
    <row r="1744" spans="1:5" x14ac:dyDescent="0.2">
      <c r="A1744" s="940">
        <v>1249</v>
      </c>
      <c r="B1744" s="940">
        <v>194</v>
      </c>
      <c r="C1744" t="s">
        <v>10355</v>
      </c>
      <c r="D1744" s="940" t="s">
        <v>10356</v>
      </c>
      <c r="E1744" t="s">
        <v>2542</v>
      </c>
    </row>
    <row r="1745" spans="1:5" x14ac:dyDescent="0.2">
      <c r="A1745" s="940">
        <v>2312</v>
      </c>
      <c r="B1745" s="940">
        <v>61</v>
      </c>
      <c r="C1745" t="s">
        <v>5139</v>
      </c>
      <c r="D1745" s="940" t="s">
        <v>4778</v>
      </c>
      <c r="E1745" t="s">
        <v>83</v>
      </c>
    </row>
    <row r="1746" spans="1:5" x14ac:dyDescent="0.2">
      <c r="A1746" s="940">
        <v>4294</v>
      </c>
      <c r="B1746" s="940">
        <v>0</v>
      </c>
      <c r="C1746" t="s">
        <v>10357</v>
      </c>
      <c r="D1746" s="940" t="s">
        <v>5889</v>
      </c>
      <c r="E1746" t="s">
        <v>120</v>
      </c>
    </row>
    <row r="1747" spans="1:5" x14ac:dyDescent="0.2">
      <c r="A1747" s="940">
        <v>1651</v>
      </c>
      <c r="B1747" s="940">
        <v>122</v>
      </c>
      <c r="C1747" t="s">
        <v>10358</v>
      </c>
      <c r="D1747" s="940" t="s">
        <v>10359</v>
      </c>
      <c r="E1747" t="s">
        <v>114</v>
      </c>
    </row>
    <row r="1748" spans="1:5" x14ac:dyDescent="0.2">
      <c r="A1748" s="940">
        <v>1081</v>
      </c>
      <c r="B1748" s="940">
        <v>248</v>
      </c>
      <c r="C1748" t="s">
        <v>1666</v>
      </c>
      <c r="D1748" s="940" t="s">
        <v>5142</v>
      </c>
      <c r="E1748" t="s">
        <v>1379</v>
      </c>
    </row>
    <row r="1749" spans="1:5" x14ac:dyDescent="0.2">
      <c r="A1749" s="940">
        <v>3358</v>
      </c>
      <c r="B1749" s="940">
        <v>13</v>
      </c>
      <c r="C1749" t="s">
        <v>10360</v>
      </c>
      <c r="D1749" s="940" t="s">
        <v>10361</v>
      </c>
      <c r="E1749" t="s">
        <v>72</v>
      </c>
    </row>
    <row r="1750" spans="1:5" x14ac:dyDescent="0.2">
      <c r="A1750" s="940">
        <v>4294</v>
      </c>
      <c r="B1750" s="940">
        <v>0</v>
      </c>
      <c r="C1750" t="s">
        <v>10362</v>
      </c>
      <c r="D1750" s="940" t="s">
        <v>4822</v>
      </c>
      <c r="E1750" t="s">
        <v>1584</v>
      </c>
    </row>
    <row r="1751" spans="1:5" x14ac:dyDescent="0.2">
      <c r="A1751" s="940">
        <v>2833</v>
      </c>
      <c r="B1751" s="940">
        <v>31</v>
      </c>
      <c r="C1751" t="s">
        <v>5146</v>
      </c>
      <c r="D1751" s="940" t="s">
        <v>4566</v>
      </c>
      <c r="E1751" t="s">
        <v>105</v>
      </c>
    </row>
    <row r="1752" spans="1:5" x14ac:dyDescent="0.2">
      <c r="A1752" s="940">
        <v>3602</v>
      </c>
      <c r="B1752" s="940">
        <v>8</v>
      </c>
      <c r="C1752" t="s">
        <v>5147</v>
      </c>
      <c r="D1752" s="940" t="s">
        <v>5148</v>
      </c>
      <c r="E1752" t="s">
        <v>130</v>
      </c>
    </row>
    <row r="1753" spans="1:5" x14ac:dyDescent="0.2">
      <c r="A1753" s="940">
        <v>667</v>
      </c>
      <c r="B1753" s="940">
        <v>423</v>
      </c>
      <c r="C1753" t="s">
        <v>1667</v>
      </c>
      <c r="D1753" s="940" t="s">
        <v>5149</v>
      </c>
      <c r="E1753" t="s">
        <v>105</v>
      </c>
    </row>
    <row r="1754" spans="1:5" x14ac:dyDescent="0.2">
      <c r="A1754" s="940">
        <v>2877</v>
      </c>
      <c r="B1754" s="940">
        <v>29</v>
      </c>
      <c r="C1754" t="s">
        <v>5150</v>
      </c>
      <c r="D1754" s="940" t="s">
        <v>3220</v>
      </c>
      <c r="E1754" t="s">
        <v>99</v>
      </c>
    </row>
    <row r="1755" spans="1:5" x14ac:dyDescent="0.2">
      <c r="A1755" s="940">
        <v>3882</v>
      </c>
      <c r="B1755" s="940">
        <v>4</v>
      </c>
      <c r="C1755" t="s">
        <v>5151</v>
      </c>
      <c r="D1755" s="940" t="s">
        <v>3358</v>
      </c>
      <c r="E1755" t="s">
        <v>1961</v>
      </c>
    </row>
    <row r="1756" spans="1:5" x14ac:dyDescent="0.2">
      <c r="A1756" s="940">
        <v>4294</v>
      </c>
      <c r="B1756" s="940">
        <v>0</v>
      </c>
      <c r="C1756" t="s">
        <v>10363</v>
      </c>
      <c r="D1756" s="940" t="s">
        <v>2719</v>
      </c>
      <c r="E1756" t="s">
        <v>2793</v>
      </c>
    </row>
    <row r="1757" spans="1:5" x14ac:dyDescent="0.2">
      <c r="A1757" s="940">
        <v>3323</v>
      </c>
      <c r="B1757" s="940">
        <v>14</v>
      </c>
      <c r="C1757" t="s">
        <v>5152</v>
      </c>
      <c r="D1757" s="940" t="s">
        <v>5153</v>
      </c>
      <c r="E1757" t="s">
        <v>1156</v>
      </c>
    </row>
    <row r="1758" spans="1:5" x14ac:dyDescent="0.2">
      <c r="A1758" s="940">
        <v>2286</v>
      </c>
      <c r="B1758" s="940">
        <v>63</v>
      </c>
      <c r="C1758" t="s">
        <v>10364</v>
      </c>
      <c r="D1758" s="940" t="s">
        <v>10365</v>
      </c>
      <c r="E1758" t="s">
        <v>4104</v>
      </c>
    </row>
    <row r="1759" spans="1:5" x14ac:dyDescent="0.2">
      <c r="A1759" s="940">
        <v>2915</v>
      </c>
      <c r="B1759" s="940">
        <v>27</v>
      </c>
      <c r="C1759" t="s">
        <v>10366</v>
      </c>
      <c r="D1759" s="940" t="s">
        <v>7913</v>
      </c>
      <c r="E1759" t="s">
        <v>117</v>
      </c>
    </row>
    <row r="1760" spans="1:5" x14ac:dyDescent="0.2">
      <c r="A1760" s="940">
        <v>1378</v>
      </c>
      <c r="B1760" s="940">
        <v>167</v>
      </c>
      <c r="C1760" t="s">
        <v>10367</v>
      </c>
      <c r="D1760" s="940" t="s">
        <v>10368</v>
      </c>
      <c r="E1760" t="s">
        <v>121</v>
      </c>
    </row>
    <row r="1761" spans="1:5" x14ac:dyDescent="0.2">
      <c r="A1761" s="940">
        <v>1553</v>
      </c>
      <c r="B1761" s="940">
        <v>136</v>
      </c>
      <c r="C1761" t="s">
        <v>490</v>
      </c>
      <c r="D1761" s="940" t="s">
        <v>2781</v>
      </c>
      <c r="E1761" t="s">
        <v>115</v>
      </c>
    </row>
    <row r="1762" spans="1:5" x14ac:dyDescent="0.2">
      <c r="A1762" s="940">
        <v>1609</v>
      </c>
      <c r="B1762" s="940">
        <v>127</v>
      </c>
      <c r="C1762" t="s">
        <v>1669</v>
      </c>
      <c r="D1762" s="940" t="s">
        <v>5157</v>
      </c>
      <c r="E1762" t="s">
        <v>115</v>
      </c>
    </row>
    <row r="1763" spans="1:5" x14ac:dyDescent="0.2">
      <c r="A1763" s="940">
        <v>2339</v>
      </c>
      <c r="B1763" s="940">
        <v>59</v>
      </c>
      <c r="C1763" t="s">
        <v>5158</v>
      </c>
      <c r="D1763" s="940" t="s">
        <v>3895</v>
      </c>
      <c r="E1763" t="s">
        <v>72</v>
      </c>
    </row>
    <row r="1764" spans="1:5" x14ac:dyDescent="0.2">
      <c r="A1764" s="940">
        <v>4294</v>
      </c>
      <c r="B1764" s="940">
        <v>0</v>
      </c>
      <c r="C1764" t="s">
        <v>5159</v>
      </c>
      <c r="D1764" s="940" t="s">
        <v>5160</v>
      </c>
      <c r="E1764" t="s">
        <v>72</v>
      </c>
    </row>
    <row r="1765" spans="1:5" x14ac:dyDescent="0.2">
      <c r="A1765" s="940">
        <v>1946</v>
      </c>
      <c r="B1765" s="940">
        <v>91</v>
      </c>
      <c r="C1765" t="s">
        <v>1671</v>
      </c>
      <c r="D1765" s="940" t="s">
        <v>6763</v>
      </c>
      <c r="E1765" t="s">
        <v>119</v>
      </c>
    </row>
    <row r="1766" spans="1:5" x14ac:dyDescent="0.2">
      <c r="A1766" s="940">
        <v>4294</v>
      </c>
      <c r="B1766" s="940">
        <v>0</v>
      </c>
      <c r="C1766" t="s">
        <v>10369</v>
      </c>
      <c r="D1766" s="940" t="s">
        <v>5337</v>
      </c>
      <c r="E1766" t="s">
        <v>4674</v>
      </c>
    </row>
    <row r="1767" spans="1:5" x14ac:dyDescent="0.2">
      <c r="A1767" s="940">
        <v>1956</v>
      </c>
      <c r="B1767" s="940">
        <v>90</v>
      </c>
      <c r="C1767" t="s">
        <v>10370</v>
      </c>
      <c r="D1767" s="940" t="s">
        <v>3182</v>
      </c>
      <c r="E1767" t="s">
        <v>8392</v>
      </c>
    </row>
    <row r="1768" spans="1:5" x14ac:dyDescent="0.2">
      <c r="A1768" s="940">
        <v>843</v>
      </c>
      <c r="B1768" s="940">
        <v>341</v>
      </c>
      <c r="C1768" t="s">
        <v>5162</v>
      </c>
      <c r="D1768" s="940" t="s">
        <v>5163</v>
      </c>
      <c r="E1768" t="s">
        <v>132</v>
      </c>
    </row>
    <row r="1769" spans="1:5" x14ac:dyDescent="0.2">
      <c r="A1769" s="940">
        <v>3602</v>
      </c>
      <c r="B1769" s="940">
        <v>8</v>
      </c>
      <c r="C1769" t="s">
        <v>5166</v>
      </c>
      <c r="D1769" s="940" t="s">
        <v>4676</v>
      </c>
      <c r="E1769" t="s">
        <v>120</v>
      </c>
    </row>
    <row r="1770" spans="1:5" x14ac:dyDescent="0.2">
      <c r="A1770" s="940">
        <v>3008</v>
      </c>
      <c r="B1770" s="940">
        <v>23</v>
      </c>
      <c r="C1770" t="s">
        <v>10371</v>
      </c>
      <c r="D1770" s="940" t="s">
        <v>10372</v>
      </c>
      <c r="E1770" t="s">
        <v>1261</v>
      </c>
    </row>
    <row r="1771" spans="1:5" x14ac:dyDescent="0.2">
      <c r="A1771" s="940">
        <v>1188</v>
      </c>
      <c r="B1771" s="940">
        <v>215</v>
      </c>
      <c r="C1771" t="s">
        <v>10373</v>
      </c>
      <c r="D1771" s="940" t="s">
        <v>10374</v>
      </c>
      <c r="E1771" t="s">
        <v>80</v>
      </c>
    </row>
    <row r="1772" spans="1:5" x14ac:dyDescent="0.2">
      <c r="A1772" s="940">
        <v>4294</v>
      </c>
      <c r="B1772" s="940">
        <v>0</v>
      </c>
      <c r="C1772" t="s">
        <v>10375</v>
      </c>
      <c r="D1772" s="940" t="s">
        <v>6305</v>
      </c>
      <c r="E1772" t="s">
        <v>105</v>
      </c>
    </row>
    <row r="1773" spans="1:5" x14ac:dyDescent="0.2">
      <c r="A1773" s="940">
        <v>4294</v>
      </c>
      <c r="B1773" s="940">
        <v>0</v>
      </c>
      <c r="C1773" t="s">
        <v>5167</v>
      </c>
      <c r="D1773" s="940" t="s">
        <v>4740</v>
      </c>
      <c r="E1773" t="s">
        <v>376</v>
      </c>
    </row>
    <row r="1774" spans="1:5" x14ac:dyDescent="0.2">
      <c r="A1774" s="940">
        <v>3250</v>
      </c>
      <c r="B1774" s="940">
        <v>16</v>
      </c>
      <c r="C1774" t="s">
        <v>5168</v>
      </c>
      <c r="D1774" s="940" t="s">
        <v>5169</v>
      </c>
      <c r="E1774" t="s">
        <v>129</v>
      </c>
    </row>
    <row r="1775" spans="1:5" x14ac:dyDescent="0.2">
      <c r="A1775" s="940">
        <v>2409</v>
      </c>
      <c r="B1775" s="940">
        <v>54</v>
      </c>
      <c r="C1775" t="s">
        <v>5170</v>
      </c>
      <c r="D1775" s="940" t="s">
        <v>5171</v>
      </c>
      <c r="E1775" t="s">
        <v>99</v>
      </c>
    </row>
    <row r="1776" spans="1:5" x14ac:dyDescent="0.2">
      <c r="A1776" s="940">
        <v>1574</v>
      </c>
      <c r="B1776" s="940">
        <v>132</v>
      </c>
      <c r="C1776" t="s">
        <v>1674</v>
      </c>
      <c r="D1776" s="940" t="s">
        <v>5172</v>
      </c>
      <c r="E1776" t="s">
        <v>1675</v>
      </c>
    </row>
    <row r="1777" spans="1:5" x14ac:dyDescent="0.2">
      <c r="A1777" s="940">
        <v>3402</v>
      </c>
      <c r="B1777" s="940">
        <v>12</v>
      </c>
      <c r="C1777" t="s">
        <v>5173</v>
      </c>
      <c r="D1777" s="940" t="s">
        <v>5174</v>
      </c>
      <c r="E1777" t="s">
        <v>105</v>
      </c>
    </row>
    <row r="1778" spans="1:5" x14ac:dyDescent="0.2">
      <c r="A1778" s="940">
        <v>1041</v>
      </c>
      <c r="B1778" s="940">
        <v>262</v>
      </c>
      <c r="C1778" t="s">
        <v>1676</v>
      </c>
      <c r="D1778" s="940" t="s">
        <v>5175</v>
      </c>
      <c r="E1778" t="s">
        <v>105</v>
      </c>
    </row>
    <row r="1779" spans="1:5" x14ac:dyDescent="0.2">
      <c r="A1779" s="940">
        <v>2367</v>
      </c>
      <c r="B1779" s="940">
        <v>57</v>
      </c>
      <c r="C1779" t="s">
        <v>10376</v>
      </c>
      <c r="D1779" s="940" t="s">
        <v>10377</v>
      </c>
      <c r="E1779" t="s">
        <v>661</v>
      </c>
    </row>
    <row r="1780" spans="1:5" x14ac:dyDescent="0.2">
      <c r="A1780" s="940">
        <v>408</v>
      </c>
      <c r="B1780" s="940">
        <v>635</v>
      </c>
      <c r="C1780" t="s">
        <v>5176</v>
      </c>
      <c r="D1780" s="940" t="s">
        <v>5177</v>
      </c>
      <c r="E1780" t="s">
        <v>120</v>
      </c>
    </row>
    <row r="1781" spans="1:5" x14ac:dyDescent="0.2">
      <c r="A1781" s="940">
        <v>2794</v>
      </c>
      <c r="B1781" s="940">
        <v>33</v>
      </c>
      <c r="C1781" t="s">
        <v>5178</v>
      </c>
      <c r="D1781" s="940" t="s">
        <v>5179</v>
      </c>
      <c r="E1781" t="s">
        <v>105</v>
      </c>
    </row>
    <row r="1782" spans="1:5" x14ac:dyDescent="0.2">
      <c r="A1782" s="940">
        <v>2115</v>
      </c>
      <c r="B1782" s="940">
        <v>76</v>
      </c>
      <c r="C1782" t="s">
        <v>10378</v>
      </c>
      <c r="D1782" s="940" t="s">
        <v>10379</v>
      </c>
      <c r="E1782" t="s">
        <v>120</v>
      </c>
    </row>
    <row r="1783" spans="1:5" x14ac:dyDescent="0.2">
      <c r="A1783" s="940">
        <v>3545</v>
      </c>
      <c r="B1783" s="940">
        <v>9</v>
      </c>
      <c r="C1783" t="s">
        <v>5180</v>
      </c>
      <c r="D1783" s="940" t="s">
        <v>2770</v>
      </c>
      <c r="E1783" t="s">
        <v>128</v>
      </c>
    </row>
    <row r="1784" spans="1:5" x14ac:dyDescent="0.2">
      <c r="A1784" s="940">
        <v>3048</v>
      </c>
      <c r="B1784" s="940">
        <v>22</v>
      </c>
      <c r="C1784" t="s">
        <v>10380</v>
      </c>
      <c r="D1784" s="940" t="s">
        <v>10381</v>
      </c>
      <c r="E1784" t="s">
        <v>136</v>
      </c>
    </row>
    <row r="1785" spans="1:5" x14ac:dyDescent="0.2">
      <c r="A1785" s="940">
        <v>4294</v>
      </c>
      <c r="B1785" s="940">
        <v>0</v>
      </c>
      <c r="C1785" t="s">
        <v>10382</v>
      </c>
      <c r="D1785" s="940" t="s">
        <v>3486</v>
      </c>
      <c r="E1785" t="s">
        <v>120</v>
      </c>
    </row>
    <row r="1786" spans="1:5" x14ac:dyDescent="0.2">
      <c r="A1786" s="940">
        <v>1531</v>
      </c>
      <c r="B1786" s="940">
        <v>140</v>
      </c>
      <c r="C1786" t="s">
        <v>10383</v>
      </c>
      <c r="D1786" s="940" t="s">
        <v>10384</v>
      </c>
      <c r="E1786" t="s">
        <v>8348</v>
      </c>
    </row>
    <row r="1787" spans="1:5" x14ac:dyDescent="0.2">
      <c r="A1787" s="940">
        <v>672</v>
      </c>
      <c r="B1787" s="940">
        <v>420</v>
      </c>
      <c r="C1787" t="s">
        <v>245</v>
      </c>
      <c r="D1787" s="940" t="s">
        <v>5181</v>
      </c>
      <c r="E1787" t="s">
        <v>1236</v>
      </c>
    </row>
    <row r="1788" spans="1:5" x14ac:dyDescent="0.2">
      <c r="A1788" s="940">
        <v>3174</v>
      </c>
      <c r="B1788" s="940">
        <v>18</v>
      </c>
      <c r="C1788" t="s">
        <v>10385</v>
      </c>
      <c r="D1788" s="940" t="s">
        <v>3940</v>
      </c>
      <c r="E1788" t="s">
        <v>104</v>
      </c>
    </row>
    <row r="1789" spans="1:5" x14ac:dyDescent="0.2">
      <c r="A1789" s="940">
        <v>3882</v>
      </c>
      <c r="B1789" s="940">
        <v>4</v>
      </c>
      <c r="C1789" t="s">
        <v>10385</v>
      </c>
      <c r="D1789" s="940" t="s">
        <v>5512</v>
      </c>
      <c r="E1789" t="s">
        <v>1803</v>
      </c>
    </row>
    <row r="1790" spans="1:5" x14ac:dyDescent="0.2">
      <c r="A1790" s="940">
        <v>3446</v>
      </c>
      <c r="B1790" s="940">
        <v>11</v>
      </c>
      <c r="C1790" t="s">
        <v>10386</v>
      </c>
      <c r="D1790" s="940" t="s">
        <v>5512</v>
      </c>
      <c r="E1790" t="s">
        <v>1803</v>
      </c>
    </row>
    <row r="1791" spans="1:5" x14ac:dyDescent="0.2">
      <c r="A1791" s="940">
        <v>2980</v>
      </c>
      <c r="B1791" s="940">
        <v>24</v>
      </c>
      <c r="C1791" t="s">
        <v>10387</v>
      </c>
      <c r="D1791" s="940" t="s">
        <v>10157</v>
      </c>
      <c r="E1791" t="s">
        <v>108</v>
      </c>
    </row>
    <row r="1792" spans="1:5" x14ac:dyDescent="0.2">
      <c r="A1792" s="940">
        <v>2962</v>
      </c>
      <c r="B1792" s="940">
        <v>25</v>
      </c>
      <c r="C1792" t="s">
        <v>5182</v>
      </c>
      <c r="D1792" s="940" t="s">
        <v>2927</v>
      </c>
      <c r="E1792" t="s">
        <v>3098</v>
      </c>
    </row>
    <row r="1793" spans="1:5" x14ac:dyDescent="0.2">
      <c r="A1793" s="940">
        <v>263</v>
      </c>
      <c r="B1793" s="940">
        <v>821</v>
      </c>
      <c r="C1793" t="s">
        <v>5183</v>
      </c>
      <c r="D1793" s="940" t="s">
        <v>5184</v>
      </c>
      <c r="E1793" t="s">
        <v>1171</v>
      </c>
    </row>
    <row r="1794" spans="1:5" x14ac:dyDescent="0.2">
      <c r="A1794" s="940">
        <v>3545</v>
      </c>
      <c r="B1794" s="940">
        <v>9</v>
      </c>
      <c r="C1794" t="s">
        <v>5185</v>
      </c>
      <c r="D1794" s="940" t="s">
        <v>5186</v>
      </c>
      <c r="E1794" t="s">
        <v>164</v>
      </c>
    </row>
    <row r="1795" spans="1:5" x14ac:dyDescent="0.2">
      <c r="A1795" s="940">
        <v>3446</v>
      </c>
      <c r="B1795" s="940">
        <v>11</v>
      </c>
      <c r="C1795" t="s">
        <v>10388</v>
      </c>
      <c r="D1795" s="940" t="s">
        <v>10389</v>
      </c>
      <c r="E1795" t="s">
        <v>132</v>
      </c>
    </row>
    <row r="1796" spans="1:5" x14ac:dyDescent="0.2">
      <c r="A1796" s="940">
        <v>518</v>
      </c>
      <c r="B1796" s="940">
        <v>529</v>
      </c>
      <c r="C1796" t="s">
        <v>10390</v>
      </c>
      <c r="D1796" s="940" t="s">
        <v>10391</v>
      </c>
      <c r="E1796" t="s">
        <v>10392</v>
      </c>
    </row>
    <row r="1797" spans="1:5" x14ac:dyDescent="0.2">
      <c r="A1797" s="940">
        <v>4294</v>
      </c>
      <c r="B1797" s="940">
        <v>0</v>
      </c>
      <c r="C1797" t="s">
        <v>5187</v>
      </c>
      <c r="D1797" s="940" t="s">
        <v>2753</v>
      </c>
      <c r="E1797" t="s">
        <v>1609</v>
      </c>
    </row>
    <row r="1798" spans="1:5" x14ac:dyDescent="0.2">
      <c r="A1798" s="940">
        <v>3446</v>
      </c>
      <c r="B1798" s="940">
        <v>11</v>
      </c>
      <c r="C1798" t="s">
        <v>5188</v>
      </c>
      <c r="D1798" s="940" t="s">
        <v>5189</v>
      </c>
      <c r="E1798" t="s">
        <v>120</v>
      </c>
    </row>
    <row r="1799" spans="1:5" x14ac:dyDescent="0.2">
      <c r="A1799" s="940">
        <v>4294</v>
      </c>
      <c r="B1799" s="940">
        <v>0</v>
      </c>
      <c r="C1799" t="s">
        <v>10393</v>
      </c>
      <c r="D1799" s="940" t="s">
        <v>6302</v>
      </c>
      <c r="E1799" t="s">
        <v>109</v>
      </c>
    </row>
    <row r="1800" spans="1:5" x14ac:dyDescent="0.2">
      <c r="A1800" s="940">
        <v>394</v>
      </c>
      <c r="B1800" s="940">
        <v>647</v>
      </c>
      <c r="C1800" t="s">
        <v>5192</v>
      </c>
      <c r="D1800" s="940" t="s">
        <v>5193</v>
      </c>
      <c r="E1800" t="s">
        <v>105</v>
      </c>
    </row>
    <row r="1801" spans="1:5" x14ac:dyDescent="0.2">
      <c r="A1801" s="940">
        <v>2571</v>
      </c>
      <c r="B1801" s="940">
        <v>43</v>
      </c>
      <c r="C1801" t="s">
        <v>10394</v>
      </c>
      <c r="D1801" s="940" t="s">
        <v>10395</v>
      </c>
      <c r="E1801" t="s">
        <v>1214</v>
      </c>
    </row>
    <row r="1802" spans="1:5" x14ac:dyDescent="0.2">
      <c r="A1802" s="940">
        <v>926</v>
      </c>
      <c r="B1802" s="940">
        <v>306</v>
      </c>
      <c r="C1802" t="s">
        <v>10396</v>
      </c>
      <c r="D1802" s="940" t="s">
        <v>10397</v>
      </c>
      <c r="E1802" t="s">
        <v>121</v>
      </c>
    </row>
    <row r="1803" spans="1:5" x14ac:dyDescent="0.2">
      <c r="A1803" s="940">
        <v>965</v>
      </c>
      <c r="B1803" s="940">
        <v>291</v>
      </c>
      <c r="C1803" t="s">
        <v>5194</v>
      </c>
      <c r="D1803" s="940" t="s">
        <v>5195</v>
      </c>
      <c r="E1803" t="s">
        <v>5196</v>
      </c>
    </row>
    <row r="1804" spans="1:5" x14ac:dyDescent="0.2">
      <c r="A1804" s="940">
        <v>192</v>
      </c>
      <c r="B1804" s="940">
        <v>922</v>
      </c>
      <c r="C1804" t="s">
        <v>5197</v>
      </c>
      <c r="D1804" s="940" t="s">
        <v>5198</v>
      </c>
      <c r="E1804" t="s">
        <v>105</v>
      </c>
    </row>
    <row r="1805" spans="1:5" x14ac:dyDescent="0.2">
      <c r="A1805" s="940">
        <v>4294</v>
      </c>
      <c r="B1805" s="940">
        <v>0</v>
      </c>
      <c r="C1805" t="s">
        <v>5199</v>
      </c>
      <c r="D1805" s="940" t="s">
        <v>5200</v>
      </c>
      <c r="E1805" t="s">
        <v>105</v>
      </c>
    </row>
    <row r="1806" spans="1:5" x14ac:dyDescent="0.2">
      <c r="A1806" s="940">
        <v>857</v>
      </c>
      <c r="B1806" s="940">
        <v>332</v>
      </c>
      <c r="C1806" t="s">
        <v>5204</v>
      </c>
      <c r="D1806" s="940" t="s">
        <v>5205</v>
      </c>
      <c r="E1806" t="s">
        <v>1156</v>
      </c>
    </row>
    <row r="1807" spans="1:5" x14ac:dyDescent="0.2">
      <c r="A1807" s="940">
        <v>3882</v>
      </c>
      <c r="B1807" s="940">
        <v>4</v>
      </c>
      <c r="C1807" t="s">
        <v>5208</v>
      </c>
      <c r="D1807" s="940" t="s">
        <v>4141</v>
      </c>
      <c r="E1807" t="s">
        <v>105</v>
      </c>
    </row>
    <row r="1808" spans="1:5" x14ac:dyDescent="0.2">
      <c r="A1808" s="940">
        <v>3882</v>
      </c>
      <c r="B1808" s="940">
        <v>4</v>
      </c>
      <c r="C1808" t="s">
        <v>10398</v>
      </c>
      <c r="D1808" s="940" t="s">
        <v>8077</v>
      </c>
      <c r="E1808" t="s">
        <v>73</v>
      </c>
    </row>
    <row r="1809" spans="1:5" x14ac:dyDescent="0.2">
      <c r="A1809" s="940">
        <v>1921</v>
      </c>
      <c r="B1809" s="940">
        <v>93</v>
      </c>
      <c r="C1809" t="s">
        <v>10399</v>
      </c>
      <c r="D1809" s="940" t="s">
        <v>3751</v>
      </c>
      <c r="E1809" t="s">
        <v>1156</v>
      </c>
    </row>
    <row r="1810" spans="1:5" x14ac:dyDescent="0.2">
      <c r="A1810" s="940">
        <v>3972</v>
      </c>
      <c r="B1810" s="940">
        <v>3</v>
      </c>
      <c r="C1810" t="s">
        <v>5209</v>
      </c>
      <c r="D1810" s="940" t="s">
        <v>2795</v>
      </c>
      <c r="E1810" t="s">
        <v>1214</v>
      </c>
    </row>
    <row r="1811" spans="1:5" x14ac:dyDescent="0.2">
      <c r="A1811" s="940">
        <v>1868</v>
      </c>
      <c r="B1811" s="940">
        <v>98</v>
      </c>
      <c r="C1811" t="s">
        <v>5210</v>
      </c>
      <c r="D1811" s="940" t="s">
        <v>5211</v>
      </c>
      <c r="E1811" t="s">
        <v>4466</v>
      </c>
    </row>
    <row r="1812" spans="1:5" x14ac:dyDescent="0.2">
      <c r="A1812" s="940">
        <v>534</v>
      </c>
      <c r="B1812" s="940">
        <v>516</v>
      </c>
      <c r="C1812" t="s">
        <v>5212</v>
      </c>
      <c r="D1812" s="940" t="s">
        <v>5213</v>
      </c>
      <c r="E1812" t="s">
        <v>105</v>
      </c>
    </row>
    <row r="1813" spans="1:5" x14ac:dyDescent="0.2">
      <c r="A1813" s="940">
        <v>2962</v>
      </c>
      <c r="B1813" s="940">
        <v>25</v>
      </c>
      <c r="C1813" t="s">
        <v>10400</v>
      </c>
      <c r="D1813" s="940" t="s">
        <v>3368</v>
      </c>
      <c r="E1813" t="s">
        <v>1343</v>
      </c>
    </row>
    <row r="1814" spans="1:5" x14ac:dyDescent="0.2">
      <c r="A1814" s="940">
        <v>4294</v>
      </c>
      <c r="B1814" s="940">
        <v>0</v>
      </c>
      <c r="C1814" t="s">
        <v>5214</v>
      </c>
      <c r="D1814" s="940" t="s">
        <v>5215</v>
      </c>
      <c r="E1814" t="s">
        <v>160</v>
      </c>
    </row>
    <row r="1815" spans="1:5" x14ac:dyDescent="0.2">
      <c r="A1815" s="940">
        <v>913</v>
      </c>
      <c r="B1815" s="940">
        <v>311</v>
      </c>
      <c r="C1815" t="s">
        <v>1686</v>
      </c>
      <c r="D1815" s="940" t="s">
        <v>4830</v>
      </c>
      <c r="E1815" t="s">
        <v>661</v>
      </c>
    </row>
    <row r="1816" spans="1:5" x14ac:dyDescent="0.2">
      <c r="A1816" s="940">
        <v>1024</v>
      </c>
      <c r="B1816" s="940">
        <v>270</v>
      </c>
      <c r="C1816" t="s">
        <v>1687</v>
      </c>
      <c r="D1816" s="940" t="s">
        <v>5216</v>
      </c>
      <c r="E1816" t="s">
        <v>661</v>
      </c>
    </row>
    <row r="1817" spans="1:5" x14ac:dyDescent="0.2">
      <c r="A1817" s="940">
        <v>1194</v>
      </c>
      <c r="B1817" s="940">
        <v>213</v>
      </c>
      <c r="C1817" t="s">
        <v>5217</v>
      </c>
      <c r="D1817" s="940" t="s">
        <v>5218</v>
      </c>
      <c r="E1817" t="s">
        <v>10401</v>
      </c>
    </row>
    <row r="1818" spans="1:5" x14ac:dyDescent="0.2">
      <c r="A1818" s="940">
        <v>1746</v>
      </c>
      <c r="B1818" s="940">
        <v>111</v>
      </c>
      <c r="C1818" t="s">
        <v>5219</v>
      </c>
      <c r="D1818" s="940" t="s">
        <v>5220</v>
      </c>
      <c r="E1818" t="s">
        <v>2880</v>
      </c>
    </row>
    <row r="1819" spans="1:5" x14ac:dyDescent="0.2">
      <c r="A1819" s="940">
        <v>1729</v>
      </c>
      <c r="B1819" s="940">
        <v>113</v>
      </c>
      <c r="C1819" t="s">
        <v>5221</v>
      </c>
      <c r="D1819" s="940" t="s">
        <v>5222</v>
      </c>
      <c r="E1819" t="s">
        <v>1590</v>
      </c>
    </row>
    <row r="1820" spans="1:5" x14ac:dyDescent="0.2">
      <c r="A1820" s="940">
        <v>4081</v>
      </c>
      <c r="B1820" s="940">
        <v>2</v>
      </c>
      <c r="C1820" t="s">
        <v>10402</v>
      </c>
      <c r="D1820" s="940" t="s">
        <v>9169</v>
      </c>
      <c r="E1820" t="s">
        <v>84</v>
      </c>
    </row>
    <row r="1821" spans="1:5" x14ac:dyDescent="0.2">
      <c r="A1821" s="940">
        <v>4294</v>
      </c>
      <c r="B1821" s="940">
        <v>0</v>
      </c>
      <c r="C1821" t="s">
        <v>10403</v>
      </c>
      <c r="D1821" s="940" t="s">
        <v>3769</v>
      </c>
      <c r="E1821" t="s">
        <v>130</v>
      </c>
    </row>
    <row r="1822" spans="1:5" x14ac:dyDescent="0.2">
      <c r="A1822" s="940">
        <v>1880</v>
      </c>
      <c r="B1822" s="940">
        <v>97</v>
      </c>
      <c r="C1822" t="s">
        <v>10404</v>
      </c>
      <c r="D1822" s="940" t="s">
        <v>10405</v>
      </c>
      <c r="E1822" t="s">
        <v>1343</v>
      </c>
    </row>
    <row r="1823" spans="1:5" x14ac:dyDescent="0.2">
      <c r="A1823" s="940">
        <v>4294</v>
      </c>
      <c r="B1823" s="940">
        <v>0</v>
      </c>
      <c r="C1823" t="s">
        <v>10406</v>
      </c>
      <c r="D1823" s="940" t="s">
        <v>9060</v>
      </c>
      <c r="E1823" t="s">
        <v>1467</v>
      </c>
    </row>
    <row r="1824" spans="1:5" x14ac:dyDescent="0.2">
      <c r="A1824" s="940">
        <v>2915</v>
      </c>
      <c r="B1824" s="940">
        <v>27</v>
      </c>
      <c r="C1824" t="s">
        <v>10407</v>
      </c>
      <c r="D1824" s="940" t="s">
        <v>3957</v>
      </c>
      <c r="E1824" t="s">
        <v>1341</v>
      </c>
    </row>
    <row r="1825" spans="1:5" x14ac:dyDescent="0.2">
      <c r="A1825" s="940">
        <v>1226</v>
      </c>
      <c r="B1825" s="940">
        <v>200</v>
      </c>
      <c r="C1825" t="s">
        <v>5223</v>
      </c>
      <c r="D1825" s="940" t="s">
        <v>5224</v>
      </c>
      <c r="E1825" t="s">
        <v>120</v>
      </c>
    </row>
    <row r="1826" spans="1:5" x14ac:dyDescent="0.2">
      <c r="A1826" s="940">
        <v>3107</v>
      </c>
      <c r="B1826" s="940">
        <v>20</v>
      </c>
      <c r="C1826" t="s">
        <v>5225</v>
      </c>
      <c r="D1826" s="940" t="s">
        <v>4582</v>
      </c>
      <c r="E1826" t="s">
        <v>165</v>
      </c>
    </row>
    <row r="1827" spans="1:5" x14ac:dyDescent="0.2">
      <c r="A1827" s="940">
        <v>805</v>
      </c>
      <c r="B1827" s="940">
        <v>356</v>
      </c>
      <c r="C1827" t="s">
        <v>5226</v>
      </c>
      <c r="D1827" s="940" t="s">
        <v>5227</v>
      </c>
      <c r="E1827" t="s">
        <v>165</v>
      </c>
    </row>
    <row r="1828" spans="1:5" x14ac:dyDescent="0.2">
      <c r="A1828" s="940">
        <v>1894</v>
      </c>
      <c r="B1828" s="940">
        <v>96</v>
      </c>
      <c r="C1828" t="s">
        <v>5228</v>
      </c>
      <c r="D1828" s="940" t="s">
        <v>5229</v>
      </c>
      <c r="E1828" t="s">
        <v>5136</v>
      </c>
    </row>
    <row r="1829" spans="1:5" x14ac:dyDescent="0.2">
      <c r="A1829" s="940">
        <v>3174</v>
      </c>
      <c r="B1829" s="940">
        <v>18</v>
      </c>
      <c r="C1829" t="s">
        <v>5230</v>
      </c>
      <c r="D1829" s="940" t="s">
        <v>5231</v>
      </c>
      <c r="E1829" t="s">
        <v>122</v>
      </c>
    </row>
    <row r="1830" spans="1:5" x14ac:dyDescent="0.2">
      <c r="A1830" s="940">
        <v>3483</v>
      </c>
      <c r="B1830" s="940">
        <v>10</v>
      </c>
      <c r="C1830" t="s">
        <v>10408</v>
      </c>
      <c r="D1830" s="940" t="s">
        <v>4490</v>
      </c>
      <c r="E1830" t="s">
        <v>1599</v>
      </c>
    </row>
    <row r="1831" spans="1:5" x14ac:dyDescent="0.2">
      <c r="A1831" s="940">
        <v>760</v>
      </c>
      <c r="B1831" s="940">
        <v>379</v>
      </c>
      <c r="C1831" t="s">
        <v>492</v>
      </c>
      <c r="D1831" s="940" t="s">
        <v>5232</v>
      </c>
      <c r="E1831" t="s">
        <v>99</v>
      </c>
    </row>
    <row r="1832" spans="1:5" x14ac:dyDescent="0.2">
      <c r="A1832" s="940">
        <v>2233</v>
      </c>
      <c r="B1832" s="940">
        <v>67</v>
      </c>
      <c r="C1832" t="s">
        <v>5237</v>
      </c>
      <c r="D1832" s="940" t="s">
        <v>5238</v>
      </c>
      <c r="E1832" t="s">
        <v>282</v>
      </c>
    </row>
    <row r="1833" spans="1:5" x14ac:dyDescent="0.2">
      <c r="A1833" s="940">
        <v>4294</v>
      </c>
      <c r="B1833" s="940">
        <v>0</v>
      </c>
      <c r="C1833" t="s">
        <v>5239</v>
      </c>
      <c r="D1833" s="940" t="s">
        <v>3262</v>
      </c>
      <c r="E1833" t="s">
        <v>2660</v>
      </c>
    </row>
    <row r="1834" spans="1:5" x14ac:dyDescent="0.2">
      <c r="A1834" s="940">
        <v>4181</v>
      </c>
      <c r="B1834" s="940">
        <v>1</v>
      </c>
      <c r="C1834" t="s">
        <v>10409</v>
      </c>
      <c r="D1834" s="940" t="s">
        <v>10010</v>
      </c>
      <c r="E1834" t="s">
        <v>1590</v>
      </c>
    </row>
    <row r="1835" spans="1:5" x14ac:dyDescent="0.2">
      <c r="A1835" s="940">
        <v>2434</v>
      </c>
      <c r="B1835" s="940">
        <v>52</v>
      </c>
      <c r="C1835" t="s">
        <v>5244</v>
      </c>
      <c r="D1835" s="940" t="s">
        <v>4514</v>
      </c>
      <c r="E1835" t="s">
        <v>109</v>
      </c>
    </row>
    <row r="1836" spans="1:5" x14ac:dyDescent="0.2">
      <c r="A1836" s="940">
        <v>2434</v>
      </c>
      <c r="B1836" s="940">
        <v>52</v>
      </c>
      <c r="C1836" t="s">
        <v>5245</v>
      </c>
      <c r="D1836" s="940" t="s">
        <v>5246</v>
      </c>
      <c r="E1836" t="s">
        <v>1612</v>
      </c>
    </row>
    <row r="1837" spans="1:5" x14ac:dyDescent="0.2">
      <c r="A1837" s="940">
        <v>4181</v>
      </c>
      <c r="B1837" s="940">
        <v>1</v>
      </c>
      <c r="C1837" t="s">
        <v>5247</v>
      </c>
      <c r="D1837" s="940" t="s">
        <v>5248</v>
      </c>
      <c r="E1837" t="s">
        <v>105</v>
      </c>
    </row>
    <row r="1838" spans="1:5" x14ac:dyDescent="0.2">
      <c r="A1838" s="940">
        <v>1308</v>
      </c>
      <c r="B1838" s="940">
        <v>182</v>
      </c>
      <c r="C1838" t="s">
        <v>5249</v>
      </c>
      <c r="D1838" s="940" t="s">
        <v>5250</v>
      </c>
      <c r="E1838" t="s">
        <v>4548</v>
      </c>
    </row>
    <row r="1839" spans="1:5" x14ac:dyDescent="0.2">
      <c r="A1839" s="940">
        <v>3323</v>
      </c>
      <c r="B1839" s="940">
        <v>14</v>
      </c>
      <c r="C1839" t="s">
        <v>5251</v>
      </c>
      <c r="D1839" s="940" t="s">
        <v>5252</v>
      </c>
      <c r="E1839" t="s">
        <v>165</v>
      </c>
    </row>
    <row r="1840" spans="1:5" x14ac:dyDescent="0.2">
      <c r="A1840" s="940">
        <v>142</v>
      </c>
      <c r="B1840" s="940">
        <v>1016</v>
      </c>
      <c r="C1840" t="s">
        <v>5253</v>
      </c>
      <c r="D1840" s="940" t="s">
        <v>5254</v>
      </c>
      <c r="E1840" t="s">
        <v>1179</v>
      </c>
    </row>
    <row r="1841" spans="1:5" x14ac:dyDescent="0.2">
      <c r="A1841" s="940">
        <v>2207</v>
      </c>
      <c r="B1841" s="940">
        <v>69</v>
      </c>
      <c r="C1841" t="s">
        <v>5255</v>
      </c>
      <c r="D1841" s="940" t="s">
        <v>5256</v>
      </c>
      <c r="E1841" t="s">
        <v>1236</v>
      </c>
    </row>
    <row r="1842" spans="1:5" x14ac:dyDescent="0.2">
      <c r="A1842" s="940">
        <v>4294</v>
      </c>
      <c r="B1842" s="940">
        <v>0</v>
      </c>
      <c r="C1842" t="s">
        <v>5257</v>
      </c>
      <c r="D1842" s="940" t="s">
        <v>5258</v>
      </c>
      <c r="E1842" t="s">
        <v>99</v>
      </c>
    </row>
    <row r="1843" spans="1:5" x14ac:dyDescent="0.2">
      <c r="A1843" s="940">
        <v>3882</v>
      </c>
      <c r="B1843" s="940">
        <v>4</v>
      </c>
      <c r="C1843" t="s">
        <v>5259</v>
      </c>
      <c r="D1843" s="940" t="s">
        <v>2825</v>
      </c>
      <c r="E1843" t="s">
        <v>111</v>
      </c>
    </row>
    <row r="1844" spans="1:5" x14ac:dyDescent="0.2">
      <c r="A1844" s="940">
        <v>3545</v>
      </c>
      <c r="B1844" s="940">
        <v>9</v>
      </c>
      <c r="C1844" t="s">
        <v>10410</v>
      </c>
      <c r="D1844" s="940" t="s">
        <v>4453</v>
      </c>
      <c r="E1844" t="s">
        <v>10411</v>
      </c>
    </row>
    <row r="1845" spans="1:5" x14ac:dyDescent="0.2">
      <c r="A1845" s="940">
        <v>75</v>
      </c>
      <c r="B1845" s="940">
        <v>1185</v>
      </c>
      <c r="C1845" t="s">
        <v>5260</v>
      </c>
      <c r="D1845" s="940" t="s">
        <v>5261</v>
      </c>
      <c r="E1845" t="s">
        <v>120</v>
      </c>
    </row>
    <row r="1846" spans="1:5" x14ac:dyDescent="0.2">
      <c r="A1846" s="940">
        <v>2774</v>
      </c>
      <c r="B1846" s="940">
        <v>34</v>
      </c>
      <c r="C1846" t="s">
        <v>5260</v>
      </c>
      <c r="D1846" s="940" t="s">
        <v>7298</v>
      </c>
      <c r="E1846" t="s">
        <v>72</v>
      </c>
    </row>
    <row r="1847" spans="1:5" x14ac:dyDescent="0.2">
      <c r="A1847" s="940">
        <v>600</v>
      </c>
      <c r="B1847" s="940">
        <v>471</v>
      </c>
      <c r="C1847" t="s">
        <v>5262</v>
      </c>
      <c r="D1847" s="940" t="s">
        <v>5263</v>
      </c>
      <c r="E1847" t="s">
        <v>1307</v>
      </c>
    </row>
    <row r="1848" spans="1:5" x14ac:dyDescent="0.2">
      <c r="A1848" s="940">
        <v>2980</v>
      </c>
      <c r="B1848" s="940">
        <v>24</v>
      </c>
      <c r="C1848" t="s">
        <v>10412</v>
      </c>
      <c r="D1848" s="940" t="s">
        <v>9191</v>
      </c>
      <c r="E1848" t="s">
        <v>113</v>
      </c>
    </row>
    <row r="1849" spans="1:5" x14ac:dyDescent="0.2">
      <c r="A1849" s="940">
        <v>740</v>
      </c>
      <c r="B1849" s="940">
        <v>386</v>
      </c>
      <c r="C1849" t="s">
        <v>5264</v>
      </c>
      <c r="D1849" s="940" t="s">
        <v>5265</v>
      </c>
      <c r="E1849" t="s">
        <v>111</v>
      </c>
    </row>
    <row r="1850" spans="1:5" x14ac:dyDescent="0.2">
      <c r="A1850" s="940">
        <v>4294</v>
      </c>
      <c r="B1850" s="940">
        <v>0</v>
      </c>
      <c r="C1850" t="s">
        <v>5266</v>
      </c>
      <c r="D1850" s="940" t="s">
        <v>3248</v>
      </c>
      <c r="E1850" t="s">
        <v>171</v>
      </c>
    </row>
    <row r="1851" spans="1:5" x14ac:dyDescent="0.2">
      <c r="A1851" s="940">
        <v>4294</v>
      </c>
      <c r="B1851" s="940">
        <v>0</v>
      </c>
      <c r="C1851" t="s">
        <v>5271</v>
      </c>
      <c r="D1851" s="940" t="s">
        <v>5272</v>
      </c>
      <c r="E1851" t="s">
        <v>99</v>
      </c>
    </row>
    <row r="1852" spans="1:5" x14ac:dyDescent="0.2">
      <c r="A1852" s="940">
        <v>4294</v>
      </c>
      <c r="B1852" s="940">
        <v>0</v>
      </c>
      <c r="C1852" t="s">
        <v>5273</v>
      </c>
      <c r="D1852" s="940" t="s">
        <v>4428</v>
      </c>
      <c r="E1852" t="s">
        <v>110</v>
      </c>
    </row>
    <row r="1853" spans="1:5" x14ac:dyDescent="0.2">
      <c r="A1853" s="940">
        <v>3972</v>
      </c>
      <c r="B1853" s="940">
        <v>3</v>
      </c>
      <c r="C1853" t="s">
        <v>5274</v>
      </c>
      <c r="D1853" s="940" t="s">
        <v>4629</v>
      </c>
      <c r="E1853" t="s">
        <v>105</v>
      </c>
    </row>
    <row r="1854" spans="1:5" x14ac:dyDescent="0.2">
      <c r="A1854" s="940">
        <v>3008</v>
      </c>
      <c r="B1854" s="940">
        <v>23</v>
      </c>
      <c r="C1854" t="s">
        <v>10413</v>
      </c>
      <c r="D1854" s="940" t="s">
        <v>6816</v>
      </c>
      <c r="E1854" t="s">
        <v>1372</v>
      </c>
    </row>
    <row r="1855" spans="1:5" x14ac:dyDescent="0.2">
      <c r="A1855" s="940">
        <v>643</v>
      </c>
      <c r="B1855" s="940">
        <v>436</v>
      </c>
      <c r="C1855" t="s">
        <v>10414</v>
      </c>
      <c r="D1855" s="940" t="s">
        <v>5276</v>
      </c>
      <c r="E1855" t="s">
        <v>1315</v>
      </c>
    </row>
    <row r="1856" spans="1:5" x14ac:dyDescent="0.2">
      <c r="A1856" s="940">
        <v>2193</v>
      </c>
      <c r="B1856" s="940">
        <v>70</v>
      </c>
      <c r="C1856" t="s">
        <v>2551</v>
      </c>
      <c r="D1856" s="940" t="s">
        <v>3092</v>
      </c>
      <c r="E1856" t="s">
        <v>1282</v>
      </c>
    </row>
    <row r="1857" spans="1:5" x14ac:dyDescent="0.2">
      <c r="A1857" s="940">
        <v>778</v>
      </c>
      <c r="B1857" s="940">
        <v>371</v>
      </c>
      <c r="C1857" t="s">
        <v>1690</v>
      </c>
      <c r="D1857" s="940" t="s">
        <v>2634</v>
      </c>
      <c r="E1857" t="s">
        <v>1282</v>
      </c>
    </row>
    <row r="1858" spans="1:5" x14ac:dyDescent="0.2">
      <c r="A1858" s="940">
        <v>4294</v>
      </c>
      <c r="B1858" s="940">
        <v>0</v>
      </c>
      <c r="C1858" t="s">
        <v>10415</v>
      </c>
      <c r="D1858" s="940" t="s">
        <v>6394</v>
      </c>
      <c r="E1858" t="s">
        <v>163</v>
      </c>
    </row>
    <row r="1859" spans="1:5" x14ac:dyDescent="0.2">
      <c r="A1859" s="940">
        <v>2962</v>
      </c>
      <c r="B1859" s="940">
        <v>25</v>
      </c>
      <c r="C1859" t="s">
        <v>10416</v>
      </c>
      <c r="D1859" s="940" t="s">
        <v>3957</v>
      </c>
      <c r="E1859" t="s">
        <v>164</v>
      </c>
    </row>
    <row r="1860" spans="1:5" x14ac:dyDescent="0.2">
      <c r="A1860" s="940">
        <v>3545</v>
      </c>
      <c r="B1860" s="940">
        <v>9</v>
      </c>
      <c r="C1860" t="s">
        <v>823</v>
      </c>
      <c r="D1860" s="940" t="s">
        <v>3317</v>
      </c>
      <c r="E1860" t="s">
        <v>208</v>
      </c>
    </row>
    <row r="1861" spans="1:5" x14ac:dyDescent="0.2">
      <c r="A1861" s="940">
        <v>357</v>
      </c>
      <c r="B1861" s="940">
        <v>688</v>
      </c>
      <c r="C1861" t="s">
        <v>5277</v>
      </c>
      <c r="D1861" s="940" t="s">
        <v>5278</v>
      </c>
      <c r="E1861" t="s">
        <v>5279</v>
      </c>
    </row>
    <row r="1862" spans="1:5" x14ac:dyDescent="0.2">
      <c r="A1862" s="940">
        <v>4294</v>
      </c>
      <c r="B1862" s="940">
        <v>0</v>
      </c>
      <c r="C1862" t="s">
        <v>10417</v>
      </c>
      <c r="D1862" s="940" t="s">
        <v>5118</v>
      </c>
      <c r="E1862" t="s">
        <v>9466</v>
      </c>
    </row>
    <row r="1863" spans="1:5" x14ac:dyDescent="0.2">
      <c r="A1863" s="940">
        <v>4294</v>
      </c>
      <c r="B1863" s="940">
        <v>0</v>
      </c>
      <c r="C1863" t="s">
        <v>10418</v>
      </c>
      <c r="D1863" s="940" t="s">
        <v>5118</v>
      </c>
      <c r="E1863" t="s">
        <v>9466</v>
      </c>
    </row>
    <row r="1864" spans="1:5" x14ac:dyDescent="0.2">
      <c r="A1864" s="940">
        <v>3732</v>
      </c>
      <c r="B1864" s="940">
        <v>6</v>
      </c>
      <c r="C1864" t="s">
        <v>10419</v>
      </c>
      <c r="D1864" s="940" t="s">
        <v>9999</v>
      </c>
      <c r="E1864" t="s">
        <v>213</v>
      </c>
    </row>
    <row r="1865" spans="1:5" x14ac:dyDescent="0.2">
      <c r="A1865" s="940">
        <v>2819</v>
      </c>
      <c r="B1865" s="940">
        <v>32</v>
      </c>
      <c r="C1865" t="s">
        <v>10420</v>
      </c>
      <c r="D1865" s="940" t="s">
        <v>10421</v>
      </c>
      <c r="E1865" t="s">
        <v>113</v>
      </c>
    </row>
    <row r="1866" spans="1:5" x14ac:dyDescent="0.2">
      <c r="A1866" s="940">
        <v>1977</v>
      </c>
      <c r="B1866" s="940">
        <v>88</v>
      </c>
      <c r="C1866" t="s">
        <v>5280</v>
      </c>
      <c r="D1866" s="940" t="s">
        <v>3792</v>
      </c>
      <c r="E1866" t="s">
        <v>2928</v>
      </c>
    </row>
    <row r="1867" spans="1:5" x14ac:dyDescent="0.2">
      <c r="A1867" s="940">
        <v>1696</v>
      </c>
      <c r="B1867" s="940">
        <v>118</v>
      </c>
      <c r="C1867" t="s">
        <v>10422</v>
      </c>
      <c r="D1867" s="940" t="s">
        <v>10193</v>
      </c>
      <c r="E1867" t="s">
        <v>10423</v>
      </c>
    </row>
    <row r="1868" spans="1:5" x14ac:dyDescent="0.2">
      <c r="A1868" s="940">
        <v>1936</v>
      </c>
      <c r="B1868" s="940">
        <v>92</v>
      </c>
      <c r="C1868" t="s">
        <v>10424</v>
      </c>
      <c r="D1868" s="940" t="s">
        <v>5436</v>
      </c>
      <c r="E1868" t="s">
        <v>10423</v>
      </c>
    </row>
    <row r="1869" spans="1:5" x14ac:dyDescent="0.2">
      <c r="A1869" s="940">
        <v>4294</v>
      </c>
      <c r="B1869" s="940">
        <v>0</v>
      </c>
      <c r="C1869" t="s">
        <v>10425</v>
      </c>
      <c r="D1869" s="940" t="s">
        <v>4580</v>
      </c>
      <c r="E1869" t="s">
        <v>74</v>
      </c>
    </row>
    <row r="1870" spans="1:5" x14ac:dyDescent="0.2">
      <c r="A1870" s="940">
        <v>4294</v>
      </c>
      <c r="B1870" s="940">
        <v>0</v>
      </c>
      <c r="C1870" t="s">
        <v>10426</v>
      </c>
      <c r="D1870" s="940" t="s">
        <v>7913</v>
      </c>
      <c r="E1870" t="s">
        <v>1238</v>
      </c>
    </row>
    <row r="1871" spans="1:5" x14ac:dyDescent="0.2">
      <c r="A1871" s="940">
        <v>3402</v>
      </c>
      <c r="B1871" s="940">
        <v>12</v>
      </c>
      <c r="C1871" t="s">
        <v>5281</v>
      </c>
      <c r="D1871" s="940" t="s">
        <v>3988</v>
      </c>
      <c r="E1871" t="s">
        <v>105</v>
      </c>
    </row>
    <row r="1872" spans="1:5" x14ac:dyDescent="0.2">
      <c r="A1872" s="940">
        <v>2006</v>
      </c>
      <c r="B1872" s="940">
        <v>85</v>
      </c>
      <c r="C1872" t="s">
        <v>5282</v>
      </c>
      <c r="D1872" s="940" t="s">
        <v>3303</v>
      </c>
      <c r="E1872" t="s">
        <v>127</v>
      </c>
    </row>
    <row r="1873" spans="1:5" x14ac:dyDescent="0.2">
      <c r="A1873" s="940">
        <v>3732</v>
      </c>
      <c r="B1873" s="940">
        <v>6</v>
      </c>
      <c r="C1873" t="s">
        <v>5283</v>
      </c>
      <c r="D1873" s="940" t="s">
        <v>5284</v>
      </c>
      <c r="E1873" t="s">
        <v>109</v>
      </c>
    </row>
    <row r="1874" spans="1:5" x14ac:dyDescent="0.2">
      <c r="A1874" s="940">
        <v>1434</v>
      </c>
      <c r="B1874" s="940">
        <v>157</v>
      </c>
      <c r="C1874" t="s">
        <v>2552</v>
      </c>
      <c r="D1874" s="940" t="s">
        <v>5285</v>
      </c>
      <c r="E1874" t="s">
        <v>109</v>
      </c>
    </row>
    <row r="1875" spans="1:5" x14ac:dyDescent="0.2">
      <c r="A1875" s="940">
        <v>4294</v>
      </c>
      <c r="B1875" s="940">
        <v>0</v>
      </c>
      <c r="C1875" t="s">
        <v>5286</v>
      </c>
      <c r="D1875" s="940" t="s">
        <v>3341</v>
      </c>
      <c r="E1875" t="s">
        <v>163</v>
      </c>
    </row>
    <row r="1876" spans="1:5" x14ac:dyDescent="0.2">
      <c r="A1876" s="940">
        <v>106</v>
      </c>
      <c r="B1876" s="940">
        <v>1100</v>
      </c>
      <c r="C1876" t="s">
        <v>5287</v>
      </c>
      <c r="D1876" s="940" t="s">
        <v>5288</v>
      </c>
      <c r="E1876" t="s">
        <v>2880</v>
      </c>
    </row>
    <row r="1877" spans="1:5" x14ac:dyDescent="0.2">
      <c r="A1877" s="940">
        <v>3796</v>
      </c>
      <c r="B1877" s="940">
        <v>5</v>
      </c>
      <c r="C1877" t="s">
        <v>10427</v>
      </c>
      <c r="D1877" s="940" t="s">
        <v>3806</v>
      </c>
      <c r="E1877" t="s">
        <v>1214</v>
      </c>
    </row>
    <row r="1878" spans="1:5" x14ac:dyDescent="0.2">
      <c r="A1878" s="940">
        <v>133</v>
      </c>
      <c r="B1878" s="940">
        <v>1031</v>
      </c>
      <c r="C1878" t="s">
        <v>1698</v>
      </c>
      <c r="D1878" s="940" t="s">
        <v>5291</v>
      </c>
      <c r="E1878" t="s">
        <v>166</v>
      </c>
    </row>
    <row r="1879" spans="1:5" x14ac:dyDescent="0.2">
      <c r="A1879" s="940">
        <v>844</v>
      </c>
      <c r="B1879" s="940">
        <v>340</v>
      </c>
      <c r="C1879" t="s">
        <v>5292</v>
      </c>
      <c r="D1879" s="940" t="s">
        <v>5293</v>
      </c>
      <c r="E1879" t="s">
        <v>2880</v>
      </c>
    </row>
    <row r="1880" spans="1:5" x14ac:dyDescent="0.2">
      <c r="A1880" s="940">
        <v>4294</v>
      </c>
      <c r="B1880" s="940">
        <v>0</v>
      </c>
      <c r="C1880" t="s">
        <v>5294</v>
      </c>
      <c r="D1880" s="940" t="s">
        <v>5295</v>
      </c>
      <c r="E1880" t="s">
        <v>165</v>
      </c>
    </row>
    <row r="1881" spans="1:5" x14ac:dyDescent="0.2">
      <c r="A1881" s="940">
        <v>4294</v>
      </c>
      <c r="B1881" s="940">
        <v>0</v>
      </c>
      <c r="C1881" t="s">
        <v>5296</v>
      </c>
      <c r="D1881" s="940" t="s">
        <v>5297</v>
      </c>
      <c r="E1881" t="s">
        <v>165</v>
      </c>
    </row>
    <row r="1882" spans="1:5" x14ac:dyDescent="0.2">
      <c r="A1882" s="940">
        <v>1964</v>
      </c>
      <c r="B1882" s="940">
        <v>89</v>
      </c>
      <c r="C1882" t="s">
        <v>2553</v>
      </c>
      <c r="D1882" s="940" t="s">
        <v>9283</v>
      </c>
      <c r="E1882" t="s">
        <v>1156</v>
      </c>
    </row>
    <row r="1883" spans="1:5" x14ac:dyDescent="0.2">
      <c r="A1883" s="940">
        <v>883</v>
      </c>
      <c r="B1883" s="940">
        <v>325</v>
      </c>
      <c r="C1883" t="s">
        <v>248</v>
      </c>
      <c r="D1883" s="940" t="s">
        <v>5298</v>
      </c>
      <c r="E1883" t="s">
        <v>120</v>
      </c>
    </row>
    <row r="1884" spans="1:5" x14ac:dyDescent="0.2">
      <c r="A1884" s="940">
        <v>3732</v>
      </c>
      <c r="B1884" s="940">
        <v>6</v>
      </c>
      <c r="C1884" t="s">
        <v>10428</v>
      </c>
      <c r="D1884" s="940" t="s">
        <v>10429</v>
      </c>
      <c r="E1884" t="s">
        <v>1460</v>
      </c>
    </row>
    <row r="1885" spans="1:5" x14ac:dyDescent="0.2">
      <c r="A1885" s="940">
        <v>3972</v>
      </c>
      <c r="B1885" s="940">
        <v>3</v>
      </c>
      <c r="C1885" t="s">
        <v>5299</v>
      </c>
      <c r="D1885" s="940" t="s">
        <v>5300</v>
      </c>
      <c r="E1885" t="s">
        <v>1638</v>
      </c>
    </row>
    <row r="1886" spans="1:5" x14ac:dyDescent="0.2">
      <c r="A1886" s="940">
        <v>3250</v>
      </c>
      <c r="B1886" s="940">
        <v>16</v>
      </c>
      <c r="C1886" t="s">
        <v>5301</v>
      </c>
      <c r="D1886" s="940" t="s">
        <v>5302</v>
      </c>
      <c r="E1886" t="s">
        <v>3951</v>
      </c>
    </row>
    <row r="1887" spans="1:5" x14ac:dyDescent="0.2">
      <c r="A1887" s="940">
        <v>3655</v>
      </c>
      <c r="B1887" s="940">
        <v>7</v>
      </c>
      <c r="C1887" t="s">
        <v>10430</v>
      </c>
      <c r="D1887" s="940" t="s">
        <v>9092</v>
      </c>
      <c r="E1887" t="s">
        <v>128</v>
      </c>
    </row>
    <row r="1888" spans="1:5" x14ac:dyDescent="0.2">
      <c r="A1888" s="940">
        <v>1782</v>
      </c>
      <c r="B1888" s="940">
        <v>107</v>
      </c>
      <c r="C1888" t="s">
        <v>1701</v>
      </c>
      <c r="D1888" s="940" t="s">
        <v>5303</v>
      </c>
      <c r="E1888" t="s">
        <v>1702</v>
      </c>
    </row>
    <row r="1889" spans="1:5" x14ac:dyDescent="0.2">
      <c r="A1889" s="940">
        <v>506</v>
      </c>
      <c r="B1889" s="940">
        <v>542</v>
      </c>
      <c r="C1889" t="s">
        <v>10431</v>
      </c>
      <c r="D1889" s="940" t="s">
        <v>10432</v>
      </c>
      <c r="E1889" t="s">
        <v>118</v>
      </c>
    </row>
    <row r="1890" spans="1:5" x14ac:dyDescent="0.2">
      <c r="A1890" s="940">
        <v>3545</v>
      </c>
      <c r="B1890" s="940">
        <v>9</v>
      </c>
      <c r="C1890" t="s">
        <v>5309</v>
      </c>
      <c r="D1890" s="940" t="s">
        <v>3460</v>
      </c>
      <c r="E1890" t="s">
        <v>1493</v>
      </c>
    </row>
    <row r="1891" spans="1:5" x14ac:dyDescent="0.2">
      <c r="A1891" s="940">
        <v>4081</v>
      </c>
      <c r="B1891" s="940">
        <v>2</v>
      </c>
      <c r="C1891" t="s">
        <v>5310</v>
      </c>
      <c r="D1891" s="940" t="s">
        <v>5311</v>
      </c>
      <c r="E1891" t="s">
        <v>105</v>
      </c>
    </row>
    <row r="1892" spans="1:5" x14ac:dyDescent="0.2">
      <c r="A1892" s="940">
        <v>3655</v>
      </c>
      <c r="B1892" s="940">
        <v>7</v>
      </c>
      <c r="C1892" t="s">
        <v>5319</v>
      </c>
      <c r="D1892" s="940" t="s">
        <v>5320</v>
      </c>
      <c r="E1892" t="s">
        <v>105</v>
      </c>
    </row>
    <row r="1893" spans="1:5" x14ac:dyDescent="0.2">
      <c r="A1893" s="940">
        <v>849</v>
      </c>
      <c r="B1893" s="940">
        <v>334</v>
      </c>
      <c r="C1893" t="s">
        <v>10433</v>
      </c>
      <c r="D1893" s="940" t="s">
        <v>10434</v>
      </c>
      <c r="E1893" t="s">
        <v>10435</v>
      </c>
    </row>
    <row r="1894" spans="1:5" x14ac:dyDescent="0.2">
      <c r="A1894" s="940">
        <v>3008</v>
      </c>
      <c r="B1894" s="940">
        <v>23</v>
      </c>
      <c r="C1894" t="s">
        <v>5322</v>
      </c>
      <c r="D1894" s="940" t="s">
        <v>5323</v>
      </c>
      <c r="E1894" t="s">
        <v>1214</v>
      </c>
    </row>
    <row r="1895" spans="1:5" x14ac:dyDescent="0.2">
      <c r="A1895" s="940">
        <v>3732</v>
      </c>
      <c r="B1895" s="940">
        <v>6</v>
      </c>
      <c r="C1895" t="s">
        <v>5324</v>
      </c>
      <c r="D1895" s="940" t="s">
        <v>5325</v>
      </c>
      <c r="E1895" t="s">
        <v>5326</v>
      </c>
    </row>
    <row r="1896" spans="1:5" x14ac:dyDescent="0.2">
      <c r="A1896" s="940">
        <v>2514</v>
      </c>
      <c r="B1896" s="940">
        <v>46</v>
      </c>
      <c r="C1896" t="s">
        <v>5327</v>
      </c>
      <c r="D1896" s="940" t="s">
        <v>5328</v>
      </c>
      <c r="E1896" t="s">
        <v>1162</v>
      </c>
    </row>
    <row r="1897" spans="1:5" x14ac:dyDescent="0.2">
      <c r="A1897" s="940">
        <v>457</v>
      </c>
      <c r="B1897" s="940">
        <v>585</v>
      </c>
      <c r="C1897" t="s">
        <v>495</v>
      </c>
      <c r="D1897" s="940" t="s">
        <v>5329</v>
      </c>
      <c r="E1897" t="s">
        <v>1269</v>
      </c>
    </row>
    <row r="1898" spans="1:5" x14ac:dyDescent="0.2">
      <c r="A1898" s="940">
        <v>3882</v>
      </c>
      <c r="B1898" s="940">
        <v>4</v>
      </c>
      <c r="C1898" t="s">
        <v>5330</v>
      </c>
      <c r="D1898" s="940" t="s">
        <v>5331</v>
      </c>
      <c r="E1898" t="s">
        <v>1214</v>
      </c>
    </row>
    <row r="1899" spans="1:5" x14ac:dyDescent="0.2">
      <c r="A1899" s="940">
        <v>2915</v>
      </c>
      <c r="B1899" s="940">
        <v>27</v>
      </c>
      <c r="C1899" t="s">
        <v>5332</v>
      </c>
      <c r="D1899" s="940" t="s">
        <v>3667</v>
      </c>
      <c r="E1899" t="s">
        <v>1363</v>
      </c>
    </row>
    <row r="1900" spans="1:5" x14ac:dyDescent="0.2">
      <c r="A1900" s="940">
        <v>2124</v>
      </c>
      <c r="B1900" s="940">
        <v>75</v>
      </c>
      <c r="C1900" t="s">
        <v>5333</v>
      </c>
      <c r="D1900" s="940" t="s">
        <v>3315</v>
      </c>
      <c r="E1900" t="s">
        <v>120</v>
      </c>
    </row>
    <row r="1901" spans="1:5" x14ac:dyDescent="0.2">
      <c r="A1901" s="940">
        <v>4181</v>
      </c>
      <c r="B1901" s="940">
        <v>1</v>
      </c>
      <c r="C1901" t="s">
        <v>5334</v>
      </c>
      <c r="D1901" s="940" t="s">
        <v>2814</v>
      </c>
      <c r="E1901" t="s">
        <v>105</v>
      </c>
    </row>
    <row r="1902" spans="1:5" x14ac:dyDescent="0.2">
      <c r="A1902" s="940">
        <v>2980</v>
      </c>
      <c r="B1902" s="940">
        <v>24</v>
      </c>
      <c r="C1902" t="s">
        <v>1706</v>
      </c>
      <c r="D1902" s="940" t="s">
        <v>8700</v>
      </c>
      <c r="E1902" t="s">
        <v>122</v>
      </c>
    </row>
    <row r="1903" spans="1:5" x14ac:dyDescent="0.2">
      <c r="A1903" s="940">
        <v>4294</v>
      </c>
      <c r="B1903" s="940">
        <v>0</v>
      </c>
      <c r="C1903" t="s">
        <v>10436</v>
      </c>
      <c r="D1903" s="940" t="s">
        <v>7720</v>
      </c>
      <c r="E1903" t="s">
        <v>2846</v>
      </c>
    </row>
    <row r="1904" spans="1:5" x14ac:dyDescent="0.2">
      <c r="A1904" s="940">
        <v>1641</v>
      </c>
      <c r="B1904" s="940">
        <v>123</v>
      </c>
      <c r="C1904" t="s">
        <v>10437</v>
      </c>
      <c r="D1904" s="940" t="s">
        <v>8105</v>
      </c>
      <c r="E1904" t="s">
        <v>5318</v>
      </c>
    </row>
    <row r="1905" spans="1:5" x14ac:dyDescent="0.2">
      <c r="A1905" s="940">
        <v>3174</v>
      </c>
      <c r="B1905" s="940">
        <v>18</v>
      </c>
      <c r="C1905" t="s">
        <v>5336</v>
      </c>
      <c r="D1905" s="940" t="s">
        <v>5337</v>
      </c>
      <c r="E1905" t="s">
        <v>4660</v>
      </c>
    </row>
    <row r="1906" spans="1:5" x14ac:dyDescent="0.2">
      <c r="A1906" s="940">
        <v>2894</v>
      </c>
      <c r="B1906" s="940">
        <v>28</v>
      </c>
      <c r="C1906" t="s">
        <v>5338</v>
      </c>
      <c r="D1906" s="940" t="s">
        <v>5339</v>
      </c>
      <c r="E1906" t="s">
        <v>4667</v>
      </c>
    </row>
    <row r="1907" spans="1:5" x14ac:dyDescent="0.2">
      <c r="A1907" s="940">
        <v>2833</v>
      </c>
      <c r="B1907" s="940">
        <v>31</v>
      </c>
      <c r="C1907" t="s">
        <v>5340</v>
      </c>
      <c r="D1907" s="940" t="s">
        <v>5141</v>
      </c>
      <c r="E1907" t="s">
        <v>1182</v>
      </c>
    </row>
    <row r="1908" spans="1:5" x14ac:dyDescent="0.2">
      <c r="A1908" s="940">
        <v>1378</v>
      </c>
      <c r="B1908" s="940">
        <v>167</v>
      </c>
      <c r="C1908" t="s">
        <v>5341</v>
      </c>
      <c r="D1908" s="940" t="s">
        <v>4966</v>
      </c>
      <c r="E1908" t="s">
        <v>1182</v>
      </c>
    </row>
    <row r="1909" spans="1:5" x14ac:dyDescent="0.2">
      <c r="A1909" s="940">
        <v>3358</v>
      </c>
      <c r="B1909" s="940">
        <v>13</v>
      </c>
      <c r="C1909" t="s">
        <v>10438</v>
      </c>
      <c r="D1909" s="940" t="s">
        <v>10260</v>
      </c>
      <c r="E1909" t="s">
        <v>4466</v>
      </c>
    </row>
    <row r="1910" spans="1:5" x14ac:dyDescent="0.2">
      <c r="A1910" s="940">
        <v>675</v>
      </c>
      <c r="B1910" s="940">
        <v>418</v>
      </c>
      <c r="C1910" t="s">
        <v>5342</v>
      </c>
      <c r="D1910" s="940" t="s">
        <v>5343</v>
      </c>
      <c r="E1910" t="s">
        <v>5344</v>
      </c>
    </row>
    <row r="1911" spans="1:5" x14ac:dyDescent="0.2">
      <c r="A1911" s="940">
        <v>4294</v>
      </c>
      <c r="B1911" s="940">
        <v>0</v>
      </c>
      <c r="C1911" t="s">
        <v>10439</v>
      </c>
      <c r="D1911" s="940" t="s">
        <v>4614</v>
      </c>
      <c r="E1911" t="s">
        <v>130</v>
      </c>
    </row>
    <row r="1912" spans="1:5" x14ac:dyDescent="0.2">
      <c r="A1912" s="940">
        <v>2745</v>
      </c>
      <c r="B1912" s="940">
        <v>35</v>
      </c>
      <c r="C1912" t="s">
        <v>5345</v>
      </c>
      <c r="D1912" s="940" t="s">
        <v>3222</v>
      </c>
      <c r="E1912" t="s">
        <v>133</v>
      </c>
    </row>
    <row r="1913" spans="1:5" x14ac:dyDescent="0.2">
      <c r="A1913" s="940">
        <v>953</v>
      </c>
      <c r="B1913" s="940">
        <v>296</v>
      </c>
      <c r="C1913" t="s">
        <v>10440</v>
      </c>
      <c r="D1913" s="940" t="s">
        <v>10441</v>
      </c>
      <c r="E1913" t="s">
        <v>113</v>
      </c>
    </row>
    <row r="1914" spans="1:5" x14ac:dyDescent="0.2">
      <c r="A1914" s="940">
        <v>168</v>
      </c>
      <c r="B1914" s="940">
        <v>958</v>
      </c>
      <c r="C1914" t="s">
        <v>5346</v>
      </c>
      <c r="D1914" s="940" t="s">
        <v>5347</v>
      </c>
      <c r="E1914" t="s">
        <v>105</v>
      </c>
    </row>
    <row r="1915" spans="1:5" x14ac:dyDescent="0.2">
      <c r="A1915" s="940">
        <v>1766</v>
      </c>
      <c r="B1915" s="940">
        <v>109</v>
      </c>
      <c r="C1915" t="s">
        <v>5348</v>
      </c>
      <c r="D1915" s="940" t="s">
        <v>5349</v>
      </c>
      <c r="E1915" t="s">
        <v>1156</v>
      </c>
    </row>
    <row r="1916" spans="1:5" x14ac:dyDescent="0.2">
      <c r="A1916" s="940">
        <v>939</v>
      </c>
      <c r="B1916" s="940">
        <v>302</v>
      </c>
      <c r="C1916" t="s">
        <v>703</v>
      </c>
      <c r="D1916" s="940" t="s">
        <v>5350</v>
      </c>
      <c r="E1916" t="s">
        <v>83</v>
      </c>
    </row>
    <row r="1917" spans="1:5" x14ac:dyDescent="0.2">
      <c r="A1917" s="940">
        <v>926</v>
      </c>
      <c r="B1917" s="940">
        <v>306</v>
      </c>
      <c r="C1917" t="s">
        <v>10442</v>
      </c>
      <c r="D1917" s="940" t="s">
        <v>10443</v>
      </c>
      <c r="E1917" t="s">
        <v>5136</v>
      </c>
    </row>
    <row r="1918" spans="1:5" x14ac:dyDescent="0.2">
      <c r="A1918" s="940">
        <v>3732</v>
      </c>
      <c r="B1918" s="940">
        <v>6</v>
      </c>
      <c r="C1918" t="s">
        <v>5351</v>
      </c>
      <c r="D1918" s="940" t="s">
        <v>5352</v>
      </c>
      <c r="E1918" t="s">
        <v>376</v>
      </c>
    </row>
    <row r="1919" spans="1:5" x14ac:dyDescent="0.2">
      <c r="A1919" s="940">
        <v>4294</v>
      </c>
      <c r="B1919" s="940">
        <v>0</v>
      </c>
      <c r="C1919" t="s">
        <v>5355</v>
      </c>
      <c r="D1919" s="940" t="s">
        <v>5356</v>
      </c>
      <c r="E1919" t="s">
        <v>1435</v>
      </c>
    </row>
    <row r="1920" spans="1:5" x14ac:dyDescent="0.2">
      <c r="A1920" s="940">
        <v>1075</v>
      </c>
      <c r="B1920" s="940">
        <v>251</v>
      </c>
      <c r="C1920" t="s">
        <v>5357</v>
      </c>
      <c r="D1920" s="940" t="s">
        <v>5358</v>
      </c>
      <c r="E1920" t="s">
        <v>120</v>
      </c>
    </row>
    <row r="1921" spans="1:5" x14ac:dyDescent="0.2">
      <c r="A1921" s="940">
        <v>232</v>
      </c>
      <c r="B1921" s="940">
        <v>863</v>
      </c>
      <c r="C1921" t="s">
        <v>5359</v>
      </c>
      <c r="D1921" s="940" t="s">
        <v>5360</v>
      </c>
      <c r="E1921" t="s">
        <v>105</v>
      </c>
    </row>
    <row r="1922" spans="1:5" x14ac:dyDescent="0.2">
      <c r="A1922" s="940">
        <v>1790</v>
      </c>
      <c r="B1922" s="940">
        <v>106</v>
      </c>
      <c r="C1922" t="s">
        <v>825</v>
      </c>
      <c r="D1922" s="940" t="s">
        <v>10444</v>
      </c>
      <c r="E1922" t="s">
        <v>1343</v>
      </c>
    </row>
    <row r="1923" spans="1:5" x14ac:dyDescent="0.2">
      <c r="A1923" s="940">
        <v>2423</v>
      </c>
      <c r="B1923" s="940">
        <v>53</v>
      </c>
      <c r="C1923" t="s">
        <v>10445</v>
      </c>
      <c r="D1923" s="940" t="s">
        <v>10446</v>
      </c>
      <c r="E1923" t="s">
        <v>9488</v>
      </c>
    </row>
    <row r="1924" spans="1:5" x14ac:dyDescent="0.2">
      <c r="A1924" s="940">
        <v>564</v>
      </c>
      <c r="B1924" s="940">
        <v>496</v>
      </c>
      <c r="C1924" t="s">
        <v>5361</v>
      </c>
      <c r="D1924" s="940" t="s">
        <v>5362</v>
      </c>
      <c r="E1924" t="s">
        <v>119</v>
      </c>
    </row>
    <row r="1925" spans="1:5" x14ac:dyDescent="0.2">
      <c r="A1925" s="940">
        <v>261</v>
      </c>
      <c r="B1925" s="940">
        <v>822</v>
      </c>
      <c r="C1925" t="s">
        <v>5363</v>
      </c>
      <c r="D1925" s="940" t="s">
        <v>5364</v>
      </c>
      <c r="E1925" t="s">
        <v>1158</v>
      </c>
    </row>
    <row r="1926" spans="1:5" x14ac:dyDescent="0.2">
      <c r="A1926" s="940">
        <v>4294</v>
      </c>
      <c r="B1926" s="940">
        <v>0</v>
      </c>
      <c r="C1926" t="s">
        <v>5365</v>
      </c>
      <c r="D1926" s="940" t="s">
        <v>3818</v>
      </c>
      <c r="E1926" t="s">
        <v>2880</v>
      </c>
    </row>
    <row r="1927" spans="1:5" x14ac:dyDescent="0.2">
      <c r="A1927" s="940">
        <v>1904</v>
      </c>
      <c r="B1927" s="940">
        <v>95</v>
      </c>
      <c r="C1927" t="s">
        <v>5366</v>
      </c>
      <c r="D1927" s="940" t="s">
        <v>5367</v>
      </c>
      <c r="E1927" t="s">
        <v>1214</v>
      </c>
    </row>
    <row r="1928" spans="1:5" x14ac:dyDescent="0.2">
      <c r="A1928" s="940">
        <v>4294</v>
      </c>
      <c r="B1928" s="940">
        <v>0</v>
      </c>
      <c r="C1928" t="s">
        <v>10447</v>
      </c>
      <c r="D1928" s="940" t="s">
        <v>10448</v>
      </c>
      <c r="E1928" t="s">
        <v>1158</v>
      </c>
    </row>
    <row r="1929" spans="1:5" x14ac:dyDescent="0.2">
      <c r="A1929" s="940">
        <v>1202</v>
      </c>
      <c r="B1929" s="940">
        <v>209</v>
      </c>
      <c r="C1929" t="s">
        <v>1712</v>
      </c>
      <c r="D1929" s="940" t="s">
        <v>5369</v>
      </c>
      <c r="E1929" t="s">
        <v>99</v>
      </c>
    </row>
    <row r="1930" spans="1:5" x14ac:dyDescent="0.2">
      <c r="A1930" s="940">
        <v>4294</v>
      </c>
      <c r="B1930" s="940">
        <v>0</v>
      </c>
      <c r="C1930" t="s">
        <v>5371</v>
      </c>
      <c r="D1930" s="940" t="s">
        <v>5372</v>
      </c>
      <c r="E1930" t="s">
        <v>1236</v>
      </c>
    </row>
    <row r="1931" spans="1:5" x14ac:dyDescent="0.2">
      <c r="A1931" s="940">
        <v>4294</v>
      </c>
      <c r="B1931" s="940">
        <v>0</v>
      </c>
      <c r="C1931" t="s">
        <v>1713</v>
      </c>
      <c r="D1931" s="940" t="s">
        <v>5373</v>
      </c>
      <c r="E1931" t="s">
        <v>99</v>
      </c>
    </row>
    <row r="1932" spans="1:5" x14ac:dyDescent="0.2">
      <c r="A1932" s="940">
        <v>42</v>
      </c>
      <c r="B1932" s="940">
        <v>1336</v>
      </c>
      <c r="C1932" t="s">
        <v>5374</v>
      </c>
      <c r="D1932" s="940" t="s">
        <v>5375</v>
      </c>
      <c r="E1932" t="s">
        <v>1171</v>
      </c>
    </row>
    <row r="1933" spans="1:5" x14ac:dyDescent="0.2">
      <c r="A1933" s="940">
        <v>321</v>
      </c>
      <c r="B1933" s="940">
        <v>738</v>
      </c>
      <c r="C1933" t="s">
        <v>5374</v>
      </c>
      <c r="D1933" s="940" t="s">
        <v>5376</v>
      </c>
      <c r="E1933" t="s">
        <v>1493</v>
      </c>
    </row>
    <row r="1934" spans="1:5" x14ac:dyDescent="0.2">
      <c r="A1934" s="940">
        <v>3402</v>
      </c>
      <c r="B1934" s="940">
        <v>12</v>
      </c>
      <c r="C1934" t="s">
        <v>5377</v>
      </c>
      <c r="D1934" s="940" t="s">
        <v>3315</v>
      </c>
      <c r="E1934" t="s">
        <v>164</v>
      </c>
    </row>
    <row r="1935" spans="1:5" x14ac:dyDescent="0.2">
      <c r="A1935" s="940">
        <v>4294</v>
      </c>
      <c r="B1935" s="940">
        <v>0</v>
      </c>
      <c r="C1935" t="s">
        <v>10449</v>
      </c>
      <c r="D1935" s="940" t="s">
        <v>10450</v>
      </c>
      <c r="E1935" t="s">
        <v>2846</v>
      </c>
    </row>
    <row r="1936" spans="1:5" x14ac:dyDescent="0.2">
      <c r="A1936" s="940">
        <v>1244</v>
      </c>
      <c r="B1936" s="940">
        <v>196</v>
      </c>
      <c r="C1936" t="s">
        <v>10451</v>
      </c>
      <c r="D1936" s="940" t="s">
        <v>10452</v>
      </c>
      <c r="E1936" t="s">
        <v>10305</v>
      </c>
    </row>
    <row r="1937" spans="1:5" x14ac:dyDescent="0.2">
      <c r="A1937" s="940">
        <v>1880</v>
      </c>
      <c r="B1937" s="940">
        <v>97</v>
      </c>
      <c r="C1937" t="s">
        <v>5378</v>
      </c>
      <c r="D1937" s="940" t="s">
        <v>5220</v>
      </c>
      <c r="E1937" t="s">
        <v>176</v>
      </c>
    </row>
    <row r="1938" spans="1:5" x14ac:dyDescent="0.2">
      <c r="A1938" s="940">
        <v>1046</v>
      </c>
      <c r="B1938" s="940">
        <v>260</v>
      </c>
      <c r="C1938" t="s">
        <v>10453</v>
      </c>
      <c r="D1938" s="940" t="s">
        <v>10454</v>
      </c>
      <c r="E1938" t="s">
        <v>4548</v>
      </c>
    </row>
    <row r="1939" spans="1:5" x14ac:dyDescent="0.2">
      <c r="A1939" s="940">
        <v>3796</v>
      </c>
      <c r="B1939" s="940">
        <v>5</v>
      </c>
      <c r="C1939" t="s">
        <v>5379</v>
      </c>
      <c r="D1939" s="940" t="s">
        <v>5380</v>
      </c>
      <c r="E1939" t="s">
        <v>4104</v>
      </c>
    </row>
    <row r="1940" spans="1:5" x14ac:dyDescent="0.2">
      <c r="A1940" s="940">
        <v>3107</v>
      </c>
      <c r="B1940" s="940">
        <v>20</v>
      </c>
      <c r="C1940" t="s">
        <v>5381</v>
      </c>
      <c r="D1940" s="940" t="s">
        <v>4802</v>
      </c>
      <c r="E1940" t="s">
        <v>2720</v>
      </c>
    </row>
    <row r="1941" spans="1:5" x14ac:dyDescent="0.2">
      <c r="A1941" s="940">
        <v>4081</v>
      </c>
      <c r="B1941" s="940">
        <v>2</v>
      </c>
      <c r="C1941" t="s">
        <v>5382</v>
      </c>
      <c r="D1941" s="940" t="s">
        <v>5383</v>
      </c>
      <c r="E1941" t="s">
        <v>1171</v>
      </c>
    </row>
    <row r="1942" spans="1:5" x14ac:dyDescent="0.2">
      <c r="A1942" s="940">
        <v>2193</v>
      </c>
      <c r="B1942" s="940">
        <v>70</v>
      </c>
      <c r="C1942" t="s">
        <v>10455</v>
      </c>
      <c r="D1942" s="940" t="s">
        <v>9904</v>
      </c>
      <c r="E1942" t="s">
        <v>166</v>
      </c>
    </row>
    <row r="1943" spans="1:5" x14ac:dyDescent="0.2">
      <c r="A1943" s="940">
        <v>772</v>
      </c>
      <c r="B1943" s="940">
        <v>376</v>
      </c>
      <c r="C1943" t="s">
        <v>2554</v>
      </c>
      <c r="D1943" s="940" t="s">
        <v>5384</v>
      </c>
      <c r="E1943" t="s">
        <v>1332</v>
      </c>
    </row>
    <row r="1944" spans="1:5" x14ac:dyDescent="0.2">
      <c r="A1944" s="940">
        <v>3796</v>
      </c>
      <c r="B1944" s="940">
        <v>5</v>
      </c>
      <c r="C1944" t="s">
        <v>10456</v>
      </c>
      <c r="D1944" s="940" t="s">
        <v>8669</v>
      </c>
      <c r="E1944" t="s">
        <v>3297</v>
      </c>
    </row>
    <row r="1945" spans="1:5" x14ac:dyDescent="0.2">
      <c r="A1945" s="940">
        <v>4081</v>
      </c>
      <c r="B1945" s="940">
        <v>2</v>
      </c>
      <c r="C1945" t="s">
        <v>10457</v>
      </c>
      <c r="D1945" s="940" t="s">
        <v>3935</v>
      </c>
      <c r="E1945" t="s">
        <v>74</v>
      </c>
    </row>
    <row r="1946" spans="1:5" x14ac:dyDescent="0.2">
      <c r="A1946" s="940">
        <v>449</v>
      </c>
      <c r="B1946" s="940">
        <v>595</v>
      </c>
      <c r="C1946" t="s">
        <v>5385</v>
      </c>
      <c r="D1946" s="940" t="s">
        <v>5386</v>
      </c>
      <c r="E1946" t="s">
        <v>120</v>
      </c>
    </row>
    <row r="1947" spans="1:5" x14ac:dyDescent="0.2">
      <c r="A1947" s="940">
        <v>4294</v>
      </c>
      <c r="B1947" s="940">
        <v>0</v>
      </c>
      <c r="C1947" t="s">
        <v>5387</v>
      </c>
      <c r="D1947" s="940" t="s">
        <v>5388</v>
      </c>
      <c r="E1947" t="s">
        <v>120</v>
      </c>
    </row>
    <row r="1948" spans="1:5" x14ac:dyDescent="0.2">
      <c r="A1948" s="940">
        <v>990</v>
      </c>
      <c r="B1948" s="940">
        <v>282</v>
      </c>
      <c r="C1948" t="s">
        <v>1715</v>
      </c>
      <c r="D1948" s="940" t="s">
        <v>5389</v>
      </c>
      <c r="E1948" t="s">
        <v>84</v>
      </c>
    </row>
    <row r="1949" spans="1:5" x14ac:dyDescent="0.2">
      <c r="A1949" s="940">
        <v>3048</v>
      </c>
      <c r="B1949" s="940">
        <v>22</v>
      </c>
      <c r="C1949" t="s">
        <v>5390</v>
      </c>
      <c r="D1949" s="940" t="s">
        <v>2927</v>
      </c>
      <c r="E1949" t="s">
        <v>105</v>
      </c>
    </row>
    <row r="1950" spans="1:5" x14ac:dyDescent="0.2">
      <c r="A1950" s="940">
        <v>1457</v>
      </c>
      <c r="B1950" s="940">
        <v>153</v>
      </c>
      <c r="C1950" t="s">
        <v>1716</v>
      </c>
      <c r="D1950" s="940" t="s">
        <v>5391</v>
      </c>
      <c r="E1950" t="s">
        <v>106</v>
      </c>
    </row>
    <row r="1951" spans="1:5" x14ac:dyDescent="0.2">
      <c r="A1951" s="940">
        <v>1591</v>
      </c>
      <c r="B1951" s="940">
        <v>130</v>
      </c>
      <c r="C1951" t="s">
        <v>5392</v>
      </c>
      <c r="D1951" s="940" t="s">
        <v>5393</v>
      </c>
      <c r="E1951" t="s">
        <v>2654</v>
      </c>
    </row>
    <row r="1952" spans="1:5" x14ac:dyDescent="0.2">
      <c r="A1952" s="940">
        <v>4294</v>
      </c>
      <c r="B1952" s="940">
        <v>0</v>
      </c>
      <c r="C1952" t="s">
        <v>5394</v>
      </c>
      <c r="D1952" s="940" t="s">
        <v>3109</v>
      </c>
      <c r="E1952" t="s">
        <v>2846</v>
      </c>
    </row>
    <row r="1953" spans="1:5" x14ac:dyDescent="0.2">
      <c r="A1953" s="940">
        <v>667</v>
      </c>
      <c r="B1953" s="940">
        <v>423</v>
      </c>
      <c r="C1953" t="s">
        <v>5395</v>
      </c>
      <c r="D1953" s="940" t="s">
        <v>5396</v>
      </c>
      <c r="E1953" t="s">
        <v>1236</v>
      </c>
    </row>
    <row r="1954" spans="1:5" x14ac:dyDescent="0.2">
      <c r="A1954" s="940">
        <v>3483</v>
      </c>
      <c r="B1954" s="940">
        <v>10</v>
      </c>
      <c r="C1954" t="s">
        <v>5397</v>
      </c>
      <c r="D1954" s="940" t="s">
        <v>4611</v>
      </c>
      <c r="E1954" t="s">
        <v>213</v>
      </c>
    </row>
    <row r="1955" spans="1:5" x14ac:dyDescent="0.2">
      <c r="A1955" s="940">
        <v>4294</v>
      </c>
      <c r="B1955" s="940">
        <v>0</v>
      </c>
      <c r="C1955" t="s">
        <v>5400</v>
      </c>
      <c r="D1955" s="940" t="s">
        <v>5401</v>
      </c>
      <c r="E1955" t="s">
        <v>120</v>
      </c>
    </row>
    <row r="1956" spans="1:5" x14ac:dyDescent="0.2">
      <c r="A1956" s="940">
        <v>4081</v>
      </c>
      <c r="B1956" s="940">
        <v>2</v>
      </c>
      <c r="C1956" t="s">
        <v>5402</v>
      </c>
      <c r="D1956" s="940" t="s">
        <v>4494</v>
      </c>
      <c r="E1956" t="s">
        <v>111</v>
      </c>
    </row>
    <row r="1957" spans="1:5" x14ac:dyDescent="0.2">
      <c r="A1957" s="940">
        <v>2819</v>
      </c>
      <c r="B1957" s="940">
        <v>32</v>
      </c>
      <c r="C1957" t="s">
        <v>10458</v>
      </c>
      <c r="D1957" s="940" t="s">
        <v>4681</v>
      </c>
      <c r="E1957" t="s">
        <v>2054</v>
      </c>
    </row>
    <row r="1958" spans="1:5" x14ac:dyDescent="0.2">
      <c r="A1958" s="940">
        <v>2270</v>
      </c>
      <c r="B1958" s="940">
        <v>64</v>
      </c>
      <c r="C1958" t="s">
        <v>5403</v>
      </c>
      <c r="D1958" s="940" t="s">
        <v>3601</v>
      </c>
      <c r="E1958" t="s">
        <v>74</v>
      </c>
    </row>
    <row r="1959" spans="1:5" x14ac:dyDescent="0.2">
      <c r="A1959" s="940">
        <v>4294</v>
      </c>
      <c r="B1959" s="940">
        <v>0</v>
      </c>
      <c r="C1959" t="s">
        <v>10459</v>
      </c>
      <c r="D1959" s="940" t="s">
        <v>3935</v>
      </c>
      <c r="E1959" t="s">
        <v>163</v>
      </c>
    </row>
    <row r="1960" spans="1:5" x14ac:dyDescent="0.2">
      <c r="A1960" s="940">
        <v>880</v>
      </c>
      <c r="B1960" s="940">
        <v>326</v>
      </c>
      <c r="C1960" t="s">
        <v>5404</v>
      </c>
      <c r="D1960" s="940" t="s">
        <v>5405</v>
      </c>
      <c r="E1960" t="s">
        <v>863</v>
      </c>
    </row>
    <row r="1961" spans="1:5" x14ac:dyDescent="0.2">
      <c r="A1961" s="940">
        <v>3483</v>
      </c>
      <c r="B1961" s="940">
        <v>10</v>
      </c>
      <c r="C1961" t="s">
        <v>10460</v>
      </c>
      <c r="D1961" s="940" t="s">
        <v>2936</v>
      </c>
      <c r="E1961" t="s">
        <v>99</v>
      </c>
    </row>
    <row r="1962" spans="1:5" x14ac:dyDescent="0.2">
      <c r="A1962" s="940">
        <v>1225</v>
      </c>
      <c r="B1962" s="940">
        <v>201</v>
      </c>
      <c r="C1962" t="s">
        <v>5406</v>
      </c>
      <c r="D1962" s="940" t="s">
        <v>5407</v>
      </c>
      <c r="E1962" t="s">
        <v>3140</v>
      </c>
    </row>
    <row r="1963" spans="1:5" x14ac:dyDescent="0.2">
      <c r="A1963" s="940">
        <v>1993</v>
      </c>
      <c r="B1963" s="940">
        <v>86</v>
      </c>
      <c r="C1963" t="s">
        <v>5409</v>
      </c>
      <c r="D1963" s="940" t="s">
        <v>3905</v>
      </c>
      <c r="E1963" t="s">
        <v>4574</v>
      </c>
    </row>
    <row r="1964" spans="1:5" x14ac:dyDescent="0.2">
      <c r="A1964" s="940">
        <v>4294</v>
      </c>
      <c r="B1964" s="940">
        <v>0</v>
      </c>
      <c r="C1964" t="s">
        <v>5410</v>
      </c>
      <c r="D1964" s="940" t="s">
        <v>3376</v>
      </c>
      <c r="E1964" t="s">
        <v>110</v>
      </c>
    </row>
    <row r="1965" spans="1:5" x14ac:dyDescent="0.2">
      <c r="A1965" s="940">
        <v>4294</v>
      </c>
      <c r="B1965" s="940">
        <v>0</v>
      </c>
      <c r="C1965" t="s">
        <v>5411</v>
      </c>
      <c r="D1965" s="940" t="s">
        <v>5412</v>
      </c>
      <c r="E1965" t="s">
        <v>105</v>
      </c>
    </row>
    <row r="1966" spans="1:5" x14ac:dyDescent="0.2">
      <c r="A1966" s="940">
        <v>4294</v>
      </c>
      <c r="B1966" s="940">
        <v>0</v>
      </c>
      <c r="C1966" t="s">
        <v>10461</v>
      </c>
      <c r="D1966" s="940" t="s">
        <v>4201</v>
      </c>
      <c r="E1966" t="s">
        <v>128</v>
      </c>
    </row>
    <row r="1967" spans="1:5" x14ac:dyDescent="0.2">
      <c r="A1967" s="940">
        <v>2877</v>
      </c>
      <c r="B1967" s="940">
        <v>29</v>
      </c>
      <c r="C1967" t="s">
        <v>10462</v>
      </c>
      <c r="D1967" s="940" t="s">
        <v>3626</v>
      </c>
      <c r="E1967" t="s">
        <v>3297</v>
      </c>
    </row>
    <row r="1968" spans="1:5" x14ac:dyDescent="0.2">
      <c r="A1968" s="940">
        <v>1133</v>
      </c>
      <c r="B1968" s="940">
        <v>228</v>
      </c>
      <c r="C1968" t="s">
        <v>249</v>
      </c>
      <c r="D1968" s="940" t="s">
        <v>6145</v>
      </c>
      <c r="E1968" t="s">
        <v>111</v>
      </c>
    </row>
    <row r="1969" spans="1:5" x14ac:dyDescent="0.2">
      <c r="A1969" s="940">
        <v>2962</v>
      </c>
      <c r="B1969" s="940">
        <v>25</v>
      </c>
      <c r="C1969" t="s">
        <v>5413</v>
      </c>
      <c r="D1969" s="940" t="s">
        <v>3212</v>
      </c>
      <c r="E1969" t="s">
        <v>105</v>
      </c>
    </row>
    <row r="1970" spans="1:5" x14ac:dyDescent="0.2">
      <c r="A1970" s="940">
        <v>752</v>
      </c>
      <c r="B1970" s="940">
        <v>381</v>
      </c>
      <c r="C1970" t="s">
        <v>497</v>
      </c>
      <c r="D1970" s="940" t="s">
        <v>5414</v>
      </c>
      <c r="E1970" t="s">
        <v>120</v>
      </c>
    </row>
    <row r="1971" spans="1:5" x14ac:dyDescent="0.2">
      <c r="A1971" s="940">
        <v>1977</v>
      </c>
      <c r="B1971" s="940">
        <v>88</v>
      </c>
      <c r="C1971" t="s">
        <v>5415</v>
      </c>
      <c r="D1971" s="940" t="s">
        <v>5416</v>
      </c>
      <c r="E1971" t="s">
        <v>165</v>
      </c>
    </row>
    <row r="1972" spans="1:5" x14ac:dyDescent="0.2">
      <c r="A1972" s="940">
        <v>4294</v>
      </c>
      <c r="B1972" s="940">
        <v>0</v>
      </c>
      <c r="C1972" t="s">
        <v>5417</v>
      </c>
      <c r="D1972" s="940" t="s">
        <v>5418</v>
      </c>
      <c r="E1972" t="s">
        <v>163</v>
      </c>
    </row>
    <row r="1973" spans="1:5" x14ac:dyDescent="0.2">
      <c r="A1973" s="940">
        <v>2193</v>
      </c>
      <c r="B1973" s="940">
        <v>70</v>
      </c>
      <c r="C1973" t="s">
        <v>5419</v>
      </c>
      <c r="D1973" s="940" t="s">
        <v>5420</v>
      </c>
      <c r="E1973" t="s">
        <v>231</v>
      </c>
    </row>
    <row r="1974" spans="1:5" x14ac:dyDescent="0.2">
      <c r="A1974" s="940">
        <v>2006</v>
      </c>
      <c r="B1974" s="940">
        <v>85</v>
      </c>
      <c r="C1974" t="s">
        <v>5421</v>
      </c>
      <c r="D1974" s="940" t="s">
        <v>9141</v>
      </c>
      <c r="E1974" t="s">
        <v>120</v>
      </c>
    </row>
    <row r="1975" spans="1:5" x14ac:dyDescent="0.2">
      <c r="A1975" s="940">
        <v>1226</v>
      </c>
      <c r="B1975" s="940">
        <v>200</v>
      </c>
      <c r="C1975" t="s">
        <v>250</v>
      </c>
      <c r="D1975" s="940" t="s">
        <v>5424</v>
      </c>
      <c r="E1975" t="s">
        <v>120</v>
      </c>
    </row>
    <row r="1976" spans="1:5" x14ac:dyDescent="0.2">
      <c r="A1976" s="940">
        <v>403</v>
      </c>
      <c r="B1976" s="940">
        <v>638</v>
      </c>
      <c r="C1976" t="s">
        <v>10463</v>
      </c>
      <c r="D1976" s="940" t="s">
        <v>10464</v>
      </c>
      <c r="E1976" t="s">
        <v>208</v>
      </c>
    </row>
    <row r="1977" spans="1:5" x14ac:dyDescent="0.2">
      <c r="A1977" s="940">
        <v>1843</v>
      </c>
      <c r="B1977" s="940">
        <v>101</v>
      </c>
      <c r="C1977" t="s">
        <v>5425</v>
      </c>
      <c r="D1977" s="940" t="s">
        <v>4862</v>
      </c>
      <c r="E1977" t="s">
        <v>3487</v>
      </c>
    </row>
    <row r="1978" spans="1:5" x14ac:dyDescent="0.2">
      <c r="A1978" s="940">
        <v>2409</v>
      </c>
      <c r="B1978" s="940">
        <v>54</v>
      </c>
      <c r="C1978" t="s">
        <v>5428</v>
      </c>
      <c r="D1978" s="940" t="s">
        <v>5429</v>
      </c>
      <c r="E1978" t="s">
        <v>112</v>
      </c>
    </row>
    <row r="1979" spans="1:5" x14ac:dyDescent="0.2">
      <c r="A1979" s="940">
        <v>3732</v>
      </c>
      <c r="B1979" s="940">
        <v>6</v>
      </c>
      <c r="C1979" t="s">
        <v>10465</v>
      </c>
      <c r="D1979" s="940" t="s">
        <v>3193</v>
      </c>
      <c r="E1979" t="s">
        <v>213</v>
      </c>
    </row>
    <row r="1980" spans="1:5" x14ac:dyDescent="0.2">
      <c r="A1980" s="940">
        <v>4294</v>
      </c>
      <c r="B1980" s="940">
        <v>0</v>
      </c>
      <c r="C1980" t="s">
        <v>5430</v>
      </c>
      <c r="D1980" s="940" t="s">
        <v>5431</v>
      </c>
      <c r="E1980" t="s">
        <v>1248</v>
      </c>
    </row>
    <row r="1981" spans="1:5" x14ac:dyDescent="0.2">
      <c r="A1981" s="940">
        <v>1802</v>
      </c>
      <c r="B1981" s="940">
        <v>105</v>
      </c>
      <c r="C1981" t="s">
        <v>5432</v>
      </c>
      <c r="D1981" s="940" t="s">
        <v>3721</v>
      </c>
      <c r="E1981" t="s">
        <v>1214</v>
      </c>
    </row>
    <row r="1982" spans="1:5" x14ac:dyDescent="0.2">
      <c r="A1982" s="940">
        <v>3402</v>
      </c>
      <c r="B1982" s="940">
        <v>12</v>
      </c>
      <c r="C1982" t="s">
        <v>5433</v>
      </c>
      <c r="D1982" s="940" t="s">
        <v>5434</v>
      </c>
      <c r="E1982" t="s">
        <v>117</v>
      </c>
    </row>
    <row r="1983" spans="1:5" x14ac:dyDescent="0.2">
      <c r="A1983" s="940">
        <v>1462</v>
      </c>
      <c r="B1983" s="940">
        <v>152</v>
      </c>
      <c r="C1983" t="s">
        <v>10466</v>
      </c>
      <c r="D1983" s="940" t="s">
        <v>6889</v>
      </c>
      <c r="E1983" t="s">
        <v>144</v>
      </c>
    </row>
    <row r="1984" spans="1:5" x14ac:dyDescent="0.2">
      <c r="A1984" s="940">
        <v>1946</v>
      </c>
      <c r="B1984" s="940">
        <v>91</v>
      </c>
      <c r="C1984" t="s">
        <v>5435</v>
      </c>
      <c r="D1984" s="940" t="s">
        <v>5436</v>
      </c>
      <c r="E1984" t="s">
        <v>132</v>
      </c>
    </row>
    <row r="1985" spans="1:5" x14ac:dyDescent="0.2">
      <c r="A1985" s="940">
        <v>3972</v>
      </c>
      <c r="B1985" s="940">
        <v>3</v>
      </c>
      <c r="C1985" t="s">
        <v>5437</v>
      </c>
      <c r="D1985" s="940" t="s">
        <v>5438</v>
      </c>
      <c r="E1985" t="s">
        <v>1968</v>
      </c>
    </row>
    <row r="1986" spans="1:5" x14ac:dyDescent="0.2">
      <c r="A1986" s="940">
        <v>3796</v>
      </c>
      <c r="B1986" s="940">
        <v>5</v>
      </c>
      <c r="C1986" t="s">
        <v>10467</v>
      </c>
      <c r="D1986" s="940" t="s">
        <v>9169</v>
      </c>
      <c r="E1986" t="s">
        <v>3114</v>
      </c>
    </row>
    <row r="1987" spans="1:5" x14ac:dyDescent="0.2">
      <c r="A1987" s="940">
        <v>2794</v>
      </c>
      <c r="B1987" s="940">
        <v>33</v>
      </c>
      <c r="C1987" t="s">
        <v>10468</v>
      </c>
      <c r="D1987" s="940" t="s">
        <v>4367</v>
      </c>
      <c r="E1987" t="s">
        <v>136</v>
      </c>
    </row>
    <row r="1988" spans="1:5" x14ac:dyDescent="0.2">
      <c r="A1988" s="940">
        <v>4294</v>
      </c>
      <c r="B1988" s="940">
        <v>0</v>
      </c>
      <c r="C1988" t="s">
        <v>5439</v>
      </c>
      <c r="D1988" s="940" t="s">
        <v>2653</v>
      </c>
      <c r="E1988" t="s">
        <v>163</v>
      </c>
    </row>
    <row r="1989" spans="1:5" x14ac:dyDescent="0.2">
      <c r="A1989" s="940">
        <v>1993</v>
      </c>
      <c r="B1989" s="940">
        <v>86</v>
      </c>
      <c r="C1989" t="s">
        <v>2555</v>
      </c>
      <c r="D1989" s="940" t="s">
        <v>5440</v>
      </c>
      <c r="E1989" t="s">
        <v>128</v>
      </c>
    </row>
    <row r="1990" spans="1:5" x14ac:dyDescent="0.2">
      <c r="A1990" s="940">
        <v>2774</v>
      </c>
      <c r="B1990" s="940">
        <v>34</v>
      </c>
      <c r="C1990" t="s">
        <v>5441</v>
      </c>
      <c r="D1990" s="940" t="s">
        <v>5442</v>
      </c>
      <c r="E1990" t="s">
        <v>99</v>
      </c>
    </row>
    <row r="1991" spans="1:5" x14ac:dyDescent="0.2">
      <c r="A1991" s="940">
        <v>3483</v>
      </c>
      <c r="B1991" s="940">
        <v>10</v>
      </c>
      <c r="C1991" t="s">
        <v>10469</v>
      </c>
      <c r="D1991" s="940" t="s">
        <v>6257</v>
      </c>
      <c r="E1991" t="s">
        <v>1524</v>
      </c>
    </row>
    <row r="1992" spans="1:5" x14ac:dyDescent="0.2">
      <c r="A1992" s="940">
        <v>4294</v>
      </c>
      <c r="B1992" s="940">
        <v>0</v>
      </c>
      <c r="C1992" t="s">
        <v>5444</v>
      </c>
      <c r="D1992" s="940" t="s">
        <v>5445</v>
      </c>
      <c r="E1992" t="s">
        <v>1261</v>
      </c>
    </row>
    <row r="1993" spans="1:5" x14ac:dyDescent="0.2">
      <c r="A1993" s="940">
        <v>2270</v>
      </c>
      <c r="B1993" s="940">
        <v>64</v>
      </c>
      <c r="C1993" t="s">
        <v>5446</v>
      </c>
      <c r="D1993" s="940" t="s">
        <v>5447</v>
      </c>
      <c r="E1993" t="s">
        <v>1754</v>
      </c>
    </row>
    <row r="1994" spans="1:5" x14ac:dyDescent="0.2">
      <c r="A1994" s="940">
        <v>4294</v>
      </c>
      <c r="B1994" s="940">
        <v>0</v>
      </c>
      <c r="C1994" t="s">
        <v>5446</v>
      </c>
      <c r="D1994" s="940" t="s">
        <v>5448</v>
      </c>
      <c r="E1994" t="s">
        <v>170</v>
      </c>
    </row>
    <row r="1995" spans="1:5" x14ac:dyDescent="0.2">
      <c r="A1995" s="940">
        <v>2475</v>
      </c>
      <c r="B1995" s="940">
        <v>49</v>
      </c>
      <c r="C1995" t="s">
        <v>5449</v>
      </c>
      <c r="D1995" s="940" t="s">
        <v>5450</v>
      </c>
      <c r="E1995" t="s">
        <v>112</v>
      </c>
    </row>
    <row r="1996" spans="1:5" x14ac:dyDescent="0.2">
      <c r="A1996" s="940">
        <v>3290</v>
      </c>
      <c r="B1996" s="940">
        <v>15</v>
      </c>
      <c r="C1996" t="s">
        <v>10470</v>
      </c>
      <c r="D1996" s="940" t="s">
        <v>6311</v>
      </c>
      <c r="E1996" t="s">
        <v>1435</v>
      </c>
    </row>
    <row r="1997" spans="1:5" x14ac:dyDescent="0.2">
      <c r="A1997" s="940">
        <v>1912</v>
      </c>
      <c r="B1997" s="940">
        <v>94</v>
      </c>
      <c r="C1997" t="s">
        <v>5456</v>
      </c>
      <c r="D1997" s="940" t="s">
        <v>5457</v>
      </c>
      <c r="E1997" t="s">
        <v>170</v>
      </c>
    </row>
    <row r="1998" spans="1:5" x14ac:dyDescent="0.2">
      <c r="A1998" s="940">
        <v>4294</v>
      </c>
      <c r="B1998" s="940">
        <v>0</v>
      </c>
      <c r="C1998" t="s">
        <v>5458</v>
      </c>
      <c r="D1998" s="940" t="s">
        <v>3317</v>
      </c>
      <c r="E1998" t="s">
        <v>99</v>
      </c>
    </row>
    <row r="1999" spans="1:5" x14ac:dyDescent="0.2">
      <c r="A1999" s="940">
        <v>246</v>
      </c>
      <c r="B1999" s="940">
        <v>843</v>
      </c>
      <c r="C1999" t="s">
        <v>5459</v>
      </c>
      <c r="D1999" s="940" t="s">
        <v>5460</v>
      </c>
      <c r="E1999" t="s">
        <v>5461</v>
      </c>
    </row>
    <row r="2000" spans="1:5" x14ac:dyDescent="0.2">
      <c r="A2000" s="940">
        <v>3972</v>
      </c>
      <c r="B2000" s="940">
        <v>3</v>
      </c>
      <c r="C2000" t="s">
        <v>5462</v>
      </c>
      <c r="D2000" s="940" t="s">
        <v>2888</v>
      </c>
      <c r="E2000" t="s">
        <v>147</v>
      </c>
    </row>
    <row r="2001" spans="1:5" x14ac:dyDescent="0.2">
      <c r="A2001" s="940">
        <v>4294</v>
      </c>
      <c r="B2001" s="940">
        <v>0</v>
      </c>
      <c r="C2001" t="s">
        <v>10471</v>
      </c>
      <c r="D2001" s="940" t="s">
        <v>8820</v>
      </c>
      <c r="E2001" t="s">
        <v>105</v>
      </c>
    </row>
    <row r="2002" spans="1:5" x14ac:dyDescent="0.2">
      <c r="A2002" s="940">
        <v>745</v>
      </c>
      <c r="B2002" s="940">
        <v>384</v>
      </c>
      <c r="C2002" t="s">
        <v>10472</v>
      </c>
      <c r="D2002" s="940" t="s">
        <v>10473</v>
      </c>
      <c r="E2002" t="s">
        <v>76</v>
      </c>
    </row>
    <row r="2003" spans="1:5" x14ac:dyDescent="0.2">
      <c r="A2003" s="940">
        <v>3882</v>
      </c>
      <c r="B2003" s="940">
        <v>4</v>
      </c>
      <c r="C2003" t="s">
        <v>1728</v>
      </c>
      <c r="D2003" s="940" t="s">
        <v>5453</v>
      </c>
      <c r="E2003" t="s">
        <v>290</v>
      </c>
    </row>
    <row r="2004" spans="1:5" x14ac:dyDescent="0.2">
      <c r="A2004" s="940">
        <v>3483</v>
      </c>
      <c r="B2004" s="940">
        <v>10</v>
      </c>
      <c r="C2004" t="s">
        <v>5463</v>
      </c>
      <c r="D2004" s="940" t="s">
        <v>4280</v>
      </c>
      <c r="E2004" t="s">
        <v>1200</v>
      </c>
    </row>
    <row r="2005" spans="1:5" x14ac:dyDescent="0.2">
      <c r="A2005" s="940">
        <v>2423</v>
      </c>
      <c r="B2005" s="940">
        <v>53</v>
      </c>
      <c r="C2005" t="s">
        <v>10474</v>
      </c>
      <c r="D2005" s="940" t="s">
        <v>10475</v>
      </c>
      <c r="E2005" t="s">
        <v>121</v>
      </c>
    </row>
    <row r="2006" spans="1:5" x14ac:dyDescent="0.2">
      <c r="A2006" s="940">
        <v>3972</v>
      </c>
      <c r="B2006" s="940">
        <v>3</v>
      </c>
      <c r="C2006" t="s">
        <v>10476</v>
      </c>
      <c r="D2006" s="940" t="s">
        <v>3344</v>
      </c>
      <c r="E2006" t="s">
        <v>122</v>
      </c>
    </row>
    <row r="2007" spans="1:5" x14ac:dyDescent="0.2">
      <c r="A2007" s="940">
        <v>607</v>
      </c>
      <c r="B2007" s="940">
        <v>463</v>
      </c>
      <c r="C2007" t="s">
        <v>5464</v>
      </c>
      <c r="D2007" s="940" t="s">
        <v>5465</v>
      </c>
      <c r="E2007" t="s">
        <v>105</v>
      </c>
    </row>
    <row r="2008" spans="1:5" x14ac:dyDescent="0.2">
      <c r="A2008" s="940">
        <v>2242</v>
      </c>
      <c r="B2008" s="940">
        <v>66</v>
      </c>
      <c r="C2008" t="s">
        <v>5466</v>
      </c>
      <c r="D2008" s="940" t="s">
        <v>5467</v>
      </c>
      <c r="E2008" t="s">
        <v>139</v>
      </c>
    </row>
    <row r="2009" spans="1:5" x14ac:dyDescent="0.2">
      <c r="A2009" s="940">
        <v>4294</v>
      </c>
      <c r="B2009" s="940">
        <v>0</v>
      </c>
      <c r="C2009" t="s">
        <v>5468</v>
      </c>
      <c r="D2009" s="940" t="s">
        <v>5469</v>
      </c>
      <c r="E2009" t="s">
        <v>139</v>
      </c>
    </row>
    <row r="2010" spans="1:5" x14ac:dyDescent="0.2">
      <c r="A2010" s="940">
        <v>4294</v>
      </c>
      <c r="B2010" s="940">
        <v>0</v>
      </c>
      <c r="C2010" t="s">
        <v>5470</v>
      </c>
      <c r="D2010" s="940" t="s">
        <v>4780</v>
      </c>
      <c r="E2010" t="s">
        <v>105</v>
      </c>
    </row>
    <row r="2011" spans="1:5" x14ac:dyDescent="0.2">
      <c r="A2011" s="940">
        <v>3048</v>
      </c>
      <c r="B2011" s="940">
        <v>22</v>
      </c>
      <c r="C2011" t="s">
        <v>10477</v>
      </c>
      <c r="D2011" s="940" t="s">
        <v>10478</v>
      </c>
      <c r="E2011" t="s">
        <v>117</v>
      </c>
    </row>
    <row r="2012" spans="1:5" x14ac:dyDescent="0.2">
      <c r="A2012" s="940">
        <v>4294</v>
      </c>
      <c r="B2012" s="940">
        <v>0</v>
      </c>
      <c r="C2012" t="s">
        <v>10479</v>
      </c>
      <c r="D2012" s="940" t="s">
        <v>3082</v>
      </c>
      <c r="E2012" t="s">
        <v>84</v>
      </c>
    </row>
    <row r="2013" spans="1:5" x14ac:dyDescent="0.2">
      <c r="A2013" s="940">
        <v>441</v>
      </c>
      <c r="B2013" s="940">
        <v>601</v>
      </c>
      <c r="C2013" t="s">
        <v>5471</v>
      </c>
      <c r="D2013" s="940" t="s">
        <v>5472</v>
      </c>
      <c r="E2013" t="s">
        <v>126</v>
      </c>
    </row>
    <row r="2014" spans="1:5" x14ac:dyDescent="0.2">
      <c r="A2014" s="940">
        <v>2794</v>
      </c>
      <c r="B2014" s="940">
        <v>33</v>
      </c>
      <c r="C2014" t="s">
        <v>5473</v>
      </c>
      <c r="D2014" s="940" t="s">
        <v>5474</v>
      </c>
      <c r="E2014" t="s">
        <v>122</v>
      </c>
    </row>
    <row r="2015" spans="1:5" x14ac:dyDescent="0.2">
      <c r="A2015" s="940">
        <v>4294</v>
      </c>
      <c r="B2015" s="940">
        <v>0</v>
      </c>
      <c r="C2015" t="s">
        <v>5475</v>
      </c>
      <c r="D2015" s="940" t="s">
        <v>5476</v>
      </c>
      <c r="E2015" t="s">
        <v>1961</v>
      </c>
    </row>
    <row r="2016" spans="1:5" x14ac:dyDescent="0.2">
      <c r="A2016" s="940">
        <v>342</v>
      </c>
      <c r="B2016" s="940">
        <v>710</v>
      </c>
      <c r="C2016" t="s">
        <v>5477</v>
      </c>
      <c r="D2016" s="940" t="s">
        <v>5478</v>
      </c>
      <c r="E2016" t="s">
        <v>126</v>
      </c>
    </row>
    <row r="2017" spans="1:5" x14ac:dyDescent="0.2">
      <c r="A2017" s="940">
        <v>2312</v>
      </c>
      <c r="B2017" s="940">
        <v>61</v>
      </c>
      <c r="C2017" t="s">
        <v>10480</v>
      </c>
      <c r="D2017" s="940" t="s">
        <v>5822</v>
      </c>
      <c r="E2017" t="s">
        <v>5823</v>
      </c>
    </row>
    <row r="2018" spans="1:5" x14ac:dyDescent="0.2">
      <c r="A2018" s="940">
        <v>3174</v>
      </c>
      <c r="B2018" s="940">
        <v>18</v>
      </c>
      <c r="C2018" t="s">
        <v>1731</v>
      </c>
      <c r="D2018" s="940" t="s">
        <v>5479</v>
      </c>
      <c r="E2018" t="s">
        <v>84</v>
      </c>
    </row>
    <row r="2019" spans="1:5" x14ac:dyDescent="0.2">
      <c r="A2019" s="940">
        <v>4294</v>
      </c>
      <c r="B2019" s="940">
        <v>0</v>
      </c>
      <c r="C2019" t="s">
        <v>5480</v>
      </c>
      <c r="D2019" s="940" t="s">
        <v>5481</v>
      </c>
      <c r="E2019" t="s">
        <v>99</v>
      </c>
    </row>
    <row r="2020" spans="1:5" x14ac:dyDescent="0.2">
      <c r="A2020" s="940">
        <v>521</v>
      </c>
      <c r="B2020" s="940">
        <v>526</v>
      </c>
      <c r="C2020" t="s">
        <v>5484</v>
      </c>
      <c r="D2020" s="940" t="s">
        <v>5485</v>
      </c>
      <c r="E2020" t="s">
        <v>132</v>
      </c>
    </row>
    <row r="2021" spans="1:5" x14ac:dyDescent="0.2">
      <c r="A2021" s="940">
        <v>3545</v>
      </c>
      <c r="B2021" s="940">
        <v>9</v>
      </c>
      <c r="C2021" t="s">
        <v>5487</v>
      </c>
      <c r="D2021" s="940" t="s">
        <v>3204</v>
      </c>
      <c r="E2021" t="s">
        <v>105</v>
      </c>
    </row>
    <row r="2022" spans="1:5" x14ac:dyDescent="0.2">
      <c r="A2022" s="940">
        <v>4294</v>
      </c>
      <c r="B2022" s="940">
        <v>0</v>
      </c>
      <c r="C2022" t="s">
        <v>5487</v>
      </c>
      <c r="D2022" s="940" t="s">
        <v>5488</v>
      </c>
      <c r="E2022" t="s">
        <v>105</v>
      </c>
    </row>
    <row r="2023" spans="1:5" x14ac:dyDescent="0.2">
      <c r="A2023" s="940">
        <v>117</v>
      </c>
      <c r="B2023" s="940">
        <v>1067</v>
      </c>
      <c r="C2023" t="s">
        <v>5489</v>
      </c>
      <c r="D2023" s="940" t="s">
        <v>5490</v>
      </c>
      <c r="E2023" t="s">
        <v>109</v>
      </c>
    </row>
    <row r="2024" spans="1:5" x14ac:dyDescent="0.2">
      <c r="A2024" s="940">
        <v>646</v>
      </c>
      <c r="B2024" s="940">
        <v>435</v>
      </c>
      <c r="C2024" t="s">
        <v>5491</v>
      </c>
      <c r="D2024" s="940" t="s">
        <v>5492</v>
      </c>
      <c r="E2024" t="s">
        <v>122</v>
      </c>
    </row>
    <row r="2025" spans="1:5" x14ac:dyDescent="0.2">
      <c r="A2025" s="940">
        <v>740</v>
      </c>
      <c r="B2025" s="940">
        <v>386</v>
      </c>
      <c r="C2025" t="s">
        <v>501</v>
      </c>
      <c r="D2025" s="940" t="s">
        <v>2786</v>
      </c>
      <c r="E2025" t="s">
        <v>164</v>
      </c>
    </row>
    <row r="2026" spans="1:5" x14ac:dyDescent="0.2">
      <c r="A2026" s="940">
        <v>3602</v>
      </c>
      <c r="B2026" s="940">
        <v>8</v>
      </c>
      <c r="C2026" t="s">
        <v>5493</v>
      </c>
      <c r="D2026" s="940" t="s">
        <v>5494</v>
      </c>
      <c r="E2026" t="s">
        <v>1358</v>
      </c>
    </row>
    <row r="2027" spans="1:5" x14ac:dyDescent="0.2">
      <c r="A2027" s="940">
        <v>3972</v>
      </c>
      <c r="B2027" s="940">
        <v>3</v>
      </c>
      <c r="C2027" t="s">
        <v>10481</v>
      </c>
      <c r="D2027" s="940" t="s">
        <v>9911</v>
      </c>
      <c r="E2027" t="s">
        <v>1171</v>
      </c>
    </row>
    <row r="2028" spans="1:5" x14ac:dyDescent="0.2">
      <c r="A2028" s="940">
        <v>1372</v>
      </c>
      <c r="B2028" s="940">
        <v>168</v>
      </c>
      <c r="C2028" t="s">
        <v>1734</v>
      </c>
      <c r="D2028" s="940" t="s">
        <v>5495</v>
      </c>
      <c r="E2028" t="s">
        <v>1460</v>
      </c>
    </row>
    <row r="2029" spans="1:5" x14ac:dyDescent="0.2">
      <c r="A2029" s="940">
        <v>4294</v>
      </c>
      <c r="B2029" s="940">
        <v>0</v>
      </c>
      <c r="C2029" t="s">
        <v>5496</v>
      </c>
      <c r="D2029" s="940" t="s">
        <v>5497</v>
      </c>
      <c r="E2029" t="s">
        <v>251</v>
      </c>
    </row>
    <row r="2030" spans="1:5" x14ac:dyDescent="0.2">
      <c r="A2030" s="940">
        <v>3972</v>
      </c>
      <c r="B2030" s="940">
        <v>3</v>
      </c>
      <c r="C2030" t="s">
        <v>10482</v>
      </c>
      <c r="D2030" s="940" t="s">
        <v>10483</v>
      </c>
      <c r="E2030" t="s">
        <v>1200</v>
      </c>
    </row>
    <row r="2031" spans="1:5" x14ac:dyDescent="0.2">
      <c r="A2031" s="940">
        <v>4081</v>
      </c>
      <c r="B2031" s="940">
        <v>2</v>
      </c>
      <c r="C2031" t="s">
        <v>10484</v>
      </c>
      <c r="D2031" s="940" t="s">
        <v>5074</v>
      </c>
      <c r="E2031" t="s">
        <v>122</v>
      </c>
    </row>
    <row r="2032" spans="1:5" x14ac:dyDescent="0.2">
      <c r="A2032" s="940">
        <v>3972</v>
      </c>
      <c r="B2032" s="940">
        <v>3</v>
      </c>
      <c r="C2032" t="s">
        <v>5498</v>
      </c>
      <c r="D2032" s="940" t="s">
        <v>3691</v>
      </c>
      <c r="E2032" t="s">
        <v>165</v>
      </c>
    </row>
    <row r="2033" spans="1:5" x14ac:dyDescent="0.2">
      <c r="A2033" s="940">
        <v>2270</v>
      </c>
      <c r="B2033" s="940">
        <v>64</v>
      </c>
      <c r="C2033" t="s">
        <v>5499</v>
      </c>
      <c r="D2033" s="940" t="s">
        <v>5500</v>
      </c>
      <c r="E2033" t="s">
        <v>1162</v>
      </c>
    </row>
    <row r="2034" spans="1:5" x14ac:dyDescent="0.2">
      <c r="A2034" s="940">
        <v>2938</v>
      </c>
      <c r="B2034" s="940">
        <v>26</v>
      </c>
      <c r="C2034" t="s">
        <v>5501</v>
      </c>
      <c r="D2034" s="940" t="s">
        <v>5116</v>
      </c>
      <c r="E2034" t="s">
        <v>1236</v>
      </c>
    </row>
    <row r="2035" spans="1:5" x14ac:dyDescent="0.2">
      <c r="A2035" s="940">
        <v>1714</v>
      </c>
      <c r="B2035" s="940">
        <v>116</v>
      </c>
      <c r="C2035" t="s">
        <v>1742</v>
      </c>
      <c r="D2035" s="940" t="s">
        <v>10485</v>
      </c>
      <c r="E2035" t="s">
        <v>136</v>
      </c>
    </row>
    <row r="2036" spans="1:5" x14ac:dyDescent="0.2">
      <c r="A2036" s="940">
        <v>4294</v>
      </c>
      <c r="B2036" s="940">
        <v>0</v>
      </c>
      <c r="C2036" t="s">
        <v>5502</v>
      </c>
      <c r="D2036" s="940" t="s">
        <v>5503</v>
      </c>
      <c r="E2036" t="s">
        <v>110</v>
      </c>
    </row>
    <row r="2037" spans="1:5" x14ac:dyDescent="0.2">
      <c r="A2037" s="940">
        <v>1223</v>
      </c>
      <c r="B2037" s="940">
        <v>202</v>
      </c>
      <c r="C2037" t="s">
        <v>5504</v>
      </c>
      <c r="D2037" s="940" t="s">
        <v>4206</v>
      </c>
      <c r="E2037" t="s">
        <v>147</v>
      </c>
    </row>
    <row r="2038" spans="1:5" x14ac:dyDescent="0.2">
      <c r="A2038" s="940">
        <v>1802</v>
      </c>
      <c r="B2038" s="940">
        <v>105</v>
      </c>
      <c r="C2038" t="s">
        <v>5504</v>
      </c>
      <c r="D2038" s="940" t="s">
        <v>5505</v>
      </c>
      <c r="E2038" t="s">
        <v>5506</v>
      </c>
    </row>
    <row r="2039" spans="1:5" x14ac:dyDescent="0.2">
      <c r="A2039" s="940">
        <v>727</v>
      </c>
      <c r="B2039" s="940">
        <v>392</v>
      </c>
      <c r="C2039" t="s">
        <v>10486</v>
      </c>
      <c r="D2039" s="940" t="s">
        <v>10487</v>
      </c>
      <c r="E2039" t="s">
        <v>103</v>
      </c>
    </row>
    <row r="2040" spans="1:5" x14ac:dyDescent="0.2">
      <c r="A2040" s="940">
        <v>3655</v>
      </c>
      <c r="B2040" s="940">
        <v>7</v>
      </c>
      <c r="C2040" t="s">
        <v>5507</v>
      </c>
      <c r="D2040" s="940" t="s">
        <v>2936</v>
      </c>
      <c r="E2040" t="s">
        <v>1460</v>
      </c>
    </row>
    <row r="2041" spans="1:5" x14ac:dyDescent="0.2">
      <c r="A2041" s="940">
        <v>660</v>
      </c>
      <c r="B2041" s="940">
        <v>428</v>
      </c>
      <c r="C2041" t="s">
        <v>503</v>
      </c>
      <c r="D2041" s="940" t="s">
        <v>3824</v>
      </c>
      <c r="E2041" t="s">
        <v>1162</v>
      </c>
    </row>
    <row r="2042" spans="1:5" x14ac:dyDescent="0.2">
      <c r="A2042" s="940">
        <v>1359</v>
      </c>
      <c r="B2042" s="940">
        <v>170</v>
      </c>
      <c r="C2042" t="s">
        <v>10488</v>
      </c>
      <c r="D2042" s="940" t="s">
        <v>10489</v>
      </c>
      <c r="E2042" t="s">
        <v>120</v>
      </c>
    </row>
    <row r="2043" spans="1:5" x14ac:dyDescent="0.2">
      <c r="A2043" s="940">
        <v>3222</v>
      </c>
      <c r="B2043" s="940">
        <v>17</v>
      </c>
      <c r="C2043" t="s">
        <v>5508</v>
      </c>
      <c r="D2043" s="940" t="s">
        <v>2657</v>
      </c>
      <c r="E2043" t="s">
        <v>1214</v>
      </c>
    </row>
    <row r="2044" spans="1:5" x14ac:dyDescent="0.2">
      <c r="A2044" s="940">
        <v>4181</v>
      </c>
      <c r="B2044" s="940">
        <v>1</v>
      </c>
      <c r="C2044" t="s">
        <v>5511</v>
      </c>
      <c r="D2044" s="940" t="s">
        <v>5512</v>
      </c>
      <c r="E2044" t="s">
        <v>1803</v>
      </c>
    </row>
    <row r="2045" spans="1:5" x14ac:dyDescent="0.2">
      <c r="A2045" s="940">
        <v>2691</v>
      </c>
      <c r="B2045" s="940">
        <v>37</v>
      </c>
      <c r="C2045" t="s">
        <v>5513</v>
      </c>
      <c r="D2045" s="940" t="s">
        <v>5514</v>
      </c>
      <c r="E2045" t="s">
        <v>1435</v>
      </c>
    </row>
    <row r="2046" spans="1:5" x14ac:dyDescent="0.2">
      <c r="A2046" s="940">
        <v>3222</v>
      </c>
      <c r="B2046" s="940">
        <v>17</v>
      </c>
      <c r="C2046" t="s">
        <v>5515</v>
      </c>
      <c r="D2046" s="940" t="s">
        <v>5512</v>
      </c>
      <c r="E2046" t="s">
        <v>1803</v>
      </c>
    </row>
    <row r="2047" spans="1:5" x14ac:dyDescent="0.2">
      <c r="A2047" s="940">
        <v>4294</v>
      </c>
      <c r="B2047" s="940">
        <v>0</v>
      </c>
      <c r="C2047" t="s">
        <v>5516</v>
      </c>
      <c r="D2047" s="940" t="s">
        <v>4223</v>
      </c>
      <c r="E2047" t="s">
        <v>186</v>
      </c>
    </row>
    <row r="2048" spans="1:5" x14ac:dyDescent="0.2">
      <c r="A2048" s="940">
        <v>660</v>
      </c>
      <c r="B2048" s="940">
        <v>428</v>
      </c>
      <c r="C2048" t="s">
        <v>5517</v>
      </c>
      <c r="D2048" s="940" t="s">
        <v>5518</v>
      </c>
      <c r="E2048" t="s">
        <v>120</v>
      </c>
    </row>
    <row r="2049" spans="1:5" x14ac:dyDescent="0.2">
      <c r="A2049" s="940">
        <v>3882</v>
      </c>
      <c r="B2049" s="940">
        <v>4</v>
      </c>
      <c r="C2049" t="s">
        <v>5519</v>
      </c>
      <c r="D2049" s="940" t="s">
        <v>5520</v>
      </c>
      <c r="E2049" t="s">
        <v>122</v>
      </c>
    </row>
    <row r="2050" spans="1:5" x14ac:dyDescent="0.2">
      <c r="A2050" s="940">
        <v>256</v>
      </c>
      <c r="B2050" s="940">
        <v>831</v>
      </c>
      <c r="C2050" t="s">
        <v>5521</v>
      </c>
      <c r="D2050" s="940" t="s">
        <v>5522</v>
      </c>
      <c r="E2050" t="s">
        <v>164</v>
      </c>
    </row>
    <row r="2051" spans="1:5" x14ac:dyDescent="0.2">
      <c r="A2051" s="940">
        <v>2514</v>
      </c>
      <c r="B2051" s="940">
        <v>46</v>
      </c>
      <c r="C2051" t="s">
        <v>5523</v>
      </c>
      <c r="D2051" s="940" t="s">
        <v>5524</v>
      </c>
      <c r="E2051" t="s">
        <v>1158</v>
      </c>
    </row>
    <row r="2052" spans="1:5" x14ac:dyDescent="0.2">
      <c r="A2052" s="940">
        <v>3732</v>
      </c>
      <c r="B2052" s="940">
        <v>6</v>
      </c>
      <c r="C2052" t="s">
        <v>5528</v>
      </c>
      <c r="D2052" s="940" t="s">
        <v>5529</v>
      </c>
      <c r="E2052" t="s">
        <v>1330</v>
      </c>
    </row>
    <row r="2053" spans="1:5" x14ac:dyDescent="0.2">
      <c r="A2053" s="940">
        <v>875</v>
      </c>
      <c r="B2053" s="940">
        <v>327</v>
      </c>
      <c r="C2053" t="s">
        <v>10490</v>
      </c>
      <c r="D2053" s="940" t="s">
        <v>10491</v>
      </c>
      <c r="E2053" t="s">
        <v>120</v>
      </c>
    </row>
    <row r="2054" spans="1:5" x14ac:dyDescent="0.2">
      <c r="A2054" s="940">
        <v>4294</v>
      </c>
      <c r="B2054" s="940">
        <v>0</v>
      </c>
      <c r="C2054" t="s">
        <v>5532</v>
      </c>
      <c r="D2054" s="940" t="s">
        <v>3546</v>
      </c>
      <c r="E2054" t="s">
        <v>4583</v>
      </c>
    </row>
    <row r="2055" spans="1:5" x14ac:dyDescent="0.2">
      <c r="A2055" s="940">
        <v>3107</v>
      </c>
      <c r="B2055" s="940">
        <v>20</v>
      </c>
      <c r="C2055" t="s">
        <v>10492</v>
      </c>
      <c r="D2055" s="940" t="s">
        <v>8962</v>
      </c>
      <c r="E2055" t="s">
        <v>2660</v>
      </c>
    </row>
    <row r="2056" spans="1:5" x14ac:dyDescent="0.2">
      <c r="A2056" s="940">
        <v>3545</v>
      </c>
      <c r="B2056" s="940">
        <v>9</v>
      </c>
      <c r="C2056" t="s">
        <v>5533</v>
      </c>
      <c r="D2056" s="940" t="s">
        <v>3364</v>
      </c>
      <c r="E2056" t="s">
        <v>1246</v>
      </c>
    </row>
    <row r="2057" spans="1:5" x14ac:dyDescent="0.2">
      <c r="A2057" s="940">
        <v>4294</v>
      </c>
      <c r="B2057" s="940">
        <v>0</v>
      </c>
      <c r="C2057" t="s">
        <v>5534</v>
      </c>
      <c r="D2057" s="940" t="s">
        <v>5535</v>
      </c>
      <c r="E2057" t="s">
        <v>110</v>
      </c>
    </row>
    <row r="2058" spans="1:5" x14ac:dyDescent="0.2">
      <c r="A2058" s="940">
        <v>391</v>
      </c>
      <c r="B2058" s="940">
        <v>648</v>
      </c>
      <c r="C2058" t="s">
        <v>5536</v>
      </c>
      <c r="D2058" s="940" t="s">
        <v>5537</v>
      </c>
      <c r="E2058" t="s">
        <v>163</v>
      </c>
    </row>
    <row r="2059" spans="1:5" x14ac:dyDescent="0.2">
      <c r="A2059" s="940">
        <v>2691</v>
      </c>
      <c r="B2059" s="940">
        <v>37</v>
      </c>
      <c r="C2059" t="s">
        <v>5539</v>
      </c>
      <c r="D2059" s="940" t="s">
        <v>3017</v>
      </c>
      <c r="E2059" t="s">
        <v>103</v>
      </c>
    </row>
    <row r="2060" spans="1:5" x14ac:dyDescent="0.2">
      <c r="A2060" s="940">
        <v>3882</v>
      </c>
      <c r="B2060" s="940">
        <v>4</v>
      </c>
      <c r="C2060" t="s">
        <v>10493</v>
      </c>
      <c r="D2060" s="940" t="s">
        <v>2740</v>
      </c>
      <c r="E2060" t="s">
        <v>1315</v>
      </c>
    </row>
    <row r="2061" spans="1:5" x14ac:dyDescent="0.2">
      <c r="A2061" s="940">
        <v>4294</v>
      </c>
      <c r="B2061" s="940">
        <v>0</v>
      </c>
      <c r="C2061" t="s">
        <v>10494</v>
      </c>
      <c r="D2061" s="940" t="s">
        <v>4355</v>
      </c>
      <c r="E2061" t="s">
        <v>10495</v>
      </c>
    </row>
    <row r="2062" spans="1:5" x14ac:dyDescent="0.2">
      <c r="A2062" s="940">
        <v>3136</v>
      </c>
      <c r="B2062" s="940">
        <v>19</v>
      </c>
      <c r="C2062" t="s">
        <v>5540</v>
      </c>
      <c r="D2062" s="940" t="s">
        <v>5541</v>
      </c>
      <c r="E2062" t="s">
        <v>118</v>
      </c>
    </row>
    <row r="2063" spans="1:5" x14ac:dyDescent="0.2">
      <c r="A2063" s="940">
        <v>3655</v>
      </c>
      <c r="B2063" s="940">
        <v>7</v>
      </c>
      <c r="C2063" t="s">
        <v>5542</v>
      </c>
      <c r="D2063" s="940" t="s">
        <v>5543</v>
      </c>
      <c r="E2063" t="s">
        <v>122</v>
      </c>
    </row>
    <row r="2064" spans="1:5" x14ac:dyDescent="0.2">
      <c r="A2064" s="940">
        <v>4294</v>
      </c>
      <c r="B2064" s="940">
        <v>0</v>
      </c>
      <c r="C2064" t="s">
        <v>10496</v>
      </c>
      <c r="D2064" s="940" t="s">
        <v>10497</v>
      </c>
      <c r="E2064" t="s">
        <v>1659</v>
      </c>
    </row>
    <row r="2065" spans="1:5" x14ac:dyDescent="0.2">
      <c r="A2065" s="940">
        <v>2774</v>
      </c>
      <c r="B2065" s="940">
        <v>34</v>
      </c>
      <c r="C2065" t="s">
        <v>1746</v>
      </c>
      <c r="D2065" s="940" t="s">
        <v>3253</v>
      </c>
      <c r="E2065" t="s">
        <v>1358</v>
      </c>
    </row>
    <row r="2066" spans="1:5" x14ac:dyDescent="0.2">
      <c r="A2066" s="940">
        <v>1452</v>
      </c>
      <c r="B2066" s="940">
        <v>154</v>
      </c>
      <c r="C2066" t="s">
        <v>5544</v>
      </c>
      <c r="D2066" s="940" t="s">
        <v>3173</v>
      </c>
      <c r="E2066" t="s">
        <v>105</v>
      </c>
    </row>
    <row r="2067" spans="1:5" x14ac:dyDescent="0.2">
      <c r="A2067" s="940">
        <v>606</v>
      </c>
      <c r="B2067" s="940">
        <v>468</v>
      </c>
      <c r="C2067" t="s">
        <v>10498</v>
      </c>
      <c r="D2067" s="940" t="s">
        <v>10499</v>
      </c>
      <c r="E2067" t="s">
        <v>109</v>
      </c>
    </row>
    <row r="2068" spans="1:5" x14ac:dyDescent="0.2">
      <c r="A2068" s="940">
        <v>2379</v>
      </c>
      <c r="B2068" s="940">
        <v>56</v>
      </c>
      <c r="C2068" t="s">
        <v>5545</v>
      </c>
      <c r="D2068" s="940" t="s">
        <v>5546</v>
      </c>
      <c r="E2068" t="s">
        <v>1700</v>
      </c>
    </row>
    <row r="2069" spans="1:5" x14ac:dyDescent="0.2">
      <c r="A2069" s="940">
        <v>2150</v>
      </c>
      <c r="B2069" s="940">
        <v>73</v>
      </c>
      <c r="C2069" t="s">
        <v>2556</v>
      </c>
      <c r="D2069" s="940" t="s">
        <v>10291</v>
      </c>
      <c r="E2069" t="s">
        <v>1961</v>
      </c>
    </row>
    <row r="2070" spans="1:5" x14ac:dyDescent="0.2">
      <c r="A2070" s="940">
        <v>3323</v>
      </c>
      <c r="B2070" s="940">
        <v>14</v>
      </c>
      <c r="C2070" t="s">
        <v>5547</v>
      </c>
      <c r="D2070" s="940" t="s">
        <v>5548</v>
      </c>
      <c r="E2070" t="s">
        <v>1612</v>
      </c>
    </row>
    <row r="2071" spans="1:5" x14ac:dyDescent="0.2">
      <c r="A2071" s="940">
        <v>192</v>
      </c>
      <c r="B2071" s="940">
        <v>922</v>
      </c>
      <c r="C2071" t="s">
        <v>5549</v>
      </c>
      <c r="D2071" s="940" t="s">
        <v>5550</v>
      </c>
      <c r="E2071" t="s">
        <v>1968</v>
      </c>
    </row>
    <row r="2072" spans="1:5" x14ac:dyDescent="0.2">
      <c r="A2072" s="940">
        <v>765</v>
      </c>
      <c r="B2072" s="940">
        <v>378</v>
      </c>
      <c r="C2072" t="s">
        <v>10500</v>
      </c>
      <c r="D2072" s="940" t="s">
        <v>10501</v>
      </c>
      <c r="E2072" t="s">
        <v>132</v>
      </c>
    </row>
    <row r="2073" spans="1:5" x14ac:dyDescent="0.2">
      <c r="A2073" s="940">
        <v>984</v>
      </c>
      <c r="B2073" s="940">
        <v>285</v>
      </c>
      <c r="C2073" t="s">
        <v>5551</v>
      </c>
      <c r="D2073" s="940" t="s">
        <v>5552</v>
      </c>
      <c r="E2073" t="s">
        <v>171</v>
      </c>
    </row>
    <row r="2074" spans="1:5" x14ac:dyDescent="0.2">
      <c r="A2074" s="940">
        <v>4294</v>
      </c>
      <c r="B2074" s="940">
        <v>0</v>
      </c>
      <c r="C2074" t="s">
        <v>10502</v>
      </c>
      <c r="D2074" s="940" t="s">
        <v>8028</v>
      </c>
      <c r="E2074" t="s">
        <v>2660</v>
      </c>
    </row>
    <row r="2075" spans="1:5" x14ac:dyDescent="0.2">
      <c r="A2075" s="940">
        <v>3972</v>
      </c>
      <c r="B2075" s="940">
        <v>3</v>
      </c>
      <c r="C2075" t="s">
        <v>5553</v>
      </c>
      <c r="D2075" s="940" t="s">
        <v>5554</v>
      </c>
      <c r="E2075" t="s">
        <v>5555</v>
      </c>
    </row>
    <row r="2076" spans="1:5" x14ac:dyDescent="0.2">
      <c r="A2076" s="940">
        <v>4081</v>
      </c>
      <c r="B2076" s="940">
        <v>2</v>
      </c>
      <c r="C2076" t="s">
        <v>5556</v>
      </c>
      <c r="D2076" s="940" t="s">
        <v>3250</v>
      </c>
      <c r="E2076" t="s">
        <v>4014</v>
      </c>
    </row>
    <row r="2077" spans="1:5" x14ac:dyDescent="0.2">
      <c r="A2077" s="940">
        <v>4294</v>
      </c>
      <c r="B2077" s="940">
        <v>0</v>
      </c>
      <c r="C2077" t="s">
        <v>10503</v>
      </c>
      <c r="D2077" s="940" t="s">
        <v>10504</v>
      </c>
      <c r="E2077" t="s">
        <v>120</v>
      </c>
    </row>
    <row r="2078" spans="1:5" x14ac:dyDescent="0.2">
      <c r="A2078" s="940">
        <v>1563</v>
      </c>
      <c r="B2078" s="940">
        <v>134</v>
      </c>
      <c r="C2078" t="s">
        <v>1748</v>
      </c>
      <c r="D2078" s="940" t="s">
        <v>5557</v>
      </c>
      <c r="E2078" t="s">
        <v>171</v>
      </c>
    </row>
    <row r="2079" spans="1:5" x14ac:dyDescent="0.2">
      <c r="A2079" s="940">
        <v>2552</v>
      </c>
      <c r="B2079" s="940">
        <v>44</v>
      </c>
      <c r="C2079" t="s">
        <v>10505</v>
      </c>
      <c r="D2079" s="940" t="s">
        <v>10506</v>
      </c>
      <c r="E2079" t="s">
        <v>2720</v>
      </c>
    </row>
    <row r="2080" spans="1:5" x14ac:dyDescent="0.2">
      <c r="A2080" s="940">
        <v>1320</v>
      </c>
      <c r="B2080" s="940">
        <v>180</v>
      </c>
      <c r="C2080" t="s">
        <v>5560</v>
      </c>
      <c r="D2080" s="940" t="s">
        <v>5561</v>
      </c>
      <c r="E2080" t="s">
        <v>120</v>
      </c>
    </row>
    <row r="2081" spans="1:5" x14ac:dyDescent="0.2">
      <c r="A2081" s="940">
        <v>2042</v>
      </c>
      <c r="B2081" s="940">
        <v>82</v>
      </c>
      <c r="C2081" t="s">
        <v>5562</v>
      </c>
      <c r="D2081" s="940" t="s">
        <v>10097</v>
      </c>
      <c r="E2081" t="s">
        <v>111</v>
      </c>
    </row>
    <row r="2082" spans="1:5" x14ac:dyDescent="0.2">
      <c r="A2082" s="940">
        <v>4294</v>
      </c>
      <c r="B2082" s="940">
        <v>0</v>
      </c>
      <c r="C2082" t="s">
        <v>5562</v>
      </c>
      <c r="D2082" s="940" t="s">
        <v>5563</v>
      </c>
      <c r="E2082" t="s">
        <v>120</v>
      </c>
    </row>
    <row r="2083" spans="1:5" x14ac:dyDescent="0.2">
      <c r="A2083" s="940">
        <v>4081</v>
      </c>
      <c r="B2083" s="940">
        <v>2</v>
      </c>
      <c r="C2083" t="s">
        <v>5564</v>
      </c>
      <c r="D2083" s="940" t="s">
        <v>4489</v>
      </c>
      <c r="E2083" t="s">
        <v>128</v>
      </c>
    </row>
    <row r="2084" spans="1:5" x14ac:dyDescent="0.2">
      <c r="A2084" s="940">
        <v>1342</v>
      </c>
      <c r="B2084" s="940">
        <v>173</v>
      </c>
      <c r="C2084" t="s">
        <v>5567</v>
      </c>
      <c r="D2084" s="940" t="s">
        <v>5568</v>
      </c>
      <c r="E2084" t="s">
        <v>128</v>
      </c>
    </row>
    <row r="2085" spans="1:5" x14ac:dyDescent="0.2">
      <c r="A2085" s="940">
        <v>405</v>
      </c>
      <c r="B2085" s="940">
        <v>637</v>
      </c>
      <c r="C2085" t="s">
        <v>10507</v>
      </c>
      <c r="D2085" s="940" t="s">
        <v>10508</v>
      </c>
      <c r="E2085" t="s">
        <v>103</v>
      </c>
    </row>
    <row r="2086" spans="1:5" x14ac:dyDescent="0.2">
      <c r="A2086" s="940">
        <v>2915</v>
      </c>
      <c r="B2086" s="940">
        <v>27</v>
      </c>
      <c r="C2086" t="s">
        <v>10509</v>
      </c>
      <c r="D2086" s="940" t="s">
        <v>10510</v>
      </c>
      <c r="E2086" t="s">
        <v>110</v>
      </c>
    </row>
    <row r="2087" spans="1:5" x14ac:dyDescent="0.2">
      <c r="A2087" s="940">
        <v>575</v>
      </c>
      <c r="B2087" s="940">
        <v>488</v>
      </c>
      <c r="C2087" t="s">
        <v>1751</v>
      </c>
      <c r="D2087" s="940" t="s">
        <v>5569</v>
      </c>
      <c r="E2087" t="s">
        <v>137</v>
      </c>
    </row>
    <row r="2088" spans="1:5" x14ac:dyDescent="0.2">
      <c r="A2088" s="940">
        <v>1420</v>
      </c>
      <c r="B2088" s="940">
        <v>159</v>
      </c>
      <c r="C2088" t="s">
        <v>2557</v>
      </c>
      <c r="D2088" s="940" t="s">
        <v>6113</v>
      </c>
      <c r="E2088" t="s">
        <v>2558</v>
      </c>
    </row>
    <row r="2089" spans="1:5" x14ac:dyDescent="0.2">
      <c r="A2089" s="940">
        <v>3655</v>
      </c>
      <c r="B2089" s="940">
        <v>7</v>
      </c>
      <c r="C2089" t="s">
        <v>2557</v>
      </c>
      <c r="D2089" s="940" t="s">
        <v>5572</v>
      </c>
      <c r="E2089" t="s">
        <v>1343</v>
      </c>
    </row>
    <row r="2090" spans="1:5" x14ac:dyDescent="0.2">
      <c r="A2090" s="940">
        <v>2668</v>
      </c>
      <c r="B2090" s="940">
        <v>38</v>
      </c>
      <c r="C2090" t="s">
        <v>5575</v>
      </c>
      <c r="D2090" s="940" t="s">
        <v>2870</v>
      </c>
      <c r="E2090" t="s">
        <v>290</v>
      </c>
    </row>
    <row r="2091" spans="1:5" x14ac:dyDescent="0.2">
      <c r="A2091" s="940">
        <v>3796</v>
      </c>
      <c r="B2091" s="940">
        <v>5</v>
      </c>
      <c r="C2091" t="s">
        <v>5576</v>
      </c>
      <c r="D2091" s="940" t="s">
        <v>5577</v>
      </c>
      <c r="E2091" t="s">
        <v>1200</v>
      </c>
    </row>
    <row r="2092" spans="1:5" x14ac:dyDescent="0.2">
      <c r="A2092" s="940">
        <v>4294</v>
      </c>
      <c r="B2092" s="940">
        <v>0</v>
      </c>
      <c r="C2092" t="s">
        <v>5578</v>
      </c>
      <c r="D2092" s="940" t="s">
        <v>5579</v>
      </c>
      <c r="E2092" t="s">
        <v>1590</v>
      </c>
    </row>
    <row r="2093" spans="1:5" x14ac:dyDescent="0.2">
      <c r="A2093" s="940">
        <v>2270</v>
      </c>
      <c r="B2093" s="940">
        <v>64</v>
      </c>
      <c r="C2093" t="s">
        <v>5582</v>
      </c>
      <c r="D2093" s="940" t="s">
        <v>4348</v>
      </c>
      <c r="E2093" t="s">
        <v>132</v>
      </c>
    </row>
    <row r="2094" spans="1:5" x14ac:dyDescent="0.2">
      <c r="A2094" s="940">
        <v>1704</v>
      </c>
      <c r="B2094" s="940">
        <v>117</v>
      </c>
      <c r="C2094" t="s">
        <v>5583</v>
      </c>
      <c r="D2094" s="940" t="s">
        <v>5584</v>
      </c>
      <c r="E2094" t="s">
        <v>1251</v>
      </c>
    </row>
    <row r="2095" spans="1:5" x14ac:dyDescent="0.2">
      <c r="A2095" s="940">
        <v>1904</v>
      </c>
      <c r="B2095" s="940">
        <v>95</v>
      </c>
      <c r="C2095" t="s">
        <v>5585</v>
      </c>
      <c r="D2095" s="940" t="s">
        <v>5586</v>
      </c>
      <c r="E2095" t="s">
        <v>186</v>
      </c>
    </row>
    <row r="2096" spans="1:5" x14ac:dyDescent="0.2">
      <c r="A2096" s="940">
        <v>4081</v>
      </c>
      <c r="B2096" s="940">
        <v>2</v>
      </c>
      <c r="C2096" t="s">
        <v>10511</v>
      </c>
      <c r="D2096" s="940" t="s">
        <v>10512</v>
      </c>
      <c r="E2096" t="s">
        <v>164</v>
      </c>
    </row>
    <row r="2097" spans="1:5" x14ac:dyDescent="0.2">
      <c r="A2097" s="940">
        <v>4294</v>
      </c>
      <c r="B2097" s="940">
        <v>0</v>
      </c>
      <c r="C2097" t="s">
        <v>10513</v>
      </c>
      <c r="D2097" s="940" t="s">
        <v>3313</v>
      </c>
      <c r="E2097" t="s">
        <v>133</v>
      </c>
    </row>
    <row r="2098" spans="1:5" x14ac:dyDescent="0.2">
      <c r="A2098" s="940">
        <v>4081</v>
      </c>
      <c r="B2098" s="940">
        <v>2</v>
      </c>
      <c r="C2098" t="s">
        <v>10514</v>
      </c>
      <c r="D2098" s="940" t="s">
        <v>4804</v>
      </c>
      <c r="E2098" t="s">
        <v>1232</v>
      </c>
    </row>
    <row r="2099" spans="1:5" x14ac:dyDescent="0.2">
      <c r="A2099" s="940">
        <v>4181</v>
      </c>
      <c r="B2099" s="940">
        <v>1</v>
      </c>
      <c r="C2099" t="s">
        <v>10515</v>
      </c>
      <c r="D2099" s="940" t="s">
        <v>3464</v>
      </c>
      <c r="E2099" t="s">
        <v>5591</v>
      </c>
    </row>
    <row r="2100" spans="1:5" x14ac:dyDescent="0.2">
      <c r="A2100" s="940">
        <v>902</v>
      </c>
      <c r="B2100" s="940">
        <v>316</v>
      </c>
      <c r="C2100" t="s">
        <v>5589</v>
      </c>
      <c r="D2100" s="940" t="s">
        <v>5590</v>
      </c>
      <c r="E2100" t="s">
        <v>5591</v>
      </c>
    </row>
    <row r="2101" spans="1:5" x14ac:dyDescent="0.2">
      <c r="A2101" s="940">
        <v>4294</v>
      </c>
      <c r="B2101" s="940">
        <v>0</v>
      </c>
      <c r="C2101" t="s">
        <v>10516</v>
      </c>
      <c r="D2101" s="940" t="s">
        <v>8037</v>
      </c>
      <c r="E2101" t="s">
        <v>1236</v>
      </c>
    </row>
    <row r="2102" spans="1:5" x14ac:dyDescent="0.2">
      <c r="A2102" s="940">
        <v>3048</v>
      </c>
      <c r="B2102" s="940">
        <v>22</v>
      </c>
      <c r="C2102" t="s">
        <v>10517</v>
      </c>
      <c r="D2102" s="940" t="s">
        <v>9915</v>
      </c>
      <c r="E2102" t="s">
        <v>9809</v>
      </c>
    </row>
    <row r="2103" spans="1:5" x14ac:dyDescent="0.2">
      <c r="A2103" s="940">
        <v>1912</v>
      </c>
      <c r="B2103" s="940">
        <v>94</v>
      </c>
      <c r="C2103" t="s">
        <v>10518</v>
      </c>
      <c r="D2103" s="940" t="s">
        <v>3075</v>
      </c>
      <c r="E2103" t="s">
        <v>3383</v>
      </c>
    </row>
    <row r="2104" spans="1:5" x14ac:dyDescent="0.2">
      <c r="A2104" s="940">
        <v>2409</v>
      </c>
      <c r="B2104" s="940">
        <v>54</v>
      </c>
      <c r="C2104" t="s">
        <v>5596</v>
      </c>
      <c r="D2104" s="940" t="s">
        <v>3723</v>
      </c>
      <c r="E2104" t="s">
        <v>120</v>
      </c>
    </row>
    <row r="2105" spans="1:5" x14ac:dyDescent="0.2">
      <c r="A2105" s="940">
        <v>4181</v>
      </c>
      <c r="B2105" s="940">
        <v>1</v>
      </c>
      <c r="C2105" t="s">
        <v>5597</v>
      </c>
      <c r="D2105" s="940" t="s">
        <v>4611</v>
      </c>
      <c r="E2105" t="s">
        <v>1232</v>
      </c>
    </row>
    <row r="2106" spans="1:5" x14ac:dyDescent="0.2">
      <c r="A2106" s="940">
        <v>2894</v>
      </c>
      <c r="B2106" s="940">
        <v>28</v>
      </c>
      <c r="C2106" t="s">
        <v>5598</v>
      </c>
      <c r="D2106" s="940" t="s">
        <v>3554</v>
      </c>
      <c r="E2106" t="s">
        <v>112</v>
      </c>
    </row>
    <row r="2107" spans="1:5" x14ac:dyDescent="0.2">
      <c r="A2107" s="940">
        <v>384</v>
      </c>
      <c r="B2107" s="940">
        <v>654</v>
      </c>
      <c r="C2107" t="s">
        <v>10519</v>
      </c>
      <c r="D2107" s="940" t="s">
        <v>10520</v>
      </c>
      <c r="E2107" t="s">
        <v>1162</v>
      </c>
    </row>
    <row r="2108" spans="1:5" x14ac:dyDescent="0.2">
      <c r="A2108" s="940">
        <v>3323</v>
      </c>
      <c r="B2108" s="940">
        <v>14</v>
      </c>
      <c r="C2108" t="s">
        <v>10521</v>
      </c>
      <c r="D2108" s="940" t="s">
        <v>3139</v>
      </c>
      <c r="E2108" t="s">
        <v>1584</v>
      </c>
    </row>
    <row r="2109" spans="1:5" x14ac:dyDescent="0.2">
      <c r="A2109" s="940">
        <v>4294</v>
      </c>
      <c r="B2109" s="940">
        <v>0</v>
      </c>
      <c r="C2109" t="s">
        <v>10521</v>
      </c>
      <c r="D2109" s="940" t="s">
        <v>6409</v>
      </c>
      <c r="E2109" t="s">
        <v>105</v>
      </c>
    </row>
    <row r="2110" spans="1:5" x14ac:dyDescent="0.2">
      <c r="A2110" s="940">
        <v>2915</v>
      </c>
      <c r="B2110" s="940">
        <v>27</v>
      </c>
      <c r="C2110" t="s">
        <v>5599</v>
      </c>
      <c r="D2110" s="940" t="s">
        <v>5600</v>
      </c>
      <c r="E2110" t="s">
        <v>1214</v>
      </c>
    </row>
    <row r="2111" spans="1:5" x14ac:dyDescent="0.2">
      <c r="A2111" s="940">
        <v>2218</v>
      </c>
      <c r="B2111" s="940">
        <v>68</v>
      </c>
      <c r="C2111" t="s">
        <v>5603</v>
      </c>
      <c r="D2111" s="940" t="s">
        <v>3204</v>
      </c>
      <c r="E2111" t="s">
        <v>122</v>
      </c>
    </row>
    <row r="2112" spans="1:5" x14ac:dyDescent="0.2">
      <c r="A2112" s="940">
        <v>1993</v>
      </c>
      <c r="B2112" s="940">
        <v>86</v>
      </c>
      <c r="C2112" t="s">
        <v>5604</v>
      </c>
      <c r="D2112" s="940" t="s">
        <v>5605</v>
      </c>
      <c r="E2112" t="s">
        <v>1214</v>
      </c>
    </row>
    <row r="2113" spans="1:5" x14ac:dyDescent="0.2">
      <c r="A2113" s="940">
        <v>1629</v>
      </c>
      <c r="B2113" s="940">
        <v>124</v>
      </c>
      <c r="C2113" t="s">
        <v>5606</v>
      </c>
      <c r="D2113" s="940" t="s">
        <v>5607</v>
      </c>
      <c r="E2113" t="s">
        <v>122</v>
      </c>
    </row>
    <row r="2114" spans="1:5" x14ac:dyDescent="0.2">
      <c r="A2114" s="940">
        <v>1977</v>
      </c>
      <c r="B2114" s="940">
        <v>88</v>
      </c>
      <c r="C2114" t="s">
        <v>5608</v>
      </c>
      <c r="D2114" s="940" t="s">
        <v>2927</v>
      </c>
      <c r="E2114" t="s">
        <v>3098</v>
      </c>
    </row>
    <row r="2115" spans="1:5" x14ac:dyDescent="0.2">
      <c r="A2115" s="940">
        <v>4181</v>
      </c>
      <c r="B2115" s="940">
        <v>1</v>
      </c>
      <c r="C2115" t="s">
        <v>5609</v>
      </c>
      <c r="D2115" s="940" t="s">
        <v>3681</v>
      </c>
      <c r="E2115" t="s">
        <v>1467</v>
      </c>
    </row>
    <row r="2116" spans="1:5" x14ac:dyDescent="0.2">
      <c r="A2116" s="940">
        <v>821</v>
      </c>
      <c r="B2116" s="940">
        <v>353</v>
      </c>
      <c r="C2116" t="s">
        <v>10522</v>
      </c>
      <c r="D2116" s="940" t="s">
        <v>10523</v>
      </c>
      <c r="E2116" t="s">
        <v>166</v>
      </c>
    </row>
    <row r="2117" spans="1:5" x14ac:dyDescent="0.2">
      <c r="A2117" s="940">
        <v>3446</v>
      </c>
      <c r="B2117" s="940">
        <v>11</v>
      </c>
      <c r="C2117" t="s">
        <v>10524</v>
      </c>
      <c r="D2117" s="940" t="s">
        <v>3183</v>
      </c>
      <c r="E2117" t="s">
        <v>9860</v>
      </c>
    </row>
    <row r="2118" spans="1:5" x14ac:dyDescent="0.2">
      <c r="A2118" s="940">
        <v>857</v>
      </c>
      <c r="B2118" s="940">
        <v>332</v>
      </c>
      <c r="C2118" t="s">
        <v>10525</v>
      </c>
      <c r="D2118" s="940" t="s">
        <v>8325</v>
      </c>
      <c r="E2118" t="s">
        <v>105</v>
      </c>
    </row>
    <row r="2119" spans="1:5" x14ac:dyDescent="0.2">
      <c r="A2119" s="940">
        <v>1766</v>
      </c>
      <c r="B2119" s="940">
        <v>109</v>
      </c>
      <c r="C2119" t="s">
        <v>5610</v>
      </c>
      <c r="D2119" s="940" t="s">
        <v>5611</v>
      </c>
      <c r="E2119" t="s">
        <v>128</v>
      </c>
    </row>
    <row r="2120" spans="1:5" x14ac:dyDescent="0.2">
      <c r="A2120" s="940">
        <v>2486</v>
      </c>
      <c r="B2120" s="940">
        <v>48</v>
      </c>
      <c r="C2120" t="s">
        <v>5612</v>
      </c>
      <c r="D2120" s="940" t="s">
        <v>5613</v>
      </c>
      <c r="E2120" t="s">
        <v>164</v>
      </c>
    </row>
    <row r="2121" spans="1:5" x14ac:dyDescent="0.2">
      <c r="A2121" s="940">
        <v>3250</v>
      </c>
      <c r="B2121" s="940">
        <v>16</v>
      </c>
      <c r="C2121" t="s">
        <v>5614</v>
      </c>
      <c r="D2121" s="940" t="s">
        <v>5615</v>
      </c>
      <c r="E2121" t="s">
        <v>2880</v>
      </c>
    </row>
    <row r="2122" spans="1:5" x14ac:dyDescent="0.2">
      <c r="A2122" s="940">
        <v>2242</v>
      </c>
      <c r="B2122" s="940">
        <v>66</v>
      </c>
      <c r="C2122" t="s">
        <v>5616</v>
      </c>
      <c r="D2122" s="940" t="s">
        <v>5617</v>
      </c>
      <c r="E2122" t="s">
        <v>4395</v>
      </c>
    </row>
    <row r="2123" spans="1:5" x14ac:dyDescent="0.2">
      <c r="A2123" s="940">
        <v>2124</v>
      </c>
      <c r="B2123" s="940">
        <v>75</v>
      </c>
      <c r="C2123" t="s">
        <v>10526</v>
      </c>
      <c r="D2123" s="940" t="s">
        <v>4653</v>
      </c>
      <c r="E2123" t="s">
        <v>2916</v>
      </c>
    </row>
    <row r="2124" spans="1:5" x14ac:dyDescent="0.2">
      <c r="A2124" s="940">
        <v>2242</v>
      </c>
      <c r="B2124" s="940">
        <v>66</v>
      </c>
      <c r="C2124" t="s">
        <v>1760</v>
      </c>
      <c r="D2124" s="940" t="s">
        <v>10527</v>
      </c>
      <c r="E2124" t="s">
        <v>113</v>
      </c>
    </row>
    <row r="2125" spans="1:5" x14ac:dyDescent="0.2">
      <c r="A2125" s="940">
        <v>2533</v>
      </c>
      <c r="B2125" s="940">
        <v>45</v>
      </c>
      <c r="C2125" t="s">
        <v>5618</v>
      </c>
      <c r="D2125" s="940" t="s">
        <v>5619</v>
      </c>
      <c r="E2125" t="s">
        <v>257</v>
      </c>
    </row>
    <row r="2126" spans="1:5" x14ac:dyDescent="0.2">
      <c r="A2126" s="940">
        <v>4294</v>
      </c>
      <c r="B2126" s="940">
        <v>0</v>
      </c>
      <c r="C2126" t="s">
        <v>5623</v>
      </c>
      <c r="D2126" s="940" t="s">
        <v>5624</v>
      </c>
      <c r="E2126" t="s">
        <v>3687</v>
      </c>
    </row>
    <row r="2127" spans="1:5" x14ac:dyDescent="0.2">
      <c r="A2127" s="940">
        <v>2552</v>
      </c>
      <c r="B2127" s="940">
        <v>44</v>
      </c>
      <c r="C2127" t="s">
        <v>5625</v>
      </c>
      <c r="D2127" s="940" t="s">
        <v>4288</v>
      </c>
      <c r="E2127" t="s">
        <v>110</v>
      </c>
    </row>
    <row r="2128" spans="1:5" x14ac:dyDescent="0.2">
      <c r="A2128" s="940">
        <v>3323</v>
      </c>
      <c r="B2128" s="940">
        <v>14</v>
      </c>
      <c r="C2128" t="s">
        <v>5626</v>
      </c>
      <c r="D2128" s="940" t="s">
        <v>5627</v>
      </c>
      <c r="E2128" t="s">
        <v>5628</v>
      </c>
    </row>
    <row r="2129" spans="1:5" x14ac:dyDescent="0.2">
      <c r="A2129" s="940">
        <v>1704</v>
      </c>
      <c r="B2129" s="940">
        <v>117</v>
      </c>
      <c r="C2129" t="s">
        <v>5631</v>
      </c>
      <c r="D2129" s="940" t="s">
        <v>5632</v>
      </c>
      <c r="E2129" t="s">
        <v>1156</v>
      </c>
    </row>
    <row r="2130" spans="1:5" x14ac:dyDescent="0.2">
      <c r="A2130" s="940">
        <v>3136</v>
      </c>
      <c r="B2130" s="940">
        <v>19</v>
      </c>
      <c r="C2130" t="s">
        <v>5635</v>
      </c>
      <c r="D2130" s="940" t="s">
        <v>4043</v>
      </c>
      <c r="E2130" t="s">
        <v>1638</v>
      </c>
    </row>
    <row r="2131" spans="1:5" x14ac:dyDescent="0.2">
      <c r="A2131" s="940">
        <v>4181</v>
      </c>
      <c r="B2131" s="940">
        <v>1</v>
      </c>
      <c r="C2131" t="s">
        <v>5636</v>
      </c>
      <c r="D2131" s="940" t="s">
        <v>4286</v>
      </c>
      <c r="E2131" t="s">
        <v>1156</v>
      </c>
    </row>
    <row r="2132" spans="1:5" x14ac:dyDescent="0.2">
      <c r="A2132" s="940">
        <v>1191</v>
      </c>
      <c r="B2132" s="940">
        <v>214</v>
      </c>
      <c r="C2132" t="s">
        <v>5639</v>
      </c>
      <c r="D2132" s="940" t="s">
        <v>5640</v>
      </c>
      <c r="E2132" t="s">
        <v>103</v>
      </c>
    </row>
    <row r="2133" spans="1:5" x14ac:dyDescent="0.2">
      <c r="A2133" s="940">
        <v>1993</v>
      </c>
      <c r="B2133" s="940">
        <v>86</v>
      </c>
      <c r="C2133" t="s">
        <v>5641</v>
      </c>
      <c r="D2133" s="940" t="s">
        <v>5118</v>
      </c>
      <c r="E2133" t="s">
        <v>120</v>
      </c>
    </row>
    <row r="2134" spans="1:5" x14ac:dyDescent="0.2">
      <c r="A2134" s="940">
        <v>1977</v>
      </c>
      <c r="B2134" s="940">
        <v>88</v>
      </c>
      <c r="C2134" t="s">
        <v>5642</v>
      </c>
      <c r="D2134" s="940" t="s">
        <v>5643</v>
      </c>
      <c r="E2134" t="s">
        <v>139</v>
      </c>
    </row>
    <row r="2135" spans="1:5" x14ac:dyDescent="0.2">
      <c r="A2135" s="940">
        <v>2218</v>
      </c>
      <c r="B2135" s="940">
        <v>68</v>
      </c>
      <c r="C2135" t="s">
        <v>1764</v>
      </c>
      <c r="D2135" s="940" t="s">
        <v>8542</v>
      </c>
      <c r="E2135" t="s">
        <v>1358</v>
      </c>
    </row>
    <row r="2136" spans="1:5" x14ac:dyDescent="0.2">
      <c r="A2136" s="940">
        <v>2124</v>
      </c>
      <c r="B2136" s="940">
        <v>75</v>
      </c>
      <c r="C2136" t="s">
        <v>10528</v>
      </c>
      <c r="D2136" s="940" t="s">
        <v>9630</v>
      </c>
      <c r="E2136" t="s">
        <v>120</v>
      </c>
    </row>
    <row r="2137" spans="1:5" x14ac:dyDescent="0.2">
      <c r="A2137" s="940">
        <v>815</v>
      </c>
      <c r="B2137" s="940">
        <v>354</v>
      </c>
      <c r="C2137" t="s">
        <v>10529</v>
      </c>
      <c r="D2137" s="940" t="s">
        <v>10530</v>
      </c>
      <c r="E2137" t="s">
        <v>111</v>
      </c>
    </row>
    <row r="2138" spans="1:5" x14ac:dyDescent="0.2">
      <c r="A2138" s="940">
        <v>2962</v>
      </c>
      <c r="B2138" s="940">
        <v>25</v>
      </c>
      <c r="C2138" t="s">
        <v>5644</v>
      </c>
      <c r="D2138" s="940" t="s">
        <v>5297</v>
      </c>
      <c r="E2138" t="s">
        <v>1358</v>
      </c>
    </row>
    <row r="2139" spans="1:5" x14ac:dyDescent="0.2">
      <c r="A2139" s="940">
        <v>4294</v>
      </c>
      <c r="B2139" s="940">
        <v>0</v>
      </c>
      <c r="C2139" t="s">
        <v>5645</v>
      </c>
      <c r="D2139" s="940" t="s">
        <v>5646</v>
      </c>
      <c r="E2139" t="s">
        <v>136</v>
      </c>
    </row>
    <row r="2140" spans="1:5" x14ac:dyDescent="0.2">
      <c r="A2140" s="940">
        <v>2367</v>
      </c>
      <c r="B2140" s="940">
        <v>57</v>
      </c>
      <c r="C2140" t="s">
        <v>10531</v>
      </c>
      <c r="D2140" s="940" t="s">
        <v>10532</v>
      </c>
      <c r="E2140" t="s">
        <v>113</v>
      </c>
    </row>
    <row r="2141" spans="1:5" x14ac:dyDescent="0.2">
      <c r="A2141" s="940">
        <v>4181</v>
      </c>
      <c r="B2141" s="940">
        <v>1</v>
      </c>
      <c r="C2141" t="s">
        <v>5649</v>
      </c>
      <c r="D2141" s="940" t="s">
        <v>3513</v>
      </c>
      <c r="E2141" t="s">
        <v>120</v>
      </c>
    </row>
    <row r="2142" spans="1:5" x14ac:dyDescent="0.2">
      <c r="A2142" s="940">
        <v>706</v>
      </c>
      <c r="B2142" s="940">
        <v>400</v>
      </c>
      <c r="C2142" t="s">
        <v>5650</v>
      </c>
      <c r="D2142" s="940" t="s">
        <v>5651</v>
      </c>
      <c r="E2142" t="s">
        <v>105</v>
      </c>
    </row>
    <row r="2143" spans="1:5" x14ac:dyDescent="0.2">
      <c r="A2143" s="940">
        <v>507</v>
      </c>
      <c r="B2143" s="940">
        <v>541</v>
      </c>
      <c r="C2143" t="s">
        <v>5652</v>
      </c>
      <c r="D2143" s="940" t="s">
        <v>5653</v>
      </c>
      <c r="E2143" t="s">
        <v>138</v>
      </c>
    </row>
    <row r="2144" spans="1:5" x14ac:dyDescent="0.2">
      <c r="A2144" s="940">
        <v>1904</v>
      </c>
      <c r="B2144" s="940">
        <v>95</v>
      </c>
      <c r="C2144" t="s">
        <v>5654</v>
      </c>
      <c r="D2144" s="940" t="s">
        <v>5655</v>
      </c>
      <c r="E2144" t="s">
        <v>120</v>
      </c>
    </row>
    <row r="2145" spans="1:5" x14ac:dyDescent="0.2">
      <c r="A2145" s="940">
        <v>2101</v>
      </c>
      <c r="B2145" s="940">
        <v>77</v>
      </c>
      <c r="C2145" t="s">
        <v>5656</v>
      </c>
      <c r="D2145" s="940" t="s">
        <v>5657</v>
      </c>
      <c r="E2145" t="s">
        <v>105</v>
      </c>
    </row>
    <row r="2146" spans="1:5" x14ac:dyDescent="0.2">
      <c r="A2146" s="940">
        <v>1323</v>
      </c>
      <c r="B2146" s="940">
        <v>178</v>
      </c>
      <c r="C2146" t="s">
        <v>5658</v>
      </c>
      <c r="D2146" s="940" t="s">
        <v>3486</v>
      </c>
      <c r="E2146" t="s">
        <v>105</v>
      </c>
    </row>
    <row r="2147" spans="1:5" x14ac:dyDescent="0.2">
      <c r="A2147" s="940">
        <v>4294</v>
      </c>
      <c r="B2147" s="940">
        <v>0</v>
      </c>
      <c r="C2147" t="s">
        <v>10533</v>
      </c>
      <c r="D2147" s="940" t="s">
        <v>7675</v>
      </c>
      <c r="E2147" t="s">
        <v>120</v>
      </c>
    </row>
    <row r="2148" spans="1:5" x14ac:dyDescent="0.2">
      <c r="A2148" s="940">
        <v>1308</v>
      </c>
      <c r="B2148" s="940">
        <v>182</v>
      </c>
      <c r="C2148" t="s">
        <v>5659</v>
      </c>
      <c r="D2148" s="940" t="s">
        <v>5660</v>
      </c>
      <c r="E2148" t="s">
        <v>5661</v>
      </c>
    </row>
    <row r="2149" spans="1:5" x14ac:dyDescent="0.2">
      <c r="A2149" s="940">
        <v>3174</v>
      </c>
      <c r="B2149" s="940">
        <v>18</v>
      </c>
      <c r="C2149" t="s">
        <v>5662</v>
      </c>
      <c r="D2149" s="940" t="s">
        <v>4177</v>
      </c>
      <c r="E2149" t="s">
        <v>105</v>
      </c>
    </row>
    <row r="2150" spans="1:5" x14ac:dyDescent="0.2">
      <c r="A2150" s="940">
        <v>4294</v>
      </c>
      <c r="B2150" s="940">
        <v>0</v>
      </c>
      <c r="C2150" t="s">
        <v>5663</v>
      </c>
      <c r="D2150" s="940" t="s">
        <v>5664</v>
      </c>
      <c r="E2150" t="s">
        <v>164</v>
      </c>
    </row>
    <row r="2151" spans="1:5" x14ac:dyDescent="0.2">
      <c r="A2151" s="940">
        <v>3323</v>
      </c>
      <c r="B2151" s="940">
        <v>14</v>
      </c>
      <c r="C2151" t="s">
        <v>5665</v>
      </c>
      <c r="D2151" s="940" t="s">
        <v>5666</v>
      </c>
      <c r="E2151" t="s">
        <v>1358</v>
      </c>
    </row>
    <row r="2152" spans="1:5" x14ac:dyDescent="0.2">
      <c r="A2152" s="940">
        <v>4294</v>
      </c>
      <c r="B2152" s="940">
        <v>0</v>
      </c>
      <c r="C2152" t="s">
        <v>10534</v>
      </c>
      <c r="D2152" s="940" t="s">
        <v>10535</v>
      </c>
      <c r="E2152" t="s">
        <v>105</v>
      </c>
    </row>
    <row r="2153" spans="1:5" x14ac:dyDescent="0.2">
      <c r="A2153" s="940">
        <v>199</v>
      </c>
      <c r="B2153" s="940">
        <v>919</v>
      </c>
      <c r="C2153" t="s">
        <v>5667</v>
      </c>
      <c r="D2153" s="940" t="s">
        <v>5668</v>
      </c>
      <c r="E2153" t="s">
        <v>109</v>
      </c>
    </row>
    <row r="2154" spans="1:5" x14ac:dyDescent="0.2">
      <c r="A2154" s="940">
        <v>4294</v>
      </c>
      <c r="B2154" s="940">
        <v>0</v>
      </c>
      <c r="C2154" t="s">
        <v>5667</v>
      </c>
      <c r="D2154" s="940" t="s">
        <v>10536</v>
      </c>
      <c r="E2154" t="s">
        <v>3673</v>
      </c>
    </row>
    <row r="2155" spans="1:5" x14ac:dyDescent="0.2">
      <c r="A2155" s="940">
        <v>1420</v>
      </c>
      <c r="B2155" s="940">
        <v>159</v>
      </c>
      <c r="C2155" t="s">
        <v>2559</v>
      </c>
      <c r="D2155" s="940" t="s">
        <v>5671</v>
      </c>
      <c r="E2155" t="s">
        <v>120</v>
      </c>
    </row>
    <row r="2156" spans="1:5" x14ac:dyDescent="0.2">
      <c r="A2156" s="940">
        <v>926</v>
      </c>
      <c r="B2156" s="940">
        <v>306</v>
      </c>
      <c r="C2156" t="s">
        <v>1768</v>
      </c>
      <c r="D2156" s="940" t="s">
        <v>5672</v>
      </c>
      <c r="E2156" t="s">
        <v>166</v>
      </c>
    </row>
    <row r="2157" spans="1:5" x14ac:dyDescent="0.2">
      <c r="A2157" s="940">
        <v>4294</v>
      </c>
      <c r="B2157" s="940">
        <v>0</v>
      </c>
      <c r="C2157" t="s">
        <v>5673</v>
      </c>
      <c r="D2157" s="940" t="s">
        <v>2860</v>
      </c>
      <c r="E2157" t="s">
        <v>113</v>
      </c>
    </row>
    <row r="2158" spans="1:5" x14ac:dyDescent="0.2">
      <c r="A2158" s="940">
        <v>2138</v>
      </c>
      <c r="B2158" s="940">
        <v>74</v>
      </c>
      <c r="C2158" t="s">
        <v>5674</v>
      </c>
      <c r="D2158" s="940" t="s">
        <v>5675</v>
      </c>
      <c r="E2158" t="s">
        <v>105</v>
      </c>
    </row>
    <row r="2159" spans="1:5" x14ac:dyDescent="0.2">
      <c r="A2159" s="940">
        <v>4294</v>
      </c>
      <c r="B2159" s="940">
        <v>0</v>
      </c>
      <c r="C2159" t="s">
        <v>5676</v>
      </c>
      <c r="D2159" s="940" t="s">
        <v>3341</v>
      </c>
      <c r="E2159" t="s">
        <v>120</v>
      </c>
    </row>
    <row r="2160" spans="1:5" x14ac:dyDescent="0.2">
      <c r="A2160" s="940">
        <v>1355</v>
      </c>
      <c r="B2160" s="940">
        <v>171</v>
      </c>
      <c r="C2160" t="s">
        <v>5677</v>
      </c>
      <c r="D2160" s="940" t="s">
        <v>5678</v>
      </c>
      <c r="E2160" t="s">
        <v>120</v>
      </c>
    </row>
    <row r="2161" spans="1:5" x14ac:dyDescent="0.2">
      <c r="A2161" s="940">
        <v>4181</v>
      </c>
      <c r="B2161" s="940">
        <v>1</v>
      </c>
      <c r="C2161" t="s">
        <v>5680</v>
      </c>
      <c r="D2161" s="940" t="s">
        <v>3993</v>
      </c>
      <c r="E2161" t="s">
        <v>110</v>
      </c>
    </row>
    <row r="2162" spans="1:5" x14ac:dyDescent="0.2">
      <c r="A2162" s="940">
        <v>1499</v>
      </c>
      <c r="B2162" s="940">
        <v>144</v>
      </c>
      <c r="C2162" t="s">
        <v>2560</v>
      </c>
      <c r="D2162" s="940" t="s">
        <v>10537</v>
      </c>
      <c r="E2162" t="s">
        <v>109</v>
      </c>
    </row>
    <row r="2163" spans="1:5" x14ac:dyDescent="0.2">
      <c r="A2163" s="940">
        <v>2450</v>
      </c>
      <c r="B2163" s="940">
        <v>51</v>
      </c>
      <c r="C2163" t="s">
        <v>5684</v>
      </c>
      <c r="D2163" s="940" t="s">
        <v>5685</v>
      </c>
      <c r="E2163" t="s">
        <v>72</v>
      </c>
    </row>
    <row r="2164" spans="1:5" x14ac:dyDescent="0.2">
      <c r="A2164" s="940">
        <v>4294</v>
      </c>
      <c r="B2164" s="940">
        <v>0</v>
      </c>
      <c r="C2164" t="s">
        <v>5686</v>
      </c>
      <c r="D2164" s="940" t="s">
        <v>4094</v>
      </c>
      <c r="E2164" t="s">
        <v>168</v>
      </c>
    </row>
    <row r="2165" spans="1:5" x14ac:dyDescent="0.2">
      <c r="A2165" s="940">
        <v>2254</v>
      </c>
      <c r="B2165" s="940">
        <v>65</v>
      </c>
      <c r="C2165" t="s">
        <v>5687</v>
      </c>
      <c r="D2165" s="940" t="s">
        <v>5688</v>
      </c>
      <c r="E2165" t="s">
        <v>72</v>
      </c>
    </row>
    <row r="2166" spans="1:5" x14ac:dyDescent="0.2">
      <c r="A2166" s="940">
        <v>2794</v>
      </c>
      <c r="B2166" s="940">
        <v>33</v>
      </c>
      <c r="C2166" t="s">
        <v>5689</v>
      </c>
      <c r="D2166" s="940" t="s">
        <v>2884</v>
      </c>
      <c r="E2166" t="s">
        <v>120</v>
      </c>
    </row>
    <row r="2167" spans="1:5" x14ac:dyDescent="0.2">
      <c r="A2167" s="940">
        <v>125</v>
      </c>
      <c r="B2167" s="940">
        <v>1049</v>
      </c>
      <c r="C2167" t="s">
        <v>10538</v>
      </c>
      <c r="D2167" s="940" t="s">
        <v>10539</v>
      </c>
      <c r="E2167" t="s">
        <v>166</v>
      </c>
    </row>
    <row r="2168" spans="1:5" x14ac:dyDescent="0.2">
      <c r="A2168" s="940">
        <v>2312</v>
      </c>
      <c r="B2168" s="940">
        <v>61</v>
      </c>
      <c r="C2168" t="s">
        <v>5692</v>
      </c>
      <c r="D2168" s="940" t="s">
        <v>5693</v>
      </c>
      <c r="E2168" t="s">
        <v>2356</v>
      </c>
    </row>
    <row r="2169" spans="1:5" x14ac:dyDescent="0.2">
      <c r="A2169" s="940">
        <v>4294</v>
      </c>
      <c r="B2169" s="940">
        <v>0</v>
      </c>
      <c r="C2169" t="s">
        <v>5694</v>
      </c>
      <c r="D2169" s="940" t="s">
        <v>3895</v>
      </c>
      <c r="E2169" t="s">
        <v>120</v>
      </c>
    </row>
    <row r="2170" spans="1:5" x14ac:dyDescent="0.2">
      <c r="A2170" s="940">
        <v>4294</v>
      </c>
      <c r="B2170" s="940">
        <v>0</v>
      </c>
      <c r="C2170" t="s">
        <v>5697</v>
      </c>
      <c r="D2170" s="940" t="s">
        <v>5698</v>
      </c>
      <c r="E2170" t="s">
        <v>5699</v>
      </c>
    </row>
    <row r="2171" spans="1:5" x14ac:dyDescent="0.2">
      <c r="A2171" s="940">
        <v>1921</v>
      </c>
      <c r="B2171" s="940">
        <v>93</v>
      </c>
      <c r="C2171" t="s">
        <v>1772</v>
      </c>
      <c r="D2171" s="940" t="s">
        <v>3753</v>
      </c>
      <c r="E2171" t="s">
        <v>120</v>
      </c>
    </row>
    <row r="2172" spans="1:5" x14ac:dyDescent="0.2">
      <c r="A2172" s="940">
        <v>4294</v>
      </c>
      <c r="B2172" s="940">
        <v>0</v>
      </c>
      <c r="C2172" t="s">
        <v>5700</v>
      </c>
      <c r="D2172" s="940" t="s">
        <v>5701</v>
      </c>
      <c r="E2172" t="s">
        <v>103</v>
      </c>
    </row>
    <row r="2173" spans="1:5" x14ac:dyDescent="0.2">
      <c r="A2173" s="940">
        <v>830</v>
      </c>
      <c r="B2173" s="940">
        <v>349</v>
      </c>
      <c r="C2173" t="s">
        <v>10540</v>
      </c>
      <c r="D2173" s="940" t="s">
        <v>10541</v>
      </c>
      <c r="E2173" t="s">
        <v>1179</v>
      </c>
    </row>
    <row r="2174" spans="1:5" x14ac:dyDescent="0.2">
      <c r="A2174" s="940">
        <v>4294</v>
      </c>
      <c r="B2174" s="940">
        <v>0</v>
      </c>
      <c r="C2174" t="s">
        <v>10542</v>
      </c>
      <c r="D2174" s="940" t="s">
        <v>6465</v>
      </c>
      <c r="E2174" t="s">
        <v>2054</v>
      </c>
    </row>
    <row r="2175" spans="1:5" x14ac:dyDescent="0.2">
      <c r="A2175" s="940">
        <v>3483</v>
      </c>
      <c r="B2175" s="940">
        <v>10</v>
      </c>
      <c r="C2175" t="s">
        <v>10543</v>
      </c>
      <c r="D2175" s="940" t="s">
        <v>2893</v>
      </c>
      <c r="E2175" t="s">
        <v>126</v>
      </c>
    </row>
    <row r="2176" spans="1:5" x14ac:dyDescent="0.2">
      <c r="A2176" s="940">
        <v>3972</v>
      </c>
      <c r="B2176" s="940">
        <v>3</v>
      </c>
      <c r="C2176" t="s">
        <v>5704</v>
      </c>
      <c r="D2176" s="940" t="s">
        <v>5705</v>
      </c>
      <c r="E2176" t="s">
        <v>2793</v>
      </c>
    </row>
    <row r="2177" spans="1:5" x14ac:dyDescent="0.2">
      <c r="A2177" s="940">
        <v>2962</v>
      </c>
      <c r="B2177" s="940">
        <v>25</v>
      </c>
      <c r="C2177" t="s">
        <v>10544</v>
      </c>
      <c r="D2177" s="940" t="s">
        <v>2927</v>
      </c>
      <c r="E2177" t="s">
        <v>8217</v>
      </c>
    </row>
    <row r="2178" spans="1:5" x14ac:dyDescent="0.2">
      <c r="A2178" s="940">
        <v>1120</v>
      </c>
      <c r="B2178" s="940">
        <v>233</v>
      </c>
      <c r="C2178" t="s">
        <v>1773</v>
      </c>
      <c r="D2178" s="940" t="s">
        <v>5709</v>
      </c>
      <c r="E2178" t="s">
        <v>1170</v>
      </c>
    </row>
    <row r="2179" spans="1:5" x14ac:dyDescent="0.2">
      <c r="A2179" s="940">
        <v>587</v>
      </c>
      <c r="B2179" s="940">
        <v>480</v>
      </c>
      <c r="C2179" t="s">
        <v>5710</v>
      </c>
      <c r="D2179" s="940" t="s">
        <v>5711</v>
      </c>
      <c r="E2179" t="s">
        <v>120</v>
      </c>
    </row>
    <row r="2180" spans="1:5" x14ac:dyDescent="0.2">
      <c r="A2180" s="940">
        <v>1629</v>
      </c>
      <c r="B2180" s="940">
        <v>124</v>
      </c>
      <c r="C2180" t="s">
        <v>1774</v>
      </c>
      <c r="D2180" s="940" t="s">
        <v>5712</v>
      </c>
      <c r="E2180" t="s">
        <v>120</v>
      </c>
    </row>
    <row r="2181" spans="1:5" x14ac:dyDescent="0.2">
      <c r="A2181" s="940">
        <v>4294</v>
      </c>
      <c r="B2181" s="940">
        <v>0</v>
      </c>
      <c r="C2181" t="s">
        <v>5713</v>
      </c>
      <c r="D2181" s="940" t="s">
        <v>4817</v>
      </c>
      <c r="E2181" t="s">
        <v>1578</v>
      </c>
    </row>
    <row r="2182" spans="1:5" x14ac:dyDescent="0.2">
      <c r="A2182" s="940">
        <v>3545</v>
      </c>
      <c r="B2182" s="940">
        <v>9</v>
      </c>
      <c r="C2182" t="s">
        <v>5718</v>
      </c>
      <c r="D2182" s="940" t="s">
        <v>5719</v>
      </c>
      <c r="E2182" t="s">
        <v>120</v>
      </c>
    </row>
    <row r="2183" spans="1:5" x14ac:dyDescent="0.2">
      <c r="A2183" s="940">
        <v>2614</v>
      </c>
      <c r="B2183" s="940">
        <v>41</v>
      </c>
      <c r="C2183" t="s">
        <v>5720</v>
      </c>
      <c r="D2183" s="940" t="s">
        <v>5721</v>
      </c>
      <c r="E2183" t="s">
        <v>251</v>
      </c>
    </row>
    <row r="2184" spans="1:5" x14ac:dyDescent="0.2">
      <c r="A2184" s="940">
        <v>1439</v>
      </c>
      <c r="B2184" s="940">
        <v>156</v>
      </c>
      <c r="C2184" t="s">
        <v>10545</v>
      </c>
      <c r="D2184" s="940" t="s">
        <v>6573</v>
      </c>
      <c r="E2184" t="s">
        <v>83</v>
      </c>
    </row>
    <row r="2185" spans="1:5" x14ac:dyDescent="0.2">
      <c r="A2185" s="940">
        <v>1117</v>
      </c>
      <c r="B2185" s="940">
        <v>235</v>
      </c>
      <c r="C2185" t="s">
        <v>10546</v>
      </c>
      <c r="D2185" s="940" t="s">
        <v>10547</v>
      </c>
      <c r="E2185" t="s">
        <v>105</v>
      </c>
    </row>
    <row r="2186" spans="1:5" x14ac:dyDescent="0.2">
      <c r="A2186" s="940">
        <v>3107</v>
      </c>
      <c r="B2186" s="940">
        <v>20</v>
      </c>
      <c r="C2186" t="s">
        <v>10548</v>
      </c>
      <c r="D2186" s="940" t="s">
        <v>10549</v>
      </c>
      <c r="E2186" t="s">
        <v>72</v>
      </c>
    </row>
    <row r="2187" spans="1:5" x14ac:dyDescent="0.2">
      <c r="A2187" s="940">
        <v>2725</v>
      </c>
      <c r="B2187" s="940">
        <v>36</v>
      </c>
      <c r="C2187" t="s">
        <v>10550</v>
      </c>
      <c r="D2187" s="940" t="s">
        <v>4666</v>
      </c>
      <c r="E2187" t="s">
        <v>2979</v>
      </c>
    </row>
    <row r="2188" spans="1:5" x14ac:dyDescent="0.2">
      <c r="A2188" s="940">
        <v>145</v>
      </c>
      <c r="B2188" s="940">
        <v>1011</v>
      </c>
      <c r="C2188" t="s">
        <v>5722</v>
      </c>
      <c r="D2188" s="940" t="s">
        <v>5723</v>
      </c>
      <c r="E2188" t="s">
        <v>120</v>
      </c>
    </row>
    <row r="2189" spans="1:5" x14ac:dyDescent="0.2">
      <c r="A2189" s="940">
        <v>3655</v>
      </c>
      <c r="B2189" s="940">
        <v>7</v>
      </c>
      <c r="C2189" t="s">
        <v>2521</v>
      </c>
      <c r="D2189" s="940" t="s">
        <v>5724</v>
      </c>
      <c r="E2189" t="s">
        <v>111</v>
      </c>
    </row>
    <row r="2190" spans="1:5" x14ac:dyDescent="0.2">
      <c r="A2190" s="940">
        <v>77</v>
      </c>
      <c r="B2190" s="940">
        <v>1182</v>
      </c>
      <c r="C2190" t="s">
        <v>258</v>
      </c>
      <c r="D2190" s="940" t="s">
        <v>5725</v>
      </c>
      <c r="E2190" t="s">
        <v>1171</v>
      </c>
    </row>
    <row r="2191" spans="1:5" x14ac:dyDescent="0.2">
      <c r="A2191" s="940">
        <v>3796</v>
      </c>
      <c r="B2191" s="940">
        <v>5</v>
      </c>
      <c r="C2191" t="s">
        <v>5731</v>
      </c>
      <c r="D2191" s="940" t="s">
        <v>3438</v>
      </c>
      <c r="E2191" t="s">
        <v>1214</v>
      </c>
    </row>
    <row r="2192" spans="1:5" x14ac:dyDescent="0.2">
      <c r="A2192" s="940">
        <v>3008</v>
      </c>
      <c r="B2192" s="940">
        <v>23</v>
      </c>
      <c r="C2192" t="s">
        <v>5732</v>
      </c>
      <c r="D2192" s="940" t="s">
        <v>5733</v>
      </c>
      <c r="E2192" t="s">
        <v>120</v>
      </c>
    </row>
    <row r="2193" spans="1:5" x14ac:dyDescent="0.2">
      <c r="A2193" s="940">
        <v>3545</v>
      </c>
      <c r="B2193" s="940">
        <v>9</v>
      </c>
      <c r="C2193" t="s">
        <v>5734</v>
      </c>
      <c r="D2193" s="940" t="s">
        <v>4170</v>
      </c>
      <c r="E2193" t="s">
        <v>120</v>
      </c>
    </row>
    <row r="2194" spans="1:5" x14ac:dyDescent="0.2">
      <c r="A2194" s="940">
        <v>3290</v>
      </c>
      <c r="B2194" s="940">
        <v>15</v>
      </c>
      <c r="C2194" t="s">
        <v>5735</v>
      </c>
      <c r="D2194" s="940" t="s">
        <v>5736</v>
      </c>
      <c r="E2194" t="s">
        <v>1491</v>
      </c>
    </row>
    <row r="2195" spans="1:5" x14ac:dyDescent="0.2">
      <c r="A2195" s="940">
        <v>1553</v>
      </c>
      <c r="B2195" s="940">
        <v>136</v>
      </c>
      <c r="C2195" t="s">
        <v>510</v>
      </c>
      <c r="D2195" s="940" t="s">
        <v>5298</v>
      </c>
      <c r="E2195" t="s">
        <v>136</v>
      </c>
    </row>
    <row r="2196" spans="1:5" x14ac:dyDescent="0.2">
      <c r="A2196" s="940">
        <v>4294</v>
      </c>
      <c r="B2196" s="940">
        <v>0</v>
      </c>
      <c r="C2196" t="s">
        <v>5737</v>
      </c>
      <c r="D2196" s="940" t="s">
        <v>3540</v>
      </c>
      <c r="E2196" t="s">
        <v>1171</v>
      </c>
    </row>
    <row r="2197" spans="1:5" x14ac:dyDescent="0.2">
      <c r="A2197" s="940">
        <v>642</v>
      </c>
      <c r="B2197" s="940">
        <v>437</v>
      </c>
      <c r="C2197" t="s">
        <v>5738</v>
      </c>
      <c r="D2197" s="940" t="s">
        <v>5739</v>
      </c>
      <c r="E2197" t="s">
        <v>3098</v>
      </c>
    </row>
    <row r="2198" spans="1:5" x14ac:dyDescent="0.2">
      <c r="A2198" s="940">
        <v>1301</v>
      </c>
      <c r="B2198" s="940">
        <v>184</v>
      </c>
      <c r="C2198" t="s">
        <v>5740</v>
      </c>
      <c r="D2198" s="940" t="s">
        <v>5741</v>
      </c>
      <c r="E2198" t="s">
        <v>5742</v>
      </c>
    </row>
    <row r="2199" spans="1:5" x14ac:dyDescent="0.2">
      <c r="A2199" s="940">
        <v>1802</v>
      </c>
      <c r="B2199" s="940">
        <v>105</v>
      </c>
      <c r="C2199" t="s">
        <v>5743</v>
      </c>
      <c r="D2199" s="940" t="s">
        <v>5135</v>
      </c>
      <c r="E2199" t="s">
        <v>117</v>
      </c>
    </row>
    <row r="2200" spans="1:5" x14ac:dyDescent="0.2">
      <c r="A2200" s="940">
        <v>1259</v>
      </c>
      <c r="B2200" s="940">
        <v>192</v>
      </c>
      <c r="C2200" t="s">
        <v>1779</v>
      </c>
      <c r="D2200" s="940" t="s">
        <v>5744</v>
      </c>
      <c r="E2200" t="s">
        <v>99</v>
      </c>
    </row>
    <row r="2201" spans="1:5" x14ac:dyDescent="0.2">
      <c r="A2201" s="940">
        <v>2980</v>
      </c>
      <c r="B2201" s="940">
        <v>24</v>
      </c>
      <c r="C2201" t="s">
        <v>5745</v>
      </c>
      <c r="D2201" s="940" t="s">
        <v>5416</v>
      </c>
      <c r="E2201" t="s">
        <v>105</v>
      </c>
    </row>
    <row r="2202" spans="1:5" x14ac:dyDescent="0.2">
      <c r="A2202" s="940">
        <v>3972</v>
      </c>
      <c r="B2202" s="940">
        <v>3</v>
      </c>
      <c r="C2202" t="s">
        <v>5746</v>
      </c>
      <c r="D2202" s="940" t="s">
        <v>3681</v>
      </c>
      <c r="E2202" t="s">
        <v>99</v>
      </c>
    </row>
    <row r="2203" spans="1:5" x14ac:dyDescent="0.2">
      <c r="A2203" s="940">
        <v>4294</v>
      </c>
      <c r="B2203" s="940">
        <v>0</v>
      </c>
      <c r="C2203" t="s">
        <v>5747</v>
      </c>
      <c r="D2203" s="940" t="s">
        <v>5748</v>
      </c>
      <c r="E2203" t="s">
        <v>1221</v>
      </c>
    </row>
    <row r="2204" spans="1:5" x14ac:dyDescent="0.2">
      <c r="A2204" s="940">
        <v>1729</v>
      </c>
      <c r="B2204" s="940">
        <v>113</v>
      </c>
      <c r="C2204" t="s">
        <v>10551</v>
      </c>
      <c r="D2204" s="940" t="s">
        <v>10552</v>
      </c>
      <c r="E2204" t="s">
        <v>1182</v>
      </c>
    </row>
    <row r="2205" spans="1:5" x14ac:dyDescent="0.2">
      <c r="A2205" s="940">
        <v>4294</v>
      </c>
      <c r="B2205" s="940">
        <v>0</v>
      </c>
      <c r="C2205" t="s">
        <v>5751</v>
      </c>
      <c r="D2205" s="940" t="s">
        <v>5752</v>
      </c>
      <c r="E2205" t="s">
        <v>2735</v>
      </c>
    </row>
    <row r="2206" spans="1:5" x14ac:dyDescent="0.2">
      <c r="A2206" s="940">
        <v>2115</v>
      </c>
      <c r="B2206" s="940">
        <v>76</v>
      </c>
      <c r="C2206" t="s">
        <v>5753</v>
      </c>
      <c r="D2206" s="940" t="s">
        <v>4348</v>
      </c>
      <c r="E2206" t="s">
        <v>99</v>
      </c>
    </row>
    <row r="2207" spans="1:5" x14ac:dyDescent="0.2">
      <c r="A2207" s="940">
        <v>4294</v>
      </c>
      <c r="B2207" s="940">
        <v>0</v>
      </c>
      <c r="C2207" t="s">
        <v>5754</v>
      </c>
      <c r="D2207" s="940" t="s">
        <v>5755</v>
      </c>
      <c r="E2207" t="s">
        <v>5756</v>
      </c>
    </row>
    <row r="2208" spans="1:5" x14ac:dyDescent="0.2">
      <c r="A2208" s="940">
        <v>1392</v>
      </c>
      <c r="B2208" s="940">
        <v>163</v>
      </c>
      <c r="C2208" t="s">
        <v>5759</v>
      </c>
      <c r="D2208" s="940" t="s">
        <v>5495</v>
      </c>
      <c r="E2208" t="s">
        <v>145</v>
      </c>
    </row>
    <row r="2209" spans="1:5" x14ac:dyDescent="0.2">
      <c r="A2209" s="940">
        <v>1531</v>
      </c>
      <c r="B2209" s="940">
        <v>140</v>
      </c>
      <c r="C2209" t="s">
        <v>5760</v>
      </c>
      <c r="D2209" s="940" t="s">
        <v>4732</v>
      </c>
      <c r="E2209" t="s">
        <v>144</v>
      </c>
    </row>
    <row r="2210" spans="1:5" x14ac:dyDescent="0.2">
      <c r="A2210" s="940">
        <v>1326</v>
      </c>
      <c r="B2210" s="940">
        <v>177</v>
      </c>
      <c r="C2210" t="s">
        <v>1781</v>
      </c>
      <c r="D2210" s="940" t="s">
        <v>5762</v>
      </c>
      <c r="E2210" t="s">
        <v>103</v>
      </c>
    </row>
    <row r="2211" spans="1:5" x14ac:dyDescent="0.2">
      <c r="A2211" s="940">
        <v>2794</v>
      </c>
      <c r="B2211" s="940">
        <v>33</v>
      </c>
      <c r="C2211" t="s">
        <v>5763</v>
      </c>
      <c r="D2211" s="940" t="s">
        <v>5764</v>
      </c>
      <c r="E2211" t="s">
        <v>1236</v>
      </c>
    </row>
    <row r="2212" spans="1:5" x14ac:dyDescent="0.2">
      <c r="A2212" s="940">
        <v>4294</v>
      </c>
      <c r="B2212" s="940">
        <v>0</v>
      </c>
      <c r="C2212" t="s">
        <v>5768</v>
      </c>
      <c r="D2212" s="940" t="s">
        <v>5769</v>
      </c>
      <c r="E2212" t="s">
        <v>111</v>
      </c>
    </row>
    <row r="2213" spans="1:5" x14ac:dyDescent="0.2">
      <c r="A2213" s="940">
        <v>2298</v>
      </c>
      <c r="B2213" s="940">
        <v>62</v>
      </c>
      <c r="C2213" t="s">
        <v>2522</v>
      </c>
      <c r="D2213" s="940" t="s">
        <v>5770</v>
      </c>
      <c r="E2213" t="s">
        <v>1248</v>
      </c>
    </row>
    <row r="2214" spans="1:5" x14ac:dyDescent="0.2">
      <c r="A2214" s="940">
        <v>860</v>
      </c>
      <c r="B2214" s="940">
        <v>331</v>
      </c>
      <c r="C2214" t="s">
        <v>10553</v>
      </c>
      <c r="D2214" s="940" t="s">
        <v>10554</v>
      </c>
      <c r="E2214" t="s">
        <v>121</v>
      </c>
    </row>
    <row r="2215" spans="1:5" x14ac:dyDescent="0.2">
      <c r="A2215" s="940">
        <v>1843</v>
      </c>
      <c r="B2215" s="940">
        <v>101</v>
      </c>
      <c r="C2215" t="s">
        <v>1782</v>
      </c>
      <c r="D2215" s="940" t="s">
        <v>4784</v>
      </c>
      <c r="E2215" t="s">
        <v>1248</v>
      </c>
    </row>
    <row r="2216" spans="1:5" x14ac:dyDescent="0.2">
      <c r="A2216" s="940">
        <v>2649</v>
      </c>
      <c r="B2216" s="940">
        <v>39</v>
      </c>
      <c r="C2216" t="s">
        <v>10555</v>
      </c>
      <c r="D2216" s="940" t="s">
        <v>3905</v>
      </c>
      <c r="E2216" t="s">
        <v>120</v>
      </c>
    </row>
    <row r="2217" spans="1:5" x14ac:dyDescent="0.2">
      <c r="A2217" s="940">
        <v>1268</v>
      </c>
      <c r="B2217" s="940">
        <v>191</v>
      </c>
      <c r="C2217" t="s">
        <v>5773</v>
      </c>
      <c r="D2217" s="940" t="s">
        <v>5774</v>
      </c>
      <c r="E2217" t="s">
        <v>3648</v>
      </c>
    </row>
    <row r="2218" spans="1:5" x14ac:dyDescent="0.2">
      <c r="A2218" s="940">
        <v>159</v>
      </c>
      <c r="B2218" s="940">
        <v>990</v>
      </c>
      <c r="C2218" t="s">
        <v>5775</v>
      </c>
      <c r="D2218" s="940" t="s">
        <v>5776</v>
      </c>
      <c r="E2218" t="s">
        <v>99</v>
      </c>
    </row>
    <row r="2219" spans="1:5" x14ac:dyDescent="0.2">
      <c r="A2219" s="940">
        <v>4294</v>
      </c>
      <c r="B2219" s="940">
        <v>0</v>
      </c>
      <c r="C2219" t="s">
        <v>10556</v>
      </c>
      <c r="D2219" s="940" t="s">
        <v>5857</v>
      </c>
      <c r="E2219" t="s">
        <v>168</v>
      </c>
    </row>
    <row r="2220" spans="1:5" x14ac:dyDescent="0.2">
      <c r="A2220" s="940">
        <v>1041</v>
      </c>
      <c r="B2220" s="940">
        <v>262</v>
      </c>
      <c r="C2220" t="s">
        <v>5777</v>
      </c>
      <c r="D2220" s="940" t="s">
        <v>5778</v>
      </c>
      <c r="E2220" t="s">
        <v>1236</v>
      </c>
    </row>
    <row r="2221" spans="1:5" x14ac:dyDescent="0.2">
      <c r="A2221" s="940">
        <v>742</v>
      </c>
      <c r="B2221" s="940">
        <v>385</v>
      </c>
      <c r="C2221" t="s">
        <v>261</v>
      </c>
      <c r="D2221" s="940" t="s">
        <v>4378</v>
      </c>
      <c r="E2221" t="s">
        <v>1214</v>
      </c>
    </row>
    <row r="2222" spans="1:5" x14ac:dyDescent="0.2">
      <c r="A2222" s="940">
        <v>485</v>
      </c>
      <c r="B2222" s="940">
        <v>568</v>
      </c>
      <c r="C2222" t="s">
        <v>5780</v>
      </c>
      <c r="D2222" s="940" t="s">
        <v>5781</v>
      </c>
      <c r="E2222" t="s">
        <v>1311</v>
      </c>
    </row>
    <row r="2223" spans="1:5" x14ac:dyDescent="0.2">
      <c r="A2223" s="940">
        <v>3402</v>
      </c>
      <c r="B2223" s="940">
        <v>12</v>
      </c>
      <c r="C2223" t="s">
        <v>5782</v>
      </c>
      <c r="D2223" s="940" t="s">
        <v>4383</v>
      </c>
      <c r="E2223" t="s">
        <v>188</v>
      </c>
    </row>
    <row r="2224" spans="1:5" x14ac:dyDescent="0.2">
      <c r="A2224" s="940">
        <v>3048</v>
      </c>
      <c r="B2224" s="940">
        <v>22</v>
      </c>
      <c r="C2224" t="s">
        <v>10557</v>
      </c>
      <c r="D2224" s="940" t="s">
        <v>6768</v>
      </c>
      <c r="E2224" t="s">
        <v>117</v>
      </c>
    </row>
    <row r="2225" spans="1:5" x14ac:dyDescent="0.2">
      <c r="A2225" s="940">
        <v>470</v>
      </c>
      <c r="B2225" s="940">
        <v>577</v>
      </c>
      <c r="C2225" t="s">
        <v>1790</v>
      </c>
      <c r="D2225" s="940" t="s">
        <v>5784</v>
      </c>
      <c r="E2225" t="s">
        <v>120</v>
      </c>
    </row>
    <row r="2226" spans="1:5" x14ac:dyDescent="0.2">
      <c r="A2226" s="940">
        <v>4294</v>
      </c>
      <c r="B2226" s="940">
        <v>0</v>
      </c>
      <c r="C2226" t="s">
        <v>10558</v>
      </c>
      <c r="D2226" s="940" t="s">
        <v>10559</v>
      </c>
      <c r="E2226" t="s">
        <v>144</v>
      </c>
    </row>
    <row r="2227" spans="1:5" x14ac:dyDescent="0.2">
      <c r="A2227" s="940">
        <v>3796</v>
      </c>
      <c r="B2227" s="940">
        <v>5</v>
      </c>
      <c r="C2227" t="s">
        <v>5789</v>
      </c>
      <c r="D2227" s="940" t="s">
        <v>3667</v>
      </c>
      <c r="E2227" t="s">
        <v>1169</v>
      </c>
    </row>
    <row r="2228" spans="1:5" x14ac:dyDescent="0.2">
      <c r="A2228" s="940">
        <v>1200</v>
      </c>
      <c r="B2228" s="940">
        <v>210</v>
      </c>
      <c r="C2228" t="s">
        <v>5790</v>
      </c>
      <c r="D2228" s="940" t="s">
        <v>5791</v>
      </c>
      <c r="E2228" t="s">
        <v>1182</v>
      </c>
    </row>
    <row r="2229" spans="1:5" x14ac:dyDescent="0.2">
      <c r="A2229" s="940">
        <v>4294</v>
      </c>
      <c r="B2229" s="940">
        <v>0</v>
      </c>
      <c r="C2229" t="s">
        <v>10560</v>
      </c>
      <c r="D2229" s="940" t="s">
        <v>10561</v>
      </c>
      <c r="E2229" t="s">
        <v>117</v>
      </c>
    </row>
    <row r="2230" spans="1:5" x14ac:dyDescent="0.2">
      <c r="A2230" s="940">
        <v>3222</v>
      </c>
      <c r="B2230" s="940">
        <v>17</v>
      </c>
      <c r="C2230" t="s">
        <v>5796</v>
      </c>
      <c r="D2230" s="940" t="s">
        <v>3572</v>
      </c>
      <c r="E2230" t="s">
        <v>105</v>
      </c>
    </row>
    <row r="2231" spans="1:5" x14ac:dyDescent="0.2">
      <c r="A2231" s="940">
        <v>1039</v>
      </c>
      <c r="B2231" s="940">
        <v>263</v>
      </c>
      <c r="C2231" t="s">
        <v>10562</v>
      </c>
      <c r="D2231" s="940" t="s">
        <v>10563</v>
      </c>
      <c r="E2231" t="s">
        <v>200</v>
      </c>
    </row>
    <row r="2232" spans="1:5" x14ac:dyDescent="0.2">
      <c r="A2232" s="940">
        <v>2774</v>
      </c>
      <c r="B2232" s="940">
        <v>34</v>
      </c>
      <c r="C2232" t="s">
        <v>5797</v>
      </c>
      <c r="D2232" s="940" t="s">
        <v>4891</v>
      </c>
      <c r="E2232" t="s">
        <v>170</v>
      </c>
    </row>
    <row r="2233" spans="1:5" x14ac:dyDescent="0.2">
      <c r="A2233" s="940">
        <v>355</v>
      </c>
      <c r="B2233" s="940">
        <v>692</v>
      </c>
      <c r="C2233" t="s">
        <v>5798</v>
      </c>
      <c r="D2233" s="940" t="s">
        <v>5799</v>
      </c>
      <c r="E2233" t="s">
        <v>1200</v>
      </c>
    </row>
    <row r="2234" spans="1:5" x14ac:dyDescent="0.2">
      <c r="A2234" s="940">
        <v>1843</v>
      </c>
      <c r="B2234" s="940">
        <v>101</v>
      </c>
      <c r="C2234" t="s">
        <v>5800</v>
      </c>
      <c r="D2234" s="940" t="s">
        <v>5801</v>
      </c>
      <c r="E2234" t="s">
        <v>1860</v>
      </c>
    </row>
    <row r="2235" spans="1:5" x14ac:dyDescent="0.2">
      <c r="A2235" s="940">
        <v>274</v>
      </c>
      <c r="B2235" s="940">
        <v>810</v>
      </c>
      <c r="C2235" t="s">
        <v>5802</v>
      </c>
      <c r="D2235" s="940" t="s">
        <v>5803</v>
      </c>
      <c r="E2235" t="s">
        <v>119</v>
      </c>
    </row>
    <row r="2236" spans="1:5" x14ac:dyDescent="0.2">
      <c r="A2236" s="940">
        <v>4081</v>
      </c>
      <c r="B2236" s="940">
        <v>2</v>
      </c>
      <c r="C2236" t="s">
        <v>10564</v>
      </c>
      <c r="D2236" s="940" t="s">
        <v>3762</v>
      </c>
      <c r="E2236" t="s">
        <v>120</v>
      </c>
    </row>
    <row r="2237" spans="1:5" x14ac:dyDescent="0.2">
      <c r="A2237" s="940">
        <v>4294</v>
      </c>
      <c r="B2237" s="940">
        <v>0</v>
      </c>
      <c r="C2237" t="s">
        <v>5804</v>
      </c>
      <c r="D2237" s="940" t="s">
        <v>5805</v>
      </c>
      <c r="E2237" t="s">
        <v>128</v>
      </c>
    </row>
    <row r="2238" spans="1:5" x14ac:dyDescent="0.2">
      <c r="A2238" s="940">
        <v>1574</v>
      </c>
      <c r="B2238" s="940">
        <v>132</v>
      </c>
      <c r="C2238" t="s">
        <v>262</v>
      </c>
      <c r="D2238" s="940" t="s">
        <v>10565</v>
      </c>
      <c r="E2238" t="s">
        <v>105</v>
      </c>
    </row>
    <row r="2239" spans="1:5" x14ac:dyDescent="0.2">
      <c r="A2239" s="940">
        <v>2462</v>
      </c>
      <c r="B2239" s="940">
        <v>50</v>
      </c>
      <c r="C2239" t="s">
        <v>5806</v>
      </c>
      <c r="D2239" s="940" t="s">
        <v>5807</v>
      </c>
      <c r="E2239" t="s">
        <v>109</v>
      </c>
    </row>
    <row r="2240" spans="1:5" x14ac:dyDescent="0.2">
      <c r="A2240" s="940">
        <v>4294</v>
      </c>
      <c r="B2240" s="940">
        <v>0</v>
      </c>
      <c r="C2240" t="s">
        <v>5808</v>
      </c>
      <c r="D2240" s="940" t="s">
        <v>5809</v>
      </c>
      <c r="E2240" t="s">
        <v>120</v>
      </c>
    </row>
    <row r="2241" spans="1:5" x14ac:dyDescent="0.2">
      <c r="A2241" s="940">
        <v>4081</v>
      </c>
      <c r="B2241" s="940">
        <v>2</v>
      </c>
      <c r="C2241" t="s">
        <v>5810</v>
      </c>
      <c r="D2241" s="940" t="s">
        <v>5811</v>
      </c>
      <c r="E2241" t="s">
        <v>99</v>
      </c>
    </row>
    <row r="2242" spans="1:5" x14ac:dyDescent="0.2">
      <c r="A2242" s="940">
        <v>3358</v>
      </c>
      <c r="B2242" s="940">
        <v>13</v>
      </c>
      <c r="C2242" t="s">
        <v>5812</v>
      </c>
      <c r="D2242" s="940" t="s">
        <v>5772</v>
      </c>
      <c r="E2242" t="s">
        <v>186</v>
      </c>
    </row>
    <row r="2243" spans="1:5" x14ac:dyDescent="0.2">
      <c r="A2243" s="940">
        <v>2745</v>
      </c>
      <c r="B2243" s="940">
        <v>35</v>
      </c>
      <c r="C2243" t="s">
        <v>5813</v>
      </c>
      <c r="D2243" s="940" t="s">
        <v>4527</v>
      </c>
      <c r="E2243" t="s">
        <v>1236</v>
      </c>
    </row>
    <row r="2244" spans="1:5" x14ac:dyDescent="0.2">
      <c r="A2244" s="940">
        <v>1086</v>
      </c>
      <c r="B2244" s="940">
        <v>246</v>
      </c>
      <c r="C2244" t="s">
        <v>5816</v>
      </c>
      <c r="D2244" s="940" t="s">
        <v>4254</v>
      </c>
      <c r="E2244" t="s">
        <v>120</v>
      </c>
    </row>
    <row r="2245" spans="1:5" x14ac:dyDescent="0.2">
      <c r="A2245" s="940">
        <v>631</v>
      </c>
      <c r="B2245" s="940">
        <v>444</v>
      </c>
      <c r="C2245" t="s">
        <v>5817</v>
      </c>
      <c r="D2245" s="940" t="s">
        <v>5818</v>
      </c>
      <c r="E2245" t="s">
        <v>120</v>
      </c>
    </row>
    <row r="2246" spans="1:5" x14ac:dyDescent="0.2">
      <c r="A2246" s="940">
        <v>3602</v>
      </c>
      <c r="B2246" s="940">
        <v>8</v>
      </c>
      <c r="C2246" t="s">
        <v>10566</v>
      </c>
      <c r="D2246" s="940" t="s">
        <v>9971</v>
      </c>
      <c r="E2246" t="s">
        <v>132</v>
      </c>
    </row>
    <row r="2247" spans="1:5" x14ac:dyDescent="0.2">
      <c r="A2247" s="940">
        <v>3602</v>
      </c>
      <c r="B2247" s="940">
        <v>8</v>
      </c>
      <c r="C2247" t="s">
        <v>10567</v>
      </c>
      <c r="D2247" s="940" t="s">
        <v>5820</v>
      </c>
      <c r="E2247" t="s">
        <v>1156</v>
      </c>
    </row>
    <row r="2248" spans="1:5" x14ac:dyDescent="0.2">
      <c r="A2248" s="940">
        <v>1880</v>
      </c>
      <c r="B2248" s="940">
        <v>97</v>
      </c>
      <c r="C2248" t="s">
        <v>5821</v>
      </c>
      <c r="D2248" s="940" t="s">
        <v>5822</v>
      </c>
      <c r="E2248" t="s">
        <v>5823</v>
      </c>
    </row>
    <row r="2249" spans="1:5" x14ac:dyDescent="0.2">
      <c r="A2249" s="940">
        <v>17</v>
      </c>
      <c r="B2249" s="940">
        <v>1493</v>
      </c>
      <c r="C2249" t="s">
        <v>5826</v>
      </c>
      <c r="D2249" s="940" t="s">
        <v>5827</v>
      </c>
      <c r="E2249" t="s">
        <v>105</v>
      </c>
    </row>
    <row r="2250" spans="1:5" x14ac:dyDescent="0.2">
      <c r="A2250" s="940">
        <v>935</v>
      </c>
      <c r="B2250" s="940">
        <v>304</v>
      </c>
      <c r="C2250" t="s">
        <v>5828</v>
      </c>
      <c r="D2250" s="940" t="s">
        <v>5829</v>
      </c>
      <c r="E2250" t="s">
        <v>2542</v>
      </c>
    </row>
    <row r="2251" spans="1:5" x14ac:dyDescent="0.2">
      <c r="A2251" s="940">
        <v>988</v>
      </c>
      <c r="B2251" s="940">
        <v>283</v>
      </c>
      <c r="C2251" t="s">
        <v>10568</v>
      </c>
      <c r="D2251" s="940" t="s">
        <v>10569</v>
      </c>
      <c r="E2251" t="s">
        <v>1236</v>
      </c>
    </row>
    <row r="2252" spans="1:5" x14ac:dyDescent="0.2">
      <c r="A2252" s="940">
        <v>3402</v>
      </c>
      <c r="B2252" s="940">
        <v>12</v>
      </c>
      <c r="C2252" t="s">
        <v>5830</v>
      </c>
      <c r="D2252" s="940" t="s">
        <v>5831</v>
      </c>
      <c r="E2252" t="s">
        <v>3114</v>
      </c>
    </row>
    <row r="2253" spans="1:5" x14ac:dyDescent="0.2">
      <c r="A2253" s="940">
        <v>4294</v>
      </c>
      <c r="B2253" s="940">
        <v>0</v>
      </c>
      <c r="C2253" t="s">
        <v>5832</v>
      </c>
      <c r="D2253" s="940" t="s">
        <v>3963</v>
      </c>
      <c r="E2253" t="s">
        <v>3114</v>
      </c>
    </row>
    <row r="2254" spans="1:5" x14ac:dyDescent="0.2">
      <c r="A2254" s="940">
        <v>2877</v>
      </c>
      <c r="B2254" s="940">
        <v>29</v>
      </c>
      <c r="C2254" t="s">
        <v>5833</v>
      </c>
      <c r="D2254" s="940" t="s">
        <v>3146</v>
      </c>
      <c r="E2254" t="s">
        <v>1493</v>
      </c>
    </row>
    <row r="2255" spans="1:5" x14ac:dyDescent="0.2">
      <c r="A2255" s="940">
        <v>3882</v>
      </c>
      <c r="B2255" s="940">
        <v>4</v>
      </c>
      <c r="C2255" t="s">
        <v>5835</v>
      </c>
      <c r="D2255" s="940" t="s">
        <v>4810</v>
      </c>
      <c r="E2255" t="s">
        <v>2558</v>
      </c>
    </row>
    <row r="2256" spans="1:5" x14ac:dyDescent="0.2">
      <c r="A2256" s="940">
        <v>1206</v>
      </c>
      <c r="B2256" s="940">
        <v>207</v>
      </c>
      <c r="C2256" t="s">
        <v>5839</v>
      </c>
      <c r="D2256" s="940" t="s">
        <v>3769</v>
      </c>
      <c r="E2256" t="s">
        <v>105</v>
      </c>
    </row>
    <row r="2257" spans="1:5" x14ac:dyDescent="0.2">
      <c r="A2257" s="940">
        <v>1585</v>
      </c>
      <c r="B2257" s="940">
        <v>131</v>
      </c>
      <c r="C2257" t="s">
        <v>10570</v>
      </c>
      <c r="D2257" s="940" t="s">
        <v>10571</v>
      </c>
      <c r="E2257" t="s">
        <v>99</v>
      </c>
    </row>
    <row r="2258" spans="1:5" x14ac:dyDescent="0.2">
      <c r="A2258" s="940">
        <v>1594</v>
      </c>
      <c r="B2258" s="940">
        <v>129</v>
      </c>
      <c r="C2258" t="s">
        <v>10572</v>
      </c>
      <c r="D2258" s="940" t="s">
        <v>8617</v>
      </c>
      <c r="E2258" t="s">
        <v>1507</v>
      </c>
    </row>
    <row r="2259" spans="1:5" x14ac:dyDescent="0.2">
      <c r="A2259" s="940">
        <v>4081</v>
      </c>
      <c r="B2259" s="940">
        <v>2</v>
      </c>
      <c r="C2259" t="s">
        <v>10573</v>
      </c>
      <c r="D2259" s="940" t="s">
        <v>9733</v>
      </c>
      <c r="E2259" t="s">
        <v>1182</v>
      </c>
    </row>
    <row r="2260" spans="1:5" x14ac:dyDescent="0.2">
      <c r="A2260" s="940">
        <v>4294</v>
      </c>
      <c r="B2260" s="940">
        <v>0</v>
      </c>
      <c r="C2260" t="s">
        <v>10574</v>
      </c>
      <c r="D2260" s="940" t="s">
        <v>10536</v>
      </c>
      <c r="E2260" t="s">
        <v>3518</v>
      </c>
    </row>
    <row r="2261" spans="1:5" x14ac:dyDescent="0.2">
      <c r="A2261" s="940">
        <v>4081</v>
      </c>
      <c r="B2261" s="940">
        <v>2</v>
      </c>
      <c r="C2261" t="s">
        <v>5840</v>
      </c>
      <c r="D2261" s="940" t="s">
        <v>5841</v>
      </c>
      <c r="E2261" t="s">
        <v>1236</v>
      </c>
    </row>
    <row r="2262" spans="1:5" x14ac:dyDescent="0.2">
      <c r="A2262" s="940">
        <v>342</v>
      </c>
      <c r="B2262" s="940">
        <v>710</v>
      </c>
      <c r="C2262" t="s">
        <v>5842</v>
      </c>
      <c r="D2262" s="940" t="s">
        <v>5843</v>
      </c>
      <c r="E2262" t="s">
        <v>2880</v>
      </c>
    </row>
    <row r="2263" spans="1:5" x14ac:dyDescent="0.2">
      <c r="A2263" s="940">
        <v>3796</v>
      </c>
      <c r="B2263" s="940">
        <v>5</v>
      </c>
      <c r="C2263" t="s">
        <v>10575</v>
      </c>
      <c r="D2263" s="940" t="s">
        <v>4234</v>
      </c>
      <c r="E2263" t="s">
        <v>4373</v>
      </c>
    </row>
    <row r="2264" spans="1:5" x14ac:dyDescent="0.2">
      <c r="A2264" s="940">
        <v>1161</v>
      </c>
      <c r="B2264" s="940">
        <v>222</v>
      </c>
      <c r="C2264" t="s">
        <v>5844</v>
      </c>
      <c r="D2264" s="940" t="s">
        <v>5845</v>
      </c>
      <c r="E2264" t="s">
        <v>5846</v>
      </c>
    </row>
    <row r="2265" spans="1:5" x14ac:dyDescent="0.2">
      <c r="A2265" s="940">
        <v>3107</v>
      </c>
      <c r="B2265" s="940">
        <v>20</v>
      </c>
      <c r="C2265" t="s">
        <v>5847</v>
      </c>
      <c r="D2265" s="940" t="s">
        <v>3388</v>
      </c>
      <c r="E2265" t="s">
        <v>133</v>
      </c>
    </row>
    <row r="2266" spans="1:5" x14ac:dyDescent="0.2">
      <c r="A2266" s="940">
        <v>3483</v>
      </c>
      <c r="B2266" s="940">
        <v>10</v>
      </c>
      <c r="C2266" t="s">
        <v>5848</v>
      </c>
      <c r="D2266" s="940" t="s">
        <v>4990</v>
      </c>
      <c r="E2266" t="s">
        <v>614</v>
      </c>
    </row>
    <row r="2267" spans="1:5" x14ac:dyDescent="0.2">
      <c r="A2267" s="940">
        <v>1543</v>
      </c>
      <c r="B2267" s="940">
        <v>137</v>
      </c>
      <c r="C2267" t="s">
        <v>10576</v>
      </c>
      <c r="D2267" s="940" t="s">
        <v>10577</v>
      </c>
      <c r="E2267" t="s">
        <v>213</v>
      </c>
    </row>
    <row r="2268" spans="1:5" x14ac:dyDescent="0.2">
      <c r="A2268" s="940">
        <v>4294</v>
      </c>
      <c r="B2268" s="940">
        <v>0</v>
      </c>
      <c r="C2268" t="s">
        <v>5849</v>
      </c>
      <c r="D2268" s="940" t="s">
        <v>5850</v>
      </c>
      <c r="E2268" t="s">
        <v>1236</v>
      </c>
    </row>
    <row r="2269" spans="1:5" x14ac:dyDescent="0.2">
      <c r="A2269" s="940">
        <v>1298</v>
      </c>
      <c r="B2269" s="940">
        <v>185</v>
      </c>
      <c r="C2269" t="s">
        <v>1800</v>
      </c>
      <c r="D2269" s="940" t="s">
        <v>5851</v>
      </c>
      <c r="E2269" t="s">
        <v>1236</v>
      </c>
    </row>
    <row r="2270" spans="1:5" x14ac:dyDescent="0.2">
      <c r="A2270" s="940">
        <v>2138</v>
      </c>
      <c r="B2270" s="940">
        <v>74</v>
      </c>
      <c r="C2270" t="s">
        <v>833</v>
      </c>
      <c r="D2270" s="940" t="s">
        <v>4521</v>
      </c>
      <c r="E2270" t="s">
        <v>110</v>
      </c>
    </row>
    <row r="2271" spans="1:5" x14ac:dyDescent="0.2">
      <c r="A2271" s="940">
        <v>4294</v>
      </c>
      <c r="B2271" s="940">
        <v>0</v>
      </c>
      <c r="C2271" t="s">
        <v>5852</v>
      </c>
      <c r="D2271" s="940" t="s">
        <v>5467</v>
      </c>
      <c r="E2271" t="s">
        <v>1460</v>
      </c>
    </row>
    <row r="2272" spans="1:5" x14ac:dyDescent="0.2">
      <c r="A2272" s="940">
        <v>3882</v>
      </c>
      <c r="B2272" s="940">
        <v>4</v>
      </c>
      <c r="C2272" t="s">
        <v>10578</v>
      </c>
      <c r="D2272" s="940" t="s">
        <v>10512</v>
      </c>
      <c r="E2272" t="s">
        <v>3200</v>
      </c>
    </row>
    <row r="2273" spans="1:5" x14ac:dyDescent="0.2">
      <c r="A2273" s="940">
        <v>2298</v>
      </c>
      <c r="B2273" s="940">
        <v>62</v>
      </c>
      <c r="C2273" t="s">
        <v>10579</v>
      </c>
      <c r="D2273" s="940" t="s">
        <v>7689</v>
      </c>
      <c r="E2273" t="s">
        <v>1628</v>
      </c>
    </row>
    <row r="2274" spans="1:5" x14ac:dyDescent="0.2">
      <c r="A2274" s="940">
        <v>1668</v>
      </c>
      <c r="B2274" s="940">
        <v>121</v>
      </c>
      <c r="C2274" t="s">
        <v>5856</v>
      </c>
      <c r="D2274" s="940" t="s">
        <v>5857</v>
      </c>
      <c r="E2274" t="s">
        <v>83</v>
      </c>
    </row>
    <row r="2275" spans="1:5" x14ac:dyDescent="0.2">
      <c r="A2275" s="940">
        <v>1120</v>
      </c>
      <c r="B2275" s="940">
        <v>233</v>
      </c>
      <c r="C2275" t="s">
        <v>5858</v>
      </c>
      <c r="D2275" s="940" t="s">
        <v>5859</v>
      </c>
      <c r="E2275" t="s">
        <v>4548</v>
      </c>
    </row>
    <row r="2276" spans="1:5" x14ac:dyDescent="0.2">
      <c r="A2276" s="940">
        <v>4181</v>
      </c>
      <c r="B2276" s="940">
        <v>1</v>
      </c>
      <c r="C2276" t="s">
        <v>10580</v>
      </c>
      <c r="D2276" s="940" t="s">
        <v>10581</v>
      </c>
      <c r="E2276" t="s">
        <v>163</v>
      </c>
    </row>
    <row r="2277" spans="1:5" x14ac:dyDescent="0.2">
      <c r="A2277" s="940">
        <v>3222</v>
      </c>
      <c r="B2277" s="940">
        <v>17</v>
      </c>
      <c r="C2277" t="s">
        <v>5860</v>
      </c>
      <c r="D2277" s="940" t="s">
        <v>5861</v>
      </c>
      <c r="E2277" t="s">
        <v>147</v>
      </c>
    </row>
    <row r="2278" spans="1:5" x14ac:dyDescent="0.2">
      <c r="A2278" s="940">
        <v>4294</v>
      </c>
      <c r="B2278" s="940">
        <v>0</v>
      </c>
      <c r="C2278" t="s">
        <v>5862</v>
      </c>
      <c r="D2278" s="940" t="s">
        <v>3028</v>
      </c>
      <c r="E2278" t="s">
        <v>128</v>
      </c>
    </row>
    <row r="2279" spans="1:5" x14ac:dyDescent="0.2">
      <c r="A2279" s="940">
        <v>3602</v>
      </c>
      <c r="B2279" s="940">
        <v>8</v>
      </c>
      <c r="C2279" t="s">
        <v>10582</v>
      </c>
      <c r="D2279" s="940" t="s">
        <v>3741</v>
      </c>
      <c r="E2279" t="s">
        <v>1248</v>
      </c>
    </row>
    <row r="2280" spans="1:5" x14ac:dyDescent="0.2">
      <c r="A2280" s="940">
        <v>1150</v>
      </c>
      <c r="B2280" s="940">
        <v>225</v>
      </c>
      <c r="C2280" t="s">
        <v>1804</v>
      </c>
      <c r="D2280" s="940" t="s">
        <v>10583</v>
      </c>
      <c r="E2280" t="s">
        <v>290</v>
      </c>
    </row>
    <row r="2281" spans="1:5" x14ac:dyDescent="0.2">
      <c r="A2281" s="940">
        <v>4294</v>
      </c>
      <c r="B2281" s="940">
        <v>0</v>
      </c>
      <c r="C2281" t="s">
        <v>5864</v>
      </c>
      <c r="D2281" s="940" t="s">
        <v>5865</v>
      </c>
      <c r="E2281" t="s">
        <v>614</v>
      </c>
    </row>
    <row r="2282" spans="1:5" x14ac:dyDescent="0.2">
      <c r="A2282" s="940">
        <v>438</v>
      </c>
      <c r="B2282" s="940">
        <v>603</v>
      </c>
      <c r="C2282" t="s">
        <v>5866</v>
      </c>
      <c r="D2282" s="940" t="s">
        <v>5867</v>
      </c>
      <c r="E2282" t="s">
        <v>74</v>
      </c>
    </row>
    <row r="2283" spans="1:5" x14ac:dyDescent="0.2">
      <c r="A2283" s="940">
        <v>4294</v>
      </c>
      <c r="B2283" s="940">
        <v>0</v>
      </c>
      <c r="C2283" t="s">
        <v>10584</v>
      </c>
      <c r="D2283" s="940" t="s">
        <v>10179</v>
      </c>
      <c r="E2283" t="s">
        <v>170</v>
      </c>
    </row>
    <row r="2284" spans="1:5" x14ac:dyDescent="0.2">
      <c r="A2284" s="940">
        <v>4294</v>
      </c>
      <c r="B2284" s="940">
        <v>0</v>
      </c>
      <c r="C2284" t="s">
        <v>5868</v>
      </c>
      <c r="D2284" s="940" t="s">
        <v>5869</v>
      </c>
      <c r="E2284" t="s">
        <v>122</v>
      </c>
    </row>
    <row r="2285" spans="1:5" x14ac:dyDescent="0.2">
      <c r="A2285" s="940">
        <v>1089</v>
      </c>
      <c r="B2285" s="940">
        <v>245</v>
      </c>
      <c r="C2285" t="s">
        <v>5872</v>
      </c>
      <c r="D2285" s="940" t="s">
        <v>5873</v>
      </c>
      <c r="E2285" t="s">
        <v>112</v>
      </c>
    </row>
    <row r="2286" spans="1:5" x14ac:dyDescent="0.2">
      <c r="A2286" s="940">
        <v>1248</v>
      </c>
      <c r="B2286" s="940">
        <v>195</v>
      </c>
      <c r="C2286" t="s">
        <v>5874</v>
      </c>
      <c r="D2286" s="940" t="s">
        <v>2745</v>
      </c>
      <c r="E2286" t="s">
        <v>132</v>
      </c>
    </row>
    <row r="2287" spans="1:5" x14ac:dyDescent="0.2">
      <c r="A2287" s="940">
        <v>1180</v>
      </c>
      <c r="B2287" s="940">
        <v>218</v>
      </c>
      <c r="C2287" t="s">
        <v>396</v>
      </c>
      <c r="D2287" s="940" t="s">
        <v>5875</v>
      </c>
      <c r="E2287" t="s">
        <v>1171</v>
      </c>
    </row>
    <row r="2288" spans="1:5" x14ac:dyDescent="0.2">
      <c r="A2288" s="940">
        <v>1568</v>
      </c>
      <c r="B2288" s="940">
        <v>133</v>
      </c>
      <c r="C2288" t="s">
        <v>396</v>
      </c>
      <c r="D2288" s="940" t="s">
        <v>10585</v>
      </c>
      <c r="E2288" t="s">
        <v>1200</v>
      </c>
    </row>
    <row r="2289" spans="1:5" x14ac:dyDescent="0.2">
      <c r="A2289" s="940">
        <v>2029</v>
      </c>
      <c r="B2289" s="940">
        <v>83</v>
      </c>
      <c r="C2289" t="s">
        <v>711</v>
      </c>
      <c r="D2289" s="940" t="s">
        <v>9524</v>
      </c>
      <c r="E2289" t="s">
        <v>1221</v>
      </c>
    </row>
    <row r="2290" spans="1:5" x14ac:dyDescent="0.2">
      <c r="A2290" s="940">
        <v>2819</v>
      </c>
      <c r="B2290" s="940">
        <v>32</v>
      </c>
      <c r="C2290" t="s">
        <v>711</v>
      </c>
      <c r="D2290" s="940" t="s">
        <v>10586</v>
      </c>
      <c r="E2290" t="s">
        <v>4104</v>
      </c>
    </row>
    <row r="2291" spans="1:5" x14ac:dyDescent="0.2">
      <c r="A2291" s="940">
        <v>3972</v>
      </c>
      <c r="B2291" s="940">
        <v>3</v>
      </c>
      <c r="C2291" t="s">
        <v>5876</v>
      </c>
      <c r="D2291" s="940" t="s">
        <v>5877</v>
      </c>
      <c r="E2291" t="s">
        <v>1419</v>
      </c>
    </row>
    <row r="2292" spans="1:5" x14ac:dyDescent="0.2">
      <c r="A2292" s="940">
        <v>2630</v>
      </c>
      <c r="B2292" s="940">
        <v>40</v>
      </c>
      <c r="C2292" t="s">
        <v>835</v>
      </c>
      <c r="D2292" s="940" t="s">
        <v>5878</v>
      </c>
      <c r="E2292" t="s">
        <v>99</v>
      </c>
    </row>
    <row r="2293" spans="1:5" x14ac:dyDescent="0.2">
      <c r="A2293" s="940">
        <v>4294</v>
      </c>
      <c r="B2293" s="940">
        <v>0</v>
      </c>
      <c r="C2293" t="s">
        <v>5880</v>
      </c>
      <c r="D2293" s="940" t="s">
        <v>5881</v>
      </c>
      <c r="E2293" t="s">
        <v>112</v>
      </c>
    </row>
    <row r="2294" spans="1:5" x14ac:dyDescent="0.2">
      <c r="A2294" s="940">
        <v>3972</v>
      </c>
      <c r="B2294" s="940">
        <v>3</v>
      </c>
      <c r="C2294" t="s">
        <v>5882</v>
      </c>
      <c r="D2294" s="940" t="s">
        <v>10587</v>
      </c>
      <c r="E2294" t="s">
        <v>4373</v>
      </c>
    </row>
    <row r="2295" spans="1:5" x14ac:dyDescent="0.2">
      <c r="A2295" s="940">
        <v>3882</v>
      </c>
      <c r="B2295" s="940">
        <v>4</v>
      </c>
      <c r="C2295" t="s">
        <v>1810</v>
      </c>
      <c r="D2295" s="940" t="s">
        <v>10588</v>
      </c>
      <c r="E2295" t="s">
        <v>105</v>
      </c>
    </row>
    <row r="2296" spans="1:5" x14ac:dyDescent="0.2">
      <c r="A2296" s="940">
        <v>1556</v>
      </c>
      <c r="B2296" s="940">
        <v>135</v>
      </c>
      <c r="C2296" t="s">
        <v>1812</v>
      </c>
      <c r="D2296" s="940" t="s">
        <v>6307</v>
      </c>
      <c r="E2296" t="s">
        <v>170</v>
      </c>
    </row>
    <row r="2297" spans="1:5" x14ac:dyDescent="0.2">
      <c r="A2297" s="940">
        <v>4294</v>
      </c>
      <c r="B2297" s="940">
        <v>0</v>
      </c>
      <c r="C2297" t="s">
        <v>10589</v>
      </c>
      <c r="D2297" s="940" t="s">
        <v>9909</v>
      </c>
      <c r="E2297" t="s">
        <v>130</v>
      </c>
    </row>
    <row r="2298" spans="1:5" x14ac:dyDescent="0.2">
      <c r="A2298" s="940">
        <v>373</v>
      </c>
      <c r="B2298" s="940">
        <v>667</v>
      </c>
      <c r="C2298" t="s">
        <v>5883</v>
      </c>
      <c r="D2298" s="940" t="s">
        <v>5884</v>
      </c>
      <c r="E2298" t="s">
        <v>3200</v>
      </c>
    </row>
    <row r="2299" spans="1:5" x14ac:dyDescent="0.2">
      <c r="A2299" s="940">
        <v>1651</v>
      </c>
      <c r="B2299" s="940">
        <v>122</v>
      </c>
      <c r="C2299" t="s">
        <v>5883</v>
      </c>
      <c r="D2299" s="940" t="s">
        <v>10590</v>
      </c>
      <c r="E2299" t="s">
        <v>120</v>
      </c>
    </row>
    <row r="2300" spans="1:5" x14ac:dyDescent="0.2">
      <c r="A2300" s="940">
        <v>1200</v>
      </c>
      <c r="B2300" s="940">
        <v>210</v>
      </c>
      <c r="C2300" t="s">
        <v>836</v>
      </c>
      <c r="D2300" s="940" t="s">
        <v>5885</v>
      </c>
      <c r="E2300" t="s">
        <v>164</v>
      </c>
    </row>
    <row r="2301" spans="1:5" x14ac:dyDescent="0.2">
      <c r="A2301" s="940">
        <v>153</v>
      </c>
      <c r="B2301" s="940">
        <v>1000</v>
      </c>
      <c r="C2301" t="s">
        <v>1813</v>
      </c>
      <c r="D2301" s="940" t="s">
        <v>10591</v>
      </c>
      <c r="E2301" t="s">
        <v>138</v>
      </c>
    </row>
    <row r="2302" spans="1:5" x14ac:dyDescent="0.2">
      <c r="A2302" s="940">
        <v>1113</v>
      </c>
      <c r="B2302" s="940">
        <v>236</v>
      </c>
      <c r="C2302" t="s">
        <v>1813</v>
      </c>
      <c r="D2302" s="940" t="s">
        <v>5886</v>
      </c>
      <c r="E2302" t="s">
        <v>1214</v>
      </c>
    </row>
    <row r="2303" spans="1:5" x14ac:dyDescent="0.2">
      <c r="A2303" s="940">
        <v>1061</v>
      </c>
      <c r="B2303" s="940">
        <v>254</v>
      </c>
      <c r="C2303" t="s">
        <v>5887</v>
      </c>
      <c r="D2303" s="940" t="s">
        <v>10592</v>
      </c>
      <c r="E2303" t="s">
        <v>1211</v>
      </c>
    </row>
    <row r="2304" spans="1:5" x14ac:dyDescent="0.2">
      <c r="A2304" s="940">
        <v>4294</v>
      </c>
      <c r="B2304" s="940">
        <v>0</v>
      </c>
      <c r="C2304" t="s">
        <v>5887</v>
      </c>
      <c r="D2304" s="940" t="s">
        <v>5034</v>
      </c>
      <c r="E2304" t="s">
        <v>227</v>
      </c>
    </row>
    <row r="2305" spans="1:5" x14ac:dyDescent="0.2">
      <c r="A2305" s="940">
        <v>3402</v>
      </c>
      <c r="B2305" s="940">
        <v>12</v>
      </c>
      <c r="C2305" t="s">
        <v>10593</v>
      </c>
      <c r="D2305" s="940" t="s">
        <v>10594</v>
      </c>
      <c r="E2305" t="s">
        <v>120</v>
      </c>
    </row>
    <row r="2306" spans="1:5" x14ac:dyDescent="0.2">
      <c r="A2306" s="940">
        <v>3655</v>
      </c>
      <c r="B2306" s="940">
        <v>7</v>
      </c>
      <c r="C2306" t="s">
        <v>5888</v>
      </c>
      <c r="D2306" s="940" t="s">
        <v>5889</v>
      </c>
      <c r="E2306" t="s">
        <v>282</v>
      </c>
    </row>
    <row r="2307" spans="1:5" x14ac:dyDescent="0.2">
      <c r="A2307" s="940">
        <v>1880</v>
      </c>
      <c r="B2307" s="940">
        <v>97</v>
      </c>
      <c r="C2307" t="s">
        <v>1814</v>
      </c>
      <c r="D2307" s="940" t="s">
        <v>5026</v>
      </c>
      <c r="E2307" t="s">
        <v>1340</v>
      </c>
    </row>
    <row r="2308" spans="1:5" x14ac:dyDescent="0.2">
      <c r="A2308" s="940">
        <v>363</v>
      </c>
      <c r="B2308" s="940">
        <v>678</v>
      </c>
      <c r="C2308" t="s">
        <v>5891</v>
      </c>
      <c r="D2308" s="940" t="s">
        <v>5892</v>
      </c>
      <c r="E2308" t="s">
        <v>74</v>
      </c>
    </row>
    <row r="2309" spans="1:5" x14ac:dyDescent="0.2">
      <c r="A2309" s="940">
        <v>4181</v>
      </c>
      <c r="B2309" s="940">
        <v>1</v>
      </c>
      <c r="C2309" t="s">
        <v>10595</v>
      </c>
      <c r="D2309" s="940" t="s">
        <v>10596</v>
      </c>
      <c r="E2309" t="s">
        <v>120</v>
      </c>
    </row>
    <row r="2310" spans="1:5" x14ac:dyDescent="0.2">
      <c r="A2310" s="940">
        <v>4294</v>
      </c>
      <c r="B2310" s="940">
        <v>0</v>
      </c>
      <c r="C2310" t="s">
        <v>10597</v>
      </c>
      <c r="D2310" s="940" t="s">
        <v>5741</v>
      </c>
      <c r="E2310" t="s">
        <v>72</v>
      </c>
    </row>
    <row r="2311" spans="1:5" x14ac:dyDescent="0.2">
      <c r="A2311" s="940">
        <v>2691</v>
      </c>
      <c r="B2311" s="940">
        <v>37</v>
      </c>
      <c r="C2311" t="s">
        <v>10598</v>
      </c>
      <c r="D2311" s="940" t="s">
        <v>10599</v>
      </c>
      <c r="E2311" t="s">
        <v>1214</v>
      </c>
    </row>
    <row r="2312" spans="1:5" x14ac:dyDescent="0.2">
      <c r="A2312" s="940">
        <v>4294</v>
      </c>
      <c r="B2312" s="940">
        <v>0</v>
      </c>
      <c r="C2312" t="s">
        <v>10600</v>
      </c>
      <c r="D2312" s="940" t="s">
        <v>4426</v>
      </c>
      <c r="E2312" t="s">
        <v>120</v>
      </c>
    </row>
    <row r="2313" spans="1:5" x14ac:dyDescent="0.2">
      <c r="A2313" s="940">
        <v>13</v>
      </c>
      <c r="B2313" s="940">
        <v>1540</v>
      </c>
      <c r="C2313" t="s">
        <v>5893</v>
      </c>
      <c r="D2313" s="940" t="s">
        <v>5894</v>
      </c>
      <c r="E2313" t="s">
        <v>130</v>
      </c>
    </row>
    <row r="2314" spans="1:5" x14ac:dyDescent="0.2">
      <c r="A2314" s="940">
        <v>3107</v>
      </c>
      <c r="B2314" s="940">
        <v>20</v>
      </c>
      <c r="C2314" t="s">
        <v>5895</v>
      </c>
      <c r="D2314" s="940" t="s">
        <v>4230</v>
      </c>
      <c r="E2314" t="s">
        <v>119</v>
      </c>
    </row>
    <row r="2315" spans="1:5" x14ac:dyDescent="0.2">
      <c r="A2315" s="940">
        <v>3174</v>
      </c>
      <c r="B2315" s="940">
        <v>18</v>
      </c>
      <c r="C2315" t="s">
        <v>1815</v>
      </c>
      <c r="D2315" s="940" t="s">
        <v>5632</v>
      </c>
      <c r="E2315" t="s">
        <v>117</v>
      </c>
    </row>
    <row r="2316" spans="1:5" x14ac:dyDescent="0.2">
      <c r="A2316" s="940">
        <v>1041</v>
      </c>
      <c r="B2316" s="940">
        <v>262</v>
      </c>
      <c r="C2316" t="s">
        <v>10601</v>
      </c>
      <c r="D2316" s="940" t="s">
        <v>10229</v>
      </c>
      <c r="E2316" t="s">
        <v>9809</v>
      </c>
    </row>
    <row r="2317" spans="1:5" x14ac:dyDescent="0.2">
      <c r="A2317" s="940">
        <v>45</v>
      </c>
      <c r="B2317" s="940">
        <v>1317</v>
      </c>
      <c r="C2317" t="s">
        <v>5900</v>
      </c>
      <c r="D2317" s="940" t="s">
        <v>5901</v>
      </c>
      <c r="E2317" t="s">
        <v>103</v>
      </c>
    </row>
    <row r="2318" spans="1:5" x14ac:dyDescent="0.2">
      <c r="A2318" s="940">
        <v>1320</v>
      </c>
      <c r="B2318" s="940">
        <v>180</v>
      </c>
      <c r="C2318" t="s">
        <v>2523</v>
      </c>
      <c r="D2318" s="940" t="s">
        <v>7738</v>
      </c>
      <c r="E2318" t="s">
        <v>83</v>
      </c>
    </row>
    <row r="2319" spans="1:5" x14ac:dyDescent="0.2">
      <c r="A2319" s="940">
        <v>1499</v>
      </c>
      <c r="B2319" s="940">
        <v>144</v>
      </c>
      <c r="C2319" t="s">
        <v>5902</v>
      </c>
      <c r="D2319" s="940" t="s">
        <v>4547</v>
      </c>
      <c r="E2319" t="s">
        <v>113</v>
      </c>
    </row>
    <row r="2320" spans="1:5" x14ac:dyDescent="0.2">
      <c r="A2320" s="940">
        <v>1993</v>
      </c>
      <c r="B2320" s="940">
        <v>86</v>
      </c>
      <c r="C2320" t="s">
        <v>10602</v>
      </c>
      <c r="D2320" s="940" t="s">
        <v>6585</v>
      </c>
      <c r="E2320" t="s">
        <v>72</v>
      </c>
    </row>
    <row r="2321" spans="1:5" x14ac:dyDescent="0.2">
      <c r="A2321" s="940">
        <v>302</v>
      </c>
      <c r="B2321" s="940">
        <v>770</v>
      </c>
      <c r="C2321" t="s">
        <v>10603</v>
      </c>
      <c r="D2321" s="940" t="s">
        <v>10604</v>
      </c>
      <c r="E2321" t="s">
        <v>74</v>
      </c>
    </row>
    <row r="2322" spans="1:5" x14ac:dyDescent="0.2">
      <c r="A2322" s="940">
        <v>3545</v>
      </c>
      <c r="B2322" s="940">
        <v>9</v>
      </c>
      <c r="C2322" t="s">
        <v>10605</v>
      </c>
      <c r="D2322" s="940" t="s">
        <v>5715</v>
      </c>
      <c r="E2322" t="s">
        <v>122</v>
      </c>
    </row>
    <row r="2323" spans="1:5" x14ac:dyDescent="0.2">
      <c r="A2323" s="940">
        <v>2860</v>
      </c>
      <c r="B2323" s="940">
        <v>30</v>
      </c>
      <c r="C2323" t="s">
        <v>10606</v>
      </c>
      <c r="D2323" s="940" t="s">
        <v>7505</v>
      </c>
      <c r="E2323" t="s">
        <v>1156</v>
      </c>
    </row>
    <row r="2324" spans="1:5" x14ac:dyDescent="0.2">
      <c r="A2324" s="940">
        <v>812</v>
      </c>
      <c r="B2324" s="940">
        <v>355</v>
      </c>
      <c r="C2324" t="s">
        <v>5903</v>
      </c>
      <c r="D2324" s="940" t="s">
        <v>5904</v>
      </c>
      <c r="E2324" t="s">
        <v>5905</v>
      </c>
    </row>
    <row r="2325" spans="1:5" x14ac:dyDescent="0.2">
      <c r="A2325" s="940">
        <v>2096</v>
      </c>
      <c r="B2325" s="940">
        <v>78</v>
      </c>
      <c r="C2325" t="s">
        <v>10607</v>
      </c>
      <c r="D2325" s="940" t="s">
        <v>3505</v>
      </c>
      <c r="E2325" t="s">
        <v>9311</v>
      </c>
    </row>
    <row r="2326" spans="1:5" x14ac:dyDescent="0.2">
      <c r="A2326" s="940">
        <v>4294</v>
      </c>
      <c r="B2326" s="940">
        <v>0</v>
      </c>
      <c r="C2326" t="s">
        <v>5908</v>
      </c>
      <c r="D2326" s="940" t="s">
        <v>5909</v>
      </c>
      <c r="E2326" t="s">
        <v>1311</v>
      </c>
    </row>
    <row r="2327" spans="1:5" x14ac:dyDescent="0.2">
      <c r="A2327" s="940">
        <v>348</v>
      </c>
      <c r="B2327" s="940">
        <v>701</v>
      </c>
      <c r="C2327" t="s">
        <v>10608</v>
      </c>
      <c r="D2327" s="940" t="s">
        <v>10609</v>
      </c>
      <c r="E2327" t="s">
        <v>1493</v>
      </c>
    </row>
    <row r="2328" spans="1:5" x14ac:dyDescent="0.2">
      <c r="A2328" s="940">
        <v>438</v>
      </c>
      <c r="B2328" s="940">
        <v>603</v>
      </c>
      <c r="C2328" t="s">
        <v>267</v>
      </c>
      <c r="D2328" s="940" t="s">
        <v>5910</v>
      </c>
      <c r="E2328" t="s">
        <v>1171</v>
      </c>
    </row>
    <row r="2329" spans="1:5" x14ac:dyDescent="0.2">
      <c r="A2329" s="940">
        <v>2833</v>
      </c>
      <c r="B2329" s="940">
        <v>31</v>
      </c>
      <c r="C2329" t="s">
        <v>5911</v>
      </c>
      <c r="D2329" s="940" t="s">
        <v>5912</v>
      </c>
      <c r="E2329" t="s">
        <v>110</v>
      </c>
    </row>
    <row r="2330" spans="1:5" x14ac:dyDescent="0.2">
      <c r="A2330" s="940">
        <v>2138</v>
      </c>
      <c r="B2330" s="940">
        <v>74</v>
      </c>
      <c r="C2330" t="s">
        <v>10610</v>
      </c>
      <c r="D2330" s="940" t="s">
        <v>4114</v>
      </c>
      <c r="E2330" t="s">
        <v>1211</v>
      </c>
    </row>
    <row r="2331" spans="1:5" x14ac:dyDescent="0.2">
      <c r="A2331" s="940">
        <v>2819</v>
      </c>
      <c r="B2331" s="940">
        <v>32</v>
      </c>
      <c r="C2331" t="s">
        <v>5913</v>
      </c>
      <c r="D2331" s="940" t="s">
        <v>5914</v>
      </c>
      <c r="E2331" t="s">
        <v>1590</v>
      </c>
    </row>
    <row r="2332" spans="1:5" x14ac:dyDescent="0.2">
      <c r="A2332" s="940">
        <v>3446</v>
      </c>
      <c r="B2332" s="940">
        <v>11</v>
      </c>
      <c r="C2332" t="s">
        <v>5915</v>
      </c>
      <c r="D2332" s="940" t="s">
        <v>5030</v>
      </c>
      <c r="E2332" t="s">
        <v>128</v>
      </c>
    </row>
    <row r="2333" spans="1:5" x14ac:dyDescent="0.2">
      <c r="A2333" s="940">
        <v>555</v>
      </c>
      <c r="B2333" s="940">
        <v>504</v>
      </c>
      <c r="C2333" t="s">
        <v>10611</v>
      </c>
      <c r="D2333" s="940" t="s">
        <v>10612</v>
      </c>
      <c r="E2333" t="s">
        <v>1211</v>
      </c>
    </row>
    <row r="2334" spans="1:5" x14ac:dyDescent="0.2">
      <c r="A2334" s="940">
        <v>4294</v>
      </c>
      <c r="B2334" s="940">
        <v>0</v>
      </c>
      <c r="C2334" t="s">
        <v>5921</v>
      </c>
      <c r="D2334" s="940" t="s">
        <v>5922</v>
      </c>
      <c r="E2334" t="s">
        <v>1214</v>
      </c>
    </row>
    <row r="2335" spans="1:5" x14ac:dyDescent="0.2">
      <c r="A2335" s="940">
        <v>752</v>
      </c>
      <c r="B2335" s="940">
        <v>381</v>
      </c>
      <c r="C2335" t="s">
        <v>1819</v>
      </c>
      <c r="D2335" s="940" t="s">
        <v>5923</v>
      </c>
      <c r="E2335" t="s">
        <v>118</v>
      </c>
    </row>
    <row r="2336" spans="1:5" x14ac:dyDescent="0.2">
      <c r="A2336" s="940">
        <v>830</v>
      </c>
      <c r="B2336" s="940">
        <v>349</v>
      </c>
      <c r="C2336" t="s">
        <v>10613</v>
      </c>
      <c r="D2336" s="940" t="s">
        <v>10614</v>
      </c>
      <c r="E2336" t="s">
        <v>118</v>
      </c>
    </row>
    <row r="2337" spans="1:5" x14ac:dyDescent="0.2">
      <c r="A2337" s="940">
        <v>330</v>
      </c>
      <c r="B2337" s="940">
        <v>722</v>
      </c>
      <c r="C2337" t="s">
        <v>5924</v>
      </c>
      <c r="D2337" s="940" t="s">
        <v>5925</v>
      </c>
      <c r="E2337" t="s">
        <v>3200</v>
      </c>
    </row>
    <row r="2338" spans="1:5" x14ac:dyDescent="0.2">
      <c r="A2338" s="940">
        <v>3972</v>
      </c>
      <c r="B2338" s="940">
        <v>3</v>
      </c>
      <c r="C2338" t="s">
        <v>10615</v>
      </c>
      <c r="D2338" s="940" t="s">
        <v>3157</v>
      </c>
      <c r="E2338" t="s">
        <v>105</v>
      </c>
    </row>
    <row r="2339" spans="1:5" x14ac:dyDescent="0.2">
      <c r="A2339" s="940">
        <v>2877</v>
      </c>
      <c r="B2339" s="940">
        <v>29</v>
      </c>
      <c r="C2339" t="s">
        <v>5926</v>
      </c>
      <c r="D2339" s="940" t="s">
        <v>3857</v>
      </c>
      <c r="E2339" t="s">
        <v>99</v>
      </c>
    </row>
    <row r="2340" spans="1:5" x14ac:dyDescent="0.2">
      <c r="A2340" s="940">
        <v>3446</v>
      </c>
      <c r="B2340" s="940">
        <v>11</v>
      </c>
      <c r="C2340" t="s">
        <v>1822</v>
      </c>
      <c r="D2340" s="940" t="s">
        <v>10616</v>
      </c>
      <c r="E2340" t="s">
        <v>213</v>
      </c>
    </row>
    <row r="2341" spans="1:5" x14ac:dyDescent="0.2">
      <c r="A2341" s="940">
        <v>2067</v>
      </c>
      <c r="B2341" s="940">
        <v>80</v>
      </c>
      <c r="C2341" t="s">
        <v>5927</v>
      </c>
      <c r="D2341" s="940" t="s">
        <v>5928</v>
      </c>
      <c r="E2341" t="s">
        <v>160</v>
      </c>
    </row>
    <row r="2342" spans="1:5" x14ac:dyDescent="0.2">
      <c r="A2342" s="940">
        <v>1621</v>
      </c>
      <c r="B2342" s="940">
        <v>125</v>
      </c>
      <c r="C2342" t="s">
        <v>838</v>
      </c>
      <c r="D2342" s="940" t="s">
        <v>10617</v>
      </c>
      <c r="E2342" t="s">
        <v>160</v>
      </c>
    </row>
    <row r="2343" spans="1:5" x14ac:dyDescent="0.2">
      <c r="A2343" s="940">
        <v>4294</v>
      </c>
      <c r="B2343" s="940">
        <v>0</v>
      </c>
      <c r="C2343" t="s">
        <v>10618</v>
      </c>
      <c r="D2343" s="940" t="s">
        <v>10619</v>
      </c>
      <c r="E2343" t="s">
        <v>105</v>
      </c>
    </row>
    <row r="2344" spans="1:5" x14ac:dyDescent="0.2">
      <c r="A2344" s="940">
        <v>3796</v>
      </c>
      <c r="B2344" s="940">
        <v>5</v>
      </c>
      <c r="C2344" t="s">
        <v>5935</v>
      </c>
      <c r="D2344" s="940" t="s">
        <v>4625</v>
      </c>
      <c r="E2344" t="s">
        <v>128</v>
      </c>
    </row>
    <row r="2345" spans="1:5" x14ac:dyDescent="0.2">
      <c r="A2345" s="940">
        <v>2006</v>
      </c>
      <c r="B2345" s="940">
        <v>85</v>
      </c>
      <c r="C2345" t="s">
        <v>1826</v>
      </c>
      <c r="D2345" s="940" t="s">
        <v>10620</v>
      </c>
      <c r="E2345" t="s">
        <v>1221</v>
      </c>
    </row>
    <row r="2346" spans="1:5" x14ac:dyDescent="0.2">
      <c r="A2346" s="940">
        <v>41</v>
      </c>
      <c r="B2346" s="940">
        <v>1363</v>
      </c>
      <c r="C2346" t="s">
        <v>10621</v>
      </c>
      <c r="D2346" s="940" t="s">
        <v>10622</v>
      </c>
      <c r="E2346" t="s">
        <v>76</v>
      </c>
    </row>
    <row r="2347" spans="1:5" x14ac:dyDescent="0.2">
      <c r="A2347" s="940">
        <v>2486</v>
      </c>
      <c r="B2347" s="940">
        <v>48</v>
      </c>
      <c r="C2347" t="s">
        <v>1827</v>
      </c>
      <c r="D2347" s="940" t="s">
        <v>8112</v>
      </c>
      <c r="E2347" t="s">
        <v>105</v>
      </c>
    </row>
    <row r="2348" spans="1:5" x14ac:dyDescent="0.2">
      <c r="A2348" s="940">
        <v>4294</v>
      </c>
      <c r="B2348" s="940">
        <v>0</v>
      </c>
      <c r="C2348" t="s">
        <v>5936</v>
      </c>
      <c r="D2348" s="940" t="s">
        <v>3731</v>
      </c>
      <c r="E2348" t="s">
        <v>110</v>
      </c>
    </row>
    <row r="2349" spans="1:5" x14ac:dyDescent="0.2">
      <c r="A2349" s="940">
        <v>2514</v>
      </c>
      <c r="B2349" s="940">
        <v>46</v>
      </c>
      <c r="C2349" t="s">
        <v>5937</v>
      </c>
      <c r="D2349" s="940" t="s">
        <v>5938</v>
      </c>
      <c r="E2349" t="s">
        <v>128</v>
      </c>
    </row>
    <row r="2350" spans="1:5" x14ac:dyDescent="0.2">
      <c r="A2350" s="940">
        <v>1729</v>
      </c>
      <c r="B2350" s="940">
        <v>113</v>
      </c>
      <c r="C2350" t="s">
        <v>1829</v>
      </c>
      <c r="D2350" s="940" t="s">
        <v>5939</v>
      </c>
      <c r="E2350" t="s">
        <v>170</v>
      </c>
    </row>
    <row r="2351" spans="1:5" x14ac:dyDescent="0.2">
      <c r="A2351" s="940">
        <v>2552</v>
      </c>
      <c r="B2351" s="940">
        <v>44</v>
      </c>
      <c r="C2351" t="s">
        <v>10623</v>
      </c>
      <c r="D2351" s="940" t="s">
        <v>5572</v>
      </c>
      <c r="E2351" t="s">
        <v>73</v>
      </c>
    </row>
    <row r="2352" spans="1:5" x14ac:dyDescent="0.2">
      <c r="A2352" s="940">
        <v>2434</v>
      </c>
      <c r="B2352" s="940">
        <v>52</v>
      </c>
      <c r="C2352" t="s">
        <v>10624</v>
      </c>
      <c r="D2352" s="940" t="s">
        <v>9711</v>
      </c>
      <c r="E2352" t="s">
        <v>2979</v>
      </c>
    </row>
    <row r="2353" spans="1:5" x14ac:dyDescent="0.2">
      <c r="A2353" s="940">
        <v>2938</v>
      </c>
      <c r="B2353" s="940">
        <v>26</v>
      </c>
      <c r="C2353" t="s">
        <v>5940</v>
      </c>
      <c r="D2353" s="940" t="s">
        <v>4669</v>
      </c>
      <c r="E2353" t="s">
        <v>105</v>
      </c>
    </row>
    <row r="2354" spans="1:5" x14ac:dyDescent="0.2">
      <c r="A2354" s="940">
        <v>1543</v>
      </c>
      <c r="B2354" s="940">
        <v>137</v>
      </c>
      <c r="C2354" t="s">
        <v>5941</v>
      </c>
      <c r="D2354" s="940" t="s">
        <v>5942</v>
      </c>
      <c r="E2354" t="s">
        <v>1158</v>
      </c>
    </row>
    <row r="2355" spans="1:5" x14ac:dyDescent="0.2">
      <c r="A2355" s="940">
        <v>2877</v>
      </c>
      <c r="B2355" s="940">
        <v>29</v>
      </c>
      <c r="C2355" t="s">
        <v>10625</v>
      </c>
      <c r="D2355" s="940" t="s">
        <v>3965</v>
      </c>
      <c r="E2355" t="s">
        <v>112</v>
      </c>
    </row>
    <row r="2356" spans="1:5" x14ac:dyDescent="0.2">
      <c r="A2356" s="940">
        <v>457</v>
      </c>
      <c r="B2356" s="940">
        <v>585</v>
      </c>
      <c r="C2356" t="s">
        <v>10626</v>
      </c>
      <c r="D2356" s="940" t="s">
        <v>6420</v>
      </c>
      <c r="E2356" t="s">
        <v>109</v>
      </c>
    </row>
    <row r="2357" spans="1:5" x14ac:dyDescent="0.2">
      <c r="A2357" s="940">
        <v>3008</v>
      </c>
      <c r="B2357" s="940">
        <v>23</v>
      </c>
      <c r="C2357" t="s">
        <v>5943</v>
      </c>
      <c r="D2357" s="940" t="s">
        <v>5944</v>
      </c>
      <c r="E2357" t="s">
        <v>1170</v>
      </c>
    </row>
    <row r="2358" spans="1:5" x14ac:dyDescent="0.2">
      <c r="A2358" s="940">
        <v>3972</v>
      </c>
      <c r="B2358" s="940">
        <v>3</v>
      </c>
      <c r="C2358" t="s">
        <v>5945</v>
      </c>
      <c r="D2358" s="940" t="s">
        <v>5946</v>
      </c>
      <c r="E2358" t="s">
        <v>120</v>
      </c>
    </row>
    <row r="2359" spans="1:5" x14ac:dyDescent="0.2">
      <c r="A2359" s="940">
        <v>4294</v>
      </c>
      <c r="B2359" s="940">
        <v>0</v>
      </c>
      <c r="C2359" t="s">
        <v>5947</v>
      </c>
      <c r="D2359" s="940" t="s">
        <v>5948</v>
      </c>
      <c r="E2359" t="s">
        <v>99</v>
      </c>
    </row>
    <row r="2360" spans="1:5" x14ac:dyDescent="0.2">
      <c r="A2360" s="940">
        <v>3796</v>
      </c>
      <c r="B2360" s="940">
        <v>5</v>
      </c>
      <c r="C2360" t="s">
        <v>5949</v>
      </c>
      <c r="D2360" s="940" t="s">
        <v>8011</v>
      </c>
      <c r="E2360" t="s">
        <v>1248</v>
      </c>
    </row>
    <row r="2361" spans="1:5" x14ac:dyDescent="0.2">
      <c r="A2361" s="940">
        <v>2475</v>
      </c>
      <c r="B2361" s="940">
        <v>49</v>
      </c>
      <c r="C2361" t="s">
        <v>5950</v>
      </c>
      <c r="D2361" s="940" t="s">
        <v>5429</v>
      </c>
      <c r="E2361" t="s">
        <v>1211</v>
      </c>
    </row>
    <row r="2362" spans="1:5" x14ac:dyDescent="0.2">
      <c r="A2362" s="940">
        <v>311</v>
      </c>
      <c r="B2362" s="940">
        <v>753</v>
      </c>
      <c r="C2362" t="s">
        <v>5953</v>
      </c>
      <c r="D2362" s="940" t="s">
        <v>5954</v>
      </c>
      <c r="E2362" t="s">
        <v>2880</v>
      </c>
    </row>
    <row r="2363" spans="1:5" x14ac:dyDescent="0.2">
      <c r="A2363" s="940">
        <v>2894</v>
      </c>
      <c r="B2363" s="940">
        <v>28</v>
      </c>
      <c r="C2363" t="s">
        <v>5955</v>
      </c>
      <c r="D2363" s="940" t="s">
        <v>5956</v>
      </c>
      <c r="E2363" t="s">
        <v>105</v>
      </c>
    </row>
    <row r="2364" spans="1:5" x14ac:dyDescent="0.2">
      <c r="A2364" s="940">
        <v>1161</v>
      </c>
      <c r="B2364" s="940">
        <v>222</v>
      </c>
      <c r="C2364" t="s">
        <v>10627</v>
      </c>
      <c r="D2364" s="940" t="s">
        <v>10628</v>
      </c>
      <c r="E2364" t="s">
        <v>171</v>
      </c>
    </row>
    <row r="2365" spans="1:5" x14ac:dyDescent="0.2">
      <c r="A2365" s="940">
        <v>4181</v>
      </c>
      <c r="B2365" s="940">
        <v>1</v>
      </c>
      <c r="C2365" t="s">
        <v>5957</v>
      </c>
      <c r="D2365" s="940" t="s">
        <v>3133</v>
      </c>
      <c r="E2365" t="s">
        <v>1248</v>
      </c>
    </row>
    <row r="2366" spans="1:5" x14ac:dyDescent="0.2">
      <c r="A2366" s="940">
        <v>3290</v>
      </c>
      <c r="B2366" s="940">
        <v>15</v>
      </c>
      <c r="C2366" t="s">
        <v>10629</v>
      </c>
      <c r="D2366" s="940" t="s">
        <v>9297</v>
      </c>
      <c r="E2366" t="s">
        <v>2549</v>
      </c>
    </row>
    <row r="2367" spans="1:5" x14ac:dyDescent="0.2">
      <c r="A2367" s="940">
        <v>3358</v>
      </c>
      <c r="B2367" s="940">
        <v>13</v>
      </c>
      <c r="C2367" t="s">
        <v>5958</v>
      </c>
      <c r="D2367" s="940" t="s">
        <v>4054</v>
      </c>
      <c r="E2367" t="s">
        <v>2549</v>
      </c>
    </row>
    <row r="2368" spans="1:5" x14ac:dyDescent="0.2">
      <c r="A2368" s="940">
        <v>217</v>
      </c>
      <c r="B2368" s="940">
        <v>883</v>
      </c>
      <c r="C2368" t="s">
        <v>5959</v>
      </c>
      <c r="D2368" s="940" t="s">
        <v>5960</v>
      </c>
      <c r="E2368" t="s">
        <v>109</v>
      </c>
    </row>
    <row r="2369" spans="1:5" x14ac:dyDescent="0.2">
      <c r="A2369" s="940">
        <v>2138</v>
      </c>
      <c r="B2369" s="940">
        <v>74</v>
      </c>
      <c r="C2369" t="s">
        <v>10630</v>
      </c>
      <c r="D2369" s="940" t="s">
        <v>4378</v>
      </c>
      <c r="E2369" t="s">
        <v>144</v>
      </c>
    </row>
    <row r="2370" spans="1:5" x14ac:dyDescent="0.2">
      <c r="A2370" s="940">
        <v>574</v>
      </c>
      <c r="B2370" s="940">
        <v>489</v>
      </c>
      <c r="C2370" t="s">
        <v>10631</v>
      </c>
      <c r="D2370" s="940" t="s">
        <v>3919</v>
      </c>
      <c r="E2370" t="s">
        <v>1222</v>
      </c>
    </row>
    <row r="2371" spans="1:5" x14ac:dyDescent="0.2">
      <c r="A2371" s="940">
        <v>4294</v>
      </c>
      <c r="B2371" s="940">
        <v>0</v>
      </c>
      <c r="C2371" t="s">
        <v>5963</v>
      </c>
      <c r="D2371" s="940" t="s">
        <v>5964</v>
      </c>
      <c r="E2371" t="s">
        <v>105</v>
      </c>
    </row>
    <row r="2372" spans="1:5" x14ac:dyDescent="0.2">
      <c r="A2372" s="940">
        <v>3602</v>
      </c>
      <c r="B2372" s="940">
        <v>8</v>
      </c>
      <c r="C2372" t="s">
        <v>5965</v>
      </c>
      <c r="D2372" s="940" t="s">
        <v>5966</v>
      </c>
      <c r="E2372" t="s">
        <v>1372</v>
      </c>
    </row>
    <row r="2373" spans="1:5" x14ac:dyDescent="0.2">
      <c r="A2373" s="940">
        <v>4294</v>
      </c>
      <c r="B2373" s="940">
        <v>0</v>
      </c>
      <c r="C2373" t="s">
        <v>5970</v>
      </c>
      <c r="D2373" s="940" t="s">
        <v>5442</v>
      </c>
      <c r="E2373" t="s">
        <v>105</v>
      </c>
    </row>
    <row r="2374" spans="1:5" x14ac:dyDescent="0.2">
      <c r="A2374" s="940">
        <v>4294</v>
      </c>
      <c r="B2374" s="940">
        <v>0</v>
      </c>
      <c r="C2374" t="s">
        <v>5971</v>
      </c>
      <c r="D2374" s="940" t="s">
        <v>4968</v>
      </c>
      <c r="E2374" t="s">
        <v>74</v>
      </c>
    </row>
    <row r="2375" spans="1:5" x14ac:dyDescent="0.2">
      <c r="A2375" s="940">
        <v>1613</v>
      </c>
      <c r="B2375" s="940">
        <v>126</v>
      </c>
      <c r="C2375" t="s">
        <v>1834</v>
      </c>
      <c r="D2375" s="940" t="s">
        <v>3233</v>
      </c>
      <c r="E2375" t="s">
        <v>105</v>
      </c>
    </row>
    <row r="2376" spans="1:5" x14ac:dyDescent="0.2">
      <c r="A2376" s="940">
        <v>2774</v>
      </c>
      <c r="B2376" s="940">
        <v>34</v>
      </c>
      <c r="C2376" t="s">
        <v>1834</v>
      </c>
      <c r="D2376" s="940" t="s">
        <v>8585</v>
      </c>
      <c r="E2376" t="s">
        <v>9488</v>
      </c>
    </row>
    <row r="2377" spans="1:5" x14ac:dyDescent="0.2">
      <c r="A2377" s="940">
        <v>2833</v>
      </c>
      <c r="B2377" s="940">
        <v>31</v>
      </c>
      <c r="C2377" t="s">
        <v>5972</v>
      </c>
      <c r="D2377" s="940" t="s">
        <v>5973</v>
      </c>
      <c r="E2377" t="s">
        <v>105</v>
      </c>
    </row>
    <row r="2378" spans="1:5" x14ac:dyDescent="0.2">
      <c r="A2378" s="940">
        <v>1188</v>
      </c>
      <c r="B2378" s="940">
        <v>215</v>
      </c>
      <c r="C2378" t="s">
        <v>1837</v>
      </c>
      <c r="D2378" s="940" t="s">
        <v>2912</v>
      </c>
      <c r="E2378" t="s">
        <v>120</v>
      </c>
    </row>
    <row r="2379" spans="1:5" x14ac:dyDescent="0.2">
      <c r="A2379" s="940">
        <v>3083</v>
      </c>
      <c r="B2379" s="940">
        <v>21</v>
      </c>
      <c r="C2379" t="s">
        <v>5974</v>
      </c>
      <c r="D2379" s="940" t="s">
        <v>5975</v>
      </c>
      <c r="E2379" t="s">
        <v>99</v>
      </c>
    </row>
    <row r="2380" spans="1:5" x14ac:dyDescent="0.2">
      <c r="A2380" s="940">
        <v>379</v>
      </c>
      <c r="B2380" s="940">
        <v>658</v>
      </c>
      <c r="C2380" t="s">
        <v>5978</v>
      </c>
      <c r="D2380" s="940" t="s">
        <v>5979</v>
      </c>
      <c r="E2380" t="s">
        <v>103</v>
      </c>
    </row>
    <row r="2381" spans="1:5" x14ac:dyDescent="0.2">
      <c r="A2381" s="940">
        <v>4294</v>
      </c>
      <c r="B2381" s="940">
        <v>0</v>
      </c>
      <c r="C2381" t="s">
        <v>5980</v>
      </c>
      <c r="D2381" s="940" t="s">
        <v>5981</v>
      </c>
      <c r="E2381" t="s">
        <v>120</v>
      </c>
    </row>
    <row r="2382" spans="1:5" x14ac:dyDescent="0.2">
      <c r="A2382" s="940">
        <v>1345</v>
      </c>
      <c r="B2382" s="940">
        <v>172</v>
      </c>
      <c r="C2382" t="s">
        <v>5982</v>
      </c>
      <c r="D2382" s="940" t="s">
        <v>5983</v>
      </c>
      <c r="E2382" t="s">
        <v>1968</v>
      </c>
    </row>
    <row r="2383" spans="1:5" x14ac:dyDescent="0.2">
      <c r="A2383" s="940">
        <v>2614</v>
      </c>
      <c r="B2383" s="940">
        <v>41</v>
      </c>
      <c r="C2383" t="s">
        <v>5986</v>
      </c>
      <c r="D2383" s="940" t="s">
        <v>4230</v>
      </c>
      <c r="E2383" t="s">
        <v>3687</v>
      </c>
    </row>
    <row r="2384" spans="1:5" x14ac:dyDescent="0.2">
      <c r="A2384" s="940">
        <v>747</v>
      </c>
      <c r="B2384" s="940">
        <v>383</v>
      </c>
      <c r="C2384" t="s">
        <v>1839</v>
      </c>
      <c r="D2384" s="940" t="s">
        <v>4408</v>
      </c>
      <c r="E2384" t="s">
        <v>105</v>
      </c>
    </row>
    <row r="2385" spans="1:5" x14ac:dyDescent="0.2">
      <c r="A2385" s="940">
        <v>1629</v>
      </c>
      <c r="B2385" s="940">
        <v>124</v>
      </c>
      <c r="C2385" t="s">
        <v>1841</v>
      </c>
      <c r="D2385" s="940" t="s">
        <v>5987</v>
      </c>
      <c r="E2385" t="s">
        <v>120</v>
      </c>
    </row>
    <row r="2386" spans="1:5" x14ac:dyDescent="0.2">
      <c r="A2386" s="940">
        <v>1668</v>
      </c>
      <c r="B2386" s="940">
        <v>121</v>
      </c>
      <c r="C2386" t="s">
        <v>1842</v>
      </c>
      <c r="D2386" s="940" t="s">
        <v>10632</v>
      </c>
      <c r="E2386" t="s">
        <v>99</v>
      </c>
    </row>
    <row r="2387" spans="1:5" x14ac:dyDescent="0.2">
      <c r="A2387" s="940">
        <v>3545</v>
      </c>
      <c r="B2387" s="940">
        <v>9</v>
      </c>
      <c r="C2387" t="s">
        <v>10633</v>
      </c>
      <c r="D2387" s="940" t="s">
        <v>3452</v>
      </c>
      <c r="E2387" t="s">
        <v>105</v>
      </c>
    </row>
    <row r="2388" spans="1:5" x14ac:dyDescent="0.2">
      <c r="A2388" s="940">
        <v>88</v>
      </c>
      <c r="B2388" s="940">
        <v>1155</v>
      </c>
      <c r="C2388" t="s">
        <v>5988</v>
      </c>
      <c r="D2388" s="940" t="s">
        <v>5989</v>
      </c>
      <c r="E2388" t="s">
        <v>105</v>
      </c>
    </row>
    <row r="2389" spans="1:5" x14ac:dyDescent="0.2">
      <c r="A2389" s="940">
        <v>3402</v>
      </c>
      <c r="B2389" s="940">
        <v>12</v>
      </c>
      <c r="C2389" t="s">
        <v>5990</v>
      </c>
      <c r="D2389" s="940" t="s">
        <v>5991</v>
      </c>
      <c r="E2389" t="s">
        <v>105</v>
      </c>
    </row>
    <row r="2390" spans="1:5" x14ac:dyDescent="0.2">
      <c r="A2390" s="940">
        <v>4294</v>
      </c>
      <c r="B2390" s="940">
        <v>0</v>
      </c>
      <c r="C2390" t="s">
        <v>5990</v>
      </c>
      <c r="D2390" s="940" t="s">
        <v>10634</v>
      </c>
      <c r="E2390" t="s">
        <v>120</v>
      </c>
    </row>
    <row r="2391" spans="1:5" x14ac:dyDescent="0.2">
      <c r="A2391" s="940">
        <v>803</v>
      </c>
      <c r="B2391" s="940">
        <v>357</v>
      </c>
      <c r="C2391" t="s">
        <v>5992</v>
      </c>
      <c r="D2391" s="940" t="s">
        <v>5993</v>
      </c>
      <c r="E2391" t="s">
        <v>3098</v>
      </c>
    </row>
    <row r="2392" spans="1:5" x14ac:dyDescent="0.2">
      <c r="A2392" s="940">
        <v>1964</v>
      </c>
      <c r="B2392" s="940">
        <v>89</v>
      </c>
      <c r="C2392" t="s">
        <v>268</v>
      </c>
      <c r="D2392" s="940" t="s">
        <v>10635</v>
      </c>
      <c r="E2392" t="s">
        <v>105</v>
      </c>
    </row>
    <row r="2393" spans="1:5" x14ac:dyDescent="0.2">
      <c r="A2393" s="940">
        <v>2298</v>
      </c>
      <c r="B2393" s="940">
        <v>62</v>
      </c>
      <c r="C2393" t="s">
        <v>5994</v>
      </c>
      <c r="D2393" s="940" t="s">
        <v>5995</v>
      </c>
      <c r="E2393" t="s">
        <v>111</v>
      </c>
    </row>
    <row r="2394" spans="1:5" x14ac:dyDescent="0.2">
      <c r="A2394" s="940">
        <v>4294</v>
      </c>
      <c r="B2394" s="940">
        <v>0</v>
      </c>
      <c r="C2394" t="s">
        <v>5996</v>
      </c>
      <c r="D2394" s="940" t="s">
        <v>4810</v>
      </c>
      <c r="E2394" t="s">
        <v>1236</v>
      </c>
    </row>
    <row r="2395" spans="1:5" x14ac:dyDescent="0.2">
      <c r="A2395" s="940">
        <v>4294</v>
      </c>
      <c r="B2395" s="940">
        <v>0</v>
      </c>
      <c r="C2395" t="s">
        <v>5997</v>
      </c>
      <c r="D2395" s="940" t="s">
        <v>5126</v>
      </c>
      <c r="E2395" t="s">
        <v>427</v>
      </c>
    </row>
    <row r="2396" spans="1:5" x14ac:dyDescent="0.2">
      <c r="A2396" s="940">
        <v>3655</v>
      </c>
      <c r="B2396" s="940">
        <v>7</v>
      </c>
      <c r="C2396" t="s">
        <v>10636</v>
      </c>
      <c r="D2396" s="940" t="s">
        <v>4974</v>
      </c>
      <c r="E2396" t="s">
        <v>115</v>
      </c>
    </row>
    <row r="2397" spans="1:5" x14ac:dyDescent="0.2">
      <c r="A2397" s="940">
        <v>2533</v>
      </c>
      <c r="B2397" s="940">
        <v>45</v>
      </c>
      <c r="C2397" t="s">
        <v>10637</v>
      </c>
      <c r="D2397" s="940" t="s">
        <v>10638</v>
      </c>
      <c r="E2397" t="s">
        <v>110</v>
      </c>
    </row>
    <row r="2398" spans="1:5" x14ac:dyDescent="0.2">
      <c r="A2398" s="940">
        <v>2833</v>
      </c>
      <c r="B2398" s="940">
        <v>31</v>
      </c>
      <c r="C2398" t="s">
        <v>10639</v>
      </c>
      <c r="D2398" s="940" t="s">
        <v>10640</v>
      </c>
      <c r="E2398" t="s">
        <v>1248</v>
      </c>
    </row>
    <row r="2399" spans="1:5" x14ac:dyDescent="0.2">
      <c r="A2399" s="940">
        <v>1169</v>
      </c>
      <c r="B2399" s="940">
        <v>220</v>
      </c>
      <c r="C2399" t="s">
        <v>2524</v>
      </c>
      <c r="D2399" s="940" t="s">
        <v>10641</v>
      </c>
      <c r="E2399" t="s">
        <v>165</v>
      </c>
    </row>
    <row r="2400" spans="1:5" x14ac:dyDescent="0.2">
      <c r="A2400" s="940">
        <v>3972</v>
      </c>
      <c r="B2400" s="940">
        <v>3</v>
      </c>
      <c r="C2400" t="s">
        <v>10642</v>
      </c>
      <c r="D2400" s="940" t="s">
        <v>3070</v>
      </c>
      <c r="E2400" t="s">
        <v>1493</v>
      </c>
    </row>
    <row r="2401" spans="1:5" x14ac:dyDescent="0.2">
      <c r="A2401" s="940">
        <v>875</v>
      </c>
      <c r="B2401" s="940">
        <v>327</v>
      </c>
      <c r="C2401" t="s">
        <v>5998</v>
      </c>
      <c r="D2401" s="940" t="s">
        <v>5999</v>
      </c>
      <c r="E2401" t="s">
        <v>6000</v>
      </c>
    </row>
    <row r="2402" spans="1:5" x14ac:dyDescent="0.2">
      <c r="A2402" s="940">
        <v>3323</v>
      </c>
      <c r="B2402" s="940">
        <v>14</v>
      </c>
      <c r="C2402" t="s">
        <v>6001</v>
      </c>
      <c r="D2402" s="940" t="s">
        <v>6002</v>
      </c>
      <c r="E2402" t="s">
        <v>6003</v>
      </c>
    </row>
    <row r="2403" spans="1:5" x14ac:dyDescent="0.2">
      <c r="A2403" s="940">
        <v>298</v>
      </c>
      <c r="B2403" s="940">
        <v>774</v>
      </c>
      <c r="C2403" t="s">
        <v>10643</v>
      </c>
      <c r="D2403" s="940" t="s">
        <v>10644</v>
      </c>
      <c r="E2403" t="s">
        <v>105</v>
      </c>
    </row>
    <row r="2404" spans="1:5" x14ac:dyDescent="0.2">
      <c r="A2404" s="940">
        <v>3222</v>
      </c>
      <c r="B2404" s="940">
        <v>17</v>
      </c>
      <c r="C2404" t="s">
        <v>10645</v>
      </c>
      <c r="D2404" s="940" t="s">
        <v>10646</v>
      </c>
      <c r="E2404" t="s">
        <v>106</v>
      </c>
    </row>
    <row r="2405" spans="1:5" x14ac:dyDescent="0.2">
      <c r="A2405" s="940">
        <v>805</v>
      </c>
      <c r="B2405" s="940">
        <v>356</v>
      </c>
      <c r="C2405" t="s">
        <v>6006</v>
      </c>
      <c r="D2405" s="940" t="s">
        <v>6007</v>
      </c>
      <c r="E2405" t="s">
        <v>1844</v>
      </c>
    </row>
    <row r="2406" spans="1:5" x14ac:dyDescent="0.2">
      <c r="A2406" s="940">
        <v>3655</v>
      </c>
      <c r="B2406" s="940">
        <v>7</v>
      </c>
      <c r="C2406" t="s">
        <v>10647</v>
      </c>
      <c r="D2406" s="940" t="s">
        <v>3672</v>
      </c>
      <c r="E2406" t="s">
        <v>3597</v>
      </c>
    </row>
    <row r="2407" spans="1:5" x14ac:dyDescent="0.2">
      <c r="A2407" s="940">
        <v>2396</v>
      </c>
      <c r="B2407" s="940">
        <v>55</v>
      </c>
      <c r="C2407" t="s">
        <v>10648</v>
      </c>
      <c r="D2407" s="940" t="s">
        <v>4346</v>
      </c>
      <c r="E2407" t="s">
        <v>105</v>
      </c>
    </row>
    <row r="2408" spans="1:5" x14ac:dyDescent="0.2">
      <c r="A2408" s="940">
        <v>860</v>
      </c>
      <c r="B2408" s="940">
        <v>331</v>
      </c>
      <c r="C2408" t="s">
        <v>10649</v>
      </c>
      <c r="D2408" s="940" t="s">
        <v>10650</v>
      </c>
      <c r="E2408" t="s">
        <v>2766</v>
      </c>
    </row>
    <row r="2409" spans="1:5" x14ac:dyDescent="0.2">
      <c r="A2409" s="940">
        <v>3882</v>
      </c>
      <c r="B2409" s="940">
        <v>4</v>
      </c>
      <c r="C2409" t="s">
        <v>10651</v>
      </c>
      <c r="D2409" s="940" t="s">
        <v>3965</v>
      </c>
      <c r="E2409" t="s">
        <v>1612</v>
      </c>
    </row>
    <row r="2410" spans="1:5" x14ac:dyDescent="0.2">
      <c r="A2410" s="940">
        <v>1964</v>
      </c>
      <c r="B2410" s="940">
        <v>89</v>
      </c>
      <c r="C2410" t="s">
        <v>6014</v>
      </c>
      <c r="D2410" s="940" t="s">
        <v>5285</v>
      </c>
      <c r="E2410" t="s">
        <v>103</v>
      </c>
    </row>
    <row r="2411" spans="1:5" x14ac:dyDescent="0.2">
      <c r="A2411" s="940">
        <v>1511</v>
      </c>
      <c r="B2411" s="940">
        <v>143</v>
      </c>
      <c r="C2411" t="s">
        <v>2562</v>
      </c>
      <c r="D2411" s="940" t="s">
        <v>4191</v>
      </c>
      <c r="E2411" t="s">
        <v>1961</v>
      </c>
    </row>
    <row r="2412" spans="1:5" x14ac:dyDescent="0.2">
      <c r="A2412" s="940">
        <v>1069</v>
      </c>
      <c r="B2412" s="940">
        <v>252</v>
      </c>
      <c r="C2412" t="s">
        <v>1847</v>
      </c>
      <c r="D2412" s="940" t="s">
        <v>6015</v>
      </c>
      <c r="E2412" t="s">
        <v>105</v>
      </c>
    </row>
    <row r="2413" spans="1:5" x14ac:dyDescent="0.2">
      <c r="A2413" s="940">
        <v>1268</v>
      </c>
      <c r="B2413" s="940">
        <v>191</v>
      </c>
      <c r="C2413" t="s">
        <v>10652</v>
      </c>
      <c r="D2413" s="940" t="s">
        <v>10653</v>
      </c>
      <c r="E2413" t="s">
        <v>147</v>
      </c>
    </row>
    <row r="2414" spans="1:5" x14ac:dyDescent="0.2">
      <c r="A2414" s="940">
        <v>2379</v>
      </c>
      <c r="B2414" s="940">
        <v>56</v>
      </c>
      <c r="C2414" t="s">
        <v>10654</v>
      </c>
      <c r="D2414" s="940" t="s">
        <v>3307</v>
      </c>
      <c r="E2414" t="s">
        <v>117</v>
      </c>
    </row>
    <row r="2415" spans="1:5" x14ac:dyDescent="0.2">
      <c r="A2415" s="940">
        <v>3483</v>
      </c>
      <c r="B2415" s="940">
        <v>10</v>
      </c>
      <c r="C2415" t="s">
        <v>6016</v>
      </c>
      <c r="D2415" s="940" t="s">
        <v>6017</v>
      </c>
      <c r="E2415" t="s">
        <v>1271</v>
      </c>
    </row>
    <row r="2416" spans="1:5" x14ac:dyDescent="0.2">
      <c r="A2416" s="940">
        <v>4294</v>
      </c>
      <c r="B2416" s="940">
        <v>0</v>
      </c>
      <c r="C2416" t="s">
        <v>6016</v>
      </c>
      <c r="D2416" s="940" t="s">
        <v>6018</v>
      </c>
      <c r="E2416" t="s">
        <v>73</v>
      </c>
    </row>
    <row r="2417" spans="1:5" x14ac:dyDescent="0.2">
      <c r="A2417" s="940">
        <v>4294</v>
      </c>
      <c r="B2417" s="940">
        <v>0</v>
      </c>
      <c r="C2417" t="s">
        <v>6019</v>
      </c>
      <c r="D2417" s="940" t="s">
        <v>4891</v>
      </c>
      <c r="E2417" t="s">
        <v>73</v>
      </c>
    </row>
    <row r="2418" spans="1:5" x14ac:dyDescent="0.2">
      <c r="A2418" s="940">
        <v>2630</v>
      </c>
      <c r="B2418" s="940">
        <v>40</v>
      </c>
      <c r="C2418" t="s">
        <v>6020</v>
      </c>
      <c r="D2418" s="940" t="s">
        <v>6021</v>
      </c>
      <c r="E2418" t="s">
        <v>105</v>
      </c>
    </row>
    <row r="2419" spans="1:5" x14ac:dyDescent="0.2">
      <c r="A2419" s="940">
        <v>840</v>
      </c>
      <c r="B2419" s="940">
        <v>343</v>
      </c>
      <c r="C2419" t="s">
        <v>6022</v>
      </c>
      <c r="D2419" s="940" t="s">
        <v>6023</v>
      </c>
      <c r="E2419" t="s">
        <v>105</v>
      </c>
    </row>
    <row r="2420" spans="1:5" x14ac:dyDescent="0.2">
      <c r="A2420" s="940">
        <v>4294</v>
      </c>
      <c r="B2420" s="940">
        <v>0</v>
      </c>
      <c r="C2420" t="s">
        <v>6024</v>
      </c>
      <c r="D2420" s="940" t="s">
        <v>6025</v>
      </c>
      <c r="E2420" t="s">
        <v>110</v>
      </c>
    </row>
    <row r="2421" spans="1:5" x14ac:dyDescent="0.2">
      <c r="A2421" s="940">
        <v>3136</v>
      </c>
      <c r="B2421" s="940">
        <v>19</v>
      </c>
      <c r="C2421" t="s">
        <v>10655</v>
      </c>
      <c r="D2421" s="940" t="s">
        <v>3684</v>
      </c>
      <c r="E2421" t="s">
        <v>120</v>
      </c>
    </row>
    <row r="2422" spans="1:5" x14ac:dyDescent="0.2">
      <c r="A2422" s="940">
        <v>1317</v>
      </c>
      <c r="B2422" s="940">
        <v>181</v>
      </c>
      <c r="C2422" t="s">
        <v>10656</v>
      </c>
      <c r="D2422" s="940" t="s">
        <v>10657</v>
      </c>
      <c r="E2422" t="s">
        <v>1236</v>
      </c>
    </row>
    <row r="2423" spans="1:5" x14ac:dyDescent="0.2">
      <c r="A2423" s="940">
        <v>1556</v>
      </c>
      <c r="B2423" s="940">
        <v>135</v>
      </c>
      <c r="C2423" t="s">
        <v>1849</v>
      </c>
      <c r="D2423" s="940" t="s">
        <v>3824</v>
      </c>
      <c r="E2423" t="s">
        <v>105</v>
      </c>
    </row>
    <row r="2424" spans="1:5" x14ac:dyDescent="0.2">
      <c r="A2424" s="940">
        <v>4294</v>
      </c>
      <c r="B2424" s="940">
        <v>0</v>
      </c>
      <c r="C2424" t="s">
        <v>10658</v>
      </c>
      <c r="D2424" s="940" t="s">
        <v>10659</v>
      </c>
      <c r="E2424" t="s">
        <v>1968</v>
      </c>
    </row>
    <row r="2425" spans="1:5" x14ac:dyDescent="0.2">
      <c r="A2425" s="940">
        <v>1385</v>
      </c>
      <c r="B2425" s="940">
        <v>165</v>
      </c>
      <c r="C2425" t="s">
        <v>10660</v>
      </c>
      <c r="D2425" s="940" t="s">
        <v>3712</v>
      </c>
      <c r="E2425" t="s">
        <v>1214</v>
      </c>
    </row>
    <row r="2426" spans="1:5" x14ac:dyDescent="0.2">
      <c r="A2426" s="940">
        <v>4294</v>
      </c>
      <c r="B2426" s="940">
        <v>0</v>
      </c>
      <c r="C2426" t="s">
        <v>10661</v>
      </c>
      <c r="D2426" s="940" t="s">
        <v>3940</v>
      </c>
      <c r="E2426" t="s">
        <v>130</v>
      </c>
    </row>
    <row r="2427" spans="1:5" x14ac:dyDescent="0.2">
      <c r="A2427" s="940">
        <v>3796</v>
      </c>
      <c r="B2427" s="940">
        <v>5</v>
      </c>
      <c r="C2427" t="s">
        <v>6026</v>
      </c>
      <c r="D2427" s="940" t="s">
        <v>6027</v>
      </c>
      <c r="E2427" t="s">
        <v>130</v>
      </c>
    </row>
    <row r="2428" spans="1:5" x14ac:dyDescent="0.2">
      <c r="A2428" s="940">
        <v>4294</v>
      </c>
      <c r="B2428" s="940">
        <v>0</v>
      </c>
      <c r="C2428" t="s">
        <v>6028</v>
      </c>
      <c r="D2428" s="940" t="s">
        <v>6029</v>
      </c>
      <c r="E2428" t="s">
        <v>120</v>
      </c>
    </row>
    <row r="2429" spans="1:5" x14ac:dyDescent="0.2">
      <c r="A2429" s="940">
        <v>12</v>
      </c>
      <c r="B2429" s="940">
        <v>1557</v>
      </c>
      <c r="C2429" t="s">
        <v>6030</v>
      </c>
      <c r="D2429" s="940" t="s">
        <v>6031</v>
      </c>
      <c r="E2429" t="s">
        <v>105</v>
      </c>
    </row>
    <row r="2430" spans="1:5" x14ac:dyDescent="0.2">
      <c r="A2430" s="940">
        <v>310</v>
      </c>
      <c r="B2430" s="940">
        <v>756</v>
      </c>
      <c r="C2430" t="s">
        <v>10662</v>
      </c>
      <c r="D2430" s="940" t="s">
        <v>10663</v>
      </c>
      <c r="E2430" t="s">
        <v>2561</v>
      </c>
    </row>
    <row r="2431" spans="1:5" x14ac:dyDescent="0.2">
      <c r="A2431" s="940">
        <v>3972</v>
      </c>
      <c r="B2431" s="940">
        <v>3</v>
      </c>
      <c r="C2431" t="s">
        <v>6036</v>
      </c>
      <c r="D2431" s="940" t="s">
        <v>6037</v>
      </c>
      <c r="E2431" t="s">
        <v>117</v>
      </c>
    </row>
    <row r="2432" spans="1:5" x14ac:dyDescent="0.2">
      <c r="A2432" s="940">
        <v>2571</v>
      </c>
      <c r="B2432" s="940">
        <v>43</v>
      </c>
      <c r="C2432" t="s">
        <v>6042</v>
      </c>
      <c r="D2432" s="940" t="s">
        <v>3970</v>
      </c>
      <c r="E2432" t="s">
        <v>1214</v>
      </c>
    </row>
    <row r="2433" spans="1:5" x14ac:dyDescent="0.2">
      <c r="A2433" s="940">
        <v>1594</v>
      </c>
      <c r="B2433" s="940">
        <v>129</v>
      </c>
      <c r="C2433" t="s">
        <v>10664</v>
      </c>
      <c r="D2433" s="940" t="s">
        <v>10665</v>
      </c>
      <c r="E2433" t="s">
        <v>72</v>
      </c>
    </row>
    <row r="2434" spans="1:5" x14ac:dyDescent="0.2">
      <c r="A2434" s="940">
        <v>4294</v>
      </c>
      <c r="B2434" s="940">
        <v>0</v>
      </c>
      <c r="C2434" t="s">
        <v>10666</v>
      </c>
      <c r="D2434" s="940" t="s">
        <v>6073</v>
      </c>
      <c r="E2434" t="s">
        <v>170</v>
      </c>
    </row>
    <row r="2435" spans="1:5" x14ac:dyDescent="0.2">
      <c r="A2435" s="940">
        <v>3083</v>
      </c>
      <c r="B2435" s="940">
        <v>21</v>
      </c>
      <c r="C2435" t="s">
        <v>6043</v>
      </c>
      <c r="D2435" s="940" t="s">
        <v>4318</v>
      </c>
      <c r="E2435" t="s">
        <v>105</v>
      </c>
    </row>
    <row r="2436" spans="1:5" x14ac:dyDescent="0.2">
      <c r="A2436" s="940">
        <v>908</v>
      </c>
      <c r="B2436" s="940">
        <v>312</v>
      </c>
      <c r="C2436" t="s">
        <v>1851</v>
      </c>
      <c r="D2436" s="940" t="s">
        <v>6044</v>
      </c>
      <c r="E2436" t="s">
        <v>176</v>
      </c>
    </row>
    <row r="2437" spans="1:5" x14ac:dyDescent="0.2">
      <c r="A2437" s="940">
        <v>1002</v>
      </c>
      <c r="B2437" s="940">
        <v>276</v>
      </c>
      <c r="C2437" t="s">
        <v>10667</v>
      </c>
      <c r="D2437" s="940" t="s">
        <v>10668</v>
      </c>
      <c r="E2437" t="s">
        <v>136</v>
      </c>
    </row>
    <row r="2438" spans="1:5" x14ac:dyDescent="0.2">
      <c r="A2438" s="940">
        <v>3048</v>
      </c>
      <c r="B2438" s="940">
        <v>22</v>
      </c>
      <c r="C2438" t="s">
        <v>6045</v>
      </c>
      <c r="D2438" s="940" t="s">
        <v>6046</v>
      </c>
      <c r="E2438" t="s">
        <v>83</v>
      </c>
    </row>
    <row r="2439" spans="1:5" x14ac:dyDescent="0.2">
      <c r="A2439" s="940">
        <v>4081</v>
      </c>
      <c r="B2439" s="940">
        <v>2</v>
      </c>
      <c r="C2439" t="s">
        <v>10669</v>
      </c>
      <c r="D2439" s="940" t="s">
        <v>7913</v>
      </c>
      <c r="E2439" t="s">
        <v>5591</v>
      </c>
    </row>
    <row r="2440" spans="1:5" x14ac:dyDescent="0.2">
      <c r="A2440" s="940">
        <v>1861</v>
      </c>
      <c r="B2440" s="940">
        <v>99</v>
      </c>
      <c r="C2440" t="s">
        <v>6049</v>
      </c>
      <c r="D2440" s="940" t="s">
        <v>6050</v>
      </c>
      <c r="E2440" t="s">
        <v>241</v>
      </c>
    </row>
    <row r="2441" spans="1:5" x14ac:dyDescent="0.2">
      <c r="A2441" s="940">
        <v>3222</v>
      </c>
      <c r="B2441" s="940">
        <v>17</v>
      </c>
      <c r="C2441" t="s">
        <v>6051</v>
      </c>
      <c r="D2441" s="940" t="s">
        <v>3511</v>
      </c>
      <c r="E2441" t="s">
        <v>1221</v>
      </c>
    </row>
    <row r="2442" spans="1:5" x14ac:dyDescent="0.2">
      <c r="A2442" s="940">
        <v>4294</v>
      </c>
      <c r="B2442" s="940">
        <v>0</v>
      </c>
      <c r="C2442" t="s">
        <v>6052</v>
      </c>
      <c r="D2442" s="940" t="s">
        <v>6053</v>
      </c>
      <c r="E2442" t="s">
        <v>120</v>
      </c>
    </row>
    <row r="2443" spans="1:5" x14ac:dyDescent="0.2">
      <c r="A2443" s="940">
        <v>2056</v>
      </c>
      <c r="B2443" s="940">
        <v>81</v>
      </c>
      <c r="C2443" t="s">
        <v>1853</v>
      </c>
      <c r="D2443" s="940" t="s">
        <v>6054</v>
      </c>
      <c r="E2443" t="s">
        <v>74</v>
      </c>
    </row>
    <row r="2444" spans="1:5" x14ac:dyDescent="0.2">
      <c r="A2444" s="940">
        <v>1063</v>
      </c>
      <c r="B2444" s="940">
        <v>253</v>
      </c>
      <c r="C2444" t="s">
        <v>839</v>
      </c>
      <c r="D2444" s="940" t="s">
        <v>3824</v>
      </c>
      <c r="E2444" t="s">
        <v>160</v>
      </c>
    </row>
    <row r="2445" spans="1:5" x14ac:dyDescent="0.2">
      <c r="A2445" s="940">
        <v>1766</v>
      </c>
      <c r="B2445" s="940">
        <v>109</v>
      </c>
      <c r="C2445" t="s">
        <v>6057</v>
      </c>
      <c r="D2445" s="940" t="s">
        <v>2792</v>
      </c>
      <c r="E2445" t="s">
        <v>111</v>
      </c>
    </row>
    <row r="2446" spans="1:5" x14ac:dyDescent="0.2">
      <c r="A2446" s="940">
        <v>466</v>
      </c>
      <c r="B2446" s="940">
        <v>579</v>
      </c>
      <c r="C2446" t="s">
        <v>10670</v>
      </c>
      <c r="D2446" s="940" t="s">
        <v>10671</v>
      </c>
      <c r="E2446" t="s">
        <v>132</v>
      </c>
    </row>
    <row r="2447" spans="1:5" x14ac:dyDescent="0.2">
      <c r="A2447" s="940">
        <v>3732</v>
      </c>
      <c r="B2447" s="940">
        <v>6</v>
      </c>
      <c r="C2447" t="s">
        <v>6058</v>
      </c>
      <c r="D2447" s="940" t="s">
        <v>5339</v>
      </c>
      <c r="E2447" t="s">
        <v>2549</v>
      </c>
    </row>
    <row r="2448" spans="1:5" x14ac:dyDescent="0.2">
      <c r="A2448" s="940">
        <v>136</v>
      </c>
      <c r="B2448" s="940">
        <v>1019</v>
      </c>
      <c r="C2448" t="s">
        <v>6059</v>
      </c>
      <c r="D2448" s="940" t="s">
        <v>6060</v>
      </c>
      <c r="E2448" t="s">
        <v>1968</v>
      </c>
    </row>
    <row r="2449" spans="1:5" x14ac:dyDescent="0.2">
      <c r="A2449" s="940">
        <v>726</v>
      </c>
      <c r="B2449" s="940">
        <v>393</v>
      </c>
      <c r="C2449" t="s">
        <v>712</v>
      </c>
      <c r="D2449" s="940" t="s">
        <v>6062</v>
      </c>
      <c r="E2449" t="s">
        <v>128</v>
      </c>
    </row>
    <row r="2450" spans="1:5" x14ac:dyDescent="0.2">
      <c r="A2450" s="940">
        <v>1240</v>
      </c>
      <c r="B2450" s="940">
        <v>197</v>
      </c>
      <c r="C2450" t="s">
        <v>6063</v>
      </c>
      <c r="D2450" s="940" t="s">
        <v>6064</v>
      </c>
      <c r="E2450" t="s">
        <v>118</v>
      </c>
    </row>
    <row r="2451" spans="1:5" x14ac:dyDescent="0.2">
      <c r="A2451" s="940">
        <v>3250</v>
      </c>
      <c r="B2451" s="940">
        <v>16</v>
      </c>
      <c r="C2451" t="s">
        <v>10672</v>
      </c>
      <c r="D2451" s="940" t="s">
        <v>5541</v>
      </c>
      <c r="E2451" t="s">
        <v>113</v>
      </c>
    </row>
    <row r="2452" spans="1:5" x14ac:dyDescent="0.2">
      <c r="A2452" s="940">
        <v>3796</v>
      </c>
      <c r="B2452" s="940">
        <v>5</v>
      </c>
      <c r="C2452" t="s">
        <v>10672</v>
      </c>
      <c r="D2452" s="940" t="s">
        <v>7061</v>
      </c>
      <c r="E2452" t="s">
        <v>171</v>
      </c>
    </row>
    <row r="2453" spans="1:5" x14ac:dyDescent="0.2">
      <c r="A2453" s="940">
        <v>4081</v>
      </c>
      <c r="B2453" s="940">
        <v>2</v>
      </c>
      <c r="C2453" t="s">
        <v>6065</v>
      </c>
      <c r="D2453" s="940" t="s">
        <v>4110</v>
      </c>
      <c r="E2453" t="s">
        <v>73</v>
      </c>
    </row>
    <row r="2454" spans="1:5" x14ac:dyDescent="0.2">
      <c r="A2454" s="940">
        <v>4294</v>
      </c>
      <c r="B2454" s="940">
        <v>0</v>
      </c>
      <c r="C2454" t="s">
        <v>10673</v>
      </c>
      <c r="D2454" s="940" t="s">
        <v>3890</v>
      </c>
      <c r="E2454" t="s">
        <v>1675</v>
      </c>
    </row>
    <row r="2455" spans="1:5" x14ac:dyDescent="0.2">
      <c r="A2455" s="940">
        <v>324</v>
      </c>
      <c r="B2455" s="940">
        <v>731</v>
      </c>
      <c r="C2455" t="s">
        <v>6066</v>
      </c>
      <c r="D2455" s="940" t="s">
        <v>3657</v>
      </c>
      <c r="E2455" t="s">
        <v>105</v>
      </c>
    </row>
    <row r="2456" spans="1:5" x14ac:dyDescent="0.2">
      <c r="A2456" s="940">
        <v>4294</v>
      </c>
      <c r="B2456" s="940">
        <v>0</v>
      </c>
      <c r="C2456" t="s">
        <v>10674</v>
      </c>
      <c r="D2456" s="940" t="s">
        <v>6438</v>
      </c>
      <c r="E2456" t="s">
        <v>120</v>
      </c>
    </row>
    <row r="2457" spans="1:5" x14ac:dyDescent="0.2">
      <c r="A2457" s="940">
        <v>3048</v>
      </c>
      <c r="B2457" s="940">
        <v>22</v>
      </c>
      <c r="C2457" t="s">
        <v>6067</v>
      </c>
      <c r="D2457" s="940" t="s">
        <v>3745</v>
      </c>
      <c r="E2457" t="s">
        <v>170</v>
      </c>
    </row>
    <row r="2458" spans="1:5" x14ac:dyDescent="0.2">
      <c r="A2458" s="940">
        <v>4294</v>
      </c>
      <c r="B2458" s="940">
        <v>0</v>
      </c>
      <c r="C2458" t="s">
        <v>10675</v>
      </c>
      <c r="D2458" s="940" t="s">
        <v>7428</v>
      </c>
      <c r="E2458" t="s">
        <v>117</v>
      </c>
    </row>
    <row r="2459" spans="1:5" x14ac:dyDescent="0.2">
      <c r="A2459" s="940">
        <v>4294</v>
      </c>
      <c r="B2459" s="940">
        <v>0</v>
      </c>
      <c r="C2459" t="s">
        <v>6070</v>
      </c>
      <c r="D2459" s="940" t="s">
        <v>6071</v>
      </c>
      <c r="E2459" t="s">
        <v>105</v>
      </c>
    </row>
    <row r="2460" spans="1:5" x14ac:dyDescent="0.2">
      <c r="A2460" s="940">
        <v>2329</v>
      </c>
      <c r="B2460" s="940">
        <v>60</v>
      </c>
      <c r="C2460" t="s">
        <v>6072</v>
      </c>
      <c r="D2460" s="940" t="s">
        <v>6073</v>
      </c>
      <c r="E2460" t="s">
        <v>115</v>
      </c>
    </row>
    <row r="2461" spans="1:5" x14ac:dyDescent="0.2">
      <c r="A2461" s="940">
        <v>3083</v>
      </c>
      <c r="B2461" s="940">
        <v>21</v>
      </c>
      <c r="C2461" t="s">
        <v>713</v>
      </c>
      <c r="D2461" s="940" t="s">
        <v>3970</v>
      </c>
      <c r="E2461" t="s">
        <v>1286</v>
      </c>
    </row>
    <row r="2462" spans="1:5" x14ac:dyDescent="0.2">
      <c r="A2462" s="940">
        <v>4294</v>
      </c>
      <c r="B2462" s="940">
        <v>0</v>
      </c>
      <c r="C2462" t="s">
        <v>10676</v>
      </c>
      <c r="D2462" s="940" t="s">
        <v>6403</v>
      </c>
      <c r="E2462" t="s">
        <v>105</v>
      </c>
    </row>
    <row r="2463" spans="1:5" x14ac:dyDescent="0.2">
      <c r="A2463" s="940">
        <v>153</v>
      </c>
      <c r="B2463" s="940">
        <v>1000</v>
      </c>
      <c r="C2463" t="s">
        <v>6074</v>
      </c>
      <c r="D2463" s="940" t="s">
        <v>6075</v>
      </c>
      <c r="E2463" t="s">
        <v>110</v>
      </c>
    </row>
    <row r="2464" spans="1:5" x14ac:dyDescent="0.2">
      <c r="A2464" s="940">
        <v>4181</v>
      </c>
      <c r="B2464" s="940">
        <v>1</v>
      </c>
      <c r="C2464" t="s">
        <v>6076</v>
      </c>
      <c r="D2464" s="940" t="s">
        <v>2703</v>
      </c>
      <c r="E2464" t="s">
        <v>379</v>
      </c>
    </row>
    <row r="2465" spans="1:5" x14ac:dyDescent="0.2">
      <c r="A2465" s="940">
        <v>2592</v>
      </c>
      <c r="B2465" s="940">
        <v>42</v>
      </c>
      <c r="C2465" t="s">
        <v>6077</v>
      </c>
      <c r="D2465" s="940" t="s">
        <v>2813</v>
      </c>
      <c r="E2465" t="s">
        <v>105</v>
      </c>
    </row>
    <row r="2466" spans="1:5" x14ac:dyDescent="0.2">
      <c r="A2466" s="940">
        <v>178</v>
      </c>
      <c r="B2466" s="940">
        <v>946</v>
      </c>
      <c r="C2466" t="s">
        <v>6078</v>
      </c>
      <c r="D2466" s="940" t="s">
        <v>6079</v>
      </c>
      <c r="E2466" t="s">
        <v>133</v>
      </c>
    </row>
    <row r="2467" spans="1:5" x14ac:dyDescent="0.2">
      <c r="A2467" s="940">
        <v>1009</v>
      </c>
      <c r="B2467" s="940">
        <v>274</v>
      </c>
      <c r="C2467" t="s">
        <v>6080</v>
      </c>
      <c r="D2467" s="940" t="s">
        <v>6081</v>
      </c>
      <c r="E2467" t="s">
        <v>129</v>
      </c>
    </row>
    <row r="2468" spans="1:5" x14ac:dyDescent="0.2">
      <c r="A2468" s="940">
        <v>1852</v>
      </c>
      <c r="B2468" s="940">
        <v>100</v>
      </c>
      <c r="C2468" t="s">
        <v>6082</v>
      </c>
      <c r="D2468" s="940" t="s">
        <v>6083</v>
      </c>
      <c r="E2468" t="s">
        <v>661</v>
      </c>
    </row>
    <row r="2469" spans="1:5" x14ac:dyDescent="0.2">
      <c r="A2469" s="940">
        <v>2725</v>
      </c>
      <c r="B2469" s="940">
        <v>36</v>
      </c>
      <c r="C2469" t="s">
        <v>6084</v>
      </c>
      <c r="D2469" s="940" t="s">
        <v>6085</v>
      </c>
      <c r="E2469" t="s">
        <v>129</v>
      </c>
    </row>
    <row r="2470" spans="1:5" x14ac:dyDescent="0.2">
      <c r="A2470" s="940">
        <v>3008</v>
      </c>
      <c r="B2470" s="940">
        <v>23</v>
      </c>
      <c r="C2470" t="s">
        <v>6086</v>
      </c>
      <c r="D2470" s="940" t="s">
        <v>2623</v>
      </c>
      <c r="E2470" t="s">
        <v>661</v>
      </c>
    </row>
    <row r="2471" spans="1:5" x14ac:dyDescent="0.2">
      <c r="A2471" s="940">
        <v>3882</v>
      </c>
      <c r="B2471" s="940">
        <v>4</v>
      </c>
      <c r="C2471" t="s">
        <v>6087</v>
      </c>
      <c r="D2471" s="940" t="s">
        <v>6017</v>
      </c>
      <c r="E2471" t="s">
        <v>111</v>
      </c>
    </row>
    <row r="2472" spans="1:5" x14ac:dyDescent="0.2">
      <c r="A2472" s="940">
        <v>3048</v>
      </c>
      <c r="B2472" s="940">
        <v>22</v>
      </c>
      <c r="C2472" t="s">
        <v>10677</v>
      </c>
      <c r="D2472" s="940" t="s">
        <v>3834</v>
      </c>
      <c r="E2472" t="s">
        <v>1271</v>
      </c>
    </row>
    <row r="2473" spans="1:5" x14ac:dyDescent="0.2">
      <c r="A2473" s="940">
        <v>1977</v>
      </c>
      <c r="B2473" s="940">
        <v>88</v>
      </c>
      <c r="C2473" t="s">
        <v>10678</v>
      </c>
      <c r="D2473" s="940" t="s">
        <v>10679</v>
      </c>
      <c r="E2473" t="s">
        <v>72</v>
      </c>
    </row>
    <row r="2474" spans="1:5" x14ac:dyDescent="0.2">
      <c r="A2474" s="940">
        <v>3483</v>
      </c>
      <c r="B2474" s="940">
        <v>10</v>
      </c>
      <c r="C2474" t="s">
        <v>6090</v>
      </c>
      <c r="D2474" s="940" t="s">
        <v>6091</v>
      </c>
      <c r="E2474" t="s">
        <v>105</v>
      </c>
    </row>
    <row r="2475" spans="1:5" x14ac:dyDescent="0.2">
      <c r="A2475" s="940">
        <v>328</v>
      </c>
      <c r="B2475" s="940">
        <v>727</v>
      </c>
      <c r="C2475" t="s">
        <v>6093</v>
      </c>
      <c r="D2475" s="940" t="s">
        <v>6094</v>
      </c>
      <c r="E2475" t="s">
        <v>1860</v>
      </c>
    </row>
    <row r="2476" spans="1:5" x14ac:dyDescent="0.2">
      <c r="A2476" s="940">
        <v>1204</v>
      </c>
      <c r="B2476" s="940">
        <v>208</v>
      </c>
      <c r="C2476" t="s">
        <v>6095</v>
      </c>
      <c r="D2476" s="940" t="s">
        <v>5044</v>
      </c>
      <c r="E2476" t="s">
        <v>99</v>
      </c>
    </row>
    <row r="2477" spans="1:5" x14ac:dyDescent="0.2">
      <c r="A2477" s="940">
        <v>3107</v>
      </c>
      <c r="B2477" s="940">
        <v>20</v>
      </c>
      <c r="C2477" t="s">
        <v>6096</v>
      </c>
      <c r="D2477" s="940" t="s">
        <v>6097</v>
      </c>
      <c r="E2477" t="s">
        <v>111</v>
      </c>
    </row>
    <row r="2478" spans="1:5" x14ac:dyDescent="0.2">
      <c r="A2478" s="940">
        <v>4294</v>
      </c>
      <c r="B2478" s="940">
        <v>0</v>
      </c>
      <c r="C2478" t="s">
        <v>6098</v>
      </c>
      <c r="D2478" s="940" t="s">
        <v>6099</v>
      </c>
      <c r="E2478" t="s">
        <v>1460</v>
      </c>
    </row>
    <row r="2479" spans="1:5" x14ac:dyDescent="0.2">
      <c r="A2479" s="940">
        <v>207</v>
      </c>
      <c r="B2479" s="940">
        <v>904</v>
      </c>
      <c r="C2479" t="s">
        <v>6100</v>
      </c>
      <c r="D2479" s="940" t="s">
        <v>6101</v>
      </c>
      <c r="E2479" t="s">
        <v>3140</v>
      </c>
    </row>
    <row r="2480" spans="1:5" x14ac:dyDescent="0.2">
      <c r="A2480" s="940">
        <v>3796</v>
      </c>
      <c r="B2480" s="940">
        <v>5</v>
      </c>
      <c r="C2480" t="s">
        <v>10680</v>
      </c>
      <c r="D2480" s="940" t="s">
        <v>5705</v>
      </c>
      <c r="E2480" t="s">
        <v>1364</v>
      </c>
    </row>
    <row r="2481" spans="1:5" x14ac:dyDescent="0.2">
      <c r="A2481" s="940">
        <v>4294</v>
      </c>
      <c r="B2481" s="940">
        <v>0</v>
      </c>
      <c r="C2481" t="s">
        <v>6102</v>
      </c>
      <c r="D2481" s="940" t="s">
        <v>4751</v>
      </c>
      <c r="E2481" t="s">
        <v>136</v>
      </c>
    </row>
    <row r="2482" spans="1:5" x14ac:dyDescent="0.2">
      <c r="A2482" s="940">
        <v>2379</v>
      </c>
      <c r="B2482" s="940">
        <v>56</v>
      </c>
      <c r="C2482" t="s">
        <v>10681</v>
      </c>
      <c r="D2482" s="940" t="s">
        <v>10682</v>
      </c>
      <c r="E2482" t="s">
        <v>166</v>
      </c>
    </row>
    <row r="2483" spans="1:5" x14ac:dyDescent="0.2">
      <c r="A2483" s="940">
        <v>3796</v>
      </c>
      <c r="B2483" s="940">
        <v>5</v>
      </c>
      <c r="C2483" t="s">
        <v>6103</v>
      </c>
      <c r="D2483" s="940" t="s">
        <v>6104</v>
      </c>
      <c r="E2483" t="s">
        <v>1638</v>
      </c>
    </row>
    <row r="2484" spans="1:5" x14ac:dyDescent="0.2">
      <c r="A2484" s="940">
        <v>4294</v>
      </c>
      <c r="B2484" s="940">
        <v>0</v>
      </c>
      <c r="C2484" t="s">
        <v>6105</v>
      </c>
      <c r="D2484" s="940" t="s">
        <v>6106</v>
      </c>
      <c r="E2484" t="s">
        <v>2880</v>
      </c>
    </row>
    <row r="2485" spans="1:5" x14ac:dyDescent="0.2">
      <c r="A2485" s="940">
        <v>2592</v>
      </c>
      <c r="B2485" s="940">
        <v>42</v>
      </c>
      <c r="C2485" t="s">
        <v>10683</v>
      </c>
      <c r="D2485" s="940" t="s">
        <v>10684</v>
      </c>
      <c r="E2485" t="s">
        <v>128</v>
      </c>
    </row>
    <row r="2486" spans="1:5" x14ac:dyDescent="0.2">
      <c r="A2486" s="940">
        <v>1298</v>
      </c>
      <c r="B2486" s="940">
        <v>185</v>
      </c>
      <c r="C2486" t="s">
        <v>1862</v>
      </c>
      <c r="D2486" s="940" t="s">
        <v>6109</v>
      </c>
      <c r="E2486" t="s">
        <v>1285</v>
      </c>
    </row>
    <row r="2487" spans="1:5" x14ac:dyDescent="0.2">
      <c r="A2487" s="940">
        <v>3290</v>
      </c>
      <c r="B2487" s="940">
        <v>15</v>
      </c>
      <c r="C2487" t="s">
        <v>6110</v>
      </c>
      <c r="D2487" s="940" t="s">
        <v>6111</v>
      </c>
      <c r="E2487" t="s">
        <v>110</v>
      </c>
    </row>
    <row r="2488" spans="1:5" x14ac:dyDescent="0.2">
      <c r="A2488" s="940">
        <v>637</v>
      </c>
      <c r="B2488" s="940">
        <v>440</v>
      </c>
      <c r="C2488" t="s">
        <v>10685</v>
      </c>
      <c r="D2488" s="940" t="s">
        <v>3395</v>
      </c>
      <c r="E2488" t="s">
        <v>6430</v>
      </c>
    </row>
    <row r="2489" spans="1:5" x14ac:dyDescent="0.2">
      <c r="A2489" s="940">
        <v>1921</v>
      </c>
      <c r="B2489" s="940">
        <v>93</v>
      </c>
      <c r="C2489" t="s">
        <v>10686</v>
      </c>
      <c r="D2489" s="940" t="s">
        <v>6085</v>
      </c>
      <c r="E2489" t="s">
        <v>6430</v>
      </c>
    </row>
    <row r="2490" spans="1:5" x14ac:dyDescent="0.2">
      <c r="A2490" s="940">
        <v>1420</v>
      </c>
      <c r="B2490" s="940">
        <v>159</v>
      </c>
      <c r="C2490" t="s">
        <v>1863</v>
      </c>
      <c r="D2490" s="940" t="s">
        <v>4177</v>
      </c>
      <c r="E2490" t="s">
        <v>1493</v>
      </c>
    </row>
    <row r="2491" spans="1:5" x14ac:dyDescent="0.2">
      <c r="A2491" s="940">
        <v>1150</v>
      </c>
      <c r="B2491" s="940">
        <v>225</v>
      </c>
      <c r="C2491" t="s">
        <v>1864</v>
      </c>
      <c r="D2491" s="940" t="s">
        <v>6114</v>
      </c>
      <c r="E2491" t="s">
        <v>1493</v>
      </c>
    </row>
    <row r="2492" spans="1:5" x14ac:dyDescent="0.2">
      <c r="A2492" s="940">
        <v>276</v>
      </c>
      <c r="B2492" s="940">
        <v>808</v>
      </c>
      <c r="C2492" t="s">
        <v>6115</v>
      </c>
      <c r="D2492" s="940" t="s">
        <v>6116</v>
      </c>
      <c r="E2492" t="s">
        <v>6117</v>
      </c>
    </row>
    <row r="2493" spans="1:5" x14ac:dyDescent="0.2">
      <c r="A2493" s="940">
        <v>9</v>
      </c>
      <c r="B2493" s="940">
        <v>1582</v>
      </c>
      <c r="C2493" t="s">
        <v>6121</v>
      </c>
      <c r="D2493" s="940" t="s">
        <v>6122</v>
      </c>
      <c r="E2493" t="s">
        <v>105</v>
      </c>
    </row>
    <row r="2494" spans="1:5" x14ac:dyDescent="0.2">
      <c r="A2494" s="940">
        <v>3655</v>
      </c>
      <c r="B2494" s="940">
        <v>7</v>
      </c>
      <c r="C2494" t="s">
        <v>10687</v>
      </c>
      <c r="D2494" s="940" t="s">
        <v>6603</v>
      </c>
      <c r="E2494" t="s">
        <v>1211</v>
      </c>
    </row>
    <row r="2495" spans="1:5" x14ac:dyDescent="0.2">
      <c r="A2495" s="940">
        <v>1894</v>
      </c>
      <c r="B2495" s="940">
        <v>96</v>
      </c>
      <c r="C2495" t="s">
        <v>1866</v>
      </c>
      <c r="D2495" s="940" t="s">
        <v>10688</v>
      </c>
      <c r="E2495" t="s">
        <v>112</v>
      </c>
    </row>
    <row r="2496" spans="1:5" x14ac:dyDescent="0.2">
      <c r="A2496" s="940">
        <v>1790</v>
      </c>
      <c r="B2496" s="940">
        <v>106</v>
      </c>
      <c r="C2496" t="s">
        <v>6123</v>
      </c>
      <c r="D2496" s="940" t="s">
        <v>6124</v>
      </c>
      <c r="E2496" t="s">
        <v>213</v>
      </c>
    </row>
    <row r="2497" spans="1:5" x14ac:dyDescent="0.2">
      <c r="A2497" s="940">
        <v>239</v>
      </c>
      <c r="B2497" s="940">
        <v>854</v>
      </c>
      <c r="C2497" t="s">
        <v>1870</v>
      </c>
      <c r="D2497" s="940" t="s">
        <v>6125</v>
      </c>
      <c r="E2497" t="s">
        <v>1171</v>
      </c>
    </row>
    <row r="2498" spans="1:5" x14ac:dyDescent="0.2">
      <c r="A2498" s="940">
        <v>4294</v>
      </c>
      <c r="B2498" s="940">
        <v>0</v>
      </c>
      <c r="C2498" t="s">
        <v>10689</v>
      </c>
      <c r="D2498" s="940" t="s">
        <v>3935</v>
      </c>
      <c r="E2498" t="s">
        <v>118</v>
      </c>
    </row>
    <row r="2499" spans="1:5" x14ac:dyDescent="0.2">
      <c r="A2499" s="940">
        <v>1518</v>
      </c>
      <c r="B2499" s="940">
        <v>142</v>
      </c>
      <c r="C2499" t="s">
        <v>10690</v>
      </c>
      <c r="D2499" s="940" t="s">
        <v>10691</v>
      </c>
      <c r="E2499" t="s">
        <v>1156</v>
      </c>
    </row>
    <row r="2500" spans="1:5" x14ac:dyDescent="0.2">
      <c r="A2500" s="940">
        <v>1843</v>
      </c>
      <c r="B2500" s="940">
        <v>101</v>
      </c>
      <c r="C2500" t="s">
        <v>272</v>
      </c>
      <c r="D2500" s="940" t="s">
        <v>10692</v>
      </c>
      <c r="E2500" t="s">
        <v>113</v>
      </c>
    </row>
    <row r="2501" spans="1:5" x14ac:dyDescent="0.2">
      <c r="A2501" s="940">
        <v>4294</v>
      </c>
      <c r="B2501" s="940">
        <v>0</v>
      </c>
      <c r="C2501" t="s">
        <v>6126</v>
      </c>
      <c r="D2501" s="940" t="s">
        <v>4847</v>
      </c>
      <c r="E2501" t="s">
        <v>74</v>
      </c>
    </row>
    <row r="2502" spans="1:5" x14ac:dyDescent="0.2">
      <c r="A2502" s="940">
        <v>4081</v>
      </c>
      <c r="B2502" s="940">
        <v>2</v>
      </c>
      <c r="C2502" t="s">
        <v>10693</v>
      </c>
      <c r="D2502" s="940" t="s">
        <v>10694</v>
      </c>
      <c r="E2502" t="s">
        <v>1307</v>
      </c>
    </row>
    <row r="2503" spans="1:5" x14ac:dyDescent="0.2">
      <c r="A2503" s="940">
        <v>1152</v>
      </c>
      <c r="B2503" s="940">
        <v>224</v>
      </c>
      <c r="C2503" t="s">
        <v>2563</v>
      </c>
      <c r="D2503" s="940" t="s">
        <v>10695</v>
      </c>
      <c r="E2503" t="s">
        <v>109</v>
      </c>
    </row>
    <row r="2504" spans="1:5" x14ac:dyDescent="0.2">
      <c r="A2504" s="940">
        <v>4294</v>
      </c>
      <c r="B2504" s="940">
        <v>0</v>
      </c>
      <c r="C2504" t="s">
        <v>6127</v>
      </c>
      <c r="D2504" s="940" t="s">
        <v>6128</v>
      </c>
      <c r="E2504" t="s">
        <v>1248</v>
      </c>
    </row>
    <row r="2505" spans="1:5" x14ac:dyDescent="0.2">
      <c r="A2505" s="940">
        <v>4294</v>
      </c>
      <c r="B2505" s="940">
        <v>0</v>
      </c>
      <c r="C2505" t="s">
        <v>10696</v>
      </c>
      <c r="D2505" s="940" t="s">
        <v>4177</v>
      </c>
      <c r="E2505" t="s">
        <v>1182</v>
      </c>
    </row>
    <row r="2506" spans="1:5" x14ac:dyDescent="0.2">
      <c r="A2506" s="940">
        <v>1345</v>
      </c>
      <c r="B2506" s="940">
        <v>172</v>
      </c>
      <c r="C2506" t="s">
        <v>274</v>
      </c>
      <c r="D2506" s="940" t="s">
        <v>6129</v>
      </c>
      <c r="E2506" t="s">
        <v>128</v>
      </c>
    </row>
    <row r="2507" spans="1:5" x14ac:dyDescent="0.2">
      <c r="A2507" s="940">
        <v>1202</v>
      </c>
      <c r="B2507" s="940">
        <v>209</v>
      </c>
      <c r="C2507" t="s">
        <v>1873</v>
      </c>
      <c r="D2507" s="940" t="s">
        <v>6130</v>
      </c>
      <c r="E2507" t="s">
        <v>120</v>
      </c>
    </row>
    <row r="2508" spans="1:5" x14ac:dyDescent="0.2">
      <c r="A2508" s="940">
        <v>3882</v>
      </c>
      <c r="B2508" s="940">
        <v>4</v>
      </c>
      <c r="C2508" t="s">
        <v>6131</v>
      </c>
      <c r="D2508" s="940" t="s">
        <v>3576</v>
      </c>
      <c r="E2508" t="s">
        <v>186</v>
      </c>
    </row>
    <row r="2509" spans="1:5" x14ac:dyDescent="0.2">
      <c r="A2509" s="940">
        <v>4294</v>
      </c>
      <c r="B2509" s="940">
        <v>0</v>
      </c>
      <c r="C2509" t="s">
        <v>10697</v>
      </c>
      <c r="D2509" s="940" t="s">
        <v>8506</v>
      </c>
      <c r="E2509" t="s">
        <v>1467</v>
      </c>
    </row>
    <row r="2510" spans="1:5" x14ac:dyDescent="0.2">
      <c r="A2510" s="940">
        <v>4294</v>
      </c>
      <c r="B2510" s="940">
        <v>0</v>
      </c>
      <c r="C2510" t="s">
        <v>6132</v>
      </c>
      <c r="D2510" s="940" t="s">
        <v>6133</v>
      </c>
      <c r="E2510" t="s">
        <v>84</v>
      </c>
    </row>
    <row r="2511" spans="1:5" x14ac:dyDescent="0.2">
      <c r="A2511" s="940">
        <v>4294</v>
      </c>
      <c r="B2511" s="940">
        <v>0</v>
      </c>
      <c r="C2511" t="s">
        <v>10698</v>
      </c>
      <c r="D2511" s="940" t="s">
        <v>5670</v>
      </c>
      <c r="E2511" t="s">
        <v>99</v>
      </c>
    </row>
    <row r="2512" spans="1:5" x14ac:dyDescent="0.2">
      <c r="A2512" s="940">
        <v>4294</v>
      </c>
      <c r="B2512" s="940">
        <v>0</v>
      </c>
      <c r="C2512" t="s">
        <v>6134</v>
      </c>
      <c r="D2512" s="940" t="s">
        <v>6135</v>
      </c>
      <c r="E2512" t="s">
        <v>118</v>
      </c>
    </row>
    <row r="2513" spans="1:5" x14ac:dyDescent="0.2">
      <c r="A2513" s="940">
        <v>2915</v>
      </c>
      <c r="B2513" s="940">
        <v>27</v>
      </c>
      <c r="C2513" t="s">
        <v>6136</v>
      </c>
      <c r="D2513" s="940" t="s">
        <v>5664</v>
      </c>
      <c r="E2513" t="s">
        <v>1211</v>
      </c>
    </row>
    <row r="2514" spans="1:5" x14ac:dyDescent="0.2">
      <c r="A2514" s="940">
        <v>4294</v>
      </c>
      <c r="B2514" s="940">
        <v>0</v>
      </c>
      <c r="C2514" t="s">
        <v>6137</v>
      </c>
      <c r="D2514" s="940" t="s">
        <v>5664</v>
      </c>
      <c r="E2514" t="s">
        <v>171</v>
      </c>
    </row>
    <row r="2515" spans="1:5" x14ac:dyDescent="0.2">
      <c r="A2515" s="940">
        <v>2180</v>
      </c>
      <c r="B2515" s="940">
        <v>71</v>
      </c>
      <c r="C2515" t="s">
        <v>6138</v>
      </c>
      <c r="D2515" s="940" t="s">
        <v>6139</v>
      </c>
      <c r="E2515" t="s">
        <v>2542</v>
      </c>
    </row>
    <row r="2516" spans="1:5" x14ac:dyDescent="0.2">
      <c r="A2516" s="940">
        <v>2486</v>
      </c>
      <c r="B2516" s="940">
        <v>48</v>
      </c>
      <c r="C2516" t="s">
        <v>6144</v>
      </c>
      <c r="D2516" s="940" t="s">
        <v>10699</v>
      </c>
      <c r="E2516" t="s">
        <v>614</v>
      </c>
    </row>
    <row r="2517" spans="1:5" x14ac:dyDescent="0.2">
      <c r="A2517" s="940">
        <v>3222</v>
      </c>
      <c r="B2517" s="940">
        <v>17</v>
      </c>
      <c r="C2517" t="s">
        <v>6144</v>
      </c>
      <c r="D2517" s="940" t="s">
        <v>6145</v>
      </c>
      <c r="E2517" t="s">
        <v>2913</v>
      </c>
    </row>
    <row r="2518" spans="1:5" x14ac:dyDescent="0.2">
      <c r="A2518" s="940">
        <v>1936</v>
      </c>
      <c r="B2518" s="940">
        <v>92</v>
      </c>
      <c r="C2518" t="s">
        <v>6146</v>
      </c>
      <c r="D2518" s="940" t="s">
        <v>6147</v>
      </c>
      <c r="E2518" t="s">
        <v>1211</v>
      </c>
    </row>
    <row r="2519" spans="1:5" x14ac:dyDescent="0.2">
      <c r="A2519" s="940">
        <v>3796</v>
      </c>
      <c r="B2519" s="940">
        <v>5</v>
      </c>
      <c r="C2519" t="s">
        <v>6148</v>
      </c>
      <c r="D2519" s="940" t="s">
        <v>4489</v>
      </c>
      <c r="E2519" t="s">
        <v>105</v>
      </c>
    </row>
    <row r="2520" spans="1:5" x14ac:dyDescent="0.2">
      <c r="A2520" s="940">
        <v>1816</v>
      </c>
      <c r="B2520" s="940">
        <v>103</v>
      </c>
      <c r="C2520" t="s">
        <v>6149</v>
      </c>
      <c r="D2520" s="940" t="s">
        <v>6150</v>
      </c>
      <c r="E2520" t="s">
        <v>120</v>
      </c>
    </row>
    <row r="2521" spans="1:5" x14ac:dyDescent="0.2">
      <c r="A2521" s="940">
        <v>216</v>
      </c>
      <c r="B2521" s="940">
        <v>886</v>
      </c>
      <c r="C2521" t="s">
        <v>6151</v>
      </c>
      <c r="D2521" s="940" t="s">
        <v>6152</v>
      </c>
      <c r="E2521" t="s">
        <v>120</v>
      </c>
    </row>
    <row r="2522" spans="1:5" x14ac:dyDescent="0.2">
      <c r="A2522" s="940">
        <v>1467</v>
      </c>
      <c r="B2522" s="940">
        <v>151</v>
      </c>
      <c r="C2522" t="s">
        <v>6153</v>
      </c>
      <c r="D2522" s="940" t="s">
        <v>6154</v>
      </c>
      <c r="E2522" t="s">
        <v>99</v>
      </c>
    </row>
    <row r="2523" spans="1:5" x14ac:dyDescent="0.2">
      <c r="A2523" s="940">
        <v>4294</v>
      </c>
      <c r="B2523" s="940">
        <v>0</v>
      </c>
      <c r="C2523" t="s">
        <v>10700</v>
      </c>
      <c r="D2523" s="940" t="s">
        <v>2703</v>
      </c>
      <c r="E2523" t="s">
        <v>10701</v>
      </c>
    </row>
    <row r="2524" spans="1:5" x14ac:dyDescent="0.2">
      <c r="A2524" s="940">
        <v>4294</v>
      </c>
      <c r="B2524" s="940">
        <v>0</v>
      </c>
      <c r="C2524" t="s">
        <v>6155</v>
      </c>
      <c r="D2524" s="940" t="s">
        <v>6156</v>
      </c>
      <c r="E2524" t="s">
        <v>105</v>
      </c>
    </row>
    <row r="2525" spans="1:5" x14ac:dyDescent="0.2">
      <c r="A2525" s="940">
        <v>2794</v>
      </c>
      <c r="B2525" s="940">
        <v>33</v>
      </c>
      <c r="C2525" t="s">
        <v>6157</v>
      </c>
      <c r="D2525" s="940" t="s">
        <v>3818</v>
      </c>
      <c r="E2525" t="s">
        <v>2880</v>
      </c>
    </row>
    <row r="2526" spans="1:5" x14ac:dyDescent="0.2">
      <c r="A2526" s="940">
        <v>4294</v>
      </c>
      <c r="B2526" s="940">
        <v>0</v>
      </c>
      <c r="C2526" t="s">
        <v>10702</v>
      </c>
      <c r="D2526" s="940" t="s">
        <v>9875</v>
      </c>
      <c r="E2526" t="s">
        <v>99</v>
      </c>
    </row>
    <row r="2527" spans="1:5" x14ac:dyDescent="0.2">
      <c r="A2527" s="940">
        <v>2794</v>
      </c>
      <c r="B2527" s="940">
        <v>33</v>
      </c>
      <c r="C2527" t="s">
        <v>10703</v>
      </c>
      <c r="D2527" s="940" t="s">
        <v>3974</v>
      </c>
      <c r="E2527" t="s">
        <v>73</v>
      </c>
    </row>
    <row r="2528" spans="1:5" x14ac:dyDescent="0.2">
      <c r="A2528" s="940">
        <v>4181</v>
      </c>
      <c r="B2528" s="940">
        <v>1</v>
      </c>
      <c r="C2528" t="s">
        <v>1879</v>
      </c>
      <c r="D2528" s="940" t="s">
        <v>4860</v>
      </c>
      <c r="E2528" t="s">
        <v>83</v>
      </c>
    </row>
    <row r="2529" spans="1:5" x14ac:dyDescent="0.2">
      <c r="A2529" s="940">
        <v>3796</v>
      </c>
      <c r="B2529" s="940">
        <v>5</v>
      </c>
      <c r="C2529" t="s">
        <v>6158</v>
      </c>
      <c r="D2529" s="940" t="s">
        <v>6159</v>
      </c>
      <c r="E2529" t="s">
        <v>3986</v>
      </c>
    </row>
    <row r="2530" spans="1:5" x14ac:dyDescent="0.2">
      <c r="A2530" s="940">
        <v>2504</v>
      </c>
      <c r="B2530" s="940">
        <v>47</v>
      </c>
      <c r="C2530" t="s">
        <v>6160</v>
      </c>
      <c r="D2530" s="940" t="s">
        <v>6161</v>
      </c>
      <c r="E2530" t="s">
        <v>120</v>
      </c>
    </row>
    <row r="2531" spans="1:5" x14ac:dyDescent="0.2">
      <c r="A2531" s="940">
        <v>4294</v>
      </c>
      <c r="B2531" s="940">
        <v>0</v>
      </c>
      <c r="C2531" t="s">
        <v>6162</v>
      </c>
      <c r="D2531" s="940" t="s">
        <v>6163</v>
      </c>
      <c r="E2531" t="s">
        <v>120</v>
      </c>
    </row>
    <row r="2532" spans="1:5" x14ac:dyDescent="0.2">
      <c r="A2532" s="940">
        <v>4294</v>
      </c>
      <c r="B2532" s="940">
        <v>0</v>
      </c>
      <c r="C2532" t="s">
        <v>6164</v>
      </c>
      <c r="D2532" s="940" t="s">
        <v>6163</v>
      </c>
      <c r="E2532" t="s">
        <v>120</v>
      </c>
    </row>
    <row r="2533" spans="1:5" x14ac:dyDescent="0.2">
      <c r="A2533" s="940">
        <v>620</v>
      </c>
      <c r="B2533" s="940">
        <v>453</v>
      </c>
      <c r="C2533" t="s">
        <v>6167</v>
      </c>
      <c r="D2533" s="940" t="s">
        <v>6168</v>
      </c>
      <c r="E2533" t="s">
        <v>3098</v>
      </c>
    </row>
    <row r="2534" spans="1:5" x14ac:dyDescent="0.2">
      <c r="A2534" s="940">
        <v>2833</v>
      </c>
      <c r="B2534" s="940">
        <v>31</v>
      </c>
      <c r="C2534" t="s">
        <v>10704</v>
      </c>
      <c r="D2534" s="940" t="s">
        <v>4788</v>
      </c>
      <c r="E2534" t="s">
        <v>136</v>
      </c>
    </row>
    <row r="2535" spans="1:5" x14ac:dyDescent="0.2">
      <c r="A2535" s="940">
        <v>4081</v>
      </c>
      <c r="B2535" s="940">
        <v>2</v>
      </c>
      <c r="C2535" t="s">
        <v>6171</v>
      </c>
      <c r="D2535" s="940" t="s">
        <v>4609</v>
      </c>
      <c r="E2535" t="s">
        <v>136</v>
      </c>
    </row>
    <row r="2536" spans="1:5" x14ac:dyDescent="0.2">
      <c r="A2536" s="940">
        <v>663</v>
      </c>
      <c r="B2536" s="940">
        <v>427</v>
      </c>
      <c r="C2536" t="s">
        <v>6173</v>
      </c>
      <c r="D2536" s="940" t="s">
        <v>6174</v>
      </c>
      <c r="E2536" t="s">
        <v>863</v>
      </c>
    </row>
    <row r="2537" spans="1:5" x14ac:dyDescent="0.2">
      <c r="A2537" s="940">
        <v>990</v>
      </c>
      <c r="B2537" s="940">
        <v>282</v>
      </c>
      <c r="C2537" t="s">
        <v>10705</v>
      </c>
      <c r="D2537" s="940" t="s">
        <v>10706</v>
      </c>
      <c r="E2537" t="s">
        <v>104</v>
      </c>
    </row>
    <row r="2538" spans="1:5" x14ac:dyDescent="0.2">
      <c r="A2538" s="940">
        <v>2434</v>
      </c>
      <c r="B2538" s="940">
        <v>52</v>
      </c>
      <c r="C2538" t="s">
        <v>6175</v>
      </c>
      <c r="D2538" s="940" t="s">
        <v>2662</v>
      </c>
      <c r="E2538" t="s">
        <v>105</v>
      </c>
    </row>
    <row r="2539" spans="1:5" x14ac:dyDescent="0.2">
      <c r="A2539" s="940">
        <v>1157</v>
      </c>
      <c r="B2539" s="940">
        <v>223</v>
      </c>
      <c r="C2539" t="s">
        <v>1880</v>
      </c>
      <c r="D2539" s="940" t="s">
        <v>3054</v>
      </c>
      <c r="E2539" t="s">
        <v>105</v>
      </c>
    </row>
    <row r="2540" spans="1:5" x14ac:dyDescent="0.2">
      <c r="A2540" s="940">
        <v>2894</v>
      </c>
      <c r="B2540" s="940">
        <v>28</v>
      </c>
      <c r="C2540" t="s">
        <v>10707</v>
      </c>
      <c r="D2540" s="940" t="s">
        <v>10097</v>
      </c>
      <c r="E2540" t="s">
        <v>1578</v>
      </c>
    </row>
    <row r="2541" spans="1:5" x14ac:dyDescent="0.2">
      <c r="A2541" s="940">
        <v>473</v>
      </c>
      <c r="B2541" s="940">
        <v>575</v>
      </c>
      <c r="C2541" t="s">
        <v>521</v>
      </c>
      <c r="D2541" s="940" t="s">
        <v>6176</v>
      </c>
      <c r="E2541" t="s">
        <v>1171</v>
      </c>
    </row>
    <row r="2542" spans="1:5" x14ac:dyDescent="0.2">
      <c r="A2542" s="940">
        <v>4294</v>
      </c>
      <c r="B2542" s="940">
        <v>0</v>
      </c>
      <c r="C2542" t="s">
        <v>6179</v>
      </c>
      <c r="D2542" s="940" t="s">
        <v>6180</v>
      </c>
      <c r="E2542" t="s">
        <v>120</v>
      </c>
    </row>
    <row r="2543" spans="1:5" x14ac:dyDescent="0.2">
      <c r="A2543" s="940">
        <v>3655</v>
      </c>
      <c r="B2543" s="940">
        <v>7</v>
      </c>
      <c r="C2543" t="s">
        <v>10708</v>
      </c>
      <c r="D2543" s="940" t="s">
        <v>6005</v>
      </c>
      <c r="E2543" t="s">
        <v>122</v>
      </c>
    </row>
    <row r="2544" spans="1:5" x14ac:dyDescent="0.2">
      <c r="A2544" s="940">
        <v>1790</v>
      </c>
      <c r="B2544" s="940">
        <v>106</v>
      </c>
      <c r="C2544" t="s">
        <v>6181</v>
      </c>
      <c r="D2544" s="940" t="s">
        <v>6182</v>
      </c>
      <c r="E2544" t="s">
        <v>1584</v>
      </c>
    </row>
    <row r="2545" spans="1:5" x14ac:dyDescent="0.2">
      <c r="A2545" s="940">
        <v>4294</v>
      </c>
      <c r="B2545" s="940">
        <v>0</v>
      </c>
      <c r="C2545" t="s">
        <v>6183</v>
      </c>
      <c r="D2545" s="940" t="s">
        <v>3537</v>
      </c>
      <c r="E2545" t="s">
        <v>99</v>
      </c>
    </row>
    <row r="2546" spans="1:5" x14ac:dyDescent="0.2">
      <c r="A2546" s="940">
        <v>1826</v>
      </c>
      <c r="B2546" s="940">
        <v>102</v>
      </c>
      <c r="C2546" t="s">
        <v>6184</v>
      </c>
      <c r="D2546" s="940" t="s">
        <v>6182</v>
      </c>
      <c r="E2546" t="s">
        <v>1584</v>
      </c>
    </row>
    <row r="2547" spans="1:5" x14ac:dyDescent="0.2">
      <c r="A2547" s="940">
        <v>333</v>
      </c>
      <c r="B2547" s="940">
        <v>720</v>
      </c>
      <c r="C2547" t="s">
        <v>6185</v>
      </c>
      <c r="D2547" s="940" t="s">
        <v>10709</v>
      </c>
      <c r="E2547" t="s">
        <v>1200</v>
      </c>
    </row>
    <row r="2548" spans="1:5" x14ac:dyDescent="0.2">
      <c r="A2548" s="940">
        <v>4294</v>
      </c>
      <c r="B2548" s="940">
        <v>0</v>
      </c>
      <c r="C2548" t="s">
        <v>6187</v>
      </c>
      <c r="D2548" s="940" t="s">
        <v>3537</v>
      </c>
      <c r="E2548" t="s">
        <v>99</v>
      </c>
    </row>
    <row r="2549" spans="1:5" x14ac:dyDescent="0.2">
      <c r="A2549" s="940">
        <v>2312</v>
      </c>
      <c r="B2549" s="940">
        <v>61</v>
      </c>
      <c r="C2549" t="s">
        <v>10710</v>
      </c>
      <c r="D2549" s="940" t="s">
        <v>7121</v>
      </c>
      <c r="E2549" t="s">
        <v>120</v>
      </c>
    </row>
    <row r="2550" spans="1:5" x14ac:dyDescent="0.2">
      <c r="A2550" s="940">
        <v>2254</v>
      </c>
      <c r="B2550" s="940">
        <v>65</v>
      </c>
      <c r="C2550" t="s">
        <v>6190</v>
      </c>
      <c r="D2550" s="940" t="s">
        <v>6191</v>
      </c>
      <c r="E2550" t="s">
        <v>145</v>
      </c>
    </row>
    <row r="2551" spans="1:5" x14ac:dyDescent="0.2">
      <c r="A2551" s="940">
        <v>3972</v>
      </c>
      <c r="B2551" s="940">
        <v>3</v>
      </c>
      <c r="C2551" t="s">
        <v>10711</v>
      </c>
      <c r="D2551" s="940" t="s">
        <v>4353</v>
      </c>
      <c r="E2551" t="s">
        <v>164</v>
      </c>
    </row>
    <row r="2552" spans="1:5" x14ac:dyDescent="0.2">
      <c r="A2552" s="940">
        <v>1993</v>
      </c>
      <c r="B2552" s="940">
        <v>86</v>
      </c>
      <c r="C2552" t="s">
        <v>10712</v>
      </c>
      <c r="D2552" s="940" t="s">
        <v>9297</v>
      </c>
      <c r="E2552" t="s">
        <v>160</v>
      </c>
    </row>
    <row r="2553" spans="1:5" x14ac:dyDescent="0.2">
      <c r="A2553" s="940">
        <v>4294</v>
      </c>
      <c r="B2553" s="940">
        <v>0</v>
      </c>
      <c r="C2553" t="s">
        <v>10713</v>
      </c>
      <c r="D2553" s="940" t="s">
        <v>10552</v>
      </c>
      <c r="E2553" t="s">
        <v>5156</v>
      </c>
    </row>
    <row r="2554" spans="1:5" x14ac:dyDescent="0.2">
      <c r="A2554" s="940">
        <v>4181</v>
      </c>
      <c r="B2554" s="940">
        <v>1</v>
      </c>
      <c r="C2554" t="s">
        <v>10714</v>
      </c>
      <c r="D2554" s="940" t="s">
        <v>4159</v>
      </c>
      <c r="E2554" t="s">
        <v>376</v>
      </c>
    </row>
    <row r="2555" spans="1:5" x14ac:dyDescent="0.2">
      <c r="A2555" s="940">
        <v>3136</v>
      </c>
      <c r="B2555" s="940">
        <v>19</v>
      </c>
      <c r="C2555" t="s">
        <v>6194</v>
      </c>
      <c r="D2555" s="940" t="s">
        <v>6195</v>
      </c>
      <c r="E2555" t="s">
        <v>1182</v>
      </c>
    </row>
    <row r="2556" spans="1:5" x14ac:dyDescent="0.2">
      <c r="A2556" s="940">
        <v>622</v>
      </c>
      <c r="B2556" s="940">
        <v>452</v>
      </c>
      <c r="C2556" t="s">
        <v>10715</v>
      </c>
      <c r="D2556" s="940" t="s">
        <v>6197</v>
      </c>
      <c r="E2556" t="s">
        <v>6198</v>
      </c>
    </row>
    <row r="2557" spans="1:5" x14ac:dyDescent="0.2">
      <c r="A2557" s="940">
        <v>3972</v>
      </c>
      <c r="B2557" s="940">
        <v>3</v>
      </c>
      <c r="C2557" t="s">
        <v>10716</v>
      </c>
      <c r="D2557" s="940" t="s">
        <v>6816</v>
      </c>
      <c r="E2557" t="s">
        <v>99</v>
      </c>
    </row>
    <row r="2558" spans="1:5" x14ac:dyDescent="0.2">
      <c r="A2558" s="940">
        <v>4294</v>
      </c>
      <c r="B2558" s="940">
        <v>0</v>
      </c>
      <c r="C2558" t="s">
        <v>10717</v>
      </c>
      <c r="D2558" s="940" t="s">
        <v>6083</v>
      </c>
      <c r="E2558" t="s">
        <v>73</v>
      </c>
    </row>
    <row r="2559" spans="1:5" x14ac:dyDescent="0.2">
      <c r="A2559" s="940">
        <v>121</v>
      </c>
      <c r="B2559" s="940">
        <v>1061</v>
      </c>
      <c r="C2559" t="s">
        <v>6201</v>
      </c>
      <c r="D2559" s="940" t="s">
        <v>6202</v>
      </c>
      <c r="E2559" t="s">
        <v>105</v>
      </c>
    </row>
    <row r="2560" spans="1:5" x14ac:dyDescent="0.2">
      <c r="A2560" s="940">
        <v>1259</v>
      </c>
      <c r="B2560" s="940">
        <v>192</v>
      </c>
      <c r="C2560" t="s">
        <v>10718</v>
      </c>
      <c r="D2560" s="940" t="s">
        <v>9892</v>
      </c>
      <c r="E2560" t="s">
        <v>76</v>
      </c>
    </row>
    <row r="2561" spans="1:5" x14ac:dyDescent="0.2">
      <c r="A2561" s="940">
        <v>3483</v>
      </c>
      <c r="B2561" s="940">
        <v>10</v>
      </c>
      <c r="C2561" t="s">
        <v>6203</v>
      </c>
      <c r="D2561" s="940" t="s">
        <v>4901</v>
      </c>
      <c r="E2561" t="s">
        <v>120</v>
      </c>
    </row>
    <row r="2562" spans="1:5" x14ac:dyDescent="0.2">
      <c r="A2562" s="940">
        <v>3732</v>
      </c>
      <c r="B2562" s="940">
        <v>6</v>
      </c>
      <c r="C2562" t="s">
        <v>6204</v>
      </c>
      <c r="D2562" s="940" t="s">
        <v>6205</v>
      </c>
      <c r="E2562" t="s">
        <v>120</v>
      </c>
    </row>
    <row r="2563" spans="1:5" x14ac:dyDescent="0.2">
      <c r="A2563" s="940">
        <v>2207</v>
      </c>
      <c r="B2563" s="940">
        <v>69</v>
      </c>
      <c r="C2563" t="s">
        <v>6206</v>
      </c>
      <c r="D2563" s="940" t="s">
        <v>6207</v>
      </c>
      <c r="E2563" t="s">
        <v>1156</v>
      </c>
    </row>
    <row r="2564" spans="1:5" x14ac:dyDescent="0.2">
      <c r="A2564" s="940">
        <v>4294</v>
      </c>
      <c r="B2564" s="940">
        <v>0</v>
      </c>
      <c r="C2564" t="s">
        <v>10719</v>
      </c>
      <c r="D2564" s="940" t="s">
        <v>5514</v>
      </c>
      <c r="E2564" t="s">
        <v>1384</v>
      </c>
    </row>
    <row r="2565" spans="1:5" x14ac:dyDescent="0.2">
      <c r="A2565" s="940">
        <v>4294</v>
      </c>
      <c r="B2565" s="940">
        <v>0</v>
      </c>
      <c r="C2565" t="s">
        <v>6210</v>
      </c>
      <c r="D2565" s="940" t="s">
        <v>5494</v>
      </c>
      <c r="E2565" t="s">
        <v>120</v>
      </c>
    </row>
    <row r="2566" spans="1:5" x14ac:dyDescent="0.2">
      <c r="A2566" s="940">
        <v>3602</v>
      </c>
      <c r="B2566" s="940">
        <v>8</v>
      </c>
      <c r="C2566" t="s">
        <v>6211</v>
      </c>
      <c r="D2566" s="940" t="s">
        <v>6212</v>
      </c>
      <c r="E2566" t="s">
        <v>99</v>
      </c>
    </row>
    <row r="2567" spans="1:5" x14ac:dyDescent="0.2">
      <c r="A2567" s="940">
        <v>1293</v>
      </c>
      <c r="B2567" s="940">
        <v>186</v>
      </c>
      <c r="C2567" t="s">
        <v>1885</v>
      </c>
      <c r="D2567" s="940" t="s">
        <v>2740</v>
      </c>
      <c r="E2567" t="s">
        <v>133</v>
      </c>
    </row>
    <row r="2568" spans="1:5" x14ac:dyDescent="0.2">
      <c r="A2568" s="940">
        <v>3174</v>
      </c>
      <c r="B2568" s="940">
        <v>18</v>
      </c>
      <c r="C2568" t="s">
        <v>10720</v>
      </c>
      <c r="D2568" s="940" t="s">
        <v>4510</v>
      </c>
      <c r="E2568" t="s">
        <v>614</v>
      </c>
    </row>
    <row r="2569" spans="1:5" x14ac:dyDescent="0.2">
      <c r="A2569" s="940">
        <v>3402</v>
      </c>
      <c r="B2569" s="940">
        <v>12</v>
      </c>
      <c r="C2569" t="s">
        <v>6213</v>
      </c>
      <c r="D2569" s="940" t="s">
        <v>5179</v>
      </c>
      <c r="E2569" t="s">
        <v>99</v>
      </c>
    </row>
    <row r="2570" spans="1:5" x14ac:dyDescent="0.2">
      <c r="A2570" s="940">
        <v>4081</v>
      </c>
      <c r="B2570" s="940">
        <v>2</v>
      </c>
      <c r="C2570" t="s">
        <v>6214</v>
      </c>
      <c r="D2570" s="940" t="s">
        <v>6215</v>
      </c>
      <c r="E2570" t="s">
        <v>1236</v>
      </c>
    </row>
    <row r="2571" spans="1:5" x14ac:dyDescent="0.2">
      <c r="A2571" s="940">
        <v>3882</v>
      </c>
      <c r="B2571" s="940">
        <v>4</v>
      </c>
      <c r="C2571" t="s">
        <v>10721</v>
      </c>
      <c r="D2571" s="940" t="s">
        <v>6958</v>
      </c>
      <c r="E2571" t="s">
        <v>1238</v>
      </c>
    </row>
    <row r="2572" spans="1:5" x14ac:dyDescent="0.2">
      <c r="A2572" s="940">
        <v>1826</v>
      </c>
      <c r="B2572" s="940">
        <v>102</v>
      </c>
      <c r="C2572" t="s">
        <v>6216</v>
      </c>
      <c r="D2572" s="940" t="s">
        <v>2753</v>
      </c>
      <c r="E2572" t="s">
        <v>469</v>
      </c>
    </row>
    <row r="2573" spans="1:5" x14ac:dyDescent="0.2">
      <c r="A2573" s="940">
        <v>4181</v>
      </c>
      <c r="B2573" s="940">
        <v>1</v>
      </c>
      <c r="C2573" t="s">
        <v>6217</v>
      </c>
      <c r="D2573" s="940" t="s">
        <v>5308</v>
      </c>
      <c r="E2573" t="s">
        <v>120</v>
      </c>
    </row>
    <row r="2574" spans="1:5" x14ac:dyDescent="0.2">
      <c r="A2574" s="940">
        <v>3972</v>
      </c>
      <c r="B2574" s="940">
        <v>3</v>
      </c>
      <c r="C2574" t="s">
        <v>10722</v>
      </c>
      <c r="D2574" s="940" t="s">
        <v>10723</v>
      </c>
      <c r="E2574" t="s">
        <v>1578</v>
      </c>
    </row>
    <row r="2575" spans="1:5" x14ac:dyDescent="0.2">
      <c r="A2575" s="940">
        <v>2938</v>
      </c>
      <c r="B2575" s="940">
        <v>26</v>
      </c>
      <c r="C2575" t="s">
        <v>10724</v>
      </c>
      <c r="D2575" s="940" t="s">
        <v>3905</v>
      </c>
      <c r="E2575" t="s">
        <v>105</v>
      </c>
    </row>
    <row r="2576" spans="1:5" x14ac:dyDescent="0.2">
      <c r="A2576" s="940">
        <v>1403</v>
      </c>
      <c r="B2576" s="940">
        <v>161</v>
      </c>
      <c r="C2576" t="s">
        <v>6218</v>
      </c>
      <c r="D2576" s="940" t="s">
        <v>6219</v>
      </c>
      <c r="E2576" t="s">
        <v>863</v>
      </c>
    </row>
    <row r="2577" spans="1:5" x14ac:dyDescent="0.2">
      <c r="A2577" s="940">
        <v>3602</v>
      </c>
      <c r="B2577" s="940">
        <v>8</v>
      </c>
      <c r="C2577" t="s">
        <v>10725</v>
      </c>
      <c r="D2577" s="940" t="s">
        <v>5890</v>
      </c>
      <c r="E2577" t="s">
        <v>614</v>
      </c>
    </row>
    <row r="2578" spans="1:5" x14ac:dyDescent="0.2">
      <c r="A2578" s="940">
        <v>3545</v>
      </c>
      <c r="B2578" s="940">
        <v>9</v>
      </c>
      <c r="C2578" t="s">
        <v>6221</v>
      </c>
      <c r="D2578" s="940" t="s">
        <v>6222</v>
      </c>
      <c r="E2578" t="s">
        <v>1423</v>
      </c>
    </row>
    <row r="2579" spans="1:5" x14ac:dyDescent="0.2">
      <c r="A2579" s="940">
        <v>3446</v>
      </c>
      <c r="B2579" s="940">
        <v>11</v>
      </c>
      <c r="C2579" t="s">
        <v>6223</v>
      </c>
      <c r="D2579" s="940" t="s">
        <v>3358</v>
      </c>
      <c r="E2579" t="s">
        <v>6224</v>
      </c>
    </row>
    <row r="2580" spans="1:5" x14ac:dyDescent="0.2">
      <c r="A2580" s="940">
        <v>1372</v>
      </c>
      <c r="B2580" s="940">
        <v>168</v>
      </c>
      <c r="C2580" t="s">
        <v>6225</v>
      </c>
      <c r="D2580" s="940" t="s">
        <v>10726</v>
      </c>
      <c r="E2580" t="s">
        <v>4679</v>
      </c>
    </row>
    <row r="2581" spans="1:5" x14ac:dyDescent="0.2">
      <c r="A2581" s="940">
        <v>4294</v>
      </c>
      <c r="B2581" s="940">
        <v>0</v>
      </c>
      <c r="C2581" t="s">
        <v>10727</v>
      </c>
      <c r="D2581" s="940" t="s">
        <v>4396</v>
      </c>
      <c r="E2581" t="s">
        <v>1587</v>
      </c>
    </row>
    <row r="2582" spans="1:5" x14ac:dyDescent="0.2">
      <c r="A2582" s="940">
        <v>2462</v>
      </c>
      <c r="B2582" s="940">
        <v>50</v>
      </c>
      <c r="C2582" t="s">
        <v>6227</v>
      </c>
      <c r="D2582" s="940" t="s">
        <v>3623</v>
      </c>
      <c r="E2582" t="s">
        <v>6228</v>
      </c>
    </row>
    <row r="2583" spans="1:5" x14ac:dyDescent="0.2">
      <c r="A2583" s="940">
        <v>2353</v>
      </c>
      <c r="B2583" s="940">
        <v>58</v>
      </c>
      <c r="C2583" t="s">
        <v>6229</v>
      </c>
      <c r="D2583" s="940" t="s">
        <v>5841</v>
      </c>
      <c r="E2583" t="s">
        <v>128</v>
      </c>
    </row>
    <row r="2584" spans="1:5" x14ac:dyDescent="0.2">
      <c r="A2584" s="940">
        <v>654</v>
      </c>
      <c r="B2584" s="940">
        <v>432</v>
      </c>
      <c r="C2584" t="s">
        <v>6230</v>
      </c>
      <c r="D2584" s="940" t="s">
        <v>6231</v>
      </c>
      <c r="E2584" t="s">
        <v>128</v>
      </c>
    </row>
    <row r="2585" spans="1:5" x14ac:dyDescent="0.2">
      <c r="A2585" s="940">
        <v>3250</v>
      </c>
      <c r="B2585" s="940">
        <v>16</v>
      </c>
      <c r="C2585" t="s">
        <v>10728</v>
      </c>
      <c r="D2585" s="940" t="s">
        <v>3741</v>
      </c>
      <c r="E2585" t="s">
        <v>105</v>
      </c>
    </row>
    <row r="2586" spans="1:5" x14ac:dyDescent="0.2">
      <c r="A2586" s="940">
        <v>965</v>
      </c>
      <c r="B2586" s="940">
        <v>291</v>
      </c>
      <c r="C2586" t="s">
        <v>10729</v>
      </c>
      <c r="D2586" s="940" t="s">
        <v>10730</v>
      </c>
      <c r="E2586" t="s">
        <v>1290</v>
      </c>
    </row>
    <row r="2587" spans="1:5" x14ac:dyDescent="0.2">
      <c r="A2587" s="940">
        <v>3732</v>
      </c>
      <c r="B2587" s="940">
        <v>6</v>
      </c>
      <c r="C2587" t="s">
        <v>6232</v>
      </c>
      <c r="D2587" s="940" t="s">
        <v>2731</v>
      </c>
      <c r="E2587" t="s">
        <v>130</v>
      </c>
    </row>
    <row r="2588" spans="1:5" x14ac:dyDescent="0.2">
      <c r="A2588" s="940">
        <v>2980</v>
      </c>
      <c r="B2588" s="940">
        <v>24</v>
      </c>
      <c r="C2588" t="s">
        <v>10731</v>
      </c>
      <c r="D2588" s="940" t="s">
        <v>7374</v>
      </c>
      <c r="E2588" t="s">
        <v>113</v>
      </c>
    </row>
    <row r="2589" spans="1:5" x14ac:dyDescent="0.2">
      <c r="A2589" s="940">
        <v>306</v>
      </c>
      <c r="B2589" s="940">
        <v>763</v>
      </c>
      <c r="C2589" t="s">
        <v>6233</v>
      </c>
      <c r="D2589" s="940" t="s">
        <v>6234</v>
      </c>
      <c r="E2589" t="s">
        <v>3913</v>
      </c>
    </row>
    <row r="2590" spans="1:5" x14ac:dyDescent="0.2">
      <c r="A2590" s="940">
        <v>3882</v>
      </c>
      <c r="B2590" s="940">
        <v>4</v>
      </c>
      <c r="C2590" t="s">
        <v>6235</v>
      </c>
      <c r="D2590" s="940" t="s">
        <v>6236</v>
      </c>
      <c r="E2590" t="s">
        <v>130</v>
      </c>
    </row>
    <row r="2591" spans="1:5" x14ac:dyDescent="0.2">
      <c r="A2591" s="940">
        <v>499</v>
      </c>
      <c r="B2591" s="940">
        <v>550</v>
      </c>
      <c r="C2591" t="s">
        <v>6237</v>
      </c>
      <c r="D2591" s="940" t="s">
        <v>6238</v>
      </c>
      <c r="E2591" t="s">
        <v>112</v>
      </c>
    </row>
    <row r="2592" spans="1:5" x14ac:dyDescent="0.2">
      <c r="A2592" s="940">
        <v>3882</v>
      </c>
      <c r="B2592" s="940">
        <v>4</v>
      </c>
      <c r="C2592" t="s">
        <v>6239</v>
      </c>
      <c r="D2592" s="940" t="s">
        <v>3403</v>
      </c>
      <c r="E2592" t="s">
        <v>5156</v>
      </c>
    </row>
    <row r="2593" spans="1:5" x14ac:dyDescent="0.2">
      <c r="A2593" s="940">
        <v>2396</v>
      </c>
      <c r="B2593" s="940">
        <v>55</v>
      </c>
      <c r="C2593" t="s">
        <v>10732</v>
      </c>
      <c r="D2593" s="940" t="s">
        <v>5500</v>
      </c>
      <c r="E2593" t="s">
        <v>105</v>
      </c>
    </row>
    <row r="2594" spans="1:5" x14ac:dyDescent="0.2">
      <c r="A2594" s="940">
        <v>2915</v>
      </c>
      <c r="B2594" s="940">
        <v>27</v>
      </c>
      <c r="C2594" t="s">
        <v>6242</v>
      </c>
      <c r="D2594" s="940" t="s">
        <v>4688</v>
      </c>
      <c r="E2594" t="s">
        <v>138</v>
      </c>
    </row>
    <row r="2595" spans="1:5" x14ac:dyDescent="0.2">
      <c r="A2595" s="940">
        <v>3174</v>
      </c>
      <c r="B2595" s="940">
        <v>18</v>
      </c>
      <c r="C2595" t="s">
        <v>6243</v>
      </c>
      <c r="D2595" s="940" t="s">
        <v>6244</v>
      </c>
      <c r="E2595" t="s">
        <v>6245</v>
      </c>
    </row>
    <row r="2596" spans="1:5" x14ac:dyDescent="0.2">
      <c r="A2596" s="940">
        <v>3483</v>
      </c>
      <c r="B2596" s="940">
        <v>10</v>
      </c>
      <c r="C2596" t="s">
        <v>6246</v>
      </c>
      <c r="D2596" s="940" t="s">
        <v>3667</v>
      </c>
      <c r="E2596" t="s">
        <v>120</v>
      </c>
    </row>
    <row r="2597" spans="1:5" x14ac:dyDescent="0.2">
      <c r="A2597" s="940">
        <v>4294</v>
      </c>
      <c r="B2597" s="940">
        <v>0</v>
      </c>
      <c r="C2597" t="s">
        <v>6247</v>
      </c>
      <c r="D2597" s="940" t="s">
        <v>4799</v>
      </c>
      <c r="E2597" t="s">
        <v>164</v>
      </c>
    </row>
    <row r="2598" spans="1:5" x14ac:dyDescent="0.2">
      <c r="A2598" s="940">
        <v>3136</v>
      </c>
      <c r="B2598" s="940">
        <v>19</v>
      </c>
      <c r="C2598" t="s">
        <v>6248</v>
      </c>
      <c r="D2598" s="940" t="s">
        <v>6249</v>
      </c>
      <c r="E2598" t="s">
        <v>105</v>
      </c>
    </row>
    <row r="2599" spans="1:5" x14ac:dyDescent="0.2">
      <c r="A2599" s="940">
        <v>3655</v>
      </c>
      <c r="B2599" s="940">
        <v>7</v>
      </c>
      <c r="C2599" t="s">
        <v>6250</v>
      </c>
      <c r="D2599" s="940" t="s">
        <v>6205</v>
      </c>
      <c r="E2599" t="s">
        <v>117</v>
      </c>
    </row>
    <row r="2600" spans="1:5" x14ac:dyDescent="0.2">
      <c r="A2600" s="940">
        <v>2833</v>
      </c>
      <c r="B2600" s="940">
        <v>31</v>
      </c>
      <c r="C2600" t="s">
        <v>6251</v>
      </c>
      <c r="D2600" s="940" t="s">
        <v>6252</v>
      </c>
      <c r="E2600" t="s">
        <v>114</v>
      </c>
    </row>
    <row r="2601" spans="1:5" x14ac:dyDescent="0.2">
      <c r="A2601" s="940">
        <v>1152</v>
      </c>
      <c r="B2601" s="940">
        <v>224</v>
      </c>
      <c r="C2601" t="s">
        <v>6253</v>
      </c>
      <c r="D2601" s="940" t="s">
        <v>6254</v>
      </c>
      <c r="E2601" t="s">
        <v>6255</v>
      </c>
    </row>
    <row r="2602" spans="1:5" x14ac:dyDescent="0.2">
      <c r="A2602" s="940">
        <v>3545</v>
      </c>
      <c r="B2602" s="940">
        <v>9</v>
      </c>
      <c r="C2602" t="s">
        <v>6259</v>
      </c>
      <c r="D2602" s="940" t="s">
        <v>6260</v>
      </c>
      <c r="E2602" t="s">
        <v>4005</v>
      </c>
    </row>
    <row r="2603" spans="1:5" x14ac:dyDescent="0.2">
      <c r="A2603" s="940">
        <v>4294</v>
      </c>
      <c r="B2603" s="940">
        <v>0</v>
      </c>
      <c r="C2603" t="s">
        <v>6261</v>
      </c>
      <c r="D2603" s="940" t="s">
        <v>2962</v>
      </c>
      <c r="E2603" t="s">
        <v>120</v>
      </c>
    </row>
    <row r="2604" spans="1:5" x14ac:dyDescent="0.2">
      <c r="A2604" s="940">
        <v>2938</v>
      </c>
      <c r="B2604" s="940">
        <v>26</v>
      </c>
      <c r="C2604" t="s">
        <v>10733</v>
      </c>
      <c r="D2604" s="940" t="s">
        <v>2972</v>
      </c>
      <c r="E2604" t="s">
        <v>1214</v>
      </c>
    </row>
    <row r="2605" spans="1:5" x14ac:dyDescent="0.2">
      <c r="A2605" s="940">
        <v>3483</v>
      </c>
      <c r="B2605" s="940">
        <v>10</v>
      </c>
      <c r="C2605" t="s">
        <v>6262</v>
      </c>
      <c r="D2605" s="940" t="s">
        <v>2908</v>
      </c>
      <c r="E2605" t="s">
        <v>290</v>
      </c>
    </row>
    <row r="2606" spans="1:5" x14ac:dyDescent="0.2">
      <c r="A2606" s="940">
        <v>945</v>
      </c>
      <c r="B2606" s="940">
        <v>300</v>
      </c>
      <c r="C2606" t="s">
        <v>10734</v>
      </c>
      <c r="D2606" s="940" t="s">
        <v>10735</v>
      </c>
      <c r="E2606" t="s">
        <v>120</v>
      </c>
    </row>
    <row r="2607" spans="1:5" x14ac:dyDescent="0.2">
      <c r="A2607" s="940">
        <v>1868</v>
      </c>
      <c r="B2607" s="940">
        <v>98</v>
      </c>
      <c r="C2607" t="s">
        <v>10736</v>
      </c>
      <c r="D2607" s="940" t="s">
        <v>10737</v>
      </c>
      <c r="E2607" t="s">
        <v>183</v>
      </c>
    </row>
    <row r="2608" spans="1:5" x14ac:dyDescent="0.2">
      <c r="A2608" s="940">
        <v>2029</v>
      </c>
      <c r="B2608" s="940">
        <v>83</v>
      </c>
      <c r="C2608" t="s">
        <v>10738</v>
      </c>
      <c r="D2608" s="940" t="s">
        <v>10737</v>
      </c>
      <c r="E2608" t="s">
        <v>183</v>
      </c>
    </row>
    <row r="2609" spans="1:5" x14ac:dyDescent="0.2">
      <c r="A2609" s="940">
        <v>2270</v>
      </c>
      <c r="B2609" s="940">
        <v>64</v>
      </c>
      <c r="C2609" t="s">
        <v>10739</v>
      </c>
      <c r="D2609" s="940" t="s">
        <v>7266</v>
      </c>
      <c r="E2609" t="s">
        <v>84</v>
      </c>
    </row>
    <row r="2610" spans="1:5" x14ac:dyDescent="0.2">
      <c r="A2610" s="940">
        <v>93</v>
      </c>
      <c r="B2610" s="940">
        <v>1148</v>
      </c>
      <c r="C2610" t="s">
        <v>6267</v>
      </c>
      <c r="D2610" s="940" t="s">
        <v>6268</v>
      </c>
      <c r="E2610" t="s">
        <v>74</v>
      </c>
    </row>
    <row r="2611" spans="1:5" x14ac:dyDescent="0.2">
      <c r="A2611" s="940">
        <v>1035</v>
      </c>
      <c r="B2611" s="940">
        <v>264</v>
      </c>
      <c r="C2611" t="s">
        <v>10740</v>
      </c>
      <c r="D2611" s="940" t="s">
        <v>10741</v>
      </c>
      <c r="E2611" t="s">
        <v>83</v>
      </c>
    </row>
    <row r="2612" spans="1:5" x14ac:dyDescent="0.2">
      <c r="A2612" s="940">
        <v>1988</v>
      </c>
      <c r="B2612" s="940">
        <v>87</v>
      </c>
      <c r="C2612" t="s">
        <v>6269</v>
      </c>
      <c r="D2612" s="940" t="s">
        <v>6270</v>
      </c>
      <c r="E2612" t="s">
        <v>469</v>
      </c>
    </row>
    <row r="2613" spans="1:5" x14ac:dyDescent="0.2">
      <c r="A2613" s="940">
        <v>3402</v>
      </c>
      <c r="B2613" s="940">
        <v>12</v>
      </c>
      <c r="C2613" t="s">
        <v>10742</v>
      </c>
      <c r="D2613" s="940" t="s">
        <v>10743</v>
      </c>
      <c r="E2613" t="s">
        <v>103</v>
      </c>
    </row>
    <row r="2614" spans="1:5" x14ac:dyDescent="0.2">
      <c r="A2614" s="940">
        <v>466</v>
      </c>
      <c r="B2614" s="940">
        <v>579</v>
      </c>
      <c r="C2614" t="s">
        <v>1895</v>
      </c>
      <c r="D2614" s="940" t="s">
        <v>6271</v>
      </c>
      <c r="E2614" t="s">
        <v>105</v>
      </c>
    </row>
    <row r="2615" spans="1:5" x14ac:dyDescent="0.2">
      <c r="A2615" s="940">
        <v>2193</v>
      </c>
      <c r="B2615" s="940">
        <v>70</v>
      </c>
      <c r="C2615" t="s">
        <v>6272</v>
      </c>
      <c r="D2615" s="940" t="s">
        <v>3637</v>
      </c>
      <c r="E2615" t="s">
        <v>1171</v>
      </c>
    </row>
    <row r="2616" spans="1:5" x14ac:dyDescent="0.2">
      <c r="A2616" s="940">
        <v>348</v>
      </c>
      <c r="B2616" s="940">
        <v>701</v>
      </c>
      <c r="C2616" t="s">
        <v>10744</v>
      </c>
      <c r="D2616" s="940" t="s">
        <v>10745</v>
      </c>
      <c r="E2616" t="s">
        <v>110</v>
      </c>
    </row>
    <row r="2617" spans="1:5" x14ac:dyDescent="0.2">
      <c r="A2617" s="940">
        <v>445</v>
      </c>
      <c r="B2617" s="940">
        <v>598</v>
      </c>
      <c r="C2617" t="s">
        <v>10744</v>
      </c>
      <c r="D2617" s="940" t="s">
        <v>10746</v>
      </c>
      <c r="E2617" t="s">
        <v>105</v>
      </c>
    </row>
    <row r="2618" spans="1:5" x14ac:dyDescent="0.2">
      <c r="A2618" s="940">
        <v>2029</v>
      </c>
      <c r="B2618" s="940">
        <v>83</v>
      </c>
      <c r="C2618" t="s">
        <v>10747</v>
      </c>
      <c r="D2618" s="940" t="s">
        <v>3969</v>
      </c>
      <c r="E2618" t="s">
        <v>4466</v>
      </c>
    </row>
    <row r="2619" spans="1:5" x14ac:dyDescent="0.2">
      <c r="A2619" s="940">
        <v>4294</v>
      </c>
      <c r="B2619" s="940">
        <v>0</v>
      </c>
      <c r="C2619" t="s">
        <v>6273</v>
      </c>
      <c r="D2619" s="940" t="s">
        <v>6274</v>
      </c>
      <c r="E2619" t="s">
        <v>105</v>
      </c>
    </row>
    <row r="2620" spans="1:5" x14ac:dyDescent="0.2">
      <c r="A2620" s="940">
        <v>1226</v>
      </c>
      <c r="B2620" s="940">
        <v>200</v>
      </c>
      <c r="C2620" t="s">
        <v>1899</v>
      </c>
      <c r="D2620" s="940" t="s">
        <v>4691</v>
      </c>
      <c r="E2620" t="s">
        <v>127</v>
      </c>
    </row>
    <row r="2621" spans="1:5" x14ac:dyDescent="0.2">
      <c r="A2621" s="940">
        <v>3222</v>
      </c>
      <c r="B2621" s="940">
        <v>17</v>
      </c>
      <c r="C2621" t="s">
        <v>1899</v>
      </c>
      <c r="D2621" s="940" t="s">
        <v>3558</v>
      </c>
      <c r="E2621" t="s">
        <v>105</v>
      </c>
    </row>
    <row r="2622" spans="1:5" x14ac:dyDescent="0.2">
      <c r="A2622" s="940">
        <v>3882</v>
      </c>
      <c r="B2622" s="940">
        <v>4</v>
      </c>
      <c r="C2622" t="s">
        <v>1899</v>
      </c>
      <c r="D2622" s="940" t="s">
        <v>3642</v>
      </c>
      <c r="E2622" t="s">
        <v>105</v>
      </c>
    </row>
    <row r="2623" spans="1:5" x14ac:dyDescent="0.2">
      <c r="A2623" s="940">
        <v>3972</v>
      </c>
      <c r="B2623" s="940">
        <v>3</v>
      </c>
      <c r="C2623" t="s">
        <v>10748</v>
      </c>
      <c r="D2623" s="940" t="s">
        <v>10749</v>
      </c>
      <c r="E2623" t="s">
        <v>99</v>
      </c>
    </row>
    <row r="2624" spans="1:5" x14ac:dyDescent="0.2">
      <c r="A2624" s="940">
        <v>3483</v>
      </c>
      <c r="B2624" s="940">
        <v>10</v>
      </c>
      <c r="C2624" t="s">
        <v>6277</v>
      </c>
      <c r="D2624" s="940" t="s">
        <v>6278</v>
      </c>
      <c r="E2624" t="s">
        <v>120</v>
      </c>
    </row>
    <row r="2625" spans="1:5" x14ac:dyDescent="0.2">
      <c r="A2625" s="940">
        <v>1392</v>
      </c>
      <c r="B2625" s="940">
        <v>163</v>
      </c>
      <c r="C2625" t="s">
        <v>10750</v>
      </c>
      <c r="D2625" s="940" t="s">
        <v>10751</v>
      </c>
      <c r="E2625" t="s">
        <v>1372</v>
      </c>
    </row>
    <row r="2626" spans="1:5" x14ac:dyDescent="0.2">
      <c r="A2626" s="940">
        <v>658</v>
      </c>
      <c r="B2626" s="940">
        <v>430</v>
      </c>
      <c r="C2626" t="s">
        <v>6279</v>
      </c>
      <c r="D2626" s="940" t="s">
        <v>5198</v>
      </c>
      <c r="E2626" t="s">
        <v>171</v>
      </c>
    </row>
    <row r="2627" spans="1:5" x14ac:dyDescent="0.2">
      <c r="A2627" s="940">
        <v>2915</v>
      </c>
      <c r="B2627" s="940">
        <v>27</v>
      </c>
      <c r="C2627" t="s">
        <v>6280</v>
      </c>
      <c r="D2627" s="940" t="s">
        <v>2932</v>
      </c>
      <c r="E2627" t="s">
        <v>128</v>
      </c>
    </row>
    <row r="2628" spans="1:5" x14ac:dyDescent="0.2">
      <c r="A2628" s="940">
        <v>210</v>
      </c>
      <c r="B2628" s="940">
        <v>896</v>
      </c>
      <c r="C2628" t="s">
        <v>6282</v>
      </c>
      <c r="D2628" s="940" t="s">
        <v>6283</v>
      </c>
      <c r="E2628" t="s">
        <v>1200</v>
      </c>
    </row>
    <row r="2629" spans="1:5" x14ac:dyDescent="0.2">
      <c r="A2629" s="940">
        <v>1826</v>
      </c>
      <c r="B2629" s="940">
        <v>102</v>
      </c>
      <c r="C2629" t="s">
        <v>6282</v>
      </c>
      <c r="D2629" s="940" t="s">
        <v>6284</v>
      </c>
      <c r="E2629" t="s">
        <v>105</v>
      </c>
    </row>
    <row r="2630" spans="1:5" x14ac:dyDescent="0.2">
      <c r="A2630" s="940">
        <v>3655</v>
      </c>
      <c r="B2630" s="940">
        <v>7</v>
      </c>
      <c r="C2630" t="s">
        <v>10752</v>
      </c>
      <c r="D2630" s="940" t="s">
        <v>10753</v>
      </c>
      <c r="E2630" t="s">
        <v>133</v>
      </c>
    </row>
    <row r="2631" spans="1:5" x14ac:dyDescent="0.2">
      <c r="A2631" s="940">
        <v>4294</v>
      </c>
      <c r="B2631" s="940">
        <v>0</v>
      </c>
      <c r="C2631" t="s">
        <v>10754</v>
      </c>
      <c r="D2631" s="940" t="s">
        <v>10755</v>
      </c>
      <c r="E2631" t="s">
        <v>120</v>
      </c>
    </row>
    <row r="2632" spans="1:5" x14ac:dyDescent="0.2">
      <c r="A2632" s="940">
        <v>4294</v>
      </c>
      <c r="B2632" s="940">
        <v>0</v>
      </c>
      <c r="C2632" t="s">
        <v>10756</v>
      </c>
      <c r="D2632" s="940" t="s">
        <v>10619</v>
      </c>
      <c r="E2632" t="s">
        <v>1467</v>
      </c>
    </row>
    <row r="2633" spans="1:5" x14ac:dyDescent="0.2">
      <c r="A2633" s="940">
        <v>1226</v>
      </c>
      <c r="B2633" s="940">
        <v>200</v>
      </c>
      <c r="C2633" t="s">
        <v>6287</v>
      </c>
      <c r="D2633" s="940" t="s">
        <v>6288</v>
      </c>
      <c r="E2633" t="s">
        <v>120</v>
      </c>
    </row>
    <row r="2634" spans="1:5" x14ac:dyDescent="0.2">
      <c r="A2634" s="940">
        <v>4294</v>
      </c>
      <c r="B2634" s="940">
        <v>0</v>
      </c>
      <c r="C2634" t="s">
        <v>6291</v>
      </c>
      <c r="D2634" s="940" t="s">
        <v>6290</v>
      </c>
      <c r="E2634" t="s">
        <v>130</v>
      </c>
    </row>
    <row r="2635" spans="1:5" x14ac:dyDescent="0.2">
      <c r="A2635" s="940">
        <v>78</v>
      </c>
      <c r="B2635" s="940">
        <v>1181</v>
      </c>
      <c r="C2635" t="s">
        <v>279</v>
      </c>
      <c r="D2635" s="940" t="s">
        <v>10757</v>
      </c>
      <c r="E2635" t="s">
        <v>105</v>
      </c>
    </row>
    <row r="2636" spans="1:5" x14ac:dyDescent="0.2">
      <c r="A2636" s="940">
        <v>3323</v>
      </c>
      <c r="B2636" s="940">
        <v>14</v>
      </c>
      <c r="C2636" t="s">
        <v>6292</v>
      </c>
      <c r="D2636" s="940" t="s">
        <v>6293</v>
      </c>
      <c r="E2636" t="s">
        <v>1427</v>
      </c>
    </row>
    <row r="2637" spans="1:5" x14ac:dyDescent="0.2">
      <c r="A2637" s="940">
        <v>2254</v>
      </c>
      <c r="B2637" s="940">
        <v>65</v>
      </c>
      <c r="C2637" t="s">
        <v>6294</v>
      </c>
      <c r="D2637" s="940" t="s">
        <v>2927</v>
      </c>
      <c r="E2637" t="s">
        <v>2732</v>
      </c>
    </row>
    <row r="2638" spans="1:5" x14ac:dyDescent="0.2">
      <c r="A2638" s="940">
        <v>1613</v>
      </c>
      <c r="B2638" s="940">
        <v>126</v>
      </c>
      <c r="C2638" t="s">
        <v>6295</v>
      </c>
      <c r="D2638" s="940" t="s">
        <v>5071</v>
      </c>
      <c r="E2638" t="s">
        <v>105</v>
      </c>
    </row>
    <row r="2639" spans="1:5" x14ac:dyDescent="0.2">
      <c r="A2639" s="940">
        <v>4294</v>
      </c>
      <c r="B2639" s="940">
        <v>0</v>
      </c>
      <c r="C2639" t="s">
        <v>6296</v>
      </c>
      <c r="D2639" s="940" t="s">
        <v>3614</v>
      </c>
      <c r="E2639" t="s">
        <v>103</v>
      </c>
    </row>
    <row r="2640" spans="1:5" x14ac:dyDescent="0.2">
      <c r="A2640" s="940">
        <v>1389</v>
      </c>
      <c r="B2640" s="940">
        <v>164</v>
      </c>
      <c r="C2640" t="s">
        <v>6297</v>
      </c>
      <c r="D2640" s="940" t="s">
        <v>6298</v>
      </c>
      <c r="E2640" t="s">
        <v>6299</v>
      </c>
    </row>
    <row r="2641" spans="1:5" x14ac:dyDescent="0.2">
      <c r="A2641" s="940">
        <v>4294</v>
      </c>
      <c r="B2641" s="940">
        <v>0</v>
      </c>
      <c r="C2641" t="s">
        <v>10758</v>
      </c>
      <c r="D2641" s="940" t="s">
        <v>10759</v>
      </c>
      <c r="E2641" t="s">
        <v>105</v>
      </c>
    </row>
    <row r="2642" spans="1:5" x14ac:dyDescent="0.2">
      <c r="A2642" s="940">
        <v>4181</v>
      </c>
      <c r="B2642" s="940">
        <v>1</v>
      </c>
      <c r="C2642" t="s">
        <v>6300</v>
      </c>
      <c r="D2642" s="940" t="s">
        <v>6301</v>
      </c>
      <c r="E2642" t="s">
        <v>130</v>
      </c>
    </row>
    <row r="2643" spans="1:5" x14ac:dyDescent="0.2">
      <c r="A2643" s="940">
        <v>2014</v>
      </c>
      <c r="B2643" s="940">
        <v>84</v>
      </c>
      <c r="C2643" t="s">
        <v>1903</v>
      </c>
      <c r="D2643" s="940" t="s">
        <v>6302</v>
      </c>
      <c r="E2643" t="s">
        <v>120</v>
      </c>
    </row>
    <row r="2644" spans="1:5" x14ac:dyDescent="0.2">
      <c r="A2644" s="940">
        <v>353</v>
      </c>
      <c r="B2644" s="940">
        <v>695</v>
      </c>
      <c r="C2644" t="s">
        <v>1905</v>
      </c>
      <c r="D2644" s="940" t="s">
        <v>6303</v>
      </c>
      <c r="E2644" t="s">
        <v>105</v>
      </c>
    </row>
    <row r="2645" spans="1:5" x14ac:dyDescent="0.2">
      <c r="A2645" s="940">
        <v>2254</v>
      </c>
      <c r="B2645" s="940">
        <v>65</v>
      </c>
      <c r="C2645" t="s">
        <v>6304</v>
      </c>
      <c r="D2645" s="940" t="s">
        <v>6305</v>
      </c>
      <c r="E2645" t="s">
        <v>1285</v>
      </c>
    </row>
    <row r="2646" spans="1:5" x14ac:dyDescent="0.2">
      <c r="A2646" s="940">
        <v>812</v>
      </c>
      <c r="B2646" s="940">
        <v>355</v>
      </c>
      <c r="C2646" t="s">
        <v>6306</v>
      </c>
      <c r="D2646" s="940" t="s">
        <v>6307</v>
      </c>
      <c r="E2646" t="s">
        <v>1493</v>
      </c>
    </row>
    <row r="2647" spans="1:5" x14ac:dyDescent="0.2">
      <c r="A2647" s="940">
        <v>565</v>
      </c>
      <c r="B2647" s="940">
        <v>495</v>
      </c>
      <c r="C2647" t="s">
        <v>1907</v>
      </c>
      <c r="D2647" s="940" t="s">
        <v>6308</v>
      </c>
      <c r="E2647" t="s">
        <v>1447</v>
      </c>
    </row>
    <row r="2648" spans="1:5" x14ac:dyDescent="0.2">
      <c r="A2648" s="940">
        <v>3402</v>
      </c>
      <c r="B2648" s="940">
        <v>12</v>
      </c>
      <c r="C2648" t="s">
        <v>6309</v>
      </c>
      <c r="D2648" s="940" t="s">
        <v>6128</v>
      </c>
      <c r="E2648" t="s">
        <v>1475</v>
      </c>
    </row>
    <row r="2649" spans="1:5" x14ac:dyDescent="0.2">
      <c r="A2649" s="940">
        <v>2592</v>
      </c>
      <c r="B2649" s="940">
        <v>42</v>
      </c>
      <c r="C2649" t="s">
        <v>10760</v>
      </c>
      <c r="D2649" s="940" t="s">
        <v>5420</v>
      </c>
      <c r="E2649" t="s">
        <v>2916</v>
      </c>
    </row>
    <row r="2650" spans="1:5" x14ac:dyDescent="0.2">
      <c r="A2650" s="940">
        <v>798</v>
      </c>
      <c r="B2650" s="940">
        <v>359</v>
      </c>
      <c r="C2650" t="s">
        <v>10761</v>
      </c>
      <c r="D2650" s="940" t="s">
        <v>10762</v>
      </c>
      <c r="E2650" t="s">
        <v>120</v>
      </c>
    </row>
    <row r="2651" spans="1:5" x14ac:dyDescent="0.2">
      <c r="A2651" s="940">
        <v>4294</v>
      </c>
      <c r="B2651" s="940">
        <v>0</v>
      </c>
      <c r="C2651" t="s">
        <v>10763</v>
      </c>
      <c r="D2651" s="940" t="s">
        <v>9733</v>
      </c>
      <c r="E2651" t="s">
        <v>105</v>
      </c>
    </row>
    <row r="2652" spans="1:5" x14ac:dyDescent="0.2">
      <c r="A2652" s="940">
        <v>3323</v>
      </c>
      <c r="B2652" s="940">
        <v>14</v>
      </c>
      <c r="C2652" t="s">
        <v>6310</v>
      </c>
      <c r="D2652" s="940" t="s">
        <v>3572</v>
      </c>
      <c r="E2652" t="s">
        <v>110</v>
      </c>
    </row>
    <row r="2653" spans="1:5" x14ac:dyDescent="0.2">
      <c r="A2653" s="940">
        <v>1220</v>
      </c>
      <c r="B2653" s="940">
        <v>203</v>
      </c>
      <c r="C2653" t="s">
        <v>1909</v>
      </c>
      <c r="D2653" s="940" t="s">
        <v>6311</v>
      </c>
      <c r="E2653" t="s">
        <v>105</v>
      </c>
    </row>
    <row r="2654" spans="1:5" x14ac:dyDescent="0.2">
      <c r="A2654" s="940">
        <v>919</v>
      </c>
      <c r="B2654" s="940">
        <v>308</v>
      </c>
      <c r="C2654" t="s">
        <v>1910</v>
      </c>
      <c r="D2654" s="940" t="s">
        <v>5709</v>
      </c>
      <c r="E2654" t="s">
        <v>104</v>
      </c>
    </row>
    <row r="2655" spans="1:5" x14ac:dyDescent="0.2">
      <c r="A2655" s="940">
        <v>4294</v>
      </c>
      <c r="B2655" s="940">
        <v>0</v>
      </c>
      <c r="C2655" t="s">
        <v>6312</v>
      </c>
      <c r="D2655" s="940" t="s">
        <v>3127</v>
      </c>
      <c r="E2655" t="s">
        <v>120</v>
      </c>
    </row>
    <row r="2656" spans="1:5" x14ac:dyDescent="0.2">
      <c r="A2656" s="940">
        <v>902</v>
      </c>
      <c r="B2656" s="940">
        <v>316</v>
      </c>
      <c r="C2656" t="s">
        <v>6313</v>
      </c>
      <c r="D2656" s="940" t="s">
        <v>10764</v>
      </c>
      <c r="E2656" t="s">
        <v>4735</v>
      </c>
    </row>
    <row r="2657" spans="1:5" x14ac:dyDescent="0.2">
      <c r="A2657" s="940">
        <v>2819</v>
      </c>
      <c r="B2657" s="940">
        <v>32</v>
      </c>
      <c r="C2657" t="s">
        <v>6313</v>
      </c>
      <c r="D2657" s="940" t="s">
        <v>6314</v>
      </c>
      <c r="E2657" t="s">
        <v>1524</v>
      </c>
    </row>
    <row r="2658" spans="1:5" x14ac:dyDescent="0.2">
      <c r="A2658" s="940">
        <v>4181</v>
      </c>
      <c r="B2658" s="940">
        <v>1</v>
      </c>
      <c r="C2658" t="s">
        <v>6315</v>
      </c>
      <c r="D2658" s="940" t="s">
        <v>4990</v>
      </c>
      <c r="E2658" t="s">
        <v>120</v>
      </c>
    </row>
    <row r="2659" spans="1:5" x14ac:dyDescent="0.2">
      <c r="A2659" s="940">
        <v>2475</v>
      </c>
      <c r="B2659" s="940">
        <v>49</v>
      </c>
      <c r="C2659" t="s">
        <v>1912</v>
      </c>
      <c r="D2659" s="940" t="s">
        <v>10765</v>
      </c>
      <c r="E2659" t="s">
        <v>1889</v>
      </c>
    </row>
    <row r="2660" spans="1:5" x14ac:dyDescent="0.2">
      <c r="A2660" s="940">
        <v>3250</v>
      </c>
      <c r="B2660" s="940">
        <v>16</v>
      </c>
      <c r="C2660" t="s">
        <v>6317</v>
      </c>
      <c r="D2660" s="940" t="s">
        <v>4919</v>
      </c>
      <c r="E2660" t="s">
        <v>164</v>
      </c>
    </row>
    <row r="2661" spans="1:5" x14ac:dyDescent="0.2">
      <c r="A2661" s="940">
        <v>2668</v>
      </c>
      <c r="B2661" s="940">
        <v>38</v>
      </c>
      <c r="C2661" t="s">
        <v>6318</v>
      </c>
      <c r="D2661" s="940" t="s">
        <v>4494</v>
      </c>
      <c r="E2661" t="s">
        <v>164</v>
      </c>
    </row>
    <row r="2662" spans="1:5" x14ac:dyDescent="0.2">
      <c r="A2662" s="940">
        <v>4294</v>
      </c>
      <c r="B2662" s="940">
        <v>0</v>
      </c>
      <c r="C2662" t="s">
        <v>10766</v>
      </c>
      <c r="D2662" s="940" t="s">
        <v>4306</v>
      </c>
      <c r="E2662" t="s">
        <v>105</v>
      </c>
    </row>
    <row r="2663" spans="1:5" x14ac:dyDescent="0.2">
      <c r="A2663" s="940">
        <v>2877</v>
      </c>
      <c r="B2663" s="940">
        <v>29</v>
      </c>
      <c r="C2663" t="s">
        <v>10767</v>
      </c>
      <c r="D2663" s="940" t="s">
        <v>7945</v>
      </c>
      <c r="E2663" t="s">
        <v>2793</v>
      </c>
    </row>
    <row r="2664" spans="1:5" x14ac:dyDescent="0.2">
      <c r="A2664" s="940">
        <v>3174</v>
      </c>
      <c r="B2664" s="940">
        <v>18</v>
      </c>
      <c r="C2664" t="s">
        <v>6319</v>
      </c>
      <c r="D2664" s="940" t="s">
        <v>6320</v>
      </c>
      <c r="E2664" t="s">
        <v>104</v>
      </c>
    </row>
    <row r="2665" spans="1:5" x14ac:dyDescent="0.2">
      <c r="A2665" s="940">
        <v>1413</v>
      </c>
      <c r="B2665" s="940">
        <v>160</v>
      </c>
      <c r="C2665" t="s">
        <v>6321</v>
      </c>
      <c r="D2665" s="940" t="s">
        <v>6322</v>
      </c>
      <c r="E2665" t="s">
        <v>142</v>
      </c>
    </row>
    <row r="2666" spans="1:5" x14ac:dyDescent="0.2">
      <c r="A2666" s="940">
        <v>4294</v>
      </c>
      <c r="B2666" s="940">
        <v>0</v>
      </c>
      <c r="C2666" t="s">
        <v>6323</v>
      </c>
      <c r="D2666" s="940" t="s">
        <v>6324</v>
      </c>
      <c r="E2666" t="s">
        <v>142</v>
      </c>
    </row>
    <row r="2667" spans="1:5" x14ac:dyDescent="0.2">
      <c r="A2667" s="940">
        <v>2486</v>
      </c>
      <c r="B2667" s="940">
        <v>48</v>
      </c>
      <c r="C2667" t="s">
        <v>6327</v>
      </c>
      <c r="D2667" s="940" t="s">
        <v>4206</v>
      </c>
      <c r="E2667" t="s">
        <v>1200</v>
      </c>
    </row>
    <row r="2668" spans="1:5" x14ac:dyDescent="0.2">
      <c r="A2668" s="940">
        <v>4294</v>
      </c>
      <c r="B2668" s="940">
        <v>0</v>
      </c>
      <c r="C2668" t="s">
        <v>6328</v>
      </c>
      <c r="D2668" s="940" t="s">
        <v>2666</v>
      </c>
      <c r="E2668" t="s">
        <v>122</v>
      </c>
    </row>
    <row r="2669" spans="1:5" x14ac:dyDescent="0.2">
      <c r="A2669" s="940">
        <v>298</v>
      </c>
      <c r="B2669" s="940">
        <v>774</v>
      </c>
      <c r="C2669" t="s">
        <v>6329</v>
      </c>
      <c r="D2669" s="940" t="s">
        <v>10768</v>
      </c>
      <c r="E2669" t="s">
        <v>120</v>
      </c>
    </row>
    <row r="2670" spans="1:5" x14ac:dyDescent="0.2">
      <c r="A2670" s="940">
        <v>1199</v>
      </c>
      <c r="B2670" s="940">
        <v>211</v>
      </c>
      <c r="C2670" t="s">
        <v>6329</v>
      </c>
      <c r="D2670" s="940" t="s">
        <v>4087</v>
      </c>
      <c r="E2670" t="s">
        <v>166</v>
      </c>
    </row>
    <row r="2671" spans="1:5" x14ac:dyDescent="0.2">
      <c r="A2671" s="940">
        <v>2462</v>
      </c>
      <c r="B2671" s="940">
        <v>50</v>
      </c>
      <c r="C2671" t="s">
        <v>6332</v>
      </c>
      <c r="D2671" s="940" t="s">
        <v>2753</v>
      </c>
      <c r="E2671" t="s">
        <v>103</v>
      </c>
    </row>
    <row r="2672" spans="1:5" x14ac:dyDescent="0.2">
      <c r="A2672" s="940">
        <v>2630</v>
      </c>
      <c r="B2672" s="940">
        <v>40</v>
      </c>
      <c r="C2672" t="s">
        <v>6333</v>
      </c>
      <c r="D2672" s="940" t="s">
        <v>6334</v>
      </c>
      <c r="E2672" t="s">
        <v>1162</v>
      </c>
    </row>
    <row r="2673" spans="1:5" x14ac:dyDescent="0.2">
      <c r="A2673" s="940">
        <v>3882</v>
      </c>
      <c r="B2673" s="940">
        <v>4</v>
      </c>
      <c r="C2673" t="s">
        <v>10769</v>
      </c>
      <c r="D2673" s="940" t="s">
        <v>10770</v>
      </c>
      <c r="E2673" t="s">
        <v>1315</v>
      </c>
    </row>
    <row r="2674" spans="1:5" x14ac:dyDescent="0.2">
      <c r="A2674" s="940">
        <v>1880</v>
      </c>
      <c r="B2674" s="940">
        <v>97</v>
      </c>
      <c r="C2674" t="s">
        <v>6335</v>
      </c>
      <c r="D2674" s="940" t="s">
        <v>6257</v>
      </c>
      <c r="E2674" t="s">
        <v>2672</v>
      </c>
    </row>
    <row r="2675" spans="1:5" x14ac:dyDescent="0.2">
      <c r="A2675" s="940">
        <v>335</v>
      </c>
      <c r="B2675" s="940">
        <v>718</v>
      </c>
      <c r="C2675" t="s">
        <v>6336</v>
      </c>
      <c r="D2675" s="940" t="s">
        <v>6337</v>
      </c>
      <c r="E2675" t="s">
        <v>163</v>
      </c>
    </row>
    <row r="2676" spans="1:5" x14ac:dyDescent="0.2">
      <c r="A2676" s="940">
        <v>4294</v>
      </c>
      <c r="B2676" s="940">
        <v>0</v>
      </c>
      <c r="C2676" t="s">
        <v>6338</v>
      </c>
      <c r="D2676" s="940" t="s">
        <v>6339</v>
      </c>
      <c r="E2676" t="s">
        <v>105</v>
      </c>
    </row>
    <row r="2677" spans="1:5" x14ac:dyDescent="0.2">
      <c r="A2677" s="940">
        <v>1977</v>
      </c>
      <c r="B2677" s="940">
        <v>88</v>
      </c>
      <c r="C2677" t="s">
        <v>6341</v>
      </c>
      <c r="D2677" s="940" t="s">
        <v>4041</v>
      </c>
      <c r="E2677" t="s">
        <v>165</v>
      </c>
    </row>
    <row r="2678" spans="1:5" x14ac:dyDescent="0.2">
      <c r="A2678" s="940">
        <v>1531</v>
      </c>
      <c r="B2678" s="940">
        <v>140</v>
      </c>
      <c r="C2678" t="s">
        <v>6343</v>
      </c>
      <c r="D2678" s="940" t="s">
        <v>3004</v>
      </c>
      <c r="E2678" t="s">
        <v>3140</v>
      </c>
    </row>
    <row r="2679" spans="1:5" x14ac:dyDescent="0.2">
      <c r="A2679" s="940">
        <v>2115</v>
      </c>
      <c r="B2679" s="940">
        <v>76</v>
      </c>
      <c r="C2679" t="s">
        <v>10771</v>
      </c>
      <c r="D2679" s="940" t="s">
        <v>10772</v>
      </c>
      <c r="E2679" t="s">
        <v>109</v>
      </c>
    </row>
    <row r="2680" spans="1:5" x14ac:dyDescent="0.2">
      <c r="A2680" s="940">
        <v>1518</v>
      </c>
      <c r="B2680" s="940">
        <v>142</v>
      </c>
      <c r="C2680" t="s">
        <v>6348</v>
      </c>
      <c r="D2680" s="940" t="s">
        <v>6349</v>
      </c>
      <c r="E2680" t="s">
        <v>3200</v>
      </c>
    </row>
    <row r="2681" spans="1:5" x14ac:dyDescent="0.2">
      <c r="A2681" s="940">
        <v>4294</v>
      </c>
      <c r="B2681" s="940">
        <v>0</v>
      </c>
      <c r="C2681" t="s">
        <v>10773</v>
      </c>
      <c r="D2681" s="940" t="s">
        <v>10774</v>
      </c>
      <c r="E2681" t="s">
        <v>112</v>
      </c>
    </row>
    <row r="2682" spans="1:5" x14ac:dyDescent="0.2">
      <c r="A2682" s="940">
        <v>664</v>
      </c>
      <c r="B2682" s="940">
        <v>425</v>
      </c>
      <c r="C2682" t="s">
        <v>6350</v>
      </c>
      <c r="D2682" s="940" t="s">
        <v>6351</v>
      </c>
      <c r="E2682" t="s">
        <v>1269</v>
      </c>
    </row>
    <row r="2683" spans="1:5" x14ac:dyDescent="0.2">
      <c r="A2683" s="940">
        <v>1141</v>
      </c>
      <c r="B2683" s="940">
        <v>227</v>
      </c>
      <c r="C2683" t="s">
        <v>840</v>
      </c>
      <c r="D2683" s="940" t="s">
        <v>10692</v>
      </c>
      <c r="E2683" t="s">
        <v>469</v>
      </c>
    </row>
    <row r="2684" spans="1:5" x14ac:dyDescent="0.2">
      <c r="A2684" s="940">
        <v>2614</v>
      </c>
      <c r="B2684" s="940">
        <v>41</v>
      </c>
      <c r="C2684" t="s">
        <v>10775</v>
      </c>
      <c r="D2684" s="940" t="s">
        <v>3554</v>
      </c>
      <c r="E2684" t="s">
        <v>74</v>
      </c>
    </row>
    <row r="2685" spans="1:5" x14ac:dyDescent="0.2">
      <c r="A2685" s="940">
        <v>3972</v>
      </c>
      <c r="B2685" s="940">
        <v>3</v>
      </c>
      <c r="C2685" t="s">
        <v>10776</v>
      </c>
      <c r="D2685" s="940" t="s">
        <v>10777</v>
      </c>
      <c r="E2685" t="s">
        <v>176</v>
      </c>
    </row>
    <row r="2686" spans="1:5" x14ac:dyDescent="0.2">
      <c r="A2686" s="940">
        <v>178</v>
      </c>
      <c r="B2686" s="940">
        <v>946</v>
      </c>
      <c r="C2686" t="s">
        <v>6356</v>
      </c>
      <c r="D2686" s="940" t="s">
        <v>6357</v>
      </c>
      <c r="E2686" t="s">
        <v>120</v>
      </c>
    </row>
    <row r="2687" spans="1:5" x14ac:dyDescent="0.2">
      <c r="A2687" s="940">
        <v>1431</v>
      </c>
      <c r="B2687" s="940">
        <v>158</v>
      </c>
      <c r="C2687" t="s">
        <v>6358</v>
      </c>
      <c r="D2687" s="940" t="s">
        <v>6359</v>
      </c>
      <c r="E2687" t="s">
        <v>139</v>
      </c>
    </row>
    <row r="2688" spans="1:5" x14ac:dyDescent="0.2">
      <c r="A2688" s="940">
        <v>3290</v>
      </c>
      <c r="B2688" s="940">
        <v>15</v>
      </c>
      <c r="C2688" t="s">
        <v>6360</v>
      </c>
      <c r="D2688" s="940" t="s">
        <v>4514</v>
      </c>
      <c r="E2688" t="s">
        <v>6361</v>
      </c>
    </row>
    <row r="2689" spans="1:5" x14ac:dyDescent="0.2">
      <c r="A2689" s="940">
        <v>3882</v>
      </c>
      <c r="B2689" s="940">
        <v>4</v>
      </c>
      <c r="C2689" t="s">
        <v>6362</v>
      </c>
      <c r="D2689" s="940" t="s">
        <v>6363</v>
      </c>
      <c r="E2689" t="s">
        <v>128</v>
      </c>
    </row>
    <row r="2690" spans="1:5" x14ac:dyDescent="0.2">
      <c r="A2690" s="940">
        <v>3732</v>
      </c>
      <c r="B2690" s="940">
        <v>6</v>
      </c>
      <c r="C2690" t="s">
        <v>10778</v>
      </c>
      <c r="D2690" s="940" t="s">
        <v>3792</v>
      </c>
      <c r="E2690" t="s">
        <v>2720</v>
      </c>
    </row>
    <row r="2691" spans="1:5" x14ac:dyDescent="0.2">
      <c r="A2691" s="940">
        <v>4081</v>
      </c>
      <c r="B2691" s="940">
        <v>2</v>
      </c>
      <c r="C2691" t="s">
        <v>6364</v>
      </c>
      <c r="D2691" s="940" t="s">
        <v>5548</v>
      </c>
      <c r="E2691" t="s">
        <v>2720</v>
      </c>
    </row>
    <row r="2692" spans="1:5" x14ac:dyDescent="0.2">
      <c r="A2692" s="940">
        <v>4294</v>
      </c>
      <c r="B2692" s="940">
        <v>0</v>
      </c>
      <c r="C2692" t="s">
        <v>10779</v>
      </c>
      <c r="D2692" s="940" t="s">
        <v>7929</v>
      </c>
      <c r="E2692" t="s">
        <v>164</v>
      </c>
    </row>
    <row r="2693" spans="1:5" x14ac:dyDescent="0.2">
      <c r="A2693" s="940">
        <v>2067</v>
      </c>
      <c r="B2693" s="940">
        <v>80</v>
      </c>
      <c r="C2693" t="s">
        <v>1921</v>
      </c>
      <c r="D2693" s="940" t="s">
        <v>10780</v>
      </c>
      <c r="E2693" t="s">
        <v>105</v>
      </c>
    </row>
    <row r="2694" spans="1:5" x14ac:dyDescent="0.2">
      <c r="A2694" s="940">
        <v>3796</v>
      </c>
      <c r="B2694" s="940">
        <v>5</v>
      </c>
      <c r="C2694" t="s">
        <v>10781</v>
      </c>
      <c r="D2694" s="940" t="s">
        <v>10782</v>
      </c>
      <c r="E2694" t="s">
        <v>105</v>
      </c>
    </row>
    <row r="2695" spans="1:5" x14ac:dyDescent="0.2">
      <c r="A2695" s="940">
        <v>4294</v>
      </c>
      <c r="B2695" s="940">
        <v>0</v>
      </c>
      <c r="C2695" t="s">
        <v>10783</v>
      </c>
      <c r="D2695" s="940" t="s">
        <v>8149</v>
      </c>
      <c r="E2695" t="s">
        <v>1467</v>
      </c>
    </row>
    <row r="2696" spans="1:5" x14ac:dyDescent="0.2">
      <c r="A2696" s="940">
        <v>3446</v>
      </c>
      <c r="B2696" s="940">
        <v>11</v>
      </c>
      <c r="C2696" t="s">
        <v>6367</v>
      </c>
      <c r="D2696" s="940" t="s">
        <v>6368</v>
      </c>
      <c r="E2696" t="s">
        <v>73</v>
      </c>
    </row>
    <row r="2697" spans="1:5" x14ac:dyDescent="0.2">
      <c r="A2697" s="940">
        <v>4294</v>
      </c>
      <c r="B2697" s="940">
        <v>0</v>
      </c>
      <c r="C2697" t="s">
        <v>6369</v>
      </c>
      <c r="D2697" s="940" t="s">
        <v>5272</v>
      </c>
      <c r="E2697" t="s">
        <v>5156</v>
      </c>
    </row>
    <row r="2698" spans="1:5" x14ac:dyDescent="0.2">
      <c r="A2698" s="940">
        <v>4294</v>
      </c>
      <c r="B2698" s="940">
        <v>0</v>
      </c>
      <c r="C2698" t="s">
        <v>10784</v>
      </c>
      <c r="D2698" s="940" t="s">
        <v>5044</v>
      </c>
      <c r="E2698" t="s">
        <v>213</v>
      </c>
    </row>
    <row r="2699" spans="1:5" x14ac:dyDescent="0.2">
      <c r="A2699" s="940">
        <v>727</v>
      </c>
      <c r="B2699" s="940">
        <v>392</v>
      </c>
      <c r="C2699" t="s">
        <v>6372</v>
      </c>
      <c r="D2699" s="940" t="s">
        <v>6373</v>
      </c>
      <c r="E2699" t="s">
        <v>84</v>
      </c>
    </row>
    <row r="2700" spans="1:5" x14ac:dyDescent="0.2">
      <c r="A2700" s="940">
        <v>1473</v>
      </c>
      <c r="B2700" s="940">
        <v>150</v>
      </c>
      <c r="C2700" t="s">
        <v>6376</v>
      </c>
      <c r="D2700" s="940" t="s">
        <v>6377</v>
      </c>
      <c r="E2700" t="s">
        <v>105</v>
      </c>
    </row>
    <row r="2701" spans="1:5" x14ac:dyDescent="0.2">
      <c r="A2701" s="940">
        <v>1668</v>
      </c>
      <c r="B2701" s="940">
        <v>121</v>
      </c>
      <c r="C2701" t="s">
        <v>10785</v>
      </c>
      <c r="D2701" s="940" t="s">
        <v>5617</v>
      </c>
      <c r="E2701" t="s">
        <v>1587</v>
      </c>
    </row>
    <row r="2702" spans="1:5" x14ac:dyDescent="0.2">
      <c r="A2702" s="940">
        <v>3732</v>
      </c>
      <c r="B2702" s="940">
        <v>6</v>
      </c>
      <c r="C2702" t="s">
        <v>6378</v>
      </c>
      <c r="D2702" s="940" t="s">
        <v>6379</v>
      </c>
      <c r="E2702" t="s">
        <v>1170</v>
      </c>
    </row>
    <row r="2703" spans="1:5" x14ac:dyDescent="0.2">
      <c r="A2703" s="940">
        <v>1092</v>
      </c>
      <c r="B2703" s="940">
        <v>244</v>
      </c>
      <c r="C2703" t="s">
        <v>6380</v>
      </c>
      <c r="D2703" s="940" t="s">
        <v>6381</v>
      </c>
      <c r="E2703" t="s">
        <v>2542</v>
      </c>
    </row>
    <row r="2704" spans="1:5" x14ac:dyDescent="0.2">
      <c r="A2704" s="940">
        <v>4294</v>
      </c>
      <c r="B2704" s="940">
        <v>0</v>
      </c>
      <c r="C2704" t="s">
        <v>6382</v>
      </c>
      <c r="D2704" s="940" t="s">
        <v>6383</v>
      </c>
      <c r="E2704" t="s">
        <v>186</v>
      </c>
    </row>
    <row r="2705" spans="1:5" x14ac:dyDescent="0.2">
      <c r="A2705" s="940">
        <v>1141</v>
      </c>
      <c r="B2705" s="940">
        <v>227</v>
      </c>
      <c r="C2705" t="s">
        <v>6386</v>
      </c>
      <c r="D2705" s="940" t="s">
        <v>6387</v>
      </c>
      <c r="E2705" t="s">
        <v>120</v>
      </c>
    </row>
    <row r="2706" spans="1:5" x14ac:dyDescent="0.2">
      <c r="A2706" s="940">
        <v>1539</v>
      </c>
      <c r="B2706" s="940">
        <v>138</v>
      </c>
      <c r="C2706" t="s">
        <v>10786</v>
      </c>
      <c r="D2706" s="940" t="s">
        <v>10787</v>
      </c>
      <c r="E2706" t="s">
        <v>175</v>
      </c>
    </row>
    <row r="2707" spans="1:5" x14ac:dyDescent="0.2">
      <c r="A2707" s="940">
        <v>4294</v>
      </c>
      <c r="B2707" s="940">
        <v>0</v>
      </c>
      <c r="C2707" t="s">
        <v>10788</v>
      </c>
      <c r="D2707" s="940" t="s">
        <v>3468</v>
      </c>
      <c r="E2707" t="s">
        <v>1675</v>
      </c>
    </row>
    <row r="2708" spans="1:5" x14ac:dyDescent="0.2">
      <c r="A2708" s="940">
        <v>3882</v>
      </c>
      <c r="B2708" s="940">
        <v>4</v>
      </c>
      <c r="C2708" t="s">
        <v>6392</v>
      </c>
      <c r="D2708" s="940" t="s">
        <v>3558</v>
      </c>
      <c r="E2708" t="s">
        <v>614</v>
      </c>
    </row>
    <row r="2709" spans="1:5" x14ac:dyDescent="0.2">
      <c r="A2709" s="940">
        <v>3732</v>
      </c>
      <c r="B2709" s="940">
        <v>6</v>
      </c>
      <c r="C2709" t="s">
        <v>10789</v>
      </c>
      <c r="D2709" s="940" t="s">
        <v>4209</v>
      </c>
      <c r="E2709" t="s">
        <v>1200</v>
      </c>
    </row>
    <row r="2710" spans="1:5" x14ac:dyDescent="0.2">
      <c r="A2710" s="940">
        <v>4294</v>
      </c>
      <c r="B2710" s="940">
        <v>0</v>
      </c>
      <c r="C2710" t="s">
        <v>10790</v>
      </c>
      <c r="D2710" s="940" t="s">
        <v>10791</v>
      </c>
      <c r="E2710" t="s">
        <v>136</v>
      </c>
    </row>
    <row r="2711" spans="1:5" x14ac:dyDescent="0.2">
      <c r="A2711" s="940">
        <v>3250</v>
      </c>
      <c r="B2711" s="940">
        <v>16</v>
      </c>
      <c r="C2711" t="s">
        <v>10792</v>
      </c>
      <c r="D2711" s="940" t="s">
        <v>8820</v>
      </c>
      <c r="E2711" t="s">
        <v>4674</v>
      </c>
    </row>
    <row r="2712" spans="1:5" x14ac:dyDescent="0.2">
      <c r="A2712" s="940">
        <v>949</v>
      </c>
      <c r="B2712" s="940">
        <v>297</v>
      </c>
      <c r="C2712" t="s">
        <v>10793</v>
      </c>
      <c r="D2712" s="940" t="s">
        <v>10794</v>
      </c>
      <c r="E2712" t="s">
        <v>1179</v>
      </c>
    </row>
    <row r="2713" spans="1:5" x14ac:dyDescent="0.2">
      <c r="A2713" s="940">
        <v>2180</v>
      </c>
      <c r="B2713" s="940">
        <v>71</v>
      </c>
      <c r="C2713" t="s">
        <v>10795</v>
      </c>
      <c r="D2713" s="940" t="s">
        <v>10796</v>
      </c>
      <c r="E2713" t="s">
        <v>147</v>
      </c>
    </row>
    <row r="2714" spans="1:5" x14ac:dyDescent="0.2">
      <c r="A2714" s="940">
        <v>3446</v>
      </c>
      <c r="B2714" s="940">
        <v>11</v>
      </c>
      <c r="C2714" t="s">
        <v>10797</v>
      </c>
      <c r="D2714" s="940" t="s">
        <v>10798</v>
      </c>
      <c r="E2714" t="s">
        <v>1182</v>
      </c>
    </row>
    <row r="2715" spans="1:5" x14ac:dyDescent="0.2">
      <c r="A2715" s="940">
        <v>3882</v>
      </c>
      <c r="B2715" s="940">
        <v>4</v>
      </c>
      <c r="C2715" t="s">
        <v>6393</v>
      </c>
      <c r="D2715" s="940" t="s">
        <v>6394</v>
      </c>
      <c r="E2715" t="s">
        <v>179</v>
      </c>
    </row>
    <row r="2716" spans="1:5" x14ac:dyDescent="0.2">
      <c r="A2716" s="940">
        <v>648</v>
      </c>
      <c r="B2716" s="940">
        <v>434</v>
      </c>
      <c r="C2716" t="s">
        <v>6395</v>
      </c>
      <c r="D2716" s="940" t="s">
        <v>6308</v>
      </c>
      <c r="E2716" t="s">
        <v>2928</v>
      </c>
    </row>
    <row r="2717" spans="1:5" x14ac:dyDescent="0.2">
      <c r="A2717" s="940">
        <v>3796</v>
      </c>
      <c r="B2717" s="940">
        <v>5</v>
      </c>
      <c r="C2717" t="s">
        <v>6396</v>
      </c>
      <c r="D2717" s="940" t="s">
        <v>2904</v>
      </c>
      <c r="E2717" t="s">
        <v>1961</v>
      </c>
    </row>
    <row r="2718" spans="1:5" x14ac:dyDescent="0.2">
      <c r="A2718" s="940">
        <v>115</v>
      </c>
      <c r="B2718" s="940">
        <v>1084</v>
      </c>
      <c r="C2718" t="s">
        <v>6397</v>
      </c>
      <c r="D2718" s="940" t="s">
        <v>6398</v>
      </c>
      <c r="E2718" t="s">
        <v>863</v>
      </c>
    </row>
    <row r="2719" spans="1:5" x14ac:dyDescent="0.2">
      <c r="A2719" s="940">
        <v>842</v>
      </c>
      <c r="B2719" s="940">
        <v>342</v>
      </c>
      <c r="C2719" t="s">
        <v>10799</v>
      </c>
      <c r="D2719" s="940" t="s">
        <v>10800</v>
      </c>
      <c r="E2719" t="s">
        <v>4679</v>
      </c>
    </row>
    <row r="2720" spans="1:5" x14ac:dyDescent="0.2">
      <c r="A2720" s="940">
        <v>2083</v>
      </c>
      <c r="B2720" s="940">
        <v>79</v>
      </c>
      <c r="C2720" t="s">
        <v>10801</v>
      </c>
      <c r="D2720" s="940" t="s">
        <v>8345</v>
      </c>
      <c r="E2720" t="s">
        <v>1358</v>
      </c>
    </row>
    <row r="2721" spans="1:5" x14ac:dyDescent="0.2">
      <c r="A2721" s="940">
        <v>2101</v>
      </c>
      <c r="B2721" s="940">
        <v>77</v>
      </c>
      <c r="C2721" t="s">
        <v>10802</v>
      </c>
      <c r="D2721" s="940" t="s">
        <v>10803</v>
      </c>
      <c r="E2721" t="s">
        <v>112</v>
      </c>
    </row>
    <row r="2722" spans="1:5" x14ac:dyDescent="0.2">
      <c r="A2722" s="940">
        <v>3655</v>
      </c>
      <c r="B2722" s="940">
        <v>7</v>
      </c>
      <c r="C2722" t="s">
        <v>10804</v>
      </c>
      <c r="D2722" s="940" t="s">
        <v>7150</v>
      </c>
      <c r="E2722" t="s">
        <v>243</v>
      </c>
    </row>
    <row r="2723" spans="1:5" x14ac:dyDescent="0.2">
      <c r="A2723" s="940">
        <v>1041</v>
      </c>
      <c r="B2723" s="940">
        <v>262</v>
      </c>
      <c r="C2723" t="s">
        <v>6399</v>
      </c>
      <c r="D2723" s="940" t="s">
        <v>6400</v>
      </c>
      <c r="E2723" t="s">
        <v>6401</v>
      </c>
    </row>
    <row r="2724" spans="1:5" x14ac:dyDescent="0.2">
      <c r="A2724" s="940">
        <v>3882</v>
      </c>
      <c r="B2724" s="940">
        <v>4</v>
      </c>
      <c r="C2724" t="s">
        <v>10805</v>
      </c>
      <c r="D2724" s="940" t="s">
        <v>10806</v>
      </c>
      <c r="E2724" t="s">
        <v>10807</v>
      </c>
    </row>
    <row r="2725" spans="1:5" x14ac:dyDescent="0.2">
      <c r="A2725" s="940">
        <v>580</v>
      </c>
      <c r="B2725" s="940">
        <v>487</v>
      </c>
      <c r="C2725" t="s">
        <v>6402</v>
      </c>
      <c r="D2725" s="940" t="s">
        <v>6403</v>
      </c>
      <c r="E2725" t="s">
        <v>119</v>
      </c>
    </row>
    <row r="2726" spans="1:5" x14ac:dyDescent="0.2">
      <c r="A2726" s="940">
        <v>4294</v>
      </c>
      <c r="B2726" s="940">
        <v>0</v>
      </c>
      <c r="C2726" t="s">
        <v>10808</v>
      </c>
      <c r="D2726" s="940" t="s">
        <v>3983</v>
      </c>
      <c r="E2726" t="s">
        <v>2558</v>
      </c>
    </row>
    <row r="2727" spans="1:5" x14ac:dyDescent="0.2">
      <c r="A2727" s="940">
        <v>3358</v>
      </c>
      <c r="B2727" s="940">
        <v>13</v>
      </c>
      <c r="C2727" t="s">
        <v>6404</v>
      </c>
      <c r="D2727" s="940" t="s">
        <v>5605</v>
      </c>
      <c r="E2727" t="s">
        <v>213</v>
      </c>
    </row>
    <row r="2728" spans="1:5" x14ac:dyDescent="0.2">
      <c r="A2728" s="940">
        <v>1826</v>
      </c>
      <c r="B2728" s="940">
        <v>102</v>
      </c>
      <c r="C2728" t="s">
        <v>6406</v>
      </c>
      <c r="D2728" s="940" t="s">
        <v>10809</v>
      </c>
      <c r="E2728" t="s">
        <v>3090</v>
      </c>
    </row>
    <row r="2729" spans="1:5" x14ac:dyDescent="0.2">
      <c r="A2729" s="940">
        <v>1921</v>
      </c>
      <c r="B2729" s="940">
        <v>93</v>
      </c>
      <c r="C2729" t="s">
        <v>6408</v>
      </c>
      <c r="D2729" s="940" t="s">
        <v>6409</v>
      </c>
      <c r="E2729" t="s">
        <v>3098</v>
      </c>
    </row>
    <row r="2730" spans="1:5" x14ac:dyDescent="0.2">
      <c r="A2730" s="940">
        <v>583</v>
      </c>
      <c r="B2730" s="940">
        <v>485</v>
      </c>
      <c r="C2730" t="s">
        <v>6410</v>
      </c>
      <c r="D2730" s="940" t="s">
        <v>6411</v>
      </c>
      <c r="E2730" t="s">
        <v>3098</v>
      </c>
    </row>
    <row r="2731" spans="1:5" x14ac:dyDescent="0.2">
      <c r="A2731" s="940">
        <v>1259</v>
      </c>
      <c r="B2731" s="940">
        <v>192</v>
      </c>
      <c r="C2731" t="s">
        <v>10810</v>
      </c>
      <c r="D2731" s="940" t="s">
        <v>10811</v>
      </c>
      <c r="E2731" t="s">
        <v>130</v>
      </c>
    </row>
    <row r="2732" spans="1:5" x14ac:dyDescent="0.2">
      <c r="A2732" s="940">
        <v>479</v>
      </c>
      <c r="B2732" s="940">
        <v>572</v>
      </c>
      <c r="C2732" t="s">
        <v>528</v>
      </c>
      <c r="D2732" s="940" t="s">
        <v>10812</v>
      </c>
      <c r="E2732" t="s">
        <v>113</v>
      </c>
    </row>
    <row r="2733" spans="1:5" x14ac:dyDescent="0.2">
      <c r="A2733" s="940">
        <v>346</v>
      </c>
      <c r="B2733" s="940">
        <v>704</v>
      </c>
      <c r="C2733" t="s">
        <v>281</v>
      </c>
      <c r="D2733" s="940" t="s">
        <v>3199</v>
      </c>
      <c r="E2733" t="s">
        <v>105</v>
      </c>
    </row>
    <row r="2734" spans="1:5" x14ac:dyDescent="0.2">
      <c r="A2734" s="940">
        <v>1403</v>
      </c>
      <c r="B2734" s="940">
        <v>161</v>
      </c>
      <c r="C2734" t="s">
        <v>281</v>
      </c>
      <c r="D2734" s="940" t="s">
        <v>10429</v>
      </c>
      <c r="E2734" t="s">
        <v>113</v>
      </c>
    </row>
    <row r="2735" spans="1:5" x14ac:dyDescent="0.2">
      <c r="A2735" s="940">
        <v>1912</v>
      </c>
      <c r="B2735" s="940">
        <v>94</v>
      </c>
      <c r="C2735" t="s">
        <v>281</v>
      </c>
      <c r="D2735" s="940" t="s">
        <v>6412</v>
      </c>
      <c r="E2735" t="s">
        <v>2720</v>
      </c>
    </row>
    <row r="2736" spans="1:5" x14ac:dyDescent="0.2">
      <c r="A2736" s="940">
        <v>4294</v>
      </c>
      <c r="B2736" s="940">
        <v>0</v>
      </c>
      <c r="C2736" t="s">
        <v>281</v>
      </c>
      <c r="D2736" s="940" t="s">
        <v>4286</v>
      </c>
      <c r="E2736" t="s">
        <v>246</v>
      </c>
    </row>
    <row r="2737" spans="1:5" x14ac:dyDescent="0.2">
      <c r="A2737" s="940">
        <v>4294</v>
      </c>
      <c r="B2737" s="940">
        <v>0</v>
      </c>
      <c r="C2737" t="s">
        <v>10813</v>
      </c>
      <c r="D2737" s="940" t="s">
        <v>9894</v>
      </c>
      <c r="E2737" t="s">
        <v>208</v>
      </c>
    </row>
    <row r="2738" spans="1:5" x14ac:dyDescent="0.2">
      <c r="A2738" s="940">
        <v>860</v>
      </c>
      <c r="B2738" s="940">
        <v>331</v>
      </c>
      <c r="C2738" t="s">
        <v>6413</v>
      </c>
      <c r="D2738" s="940" t="s">
        <v>6414</v>
      </c>
      <c r="E2738" t="s">
        <v>427</v>
      </c>
    </row>
    <row r="2739" spans="1:5" x14ac:dyDescent="0.2">
      <c r="A2739" s="940">
        <v>4294</v>
      </c>
      <c r="B2739" s="940">
        <v>0</v>
      </c>
      <c r="C2739" t="s">
        <v>6415</v>
      </c>
      <c r="D2739" s="940" t="s">
        <v>6416</v>
      </c>
      <c r="E2739" t="s">
        <v>6417</v>
      </c>
    </row>
    <row r="2740" spans="1:5" x14ac:dyDescent="0.2">
      <c r="A2740" s="940">
        <v>4294</v>
      </c>
      <c r="B2740" s="940">
        <v>0</v>
      </c>
      <c r="C2740" t="s">
        <v>10814</v>
      </c>
      <c r="D2740" s="940" t="s">
        <v>10815</v>
      </c>
      <c r="E2740" t="s">
        <v>105</v>
      </c>
    </row>
    <row r="2741" spans="1:5" x14ac:dyDescent="0.2">
      <c r="A2741" s="940">
        <v>2649</v>
      </c>
      <c r="B2741" s="940">
        <v>39</v>
      </c>
      <c r="C2741" t="s">
        <v>6418</v>
      </c>
      <c r="D2741" s="940" t="s">
        <v>10816</v>
      </c>
      <c r="E2741" t="s">
        <v>120</v>
      </c>
    </row>
    <row r="2742" spans="1:5" x14ac:dyDescent="0.2">
      <c r="A2742" s="940">
        <v>3174</v>
      </c>
      <c r="B2742" s="940">
        <v>18</v>
      </c>
      <c r="C2742" t="s">
        <v>10817</v>
      </c>
      <c r="D2742" s="940" t="s">
        <v>10818</v>
      </c>
      <c r="E2742" t="s">
        <v>128</v>
      </c>
    </row>
    <row r="2743" spans="1:5" x14ac:dyDescent="0.2">
      <c r="A2743" s="940">
        <v>515</v>
      </c>
      <c r="B2743" s="940">
        <v>532</v>
      </c>
      <c r="C2743" t="s">
        <v>10819</v>
      </c>
      <c r="D2743" s="940" t="s">
        <v>10044</v>
      </c>
      <c r="E2743" t="s">
        <v>3487</v>
      </c>
    </row>
    <row r="2744" spans="1:5" x14ac:dyDescent="0.2">
      <c r="A2744" s="940">
        <v>4294</v>
      </c>
      <c r="B2744" s="940">
        <v>0</v>
      </c>
      <c r="C2744" t="s">
        <v>10819</v>
      </c>
      <c r="D2744" s="940" t="s">
        <v>10166</v>
      </c>
      <c r="E2744" t="s">
        <v>6555</v>
      </c>
    </row>
    <row r="2745" spans="1:5" x14ac:dyDescent="0.2">
      <c r="A2745" s="940">
        <v>1766</v>
      </c>
      <c r="B2745" s="940">
        <v>109</v>
      </c>
      <c r="C2745" t="s">
        <v>715</v>
      </c>
      <c r="D2745" s="940" t="s">
        <v>6421</v>
      </c>
      <c r="E2745" t="s">
        <v>716</v>
      </c>
    </row>
    <row r="2746" spans="1:5" x14ac:dyDescent="0.2">
      <c r="A2746" s="940">
        <v>688</v>
      </c>
      <c r="B2746" s="940">
        <v>409</v>
      </c>
      <c r="C2746" t="s">
        <v>6424</v>
      </c>
      <c r="D2746" s="940" t="s">
        <v>6425</v>
      </c>
      <c r="E2746" t="s">
        <v>1222</v>
      </c>
    </row>
    <row r="2747" spans="1:5" x14ac:dyDescent="0.2">
      <c r="A2747" s="940">
        <v>1488</v>
      </c>
      <c r="B2747" s="940">
        <v>146</v>
      </c>
      <c r="C2747" t="s">
        <v>6427</v>
      </c>
      <c r="D2747" s="940" t="s">
        <v>2820</v>
      </c>
      <c r="E2747" t="s">
        <v>118</v>
      </c>
    </row>
    <row r="2748" spans="1:5" x14ac:dyDescent="0.2">
      <c r="A2748" s="940">
        <v>3972</v>
      </c>
      <c r="B2748" s="940">
        <v>3</v>
      </c>
      <c r="C2748" t="s">
        <v>6428</v>
      </c>
      <c r="D2748" s="940" t="s">
        <v>6429</v>
      </c>
      <c r="E2748" t="s">
        <v>6430</v>
      </c>
    </row>
    <row r="2749" spans="1:5" x14ac:dyDescent="0.2">
      <c r="A2749" s="940">
        <v>2218</v>
      </c>
      <c r="B2749" s="940">
        <v>68</v>
      </c>
      <c r="C2749" t="s">
        <v>6431</v>
      </c>
      <c r="D2749" s="940" t="s">
        <v>6432</v>
      </c>
      <c r="E2749" t="s">
        <v>1507</v>
      </c>
    </row>
    <row r="2750" spans="1:5" x14ac:dyDescent="0.2">
      <c r="A2750" s="940">
        <v>2877</v>
      </c>
      <c r="B2750" s="940">
        <v>29</v>
      </c>
      <c r="C2750" t="s">
        <v>10820</v>
      </c>
      <c r="D2750" s="940" t="s">
        <v>7252</v>
      </c>
      <c r="E2750" t="s">
        <v>106</v>
      </c>
    </row>
    <row r="2751" spans="1:5" x14ac:dyDescent="0.2">
      <c r="A2751" s="940">
        <v>3972</v>
      </c>
      <c r="B2751" s="940">
        <v>3</v>
      </c>
      <c r="C2751" t="s">
        <v>10821</v>
      </c>
      <c r="D2751" s="940" t="s">
        <v>9366</v>
      </c>
      <c r="E2751" t="s">
        <v>99</v>
      </c>
    </row>
    <row r="2752" spans="1:5" x14ac:dyDescent="0.2">
      <c r="A2752" s="940">
        <v>4294</v>
      </c>
      <c r="B2752" s="940">
        <v>0</v>
      </c>
      <c r="C2752" t="s">
        <v>10822</v>
      </c>
      <c r="D2752" s="940" t="s">
        <v>10323</v>
      </c>
      <c r="E2752" t="s">
        <v>3200</v>
      </c>
    </row>
    <row r="2753" spans="1:5" x14ac:dyDescent="0.2">
      <c r="A2753" s="940">
        <v>3655</v>
      </c>
      <c r="B2753" s="940">
        <v>7</v>
      </c>
      <c r="C2753" t="s">
        <v>10823</v>
      </c>
      <c r="D2753" s="940" t="s">
        <v>5983</v>
      </c>
      <c r="E2753" t="s">
        <v>120</v>
      </c>
    </row>
    <row r="2754" spans="1:5" x14ac:dyDescent="0.2">
      <c r="A2754" s="940">
        <v>4294</v>
      </c>
      <c r="B2754" s="940">
        <v>0</v>
      </c>
      <c r="C2754" t="s">
        <v>10824</v>
      </c>
      <c r="D2754" s="940" t="s">
        <v>8914</v>
      </c>
      <c r="E2754" t="s">
        <v>74</v>
      </c>
    </row>
    <row r="2755" spans="1:5" x14ac:dyDescent="0.2">
      <c r="A2755" s="940">
        <v>1621</v>
      </c>
      <c r="B2755" s="940">
        <v>125</v>
      </c>
      <c r="C2755" t="s">
        <v>717</v>
      </c>
      <c r="D2755" s="940" t="s">
        <v>2893</v>
      </c>
      <c r="E2755" t="s">
        <v>105</v>
      </c>
    </row>
    <row r="2756" spans="1:5" x14ac:dyDescent="0.2">
      <c r="A2756" s="940">
        <v>4294</v>
      </c>
      <c r="B2756" s="940">
        <v>0</v>
      </c>
      <c r="C2756" t="s">
        <v>6436</v>
      </c>
      <c r="D2756" s="940" t="s">
        <v>3888</v>
      </c>
      <c r="E2756" t="s">
        <v>74</v>
      </c>
    </row>
    <row r="2757" spans="1:5" x14ac:dyDescent="0.2">
      <c r="A2757" s="940">
        <v>622</v>
      </c>
      <c r="B2757" s="940">
        <v>452</v>
      </c>
      <c r="C2757" t="s">
        <v>10825</v>
      </c>
      <c r="D2757" s="940" t="s">
        <v>10826</v>
      </c>
      <c r="E2757" t="s">
        <v>166</v>
      </c>
    </row>
    <row r="2758" spans="1:5" x14ac:dyDescent="0.2">
      <c r="A2758" s="940">
        <v>2434</v>
      </c>
      <c r="B2758" s="940">
        <v>52</v>
      </c>
      <c r="C2758" t="s">
        <v>6437</v>
      </c>
      <c r="D2758" s="940" t="s">
        <v>6438</v>
      </c>
      <c r="E2758" t="s">
        <v>1307</v>
      </c>
    </row>
    <row r="2759" spans="1:5" x14ac:dyDescent="0.2">
      <c r="A2759" s="940">
        <v>4294</v>
      </c>
      <c r="B2759" s="940">
        <v>0</v>
      </c>
      <c r="C2759" t="s">
        <v>6439</v>
      </c>
      <c r="D2759" s="940" t="s">
        <v>4839</v>
      </c>
      <c r="E2759" t="s">
        <v>1182</v>
      </c>
    </row>
    <row r="2760" spans="1:5" x14ac:dyDescent="0.2">
      <c r="A2760" s="940">
        <v>4294</v>
      </c>
      <c r="B2760" s="940">
        <v>0</v>
      </c>
      <c r="C2760" t="s">
        <v>10827</v>
      </c>
      <c r="D2760" s="940" t="s">
        <v>10323</v>
      </c>
      <c r="E2760" t="s">
        <v>614</v>
      </c>
    </row>
    <row r="2761" spans="1:5" x14ac:dyDescent="0.2">
      <c r="A2761" s="940">
        <v>4294</v>
      </c>
      <c r="B2761" s="940">
        <v>0</v>
      </c>
      <c r="C2761" t="s">
        <v>10828</v>
      </c>
      <c r="D2761" s="940" t="s">
        <v>10829</v>
      </c>
      <c r="E2761" t="s">
        <v>122</v>
      </c>
    </row>
    <row r="2762" spans="1:5" x14ac:dyDescent="0.2">
      <c r="A2762" s="940">
        <v>4294</v>
      </c>
      <c r="B2762" s="940">
        <v>0</v>
      </c>
      <c r="C2762" t="s">
        <v>10830</v>
      </c>
      <c r="D2762" s="940" t="s">
        <v>10831</v>
      </c>
      <c r="E2762" t="s">
        <v>137</v>
      </c>
    </row>
    <row r="2763" spans="1:5" x14ac:dyDescent="0.2">
      <c r="A2763" s="940">
        <v>537</v>
      </c>
      <c r="B2763" s="940">
        <v>513</v>
      </c>
      <c r="C2763" t="s">
        <v>10832</v>
      </c>
      <c r="D2763" s="940" t="s">
        <v>10833</v>
      </c>
      <c r="E2763" t="s">
        <v>109</v>
      </c>
    </row>
    <row r="2764" spans="1:5" x14ac:dyDescent="0.2">
      <c r="A2764" s="940">
        <v>3972</v>
      </c>
      <c r="B2764" s="940">
        <v>3</v>
      </c>
      <c r="C2764" t="s">
        <v>6440</v>
      </c>
      <c r="D2764" s="940" t="s">
        <v>5373</v>
      </c>
      <c r="E2764" t="s">
        <v>2654</v>
      </c>
    </row>
    <row r="2765" spans="1:5" x14ac:dyDescent="0.2">
      <c r="A2765" s="940">
        <v>4294</v>
      </c>
      <c r="B2765" s="940">
        <v>0</v>
      </c>
      <c r="C2765" t="s">
        <v>6441</v>
      </c>
      <c r="D2765" s="940" t="s">
        <v>6442</v>
      </c>
      <c r="E2765" t="s">
        <v>6443</v>
      </c>
    </row>
    <row r="2766" spans="1:5" x14ac:dyDescent="0.2">
      <c r="A2766" s="940">
        <v>2486</v>
      </c>
      <c r="B2766" s="940">
        <v>48</v>
      </c>
      <c r="C2766" t="s">
        <v>6444</v>
      </c>
      <c r="D2766" s="940" t="s">
        <v>2854</v>
      </c>
      <c r="E2766" t="s">
        <v>1493</v>
      </c>
    </row>
    <row r="2767" spans="1:5" x14ac:dyDescent="0.2">
      <c r="A2767" s="940">
        <v>1473</v>
      </c>
      <c r="B2767" s="940">
        <v>150</v>
      </c>
      <c r="C2767" t="s">
        <v>10834</v>
      </c>
      <c r="D2767" s="940" t="s">
        <v>9335</v>
      </c>
      <c r="E2767" t="s">
        <v>120</v>
      </c>
    </row>
    <row r="2768" spans="1:5" x14ac:dyDescent="0.2">
      <c r="A2768" s="940">
        <v>4294</v>
      </c>
      <c r="B2768" s="940">
        <v>0</v>
      </c>
      <c r="C2768" t="s">
        <v>6445</v>
      </c>
      <c r="D2768" s="940" t="s">
        <v>6446</v>
      </c>
      <c r="E2768" t="s">
        <v>137</v>
      </c>
    </row>
    <row r="2769" spans="1:5" x14ac:dyDescent="0.2">
      <c r="A2769" s="940">
        <v>3008</v>
      </c>
      <c r="B2769" s="940">
        <v>23</v>
      </c>
      <c r="C2769" t="s">
        <v>6447</v>
      </c>
      <c r="D2769" s="940" t="s">
        <v>6448</v>
      </c>
      <c r="E2769" t="s">
        <v>137</v>
      </c>
    </row>
    <row r="2770" spans="1:5" x14ac:dyDescent="0.2">
      <c r="A2770" s="940">
        <v>2668</v>
      </c>
      <c r="B2770" s="940">
        <v>38</v>
      </c>
      <c r="C2770" t="s">
        <v>10835</v>
      </c>
      <c r="D2770" s="940" t="s">
        <v>10836</v>
      </c>
      <c r="E2770" t="s">
        <v>111</v>
      </c>
    </row>
    <row r="2771" spans="1:5" x14ac:dyDescent="0.2">
      <c r="A2771" s="940">
        <v>1826</v>
      </c>
      <c r="B2771" s="940">
        <v>102</v>
      </c>
      <c r="C2771" t="s">
        <v>10837</v>
      </c>
      <c r="D2771" s="940" t="s">
        <v>10838</v>
      </c>
      <c r="E2771" t="s">
        <v>105</v>
      </c>
    </row>
    <row r="2772" spans="1:5" x14ac:dyDescent="0.2">
      <c r="A2772" s="940">
        <v>4294</v>
      </c>
      <c r="B2772" s="940">
        <v>0</v>
      </c>
      <c r="C2772" t="s">
        <v>10839</v>
      </c>
      <c r="D2772" s="940" t="s">
        <v>10559</v>
      </c>
      <c r="E2772" t="s">
        <v>164</v>
      </c>
    </row>
    <row r="2773" spans="1:5" x14ac:dyDescent="0.2">
      <c r="A2773" s="940">
        <v>2486</v>
      </c>
      <c r="B2773" s="940">
        <v>48</v>
      </c>
      <c r="C2773" t="s">
        <v>10840</v>
      </c>
      <c r="D2773" s="940" t="s">
        <v>8269</v>
      </c>
      <c r="E2773" t="s">
        <v>1214</v>
      </c>
    </row>
    <row r="2774" spans="1:5" x14ac:dyDescent="0.2">
      <c r="A2774" s="940">
        <v>266</v>
      </c>
      <c r="B2774" s="940">
        <v>817</v>
      </c>
      <c r="C2774" t="s">
        <v>6449</v>
      </c>
      <c r="D2774" s="940" t="s">
        <v>6450</v>
      </c>
      <c r="E2774" t="s">
        <v>84</v>
      </c>
    </row>
    <row r="2775" spans="1:5" x14ac:dyDescent="0.2">
      <c r="A2775" s="940">
        <v>2168</v>
      </c>
      <c r="B2775" s="940">
        <v>72</v>
      </c>
      <c r="C2775" t="s">
        <v>2564</v>
      </c>
      <c r="D2775" s="940" t="s">
        <v>3464</v>
      </c>
      <c r="E2775" t="s">
        <v>120</v>
      </c>
    </row>
    <row r="2776" spans="1:5" x14ac:dyDescent="0.2">
      <c r="A2776" s="940">
        <v>4181</v>
      </c>
      <c r="B2776" s="940">
        <v>1</v>
      </c>
      <c r="C2776" t="s">
        <v>10841</v>
      </c>
      <c r="D2776" s="940" t="s">
        <v>6897</v>
      </c>
      <c r="E2776" t="s">
        <v>105</v>
      </c>
    </row>
    <row r="2777" spans="1:5" x14ac:dyDescent="0.2">
      <c r="A2777" s="940">
        <v>4294</v>
      </c>
      <c r="B2777" s="940">
        <v>0</v>
      </c>
      <c r="C2777" t="s">
        <v>6451</v>
      </c>
      <c r="D2777" s="940" t="s">
        <v>4889</v>
      </c>
      <c r="E2777" t="s">
        <v>103</v>
      </c>
    </row>
    <row r="2778" spans="1:5" x14ac:dyDescent="0.2">
      <c r="A2778" s="940">
        <v>4294</v>
      </c>
      <c r="B2778" s="940">
        <v>0</v>
      </c>
      <c r="C2778" t="s">
        <v>6452</v>
      </c>
      <c r="D2778" s="940" t="s">
        <v>3808</v>
      </c>
      <c r="E2778" t="s">
        <v>171</v>
      </c>
    </row>
    <row r="2779" spans="1:5" x14ac:dyDescent="0.2">
      <c r="A2779" s="940">
        <v>44</v>
      </c>
      <c r="B2779" s="940">
        <v>1318</v>
      </c>
      <c r="C2779" t="s">
        <v>6453</v>
      </c>
      <c r="D2779" s="940" t="s">
        <v>6454</v>
      </c>
      <c r="E2779" t="s">
        <v>4735</v>
      </c>
    </row>
    <row r="2780" spans="1:5" x14ac:dyDescent="0.2">
      <c r="A2780" s="940">
        <v>3972</v>
      </c>
      <c r="B2780" s="940">
        <v>3</v>
      </c>
      <c r="C2780" t="s">
        <v>6455</v>
      </c>
      <c r="D2780" s="940" t="s">
        <v>6456</v>
      </c>
      <c r="E2780" t="s">
        <v>163</v>
      </c>
    </row>
    <row r="2781" spans="1:5" x14ac:dyDescent="0.2">
      <c r="A2781" s="940">
        <v>1027</v>
      </c>
      <c r="B2781" s="940">
        <v>268</v>
      </c>
      <c r="C2781" t="s">
        <v>1934</v>
      </c>
      <c r="D2781" s="940" t="s">
        <v>6457</v>
      </c>
      <c r="E2781" t="s">
        <v>120</v>
      </c>
    </row>
    <row r="2782" spans="1:5" x14ac:dyDescent="0.2">
      <c r="A2782" s="940">
        <v>3136</v>
      </c>
      <c r="B2782" s="940">
        <v>19</v>
      </c>
      <c r="C2782" t="s">
        <v>10842</v>
      </c>
      <c r="D2782" s="940" t="s">
        <v>10843</v>
      </c>
      <c r="E2782" t="s">
        <v>2356</v>
      </c>
    </row>
    <row r="2783" spans="1:5" x14ac:dyDescent="0.2">
      <c r="A2783" s="940">
        <v>3602</v>
      </c>
      <c r="B2783" s="940">
        <v>8</v>
      </c>
      <c r="C2783" t="s">
        <v>6458</v>
      </c>
      <c r="D2783" s="940" t="s">
        <v>6459</v>
      </c>
      <c r="E2783" t="s">
        <v>105</v>
      </c>
    </row>
    <row r="2784" spans="1:5" x14ac:dyDescent="0.2">
      <c r="A2784" s="940">
        <v>4294</v>
      </c>
      <c r="B2784" s="940">
        <v>0</v>
      </c>
      <c r="C2784" t="s">
        <v>10844</v>
      </c>
      <c r="D2784" s="940" t="s">
        <v>6050</v>
      </c>
      <c r="E2784" t="s">
        <v>127</v>
      </c>
    </row>
    <row r="2785" spans="1:5" x14ac:dyDescent="0.2">
      <c r="A2785" s="940">
        <v>4181</v>
      </c>
      <c r="B2785" s="940">
        <v>1</v>
      </c>
      <c r="C2785" t="s">
        <v>10845</v>
      </c>
      <c r="D2785" s="940" t="s">
        <v>6897</v>
      </c>
      <c r="E2785" t="s">
        <v>163</v>
      </c>
    </row>
    <row r="2786" spans="1:5" x14ac:dyDescent="0.2">
      <c r="A2786" s="940">
        <v>2533</v>
      </c>
      <c r="B2786" s="940">
        <v>45</v>
      </c>
      <c r="C2786" t="s">
        <v>10846</v>
      </c>
      <c r="D2786" s="940" t="s">
        <v>8233</v>
      </c>
      <c r="E2786" t="s">
        <v>105</v>
      </c>
    </row>
    <row r="2787" spans="1:5" x14ac:dyDescent="0.2">
      <c r="A2787" s="940">
        <v>1790</v>
      </c>
      <c r="B2787" s="940">
        <v>106</v>
      </c>
      <c r="C2787" t="s">
        <v>10847</v>
      </c>
      <c r="D2787" s="940" t="s">
        <v>10848</v>
      </c>
      <c r="E2787" t="s">
        <v>3383</v>
      </c>
    </row>
    <row r="2788" spans="1:5" x14ac:dyDescent="0.2">
      <c r="A2788" s="940">
        <v>3107</v>
      </c>
      <c r="B2788" s="940">
        <v>20</v>
      </c>
      <c r="C2788" t="s">
        <v>2565</v>
      </c>
      <c r="D2788" s="940" t="s">
        <v>6465</v>
      </c>
      <c r="E2788" t="s">
        <v>120</v>
      </c>
    </row>
    <row r="2789" spans="1:5" x14ac:dyDescent="0.2">
      <c r="A2789" s="940">
        <v>825</v>
      </c>
      <c r="B2789" s="940">
        <v>350</v>
      </c>
      <c r="C2789" t="s">
        <v>6466</v>
      </c>
      <c r="D2789" s="940" t="s">
        <v>6467</v>
      </c>
      <c r="E2789" t="s">
        <v>120</v>
      </c>
    </row>
    <row r="2790" spans="1:5" x14ac:dyDescent="0.2">
      <c r="A2790" s="940">
        <v>492</v>
      </c>
      <c r="B2790" s="940">
        <v>562</v>
      </c>
      <c r="C2790" t="s">
        <v>6468</v>
      </c>
      <c r="D2790" s="940" t="s">
        <v>6469</v>
      </c>
      <c r="E2790" t="s">
        <v>1939</v>
      </c>
    </row>
    <row r="2791" spans="1:5" x14ac:dyDescent="0.2">
      <c r="A2791" s="940">
        <v>3402</v>
      </c>
      <c r="B2791" s="940">
        <v>12</v>
      </c>
      <c r="C2791" t="s">
        <v>6470</v>
      </c>
      <c r="D2791" s="940" t="s">
        <v>5476</v>
      </c>
      <c r="E2791" t="s">
        <v>6471</v>
      </c>
    </row>
    <row r="2792" spans="1:5" x14ac:dyDescent="0.2">
      <c r="A2792" s="940">
        <v>148</v>
      </c>
      <c r="B2792" s="940">
        <v>1006</v>
      </c>
      <c r="C2792" t="s">
        <v>10849</v>
      </c>
      <c r="D2792" s="940" t="s">
        <v>10850</v>
      </c>
      <c r="E2792" t="s">
        <v>120</v>
      </c>
    </row>
    <row r="2793" spans="1:5" x14ac:dyDescent="0.2">
      <c r="A2793" s="940">
        <v>717</v>
      </c>
      <c r="B2793" s="940">
        <v>396</v>
      </c>
      <c r="C2793" t="s">
        <v>10851</v>
      </c>
      <c r="D2793" s="940" t="s">
        <v>10852</v>
      </c>
      <c r="E2793" t="s">
        <v>1290</v>
      </c>
    </row>
    <row r="2794" spans="1:5" x14ac:dyDescent="0.2">
      <c r="A2794" s="940">
        <v>3972</v>
      </c>
      <c r="B2794" s="940">
        <v>3</v>
      </c>
      <c r="C2794" t="s">
        <v>6472</v>
      </c>
      <c r="D2794" s="940" t="s">
        <v>6473</v>
      </c>
      <c r="E2794" t="s">
        <v>99</v>
      </c>
    </row>
    <row r="2795" spans="1:5" x14ac:dyDescent="0.2">
      <c r="A2795" s="940">
        <v>3136</v>
      </c>
      <c r="B2795" s="940">
        <v>19</v>
      </c>
      <c r="C2795" t="s">
        <v>6474</v>
      </c>
      <c r="D2795" s="940" t="s">
        <v>3621</v>
      </c>
      <c r="E2795" t="s">
        <v>1236</v>
      </c>
    </row>
    <row r="2796" spans="1:5" x14ac:dyDescent="0.2">
      <c r="A2796" s="940">
        <v>3402</v>
      </c>
      <c r="B2796" s="940">
        <v>12</v>
      </c>
      <c r="C2796" t="s">
        <v>10853</v>
      </c>
      <c r="D2796" s="940" t="s">
        <v>3570</v>
      </c>
      <c r="E2796" t="s">
        <v>128</v>
      </c>
    </row>
    <row r="2797" spans="1:5" x14ac:dyDescent="0.2">
      <c r="A2797" s="940">
        <v>1977</v>
      </c>
      <c r="B2797" s="940">
        <v>88</v>
      </c>
      <c r="C2797" t="s">
        <v>6475</v>
      </c>
      <c r="D2797" s="940" t="s">
        <v>6476</v>
      </c>
      <c r="E2797" t="s">
        <v>109</v>
      </c>
    </row>
    <row r="2798" spans="1:5" x14ac:dyDescent="0.2">
      <c r="A2798" s="940">
        <v>414</v>
      </c>
      <c r="B2798" s="940">
        <v>628</v>
      </c>
      <c r="C2798" t="s">
        <v>6477</v>
      </c>
      <c r="D2798" s="940" t="s">
        <v>6478</v>
      </c>
      <c r="E2798" t="s">
        <v>120</v>
      </c>
    </row>
    <row r="2799" spans="1:5" x14ac:dyDescent="0.2">
      <c r="A2799" s="940">
        <v>866</v>
      </c>
      <c r="B2799" s="940">
        <v>330</v>
      </c>
      <c r="C2799" t="s">
        <v>531</v>
      </c>
      <c r="D2799" s="940" t="s">
        <v>6479</v>
      </c>
      <c r="E2799" t="s">
        <v>72</v>
      </c>
    </row>
    <row r="2800" spans="1:5" x14ac:dyDescent="0.2">
      <c r="A2800" s="940">
        <v>3136</v>
      </c>
      <c r="B2800" s="940">
        <v>19</v>
      </c>
      <c r="C2800" t="s">
        <v>6480</v>
      </c>
      <c r="D2800" s="940" t="s">
        <v>5300</v>
      </c>
      <c r="E2800" t="s">
        <v>6481</v>
      </c>
    </row>
    <row r="2801" spans="1:5" x14ac:dyDescent="0.2">
      <c r="A2801" s="940">
        <v>2409</v>
      </c>
      <c r="B2801" s="940">
        <v>54</v>
      </c>
      <c r="C2801" t="s">
        <v>6482</v>
      </c>
      <c r="D2801" s="940" t="s">
        <v>3166</v>
      </c>
      <c r="E2801" t="s">
        <v>1507</v>
      </c>
    </row>
    <row r="2802" spans="1:5" x14ac:dyDescent="0.2">
      <c r="A2802" s="940">
        <v>3048</v>
      </c>
      <c r="B2802" s="940">
        <v>22</v>
      </c>
      <c r="C2802" t="s">
        <v>6483</v>
      </c>
      <c r="D2802" s="940" t="s">
        <v>3792</v>
      </c>
      <c r="E2802" t="s">
        <v>3098</v>
      </c>
    </row>
    <row r="2803" spans="1:5" x14ac:dyDescent="0.2">
      <c r="A2803" s="940">
        <v>2423</v>
      </c>
      <c r="B2803" s="940">
        <v>53</v>
      </c>
      <c r="C2803" t="s">
        <v>6484</v>
      </c>
      <c r="D2803" s="940" t="s">
        <v>6485</v>
      </c>
      <c r="E2803" t="s">
        <v>3098</v>
      </c>
    </row>
    <row r="2804" spans="1:5" x14ac:dyDescent="0.2">
      <c r="A2804" s="940">
        <v>1372</v>
      </c>
      <c r="B2804" s="940">
        <v>168</v>
      </c>
      <c r="C2804" t="s">
        <v>10854</v>
      </c>
      <c r="D2804" s="940" t="s">
        <v>9831</v>
      </c>
      <c r="E2804" t="s">
        <v>75</v>
      </c>
    </row>
    <row r="2805" spans="1:5" x14ac:dyDescent="0.2">
      <c r="A2805" s="940">
        <v>2833</v>
      </c>
      <c r="B2805" s="940">
        <v>31</v>
      </c>
      <c r="C2805" t="s">
        <v>6486</v>
      </c>
      <c r="D2805" s="940" t="s">
        <v>6487</v>
      </c>
      <c r="E2805" t="s">
        <v>2263</v>
      </c>
    </row>
    <row r="2806" spans="1:5" x14ac:dyDescent="0.2">
      <c r="A2806" s="940">
        <v>22</v>
      </c>
      <c r="B2806" s="940">
        <v>1458</v>
      </c>
      <c r="C2806" t="s">
        <v>6488</v>
      </c>
      <c r="D2806" s="940" t="s">
        <v>6489</v>
      </c>
      <c r="E2806" t="s">
        <v>105</v>
      </c>
    </row>
    <row r="2807" spans="1:5" x14ac:dyDescent="0.2">
      <c r="A2807" s="940">
        <v>413</v>
      </c>
      <c r="B2807" s="940">
        <v>629</v>
      </c>
      <c r="C2807" t="s">
        <v>6490</v>
      </c>
      <c r="D2807" s="940" t="s">
        <v>6491</v>
      </c>
      <c r="E2807" t="s">
        <v>119</v>
      </c>
    </row>
    <row r="2808" spans="1:5" x14ac:dyDescent="0.2">
      <c r="A2808" s="940">
        <v>673</v>
      </c>
      <c r="B2808" s="940">
        <v>419</v>
      </c>
      <c r="C2808" t="s">
        <v>10855</v>
      </c>
      <c r="D2808" s="940" t="s">
        <v>10856</v>
      </c>
      <c r="E2808" t="s">
        <v>104</v>
      </c>
    </row>
    <row r="2809" spans="1:5" x14ac:dyDescent="0.2">
      <c r="A2809" s="940">
        <v>466</v>
      </c>
      <c r="B2809" s="940">
        <v>579</v>
      </c>
      <c r="C2809" t="s">
        <v>10857</v>
      </c>
      <c r="D2809" s="940" t="s">
        <v>10858</v>
      </c>
      <c r="E2809" t="s">
        <v>147</v>
      </c>
    </row>
    <row r="2810" spans="1:5" x14ac:dyDescent="0.2">
      <c r="A2810" s="940">
        <v>272</v>
      </c>
      <c r="B2810" s="940">
        <v>812</v>
      </c>
      <c r="C2810" t="s">
        <v>6492</v>
      </c>
      <c r="D2810" s="940" t="s">
        <v>6493</v>
      </c>
      <c r="E2810" t="s">
        <v>105</v>
      </c>
    </row>
    <row r="2811" spans="1:5" x14ac:dyDescent="0.2">
      <c r="A2811" s="940">
        <v>1462</v>
      </c>
      <c r="B2811" s="940">
        <v>152</v>
      </c>
      <c r="C2811" t="s">
        <v>1941</v>
      </c>
      <c r="D2811" s="940" t="s">
        <v>6494</v>
      </c>
      <c r="E2811" t="s">
        <v>1214</v>
      </c>
    </row>
    <row r="2812" spans="1:5" x14ac:dyDescent="0.2">
      <c r="A2812" s="940">
        <v>4294</v>
      </c>
      <c r="B2812" s="940">
        <v>0</v>
      </c>
      <c r="C2812" t="s">
        <v>6497</v>
      </c>
      <c r="D2812" s="940" t="s">
        <v>5467</v>
      </c>
      <c r="E2812" t="s">
        <v>1221</v>
      </c>
    </row>
    <row r="2813" spans="1:5" x14ac:dyDescent="0.2">
      <c r="A2813" s="940">
        <v>2691</v>
      </c>
      <c r="B2813" s="940">
        <v>37</v>
      </c>
      <c r="C2813" t="s">
        <v>6498</v>
      </c>
      <c r="D2813" s="940" t="s">
        <v>6499</v>
      </c>
      <c r="E2813" t="s">
        <v>104</v>
      </c>
    </row>
    <row r="2814" spans="1:5" x14ac:dyDescent="0.2">
      <c r="A2814" s="940">
        <v>3882</v>
      </c>
      <c r="B2814" s="940">
        <v>4</v>
      </c>
      <c r="C2814" t="s">
        <v>10859</v>
      </c>
      <c r="D2814" s="940" t="s">
        <v>10124</v>
      </c>
      <c r="E2814" t="s">
        <v>120</v>
      </c>
    </row>
    <row r="2815" spans="1:5" x14ac:dyDescent="0.2">
      <c r="A2815" s="940">
        <v>2794</v>
      </c>
      <c r="B2815" s="940">
        <v>33</v>
      </c>
      <c r="C2815" t="s">
        <v>6500</v>
      </c>
      <c r="D2815" s="940" t="s">
        <v>2858</v>
      </c>
      <c r="E2815" t="s">
        <v>1162</v>
      </c>
    </row>
    <row r="2816" spans="1:5" x14ac:dyDescent="0.2">
      <c r="A2816" s="940">
        <v>4294</v>
      </c>
      <c r="B2816" s="940">
        <v>0</v>
      </c>
      <c r="C2816" t="s">
        <v>6501</v>
      </c>
      <c r="D2816" s="940" t="s">
        <v>6502</v>
      </c>
      <c r="E2816" t="s">
        <v>1248</v>
      </c>
    </row>
    <row r="2817" spans="1:5" x14ac:dyDescent="0.2">
      <c r="A2817" s="940">
        <v>4294</v>
      </c>
      <c r="B2817" s="940">
        <v>0</v>
      </c>
      <c r="C2817" t="s">
        <v>6503</v>
      </c>
      <c r="D2817" s="940" t="s">
        <v>4048</v>
      </c>
      <c r="E2817" t="s">
        <v>1460</v>
      </c>
    </row>
    <row r="2818" spans="1:5" x14ac:dyDescent="0.2">
      <c r="A2818" s="940">
        <v>4294</v>
      </c>
      <c r="B2818" s="940">
        <v>0</v>
      </c>
      <c r="C2818" t="s">
        <v>6504</v>
      </c>
      <c r="D2818" s="940" t="s">
        <v>3185</v>
      </c>
      <c r="E2818" t="s">
        <v>1182</v>
      </c>
    </row>
    <row r="2819" spans="1:5" x14ac:dyDescent="0.2">
      <c r="A2819" s="940">
        <v>3250</v>
      </c>
      <c r="B2819" s="940">
        <v>16</v>
      </c>
      <c r="C2819" t="s">
        <v>10860</v>
      </c>
      <c r="D2819" s="940" t="s">
        <v>7648</v>
      </c>
      <c r="E2819" t="s">
        <v>84</v>
      </c>
    </row>
    <row r="2820" spans="1:5" x14ac:dyDescent="0.2">
      <c r="A2820" s="940">
        <v>2592</v>
      </c>
      <c r="B2820" s="940">
        <v>42</v>
      </c>
      <c r="C2820" t="s">
        <v>10861</v>
      </c>
      <c r="D2820" s="940" t="s">
        <v>4728</v>
      </c>
      <c r="E2820" t="s">
        <v>120</v>
      </c>
    </row>
    <row r="2821" spans="1:5" x14ac:dyDescent="0.2">
      <c r="A2821" s="940">
        <v>3250</v>
      </c>
      <c r="B2821" s="940">
        <v>16</v>
      </c>
      <c r="C2821" t="s">
        <v>10861</v>
      </c>
      <c r="D2821" s="940" t="s">
        <v>6508</v>
      </c>
      <c r="E2821" t="s">
        <v>170</v>
      </c>
    </row>
    <row r="2822" spans="1:5" x14ac:dyDescent="0.2">
      <c r="A2822" s="940">
        <v>1868</v>
      </c>
      <c r="B2822" s="940">
        <v>98</v>
      </c>
      <c r="C2822" t="s">
        <v>6509</v>
      </c>
      <c r="D2822" s="940" t="s">
        <v>6510</v>
      </c>
      <c r="E2822" t="s">
        <v>128</v>
      </c>
    </row>
    <row r="2823" spans="1:5" x14ac:dyDescent="0.2">
      <c r="A2823" s="940">
        <v>2877</v>
      </c>
      <c r="B2823" s="940">
        <v>29</v>
      </c>
      <c r="C2823" t="s">
        <v>10862</v>
      </c>
      <c r="D2823" s="940" t="s">
        <v>4728</v>
      </c>
      <c r="E2823" t="s">
        <v>120</v>
      </c>
    </row>
    <row r="2824" spans="1:5" x14ac:dyDescent="0.2">
      <c r="A2824" s="940">
        <v>3</v>
      </c>
      <c r="B2824" s="940">
        <v>1660</v>
      </c>
      <c r="C2824" t="s">
        <v>6512</v>
      </c>
      <c r="D2824" s="940" t="s">
        <v>6513</v>
      </c>
      <c r="E2824" t="s">
        <v>6514</v>
      </c>
    </row>
    <row r="2825" spans="1:5" x14ac:dyDescent="0.2">
      <c r="A2825" s="940">
        <v>1668</v>
      </c>
      <c r="B2825" s="940">
        <v>121</v>
      </c>
      <c r="C2825" t="s">
        <v>10863</v>
      </c>
      <c r="D2825" s="940" t="s">
        <v>10864</v>
      </c>
      <c r="E2825" t="s">
        <v>9015</v>
      </c>
    </row>
    <row r="2826" spans="1:5" x14ac:dyDescent="0.2">
      <c r="A2826" s="940">
        <v>436</v>
      </c>
      <c r="B2826" s="940">
        <v>605</v>
      </c>
      <c r="C2826" t="s">
        <v>10865</v>
      </c>
      <c r="D2826" s="940" t="s">
        <v>10866</v>
      </c>
      <c r="E2826" t="s">
        <v>111</v>
      </c>
    </row>
    <row r="2827" spans="1:5" x14ac:dyDescent="0.2">
      <c r="A2827" s="940">
        <v>2552</v>
      </c>
      <c r="B2827" s="940">
        <v>44</v>
      </c>
      <c r="C2827" t="s">
        <v>10867</v>
      </c>
      <c r="D2827" s="940" t="s">
        <v>10868</v>
      </c>
      <c r="E2827" t="s">
        <v>118</v>
      </c>
    </row>
    <row r="2828" spans="1:5" x14ac:dyDescent="0.2">
      <c r="A2828" s="940">
        <v>441</v>
      </c>
      <c r="B2828" s="940">
        <v>601</v>
      </c>
      <c r="C2828" t="s">
        <v>6517</v>
      </c>
      <c r="D2828" s="940" t="s">
        <v>6518</v>
      </c>
      <c r="E2828" t="s">
        <v>208</v>
      </c>
    </row>
    <row r="2829" spans="1:5" x14ac:dyDescent="0.2">
      <c r="A2829" s="940">
        <v>2894</v>
      </c>
      <c r="B2829" s="940">
        <v>28</v>
      </c>
      <c r="C2829" t="s">
        <v>6521</v>
      </c>
      <c r="D2829" s="940" t="s">
        <v>6522</v>
      </c>
      <c r="E2829" t="s">
        <v>2793</v>
      </c>
    </row>
    <row r="2830" spans="1:5" x14ac:dyDescent="0.2">
      <c r="A2830" s="940">
        <v>488</v>
      </c>
      <c r="B2830" s="940">
        <v>565</v>
      </c>
      <c r="C2830" t="s">
        <v>10869</v>
      </c>
      <c r="D2830" s="940" t="s">
        <v>10870</v>
      </c>
      <c r="E2830" t="s">
        <v>1675</v>
      </c>
    </row>
    <row r="2831" spans="1:5" x14ac:dyDescent="0.2">
      <c r="A2831" s="940">
        <v>3250</v>
      </c>
      <c r="B2831" s="940">
        <v>16</v>
      </c>
      <c r="C2831" t="s">
        <v>6523</v>
      </c>
      <c r="D2831" s="940" t="s">
        <v>6524</v>
      </c>
      <c r="E2831" t="s">
        <v>120</v>
      </c>
    </row>
    <row r="2832" spans="1:5" x14ac:dyDescent="0.2">
      <c r="A2832" s="940">
        <v>4294</v>
      </c>
      <c r="B2832" s="940">
        <v>0</v>
      </c>
      <c r="C2832" t="s">
        <v>6527</v>
      </c>
      <c r="D2832" s="940" t="s">
        <v>6200</v>
      </c>
      <c r="E2832" t="s">
        <v>164</v>
      </c>
    </row>
    <row r="2833" spans="1:5" x14ac:dyDescent="0.2">
      <c r="A2833" s="940">
        <v>2124</v>
      </c>
      <c r="B2833" s="940">
        <v>75</v>
      </c>
      <c r="C2833" t="s">
        <v>10871</v>
      </c>
      <c r="D2833" s="940" t="s">
        <v>10872</v>
      </c>
      <c r="E2833" t="s">
        <v>2561</v>
      </c>
    </row>
    <row r="2834" spans="1:5" x14ac:dyDescent="0.2">
      <c r="A2834" s="940">
        <v>1946</v>
      </c>
      <c r="B2834" s="940">
        <v>91</v>
      </c>
      <c r="C2834" t="s">
        <v>6528</v>
      </c>
      <c r="D2834" s="940" t="s">
        <v>5514</v>
      </c>
      <c r="E2834" t="s">
        <v>2561</v>
      </c>
    </row>
    <row r="2835" spans="1:5" x14ac:dyDescent="0.2">
      <c r="A2835" s="940">
        <v>1034</v>
      </c>
      <c r="B2835" s="940">
        <v>265</v>
      </c>
      <c r="C2835" t="s">
        <v>10873</v>
      </c>
      <c r="D2835" s="940" t="s">
        <v>10874</v>
      </c>
      <c r="E2835" t="s">
        <v>1211</v>
      </c>
    </row>
    <row r="2836" spans="1:5" x14ac:dyDescent="0.2">
      <c r="A2836" s="940">
        <v>735</v>
      </c>
      <c r="B2836" s="940">
        <v>389</v>
      </c>
      <c r="C2836" t="s">
        <v>287</v>
      </c>
      <c r="D2836" s="940" t="s">
        <v>10875</v>
      </c>
      <c r="E2836" t="s">
        <v>1171</v>
      </c>
    </row>
    <row r="2837" spans="1:5" x14ac:dyDescent="0.2">
      <c r="A2837" s="940">
        <v>3290</v>
      </c>
      <c r="B2837" s="940">
        <v>15</v>
      </c>
      <c r="C2837" t="s">
        <v>6529</v>
      </c>
      <c r="D2837" s="940" t="s">
        <v>6442</v>
      </c>
      <c r="E2837" t="s">
        <v>6530</v>
      </c>
    </row>
    <row r="2838" spans="1:5" x14ac:dyDescent="0.2">
      <c r="A2838" s="940">
        <v>3446</v>
      </c>
      <c r="B2838" s="940">
        <v>11</v>
      </c>
      <c r="C2838" t="s">
        <v>10876</v>
      </c>
      <c r="D2838" s="940" t="s">
        <v>5733</v>
      </c>
      <c r="E2838" t="s">
        <v>1491</v>
      </c>
    </row>
    <row r="2839" spans="1:5" x14ac:dyDescent="0.2">
      <c r="A2839" s="940">
        <v>2774</v>
      </c>
      <c r="B2839" s="940">
        <v>34</v>
      </c>
      <c r="C2839" t="s">
        <v>10877</v>
      </c>
      <c r="D2839" s="940" t="s">
        <v>5186</v>
      </c>
      <c r="E2839" t="s">
        <v>5326</v>
      </c>
    </row>
    <row r="2840" spans="1:5" x14ac:dyDescent="0.2">
      <c r="A2840" s="940">
        <v>1420</v>
      </c>
      <c r="B2840" s="940">
        <v>159</v>
      </c>
      <c r="C2840" t="s">
        <v>2526</v>
      </c>
      <c r="D2840" s="940" t="s">
        <v>6531</v>
      </c>
      <c r="E2840" t="s">
        <v>1243</v>
      </c>
    </row>
    <row r="2841" spans="1:5" x14ac:dyDescent="0.2">
      <c r="A2841" s="940">
        <v>703</v>
      </c>
      <c r="B2841" s="940">
        <v>401</v>
      </c>
      <c r="C2841" t="s">
        <v>6532</v>
      </c>
      <c r="D2841" s="940" t="s">
        <v>6533</v>
      </c>
      <c r="E2841" t="s">
        <v>74</v>
      </c>
    </row>
    <row r="2842" spans="1:5" x14ac:dyDescent="0.2">
      <c r="A2842" s="940">
        <v>1782</v>
      </c>
      <c r="B2842" s="940">
        <v>107</v>
      </c>
      <c r="C2842" t="s">
        <v>6534</v>
      </c>
      <c r="D2842" s="940" t="s">
        <v>6535</v>
      </c>
      <c r="E2842" t="s">
        <v>99</v>
      </c>
    </row>
    <row r="2843" spans="1:5" x14ac:dyDescent="0.2">
      <c r="A2843" s="940">
        <v>1031</v>
      </c>
      <c r="B2843" s="940">
        <v>267</v>
      </c>
      <c r="C2843" t="s">
        <v>1945</v>
      </c>
      <c r="D2843" s="940" t="s">
        <v>6536</v>
      </c>
      <c r="E2843" t="s">
        <v>1251</v>
      </c>
    </row>
    <row r="2844" spans="1:5" x14ac:dyDescent="0.2">
      <c r="A2844" s="940">
        <v>229</v>
      </c>
      <c r="B2844" s="940">
        <v>870</v>
      </c>
      <c r="C2844" t="s">
        <v>10878</v>
      </c>
      <c r="D2844" s="940" t="s">
        <v>10879</v>
      </c>
      <c r="E2844" t="s">
        <v>120</v>
      </c>
    </row>
    <row r="2845" spans="1:5" x14ac:dyDescent="0.2">
      <c r="A2845" s="940">
        <v>717</v>
      </c>
      <c r="B2845" s="940">
        <v>396</v>
      </c>
      <c r="C2845" t="s">
        <v>6544</v>
      </c>
      <c r="D2845" s="940" t="s">
        <v>10880</v>
      </c>
      <c r="E2845" t="s">
        <v>121</v>
      </c>
    </row>
    <row r="2846" spans="1:5" x14ac:dyDescent="0.2">
      <c r="A2846" s="940">
        <v>796</v>
      </c>
      <c r="B2846" s="940">
        <v>360</v>
      </c>
      <c r="C2846" t="s">
        <v>6544</v>
      </c>
      <c r="D2846" s="940" t="s">
        <v>4442</v>
      </c>
      <c r="E2846" t="s">
        <v>130</v>
      </c>
    </row>
    <row r="2847" spans="1:5" x14ac:dyDescent="0.2">
      <c r="A2847" s="940">
        <v>757</v>
      </c>
      <c r="B2847" s="940">
        <v>380</v>
      </c>
      <c r="C2847" t="s">
        <v>6545</v>
      </c>
      <c r="D2847" s="940" t="s">
        <v>6546</v>
      </c>
      <c r="E2847" t="s">
        <v>109</v>
      </c>
    </row>
    <row r="2848" spans="1:5" x14ac:dyDescent="0.2">
      <c r="A2848" s="940">
        <v>1720</v>
      </c>
      <c r="B2848" s="940">
        <v>115</v>
      </c>
      <c r="C2848" t="s">
        <v>6545</v>
      </c>
      <c r="D2848" s="940" t="s">
        <v>6547</v>
      </c>
      <c r="E2848" t="s">
        <v>105</v>
      </c>
    </row>
    <row r="2849" spans="1:5" x14ac:dyDescent="0.2">
      <c r="A2849" s="940">
        <v>4294</v>
      </c>
      <c r="B2849" s="940">
        <v>0</v>
      </c>
      <c r="C2849" t="s">
        <v>10881</v>
      </c>
      <c r="D2849" s="940" t="s">
        <v>2932</v>
      </c>
      <c r="E2849" t="s">
        <v>117</v>
      </c>
    </row>
    <row r="2850" spans="1:5" x14ac:dyDescent="0.2">
      <c r="A2850" s="940">
        <v>536</v>
      </c>
      <c r="B2850" s="940">
        <v>514</v>
      </c>
      <c r="C2850" t="s">
        <v>6550</v>
      </c>
      <c r="D2850" s="940" t="s">
        <v>6551</v>
      </c>
      <c r="E2850" t="s">
        <v>3098</v>
      </c>
    </row>
    <row r="2851" spans="1:5" x14ac:dyDescent="0.2">
      <c r="A2851" s="940">
        <v>860</v>
      </c>
      <c r="B2851" s="940">
        <v>331</v>
      </c>
      <c r="C2851" t="s">
        <v>1948</v>
      </c>
      <c r="D2851" s="940" t="s">
        <v>6552</v>
      </c>
      <c r="E2851" t="s">
        <v>105</v>
      </c>
    </row>
    <row r="2852" spans="1:5" x14ac:dyDescent="0.2">
      <c r="A2852" s="940">
        <v>1746</v>
      </c>
      <c r="B2852" s="940">
        <v>111</v>
      </c>
      <c r="C2852" t="s">
        <v>6553</v>
      </c>
      <c r="D2852" s="940" t="s">
        <v>4527</v>
      </c>
      <c r="E2852" t="s">
        <v>4667</v>
      </c>
    </row>
    <row r="2853" spans="1:5" x14ac:dyDescent="0.2">
      <c r="A2853" s="940">
        <v>3358</v>
      </c>
      <c r="B2853" s="940">
        <v>13</v>
      </c>
      <c r="C2853" t="s">
        <v>6554</v>
      </c>
      <c r="D2853" s="940" t="s">
        <v>4355</v>
      </c>
      <c r="E2853" t="s">
        <v>6555</v>
      </c>
    </row>
    <row r="2854" spans="1:5" x14ac:dyDescent="0.2">
      <c r="A2854" s="940">
        <v>4294</v>
      </c>
      <c r="B2854" s="940">
        <v>0</v>
      </c>
      <c r="C2854" t="s">
        <v>6556</v>
      </c>
      <c r="D2854" s="940" t="s">
        <v>4533</v>
      </c>
      <c r="E2854" t="s">
        <v>4722</v>
      </c>
    </row>
    <row r="2855" spans="1:5" x14ac:dyDescent="0.2">
      <c r="A2855" s="940">
        <v>4081</v>
      </c>
      <c r="B2855" s="940">
        <v>2</v>
      </c>
      <c r="C2855" t="s">
        <v>10882</v>
      </c>
      <c r="D2855" s="940" t="s">
        <v>2856</v>
      </c>
      <c r="E2855" t="s">
        <v>111</v>
      </c>
    </row>
    <row r="2856" spans="1:5" x14ac:dyDescent="0.2">
      <c r="A2856" s="940">
        <v>1852</v>
      </c>
      <c r="B2856" s="940">
        <v>100</v>
      </c>
      <c r="C2856" t="s">
        <v>6557</v>
      </c>
      <c r="D2856" s="940" t="s">
        <v>6558</v>
      </c>
      <c r="E2856" t="s">
        <v>2723</v>
      </c>
    </row>
    <row r="2857" spans="1:5" x14ac:dyDescent="0.2">
      <c r="A2857" s="940">
        <v>1956</v>
      </c>
      <c r="B2857" s="940">
        <v>90</v>
      </c>
      <c r="C2857" t="s">
        <v>6559</v>
      </c>
      <c r="D2857" s="940" t="s">
        <v>6560</v>
      </c>
      <c r="E2857" t="s">
        <v>1372</v>
      </c>
    </row>
    <row r="2858" spans="1:5" x14ac:dyDescent="0.2">
      <c r="A2858" s="940">
        <v>4294</v>
      </c>
      <c r="B2858" s="940">
        <v>0</v>
      </c>
      <c r="C2858" t="s">
        <v>6561</v>
      </c>
      <c r="D2858" s="940" t="s">
        <v>6562</v>
      </c>
      <c r="E2858" t="s">
        <v>1236</v>
      </c>
    </row>
    <row r="2859" spans="1:5" x14ac:dyDescent="0.2">
      <c r="A2859" s="940">
        <v>2649</v>
      </c>
      <c r="B2859" s="940">
        <v>39</v>
      </c>
      <c r="C2859" t="s">
        <v>6563</v>
      </c>
      <c r="D2859" s="940" t="s">
        <v>3220</v>
      </c>
      <c r="E2859" t="s">
        <v>1236</v>
      </c>
    </row>
    <row r="2860" spans="1:5" x14ac:dyDescent="0.2">
      <c r="A2860" s="940">
        <v>716</v>
      </c>
      <c r="B2860" s="940">
        <v>397</v>
      </c>
      <c r="C2860" t="s">
        <v>10883</v>
      </c>
      <c r="D2860" s="940" t="s">
        <v>10884</v>
      </c>
      <c r="E2860" t="s">
        <v>1248</v>
      </c>
    </row>
    <row r="2861" spans="1:5" x14ac:dyDescent="0.2">
      <c r="A2861" s="940">
        <v>4081</v>
      </c>
      <c r="B2861" s="940">
        <v>2</v>
      </c>
      <c r="C2861" t="s">
        <v>6564</v>
      </c>
      <c r="D2861" s="940" t="s">
        <v>4072</v>
      </c>
      <c r="E2861" t="s">
        <v>1156</v>
      </c>
    </row>
    <row r="2862" spans="1:5" x14ac:dyDescent="0.2">
      <c r="A2862" s="940">
        <v>902</v>
      </c>
      <c r="B2862" s="940">
        <v>316</v>
      </c>
      <c r="C2862" t="s">
        <v>6565</v>
      </c>
      <c r="D2862" s="940" t="s">
        <v>6566</v>
      </c>
      <c r="E2862" t="s">
        <v>3098</v>
      </c>
    </row>
    <row r="2863" spans="1:5" x14ac:dyDescent="0.2">
      <c r="A2863" s="940">
        <v>3796</v>
      </c>
      <c r="B2863" s="940">
        <v>5</v>
      </c>
      <c r="C2863" t="s">
        <v>6567</v>
      </c>
      <c r="D2863" s="940" t="s">
        <v>4688</v>
      </c>
      <c r="E2863" t="s">
        <v>105</v>
      </c>
    </row>
    <row r="2864" spans="1:5" x14ac:dyDescent="0.2">
      <c r="A2864" s="940">
        <v>685</v>
      </c>
      <c r="B2864" s="940">
        <v>412</v>
      </c>
      <c r="C2864" t="s">
        <v>6568</v>
      </c>
      <c r="D2864" s="940" t="s">
        <v>6569</v>
      </c>
      <c r="E2864" t="s">
        <v>3098</v>
      </c>
    </row>
    <row r="2865" spans="1:5" x14ac:dyDescent="0.2">
      <c r="A2865" s="940">
        <v>3732</v>
      </c>
      <c r="B2865" s="940">
        <v>6</v>
      </c>
      <c r="C2865" t="s">
        <v>6571</v>
      </c>
      <c r="D2865" s="940" t="s">
        <v>6572</v>
      </c>
      <c r="E2865" t="s">
        <v>120</v>
      </c>
    </row>
    <row r="2866" spans="1:5" x14ac:dyDescent="0.2">
      <c r="A2866" s="940">
        <v>1452</v>
      </c>
      <c r="B2866" s="940">
        <v>154</v>
      </c>
      <c r="C2866" t="s">
        <v>1950</v>
      </c>
      <c r="D2866" s="940" t="s">
        <v>6573</v>
      </c>
      <c r="E2866" t="s">
        <v>120</v>
      </c>
    </row>
    <row r="2867" spans="1:5" x14ac:dyDescent="0.2">
      <c r="A2867" s="940">
        <v>2691</v>
      </c>
      <c r="B2867" s="940">
        <v>37</v>
      </c>
      <c r="C2867" t="s">
        <v>6574</v>
      </c>
      <c r="D2867" s="940" t="s">
        <v>6575</v>
      </c>
      <c r="E2867" t="s">
        <v>105</v>
      </c>
    </row>
    <row r="2868" spans="1:5" x14ac:dyDescent="0.2">
      <c r="A2868" s="940">
        <v>215</v>
      </c>
      <c r="B2868" s="940">
        <v>887</v>
      </c>
      <c r="C2868" t="s">
        <v>6578</v>
      </c>
      <c r="D2868" s="940" t="s">
        <v>6579</v>
      </c>
      <c r="E2868" t="s">
        <v>105</v>
      </c>
    </row>
    <row r="2869" spans="1:5" x14ac:dyDescent="0.2">
      <c r="A2869" s="940">
        <v>2860</v>
      </c>
      <c r="B2869" s="940">
        <v>30</v>
      </c>
      <c r="C2869" t="s">
        <v>6580</v>
      </c>
      <c r="D2869" s="940" t="s">
        <v>6581</v>
      </c>
      <c r="E2869" t="s">
        <v>99</v>
      </c>
    </row>
    <row r="2870" spans="1:5" x14ac:dyDescent="0.2">
      <c r="A2870" s="940">
        <v>181</v>
      </c>
      <c r="B2870" s="940">
        <v>945</v>
      </c>
      <c r="C2870" t="s">
        <v>6582</v>
      </c>
      <c r="D2870" s="940" t="s">
        <v>6583</v>
      </c>
      <c r="E2870" t="s">
        <v>122</v>
      </c>
    </row>
    <row r="2871" spans="1:5" x14ac:dyDescent="0.2">
      <c r="A2871" s="940">
        <v>3972</v>
      </c>
      <c r="B2871" s="940">
        <v>3</v>
      </c>
      <c r="C2871" t="s">
        <v>10885</v>
      </c>
      <c r="D2871" s="940" t="s">
        <v>7290</v>
      </c>
      <c r="E2871" t="s">
        <v>120</v>
      </c>
    </row>
    <row r="2872" spans="1:5" x14ac:dyDescent="0.2">
      <c r="A2872" s="940">
        <v>2774</v>
      </c>
      <c r="B2872" s="940">
        <v>34</v>
      </c>
      <c r="C2872" t="s">
        <v>6584</v>
      </c>
      <c r="D2872" s="940" t="s">
        <v>6585</v>
      </c>
      <c r="E2872" t="s">
        <v>1214</v>
      </c>
    </row>
    <row r="2873" spans="1:5" x14ac:dyDescent="0.2">
      <c r="A2873" s="940">
        <v>4294</v>
      </c>
      <c r="B2873" s="940">
        <v>0</v>
      </c>
      <c r="C2873" t="s">
        <v>6586</v>
      </c>
      <c r="D2873" s="940" t="s">
        <v>6587</v>
      </c>
      <c r="E2873" t="s">
        <v>2880</v>
      </c>
    </row>
    <row r="2874" spans="1:5" x14ac:dyDescent="0.2">
      <c r="A2874" s="940">
        <v>3008</v>
      </c>
      <c r="B2874" s="940">
        <v>23</v>
      </c>
      <c r="C2874" t="s">
        <v>6588</v>
      </c>
      <c r="D2874" s="940" t="s">
        <v>5026</v>
      </c>
      <c r="E2874" t="s">
        <v>1327</v>
      </c>
    </row>
    <row r="2875" spans="1:5" x14ac:dyDescent="0.2">
      <c r="A2875" s="940">
        <v>1956</v>
      </c>
      <c r="B2875" s="940">
        <v>90</v>
      </c>
      <c r="C2875" t="s">
        <v>6589</v>
      </c>
      <c r="D2875" s="940" t="s">
        <v>3741</v>
      </c>
      <c r="E2875" t="s">
        <v>3098</v>
      </c>
    </row>
    <row r="2876" spans="1:5" x14ac:dyDescent="0.2">
      <c r="A2876" s="940">
        <v>949</v>
      </c>
      <c r="B2876" s="940">
        <v>297</v>
      </c>
      <c r="C2876" t="s">
        <v>6590</v>
      </c>
      <c r="D2876" s="940" t="s">
        <v>6591</v>
      </c>
      <c r="E2876" t="s">
        <v>1246</v>
      </c>
    </row>
    <row r="2877" spans="1:5" x14ac:dyDescent="0.2">
      <c r="A2877" s="940">
        <v>4294</v>
      </c>
      <c r="B2877" s="940">
        <v>0</v>
      </c>
      <c r="C2877" t="s">
        <v>10886</v>
      </c>
      <c r="D2877" s="940" t="s">
        <v>6816</v>
      </c>
      <c r="E2877" t="s">
        <v>1609</v>
      </c>
    </row>
    <row r="2878" spans="1:5" x14ac:dyDescent="0.2">
      <c r="A2878" s="940">
        <v>4294</v>
      </c>
      <c r="B2878" s="940">
        <v>0</v>
      </c>
      <c r="C2878" t="s">
        <v>6592</v>
      </c>
      <c r="D2878" s="940" t="s">
        <v>6270</v>
      </c>
      <c r="E2878" t="s">
        <v>120</v>
      </c>
    </row>
    <row r="2879" spans="1:5" x14ac:dyDescent="0.2">
      <c r="A2879" s="940">
        <v>1259</v>
      </c>
      <c r="B2879" s="940">
        <v>192</v>
      </c>
      <c r="C2879" t="s">
        <v>2527</v>
      </c>
      <c r="D2879" s="940" t="s">
        <v>10887</v>
      </c>
      <c r="E2879" t="s">
        <v>164</v>
      </c>
    </row>
    <row r="2880" spans="1:5" x14ac:dyDescent="0.2">
      <c r="A2880" s="940">
        <v>1174</v>
      </c>
      <c r="B2880" s="940">
        <v>219</v>
      </c>
      <c r="C2880" t="s">
        <v>6594</v>
      </c>
      <c r="D2880" s="940" t="s">
        <v>3021</v>
      </c>
      <c r="E2880" t="s">
        <v>113</v>
      </c>
    </row>
    <row r="2881" spans="1:5" x14ac:dyDescent="0.2">
      <c r="A2881" s="940">
        <v>3602</v>
      </c>
      <c r="B2881" s="940">
        <v>8</v>
      </c>
      <c r="C2881" t="s">
        <v>6594</v>
      </c>
      <c r="D2881" s="940" t="s">
        <v>6595</v>
      </c>
      <c r="E2881" t="s">
        <v>1587</v>
      </c>
    </row>
    <row r="2882" spans="1:5" x14ac:dyDescent="0.2">
      <c r="A2882" s="940">
        <v>4294</v>
      </c>
      <c r="B2882" s="940">
        <v>0</v>
      </c>
      <c r="C2882" t="s">
        <v>6596</v>
      </c>
      <c r="D2882" s="940" t="s">
        <v>6597</v>
      </c>
      <c r="E2882" t="s">
        <v>1363</v>
      </c>
    </row>
    <row r="2883" spans="1:5" x14ac:dyDescent="0.2">
      <c r="A2883" s="940">
        <v>1144</v>
      </c>
      <c r="B2883" s="940">
        <v>226</v>
      </c>
      <c r="C2883" t="s">
        <v>1953</v>
      </c>
      <c r="D2883" s="940" t="s">
        <v>6598</v>
      </c>
      <c r="E2883" t="s">
        <v>176</v>
      </c>
    </row>
    <row r="2884" spans="1:5" x14ac:dyDescent="0.2">
      <c r="A2884" s="940">
        <v>4294</v>
      </c>
      <c r="B2884" s="940">
        <v>0</v>
      </c>
      <c r="C2884" t="s">
        <v>6599</v>
      </c>
      <c r="D2884" s="940" t="s">
        <v>6600</v>
      </c>
      <c r="E2884" t="s">
        <v>120</v>
      </c>
    </row>
    <row r="2885" spans="1:5" x14ac:dyDescent="0.2">
      <c r="A2885" s="940">
        <v>4294</v>
      </c>
      <c r="B2885" s="940">
        <v>0</v>
      </c>
      <c r="C2885" t="s">
        <v>6601</v>
      </c>
      <c r="D2885" s="940" t="s">
        <v>4039</v>
      </c>
      <c r="E2885" t="s">
        <v>120</v>
      </c>
    </row>
    <row r="2886" spans="1:5" x14ac:dyDescent="0.2">
      <c r="A2886" s="940">
        <v>2312</v>
      </c>
      <c r="B2886" s="940">
        <v>61</v>
      </c>
      <c r="C2886" t="s">
        <v>1954</v>
      </c>
      <c r="D2886" s="940" t="s">
        <v>5966</v>
      </c>
      <c r="E2886" t="s">
        <v>105</v>
      </c>
    </row>
    <row r="2887" spans="1:5" x14ac:dyDescent="0.2">
      <c r="A2887" s="940">
        <v>1092</v>
      </c>
      <c r="B2887" s="940">
        <v>244</v>
      </c>
      <c r="C2887" t="s">
        <v>10888</v>
      </c>
      <c r="D2887" s="940" t="s">
        <v>10889</v>
      </c>
      <c r="E2887" t="s">
        <v>5527</v>
      </c>
    </row>
    <row r="2888" spans="1:5" x14ac:dyDescent="0.2">
      <c r="A2888" s="940">
        <v>1326</v>
      </c>
      <c r="B2888" s="940">
        <v>177</v>
      </c>
      <c r="C2888" t="s">
        <v>6602</v>
      </c>
      <c r="D2888" s="940" t="s">
        <v>6603</v>
      </c>
      <c r="E2888" t="s">
        <v>164</v>
      </c>
    </row>
    <row r="2889" spans="1:5" x14ac:dyDescent="0.2">
      <c r="A2889" s="940">
        <v>1057</v>
      </c>
      <c r="B2889" s="940">
        <v>255</v>
      </c>
      <c r="C2889" t="s">
        <v>6604</v>
      </c>
      <c r="D2889" s="940" t="s">
        <v>2809</v>
      </c>
      <c r="E2889" t="s">
        <v>112</v>
      </c>
    </row>
    <row r="2890" spans="1:5" x14ac:dyDescent="0.2">
      <c r="A2890" s="940">
        <v>4294</v>
      </c>
      <c r="B2890" s="940">
        <v>0</v>
      </c>
      <c r="C2890" t="s">
        <v>6605</v>
      </c>
      <c r="D2890" s="940" t="s">
        <v>6606</v>
      </c>
      <c r="E2890" t="s">
        <v>112</v>
      </c>
    </row>
    <row r="2891" spans="1:5" x14ac:dyDescent="0.2">
      <c r="A2891" s="940">
        <v>2270</v>
      </c>
      <c r="B2891" s="940">
        <v>64</v>
      </c>
      <c r="C2891" t="s">
        <v>6607</v>
      </c>
      <c r="D2891" s="940" t="s">
        <v>6608</v>
      </c>
      <c r="E2891" t="s">
        <v>117</v>
      </c>
    </row>
    <row r="2892" spans="1:5" x14ac:dyDescent="0.2">
      <c r="A2892" s="940">
        <v>2552</v>
      </c>
      <c r="B2892" s="940">
        <v>44</v>
      </c>
      <c r="C2892" t="s">
        <v>10890</v>
      </c>
      <c r="D2892" s="940" t="s">
        <v>10583</v>
      </c>
      <c r="E2892" t="s">
        <v>75</v>
      </c>
    </row>
    <row r="2893" spans="1:5" x14ac:dyDescent="0.2">
      <c r="A2893" s="940">
        <v>4294</v>
      </c>
      <c r="B2893" s="940">
        <v>0</v>
      </c>
      <c r="C2893" t="s">
        <v>10891</v>
      </c>
      <c r="D2893" s="940" t="s">
        <v>3168</v>
      </c>
      <c r="E2893" t="s">
        <v>120</v>
      </c>
    </row>
    <row r="2894" spans="1:5" x14ac:dyDescent="0.2">
      <c r="A2894" s="940">
        <v>2101</v>
      </c>
      <c r="B2894" s="940">
        <v>77</v>
      </c>
      <c r="C2894" t="s">
        <v>1956</v>
      </c>
      <c r="D2894" s="940" t="s">
        <v>6609</v>
      </c>
      <c r="E2894" t="s">
        <v>171</v>
      </c>
    </row>
    <row r="2895" spans="1:5" x14ac:dyDescent="0.2">
      <c r="A2895" s="940">
        <v>4181</v>
      </c>
      <c r="B2895" s="940">
        <v>1</v>
      </c>
      <c r="C2895" t="s">
        <v>10892</v>
      </c>
      <c r="D2895" s="940" t="s">
        <v>3965</v>
      </c>
      <c r="E2895" t="s">
        <v>1156</v>
      </c>
    </row>
    <row r="2896" spans="1:5" x14ac:dyDescent="0.2">
      <c r="A2896" s="940">
        <v>4294</v>
      </c>
      <c r="B2896" s="940">
        <v>0</v>
      </c>
      <c r="C2896" t="s">
        <v>10893</v>
      </c>
      <c r="D2896" s="940" t="s">
        <v>8702</v>
      </c>
      <c r="E2896" t="s">
        <v>105</v>
      </c>
    </row>
    <row r="2897" spans="1:5" x14ac:dyDescent="0.2">
      <c r="A2897" s="940">
        <v>1556</v>
      </c>
      <c r="B2897" s="940">
        <v>135</v>
      </c>
      <c r="C2897" t="s">
        <v>6611</v>
      </c>
      <c r="D2897" s="940" t="s">
        <v>6612</v>
      </c>
      <c r="E2897" t="s">
        <v>122</v>
      </c>
    </row>
    <row r="2898" spans="1:5" x14ac:dyDescent="0.2">
      <c r="A2898" s="940">
        <v>2571</v>
      </c>
      <c r="B2898" s="940">
        <v>43</v>
      </c>
      <c r="C2898" t="s">
        <v>1957</v>
      </c>
      <c r="D2898" s="940" t="s">
        <v>3189</v>
      </c>
      <c r="E2898" t="s">
        <v>105</v>
      </c>
    </row>
    <row r="2899" spans="1:5" x14ac:dyDescent="0.2">
      <c r="A2899" s="940">
        <v>3174</v>
      </c>
      <c r="B2899" s="940">
        <v>18</v>
      </c>
      <c r="C2899" t="s">
        <v>6615</v>
      </c>
      <c r="D2899" s="940" t="s">
        <v>4566</v>
      </c>
      <c r="E2899" t="s">
        <v>120</v>
      </c>
    </row>
    <row r="2900" spans="1:5" x14ac:dyDescent="0.2">
      <c r="A2900" s="940">
        <v>3483</v>
      </c>
      <c r="B2900" s="940">
        <v>10</v>
      </c>
      <c r="C2900" t="s">
        <v>6615</v>
      </c>
      <c r="D2900" s="940" t="s">
        <v>3654</v>
      </c>
      <c r="E2900" t="s">
        <v>105</v>
      </c>
    </row>
    <row r="2901" spans="1:5" x14ac:dyDescent="0.2">
      <c r="A2901" s="940">
        <v>3882</v>
      </c>
      <c r="B2901" s="940">
        <v>4</v>
      </c>
      <c r="C2901" t="s">
        <v>6616</v>
      </c>
      <c r="D2901" s="940" t="s">
        <v>6617</v>
      </c>
      <c r="E2901" t="s">
        <v>105</v>
      </c>
    </row>
    <row r="2902" spans="1:5" x14ac:dyDescent="0.2">
      <c r="A2902" s="940">
        <v>2396</v>
      </c>
      <c r="B2902" s="940">
        <v>55</v>
      </c>
      <c r="C2902" t="s">
        <v>6618</v>
      </c>
      <c r="D2902" s="940" t="s">
        <v>3741</v>
      </c>
      <c r="E2902" t="s">
        <v>3098</v>
      </c>
    </row>
    <row r="2903" spans="1:5" x14ac:dyDescent="0.2">
      <c r="A2903" s="940">
        <v>4081</v>
      </c>
      <c r="B2903" s="940">
        <v>2</v>
      </c>
      <c r="C2903" t="s">
        <v>6619</v>
      </c>
      <c r="D2903" s="940" t="s">
        <v>6572</v>
      </c>
      <c r="E2903" t="s">
        <v>1290</v>
      </c>
    </row>
    <row r="2904" spans="1:5" x14ac:dyDescent="0.2">
      <c r="A2904" s="940">
        <v>1252</v>
      </c>
      <c r="B2904" s="940">
        <v>193</v>
      </c>
      <c r="C2904" t="s">
        <v>1958</v>
      </c>
      <c r="D2904" s="940" t="s">
        <v>4494</v>
      </c>
      <c r="E2904" t="s">
        <v>105</v>
      </c>
    </row>
    <row r="2905" spans="1:5" x14ac:dyDescent="0.2">
      <c r="A2905" s="940">
        <v>3402</v>
      </c>
      <c r="B2905" s="940">
        <v>12</v>
      </c>
      <c r="C2905" t="s">
        <v>10894</v>
      </c>
      <c r="D2905" s="940" t="s">
        <v>8290</v>
      </c>
      <c r="E2905" t="s">
        <v>9466</v>
      </c>
    </row>
    <row r="2906" spans="1:5" x14ac:dyDescent="0.2">
      <c r="A2906" s="940">
        <v>3483</v>
      </c>
      <c r="B2906" s="940">
        <v>10</v>
      </c>
      <c r="C2906" t="s">
        <v>10895</v>
      </c>
      <c r="D2906" s="940" t="s">
        <v>3164</v>
      </c>
      <c r="E2906" t="s">
        <v>128</v>
      </c>
    </row>
    <row r="2907" spans="1:5" x14ac:dyDescent="0.2">
      <c r="A2907" s="940">
        <v>3545</v>
      </c>
      <c r="B2907" s="940">
        <v>9</v>
      </c>
      <c r="C2907" t="s">
        <v>10896</v>
      </c>
      <c r="D2907" s="940" t="s">
        <v>4553</v>
      </c>
      <c r="E2907" t="s">
        <v>6667</v>
      </c>
    </row>
    <row r="2908" spans="1:5" x14ac:dyDescent="0.2">
      <c r="A2908" s="940">
        <v>3655</v>
      </c>
      <c r="B2908" s="940">
        <v>7</v>
      </c>
      <c r="C2908" t="s">
        <v>6625</v>
      </c>
      <c r="D2908" s="940" t="s">
        <v>4543</v>
      </c>
      <c r="E2908" t="s">
        <v>130</v>
      </c>
    </row>
    <row r="2909" spans="1:5" x14ac:dyDescent="0.2">
      <c r="A2909" s="940">
        <v>3655</v>
      </c>
      <c r="B2909" s="940">
        <v>7</v>
      </c>
      <c r="C2909" t="s">
        <v>6626</v>
      </c>
      <c r="D2909" s="940" t="s">
        <v>6627</v>
      </c>
      <c r="E2909" t="s">
        <v>105</v>
      </c>
    </row>
    <row r="2910" spans="1:5" x14ac:dyDescent="0.2">
      <c r="A2910" s="940">
        <v>2150</v>
      </c>
      <c r="B2910" s="940">
        <v>73</v>
      </c>
      <c r="C2910" t="s">
        <v>6628</v>
      </c>
      <c r="D2910" s="940" t="s">
        <v>6629</v>
      </c>
      <c r="E2910" t="s">
        <v>4572</v>
      </c>
    </row>
    <row r="2911" spans="1:5" x14ac:dyDescent="0.2">
      <c r="A2911" s="940">
        <v>4294</v>
      </c>
      <c r="B2911" s="940">
        <v>0</v>
      </c>
      <c r="C2911" t="s">
        <v>10897</v>
      </c>
      <c r="D2911" s="940" t="s">
        <v>3185</v>
      </c>
      <c r="E2911" t="s">
        <v>1182</v>
      </c>
    </row>
    <row r="2912" spans="1:5" x14ac:dyDescent="0.2">
      <c r="A2912" s="940">
        <v>4294</v>
      </c>
      <c r="B2912" s="940">
        <v>0</v>
      </c>
      <c r="C2912" t="s">
        <v>6631</v>
      </c>
      <c r="D2912" s="940" t="s">
        <v>6632</v>
      </c>
      <c r="E2912" t="s">
        <v>105</v>
      </c>
    </row>
    <row r="2913" spans="1:5" x14ac:dyDescent="0.2">
      <c r="A2913" s="940">
        <v>4294</v>
      </c>
      <c r="B2913" s="940">
        <v>0</v>
      </c>
      <c r="C2913" t="s">
        <v>6633</v>
      </c>
      <c r="D2913" s="940" t="s">
        <v>4013</v>
      </c>
      <c r="E2913" t="s">
        <v>1285</v>
      </c>
    </row>
    <row r="2914" spans="1:5" x14ac:dyDescent="0.2">
      <c r="A2914" s="940">
        <v>1676</v>
      </c>
      <c r="B2914" s="940">
        <v>120</v>
      </c>
      <c r="C2914" t="s">
        <v>6634</v>
      </c>
      <c r="D2914" s="940" t="s">
        <v>6635</v>
      </c>
      <c r="E2914" t="s">
        <v>2880</v>
      </c>
    </row>
    <row r="2915" spans="1:5" x14ac:dyDescent="0.2">
      <c r="A2915" s="940">
        <v>156</v>
      </c>
      <c r="B2915" s="940">
        <v>994</v>
      </c>
      <c r="C2915" t="s">
        <v>6636</v>
      </c>
      <c r="D2915" s="940" t="s">
        <v>6637</v>
      </c>
      <c r="E2915" t="s">
        <v>120</v>
      </c>
    </row>
    <row r="2916" spans="1:5" x14ac:dyDescent="0.2">
      <c r="A2916" s="940">
        <v>4294</v>
      </c>
      <c r="B2916" s="940">
        <v>0</v>
      </c>
      <c r="C2916" t="s">
        <v>6638</v>
      </c>
      <c r="D2916" s="940" t="s">
        <v>6639</v>
      </c>
      <c r="E2916" t="s">
        <v>3687</v>
      </c>
    </row>
    <row r="2917" spans="1:5" x14ac:dyDescent="0.2">
      <c r="A2917" s="940">
        <v>118</v>
      </c>
      <c r="B2917" s="940">
        <v>1066</v>
      </c>
      <c r="C2917" t="s">
        <v>6640</v>
      </c>
      <c r="D2917" s="940" t="s">
        <v>6641</v>
      </c>
      <c r="E2917" t="s">
        <v>120</v>
      </c>
    </row>
    <row r="2918" spans="1:5" x14ac:dyDescent="0.2">
      <c r="A2918" s="940">
        <v>4294</v>
      </c>
      <c r="B2918" s="940">
        <v>0</v>
      </c>
      <c r="C2918" t="s">
        <v>6642</v>
      </c>
      <c r="D2918" s="940" t="s">
        <v>6643</v>
      </c>
      <c r="E2918" t="s">
        <v>120</v>
      </c>
    </row>
    <row r="2919" spans="1:5" x14ac:dyDescent="0.2">
      <c r="A2919" s="940">
        <v>4081</v>
      </c>
      <c r="B2919" s="940">
        <v>2</v>
      </c>
      <c r="C2919" t="s">
        <v>6644</v>
      </c>
      <c r="D2919" s="940" t="s">
        <v>6429</v>
      </c>
      <c r="E2919" t="s">
        <v>1256</v>
      </c>
    </row>
    <row r="2920" spans="1:5" x14ac:dyDescent="0.2">
      <c r="A2920" s="940">
        <v>3323</v>
      </c>
      <c r="B2920" s="940">
        <v>14</v>
      </c>
      <c r="C2920" t="s">
        <v>6645</v>
      </c>
      <c r="D2920" s="940" t="s">
        <v>6646</v>
      </c>
      <c r="E2920" t="s">
        <v>99</v>
      </c>
    </row>
    <row r="2921" spans="1:5" x14ac:dyDescent="0.2">
      <c r="A2921" s="940">
        <v>567</v>
      </c>
      <c r="B2921" s="940">
        <v>493</v>
      </c>
      <c r="C2921" t="s">
        <v>6647</v>
      </c>
      <c r="D2921" s="940" t="s">
        <v>6648</v>
      </c>
      <c r="E2921" t="s">
        <v>2928</v>
      </c>
    </row>
    <row r="2922" spans="1:5" x14ac:dyDescent="0.2">
      <c r="A2922" s="940">
        <v>3732</v>
      </c>
      <c r="B2922" s="940">
        <v>6</v>
      </c>
      <c r="C2922" t="s">
        <v>6649</v>
      </c>
      <c r="D2922" s="940" t="s">
        <v>6650</v>
      </c>
      <c r="E2922" t="s">
        <v>2913</v>
      </c>
    </row>
    <row r="2923" spans="1:5" x14ac:dyDescent="0.2">
      <c r="A2923" s="940">
        <v>1774</v>
      </c>
      <c r="B2923" s="940">
        <v>108</v>
      </c>
      <c r="C2923" t="s">
        <v>6651</v>
      </c>
      <c r="D2923" s="940" t="s">
        <v>3790</v>
      </c>
      <c r="E2923" t="s">
        <v>103</v>
      </c>
    </row>
    <row r="2924" spans="1:5" x14ac:dyDescent="0.2">
      <c r="A2924" s="940">
        <v>3796</v>
      </c>
      <c r="B2924" s="940">
        <v>5</v>
      </c>
      <c r="C2924" t="s">
        <v>6652</v>
      </c>
      <c r="D2924" s="940" t="s">
        <v>3537</v>
      </c>
      <c r="E2924" t="s">
        <v>163</v>
      </c>
    </row>
    <row r="2925" spans="1:5" x14ac:dyDescent="0.2">
      <c r="A2925" s="940">
        <v>2980</v>
      </c>
      <c r="B2925" s="940">
        <v>24</v>
      </c>
      <c r="C2925" t="s">
        <v>6653</v>
      </c>
      <c r="D2925" s="940" t="s">
        <v>3981</v>
      </c>
      <c r="E2925" t="s">
        <v>106</v>
      </c>
    </row>
    <row r="2926" spans="1:5" x14ac:dyDescent="0.2">
      <c r="A2926" s="940">
        <v>3250</v>
      </c>
      <c r="B2926" s="940">
        <v>16</v>
      </c>
      <c r="C2926" t="s">
        <v>10898</v>
      </c>
      <c r="D2926" s="940" t="s">
        <v>10899</v>
      </c>
      <c r="E2926" t="s">
        <v>1311</v>
      </c>
    </row>
    <row r="2927" spans="1:5" x14ac:dyDescent="0.2">
      <c r="A2927" s="940">
        <v>3732</v>
      </c>
      <c r="B2927" s="940">
        <v>6</v>
      </c>
      <c r="C2927" t="s">
        <v>6656</v>
      </c>
      <c r="D2927" s="940" t="s">
        <v>5877</v>
      </c>
      <c r="E2927" t="s">
        <v>3951</v>
      </c>
    </row>
    <row r="2928" spans="1:5" x14ac:dyDescent="0.2">
      <c r="A2928" s="940">
        <v>4294</v>
      </c>
      <c r="B2928" s="940">
        <v>0</v>
      </c>
      <c r="C2928" t="s">
        <v>6657</v>
      </c>
      <c r="D2928" s="940" t="s">
        <v>3127</v>
      </c>
      <c r="E2928" t="s">
        <v>120</v>
      </c>
    </row>
    <row r="2929" spans="1:5" x14ac:dyDescent="0.2">
      <c r="A2929" s="940">
        <v>4294</v>
      </c>
      <c r="B2929" s="940">
        <v>0</v>
      </c>
      <c r="C2929" t="s">
        <v>6658</v>
      </c>
      <c r="D2929" s="940" t="s">
        <v>5297</v>
      </c>
      <c r="E2929" t="s">
        <v>105</v>
      </c>
    </row>
    <row r="2930" spans="1:5" x14ac:dyDescent="0.2">
      <c r="A2930" s="940">
        <v>427</v>
      </c>
      <c r="B2930" s="940">
        <v>616</v>
      </c>
      <c r="C2930" t="s">
        <v>6659</v>
      </c>
      <c r="D2930" s="940" t="s">
        <v>6660</v>
      </c>
      <c r="E2930" t="s">
        <v>1961</v>
      </c>
    </row>
    <row r="2931" spans="1:5" x14ac:dyDescent="0.2">
      <c r="A2931" s="940">
        <v>4081</v>
      </c>
      <c r="B2931" s="940">
        <v>2</v>
      </c>
      <c r="C2931" t="s">
        <v>10900</v>
      </c>
      <c r="D2931" s="940" t="s">
        <v>10901</v>
      </c>
      <c r="E2931" t="s">
        <v>132</v>
      </c>
    </row>
    <row r="2932" spans="1:5" x14ac:dyDescent="0.2">
      <c r="A2932" s="940">
        <v>499</v>
      </c>
      <c r="B2932" s="940">
        <v>550</v>
      </c>
      <c r="C2932" t="s">
        <v>6661</v>
      </c>
      <c r="D2932" s="940" t="s">
        <v>6662</v>
      </c>
      <c r="E2932" t="s">
        <v>144</v>
      </c>
    </row>
    <row r="2933" spans="1:5" x14ac:dyDescent="0.2">
      <c r="A2933" s="940">
        <v>1009</v>
      </c>
      <c r="B2933" s="940">
        <v>274</v>
      </c>
      <c r="C2933" t="s">
        <v>6663</v>
      </c>
      <c r="D2933" s="940" t="s">
        <v>4046</v>
      </c>
      <c r="E2933" t="s">
        <v>144</v>
      </c>
    </row>
    <row r="2934" spans="1:5" x14ac:dyDescent="0.2">
      <c r="A2934" s="940">
        <v>2067</v>
      </c>
      <c r="B2934" s="940">
        <v>80</v>
      </c>
      <c r="C2934" t="s">
        <v>6666</v>
      </c>
      <c r="D2934" s="940" t="s">
        <v>3210</v>
      </c>
      <c r="E2934" t="s">
        <v>6667</v>
      </c>
    </row>
    <row r="2935" spans="1:5" x14ac:dyDescent="0.2">
      <c r="A2935" s="940">
        <v>502</v>
      </c>
      <c r="B2935" s="940">
        <v>544</v>
      </c>
      <c r="C2935" t="s">
        <v>6668</v>
      </c>
      <c r="D2935" s="940" t="s">
        <v>3974</v>
      </c>
      <c r="E2935" t="s">
        <v>1267</v>
      </c>
    </row>
    <row r="2936" spans="1:5" x14ac:dyDescent="0.2">
      <c r="A2936" s="940">
        <v>1585</v>
      </c>
      <c r="B2936" s="940">
        <v>131</v>
      </c>
      <c r="C2936" t="s">
        <v>6668</v>
      </c>
      <c r="D2936" s="940" t="s">
        <v>5524</v>
      </c>
      <c r="E2936" t="s">
        <v>105</v>
      </c>
    </row>
    <row r="2937" spans="1:5" x14ac:dyDescent="0.2">
      <c r="A2937" s="940">
        <v>4294</v>
      </c>
      <c r="B2937" s="940">
        <v>0</v>
      </c>
      <c r="C2937" t="s">
        <v>6669</v>
      </c>
      <c r="D2937" s="940" t="s">
        <v>3464</v>
      </c>
      <c r="E2937" t="s">
        <v>213</v>
      </c>
    </row>
    <row r="2938" spans="1:5" x14ac:dyDescent="0.2">
      <c r="A2938" s="940">
        <v>1182</v>
      </c>
      <c r="B2938" s="940">
        <v>217</v>
      </c>
      <c r="C2938" t="s">
        <v>6671</v>
      </c>
      <c r="D2938" s="940" t="s">
        <v>6672</v>
      </c>
      <c r="E2938" t="s">
        <v>2979</v>
      </c>
    </row>
    <row r="2939" spans="1:5" x14ac:dyDescent="0.2">
      <c r="A2939" s="940">
        <v>4294</v>
      </c>
      <c r="B2939" s="940">
        <v>0</v>
      </c>
      <c r="C2939" t="s">
        <v>6673</v>
      </c>
      <c r="D2939" s="940" t="s">
        <v>3301</v>
      </c>
      <c r="E2939" t="s">
        <v>127</v>
      </c>
    </row>
    <row r="2940" spans="1:5" x14ac:dyDescent="0.2">
      <c r="A2940" s="940">
        <v>4294</v>
      </c>
      <c r="B2940" s="940">
        <v>0</v>
      </c>
      <c r="C2940" t="s">
        <v>10902</v>
      </c>
      <c r="D2940" s="940" t="s">
        <v>3838</v>
      </c>
      <c r="E2940" t="s">
        <v>1311</v>
      </c>
    </row>
    <row r="2941" spans="1:5" x14ac:dyDescent="0.2">
      <c r="A2941" s="940">
        <v>4294</v>
      </c>
      <c r="B2941" s="940">
        <v>0</v>
      </c>
      <c r="C2941" t="s">
        <v>10903</v>
      </c>
      <c r="D2941" s="940" t="s">
        <v>10158</v>
      </c>
      <c r="E2941" t="s">
        <v>1171</v>
      </c>
    </row>
    <row r="2942" spans="1:5" x14ac:dyDescent="0.2">
      <c r="A2942" s="940">
        <v>6</v>
      </c>
      <c r="B2942" s="940">
        <v>1622</v>
      </c>
      <c r="C2942" t="s">
        <v>10904</v>
      </c>
      <c r="D2942" s="940" t="s">
        <v>10905</v>
      </c>
      <c r="E2942" t="s">
        <v>10906</v>
      </c>
    </row>
    <row r="2943" spans="1:5" x14ac:dyDescent="0.2">
      <c r="A2943" s="940">
        <v>4294</v>
      </c>
      <c r="B2943" s="940">
        <v>0</v>
      </c>
      <c r="C2943" t="s">
        <v>6678</v>
      </c>
      <c r="D2943" s="940" t="s">
        <v>6679</v>
      </c>
      <c r="E2943" t="s">
        <v>1236</v>
      </c>
    </row>
    <row r="2944" spans="1:5" x14ac:dyDescent="0.2">
      <c r="A2944" s="940">
        <v>1054</v>
      </c>
      <c r="B2944" s="940">
        <v>257</v>
      </c>
      <c r="C2944" t="s">
        <v>6680</v>
      </c>
      <c r="D2944" s="940" t="s">
        <v>6681</v>
      </c>
      <c r="E2944" t="s">
        <v>120</v>
      </c>
    </row>
    <row r="2945" spans="1:5" x14ac:dyDescent="0.2">
      <c r="A2945" s="940">
        <v>3882</v>
      </c>
      <c r="B2945" s="940">
        <v>4</v>
      </c>
      <c r="C2945" t="s">
        <v>6684</v>
      </c>
      <c r="D2945" s="940" t="s">
        <v>3256</v>
      </c>
      <c r="E2945" t="s">
        <v>1939</v>
      </c>
    </row>
    <row r="2946" spans="1:5" x14ac:dyDescent="0.2">
      <c r="A2946" s="940">
        <v>563</v>
      </c>
      <c r="B2946" s="940">
        <v>497</v>
      </c>
      <c r="C2946" t="s">
        <v>6685</v>
      </c>
      <c r="D2946" s="940" t="s">
        <v>5023</v>
      </c>
      <c r="E2946" t="s">
        <v>120</v>
      </c>
    </row>
    <row r="2947" spans="1:5" x14ac:dyDescent="0.2">
      <c r="A2947" s="940">
        <v>4081</v>
      </c>
      <c r="B2947" s="940">
        <v>2</v>
      </c>
      <c r="C2947" t="s">
        <v>10907</v>
      </c>
      <c r="D2947" s="940" t="s">
        <v>4453</v>
      </c>
      <c r="E2947" t="s">
        <v>1467</v>
      </c>
    </row>
    <row r="2948" spans="1:5" x14ac:dyDescent="0.2">
      <c r="A2948" s="940">
        <v>2339</v>
      </c>
      <c r="B2948" s="940">
        <v>59</v>
      </c>
      <c r="C2948" t="s">
        <v>6686</v>
      </c>
      <c r="D2948" s="940" t="s">
        <v>4151</v>
      </c>
      <c r="E2948" t="s">
        <v>105</v>
      </c>
    </row>
    <row r="2949" spans="1:5" x14ac:dyDescent="0.2">
      <c r="A2949" s="940">
        <v>1921</v>
      </c>
      <c r="B2949" s="940">
        <v>93</v>
      </c>
      <c r="C2949" t="s">
        <v>537</v>
      </c>
      <c r="D2949" s="940" t="s">
        <v>9169</v>
      </c>
      <c r="E2949" t="s">
        <v>105</v>
      </c>
    </row>
    <row r="2950" spans="1:5" x14ac:dyDescent="0.2">
      <c r="A2950" s="940">
        <v>4294</v>
      </c>
      <c r="B2950" s="940">
        <v>0</v>
      </c>
      <c r="C2950" t="s">
        <v>6687</v>
      </c>
      <c r="D2950" s="940" t="s">
        <v>4407</v>
      </c>
      <c r="E2950" t="s">
        <v>3383</v>
      </c>
    </row>
    <row r="2951" spans="1:5" x14ac:dyDescent="0.2">
      <c r="A2951" s="940">
        <v>4294</v>
      </c>
      <c r="B2951" s="940">
        <v>0</v>
      </c>
      <c r="C2951" t="s">
        <v>10908</v>
      </c>
      <c r="D2951" s="940" t="s">
        <v>6914</v>
      </c>
      <c r="E2951" t="s">
        <v>5628</v>
      </c>
    </row>
    <row r="2952" spans="1:5" x14ac:dyDescent="0.2">
      <c r="A2952" s="940">
        <v>2649</v>
      </c>
      <c r="B2952" s="940">
        <v>39</v>
      </c>
      <c r="C2952" t="s">
        <v>10909</v>
      </c>
      <c r="D2952" s="940" t="s">
        <v>10910</v>
      </c>
      <c r="E2952" t="s">
        <v>3687</v>
      </c>
    </row>
    <row r="2953" spans="1:5" x14ac:dyDescent="0.2">
      <c r="A2953" s="940">
        <v>2450</v>
      </c>
      <c r="B2953" s="940">
        <v>51</v>
      </c>
      <c r="C2953" t="s">
        <v>6688</v>
      </c>
      <c r="D2953" s="940" t="s">
        <v>3372</v>
      </c>
      <c r="E2953" t="s">
        <v>1236</v>
      </c>
    </row>
    <row r="2954" spans="1:5" x14ac:dyDescent="0.2">
      <c r="A2954" s="940">
        <v>1758</v>
      </c>
      <c r="B2954" s="940">
        <v>110</v>
      </c>
      <c r="C2954" t="s">
        <v>10911</v>
      </c>
      <c r="D2954" s="940" t="s">
        <v>10912</v>
      </c>
      <c r="E2954" t="s">
        <v>10913</v>
      </c>
    </row>
    <row r="2955" spans="1:5" x14ac:dyDescent="0.2">
      <c r="A2955" s="940">
        <v>4294</v>
      </c>
      <c r="B2955" s="940">
        <v>0</v>
      </c>
      <c r="C2955" t="s">
        <v>6691</v>
      </c>
      <c r="D2955" s="940" t="s">
        <v>3670</v>
      </c>
      <c r="E2955" t="s">
        <v>1158</v>
      </c>
    </row>
    <row r="2956" spans="1:5" x14ac:dyDescent="0.2">
      <c r="A2956" s="940">
        <v>1005</v>
      </c>
      <c r="B2956" s="940">
        <v>275</v>
      </c>
      <c r="C2956" t="s">
        <v>538</v>
      </c>
      <c r="D2956" s="940" t="s">
        <v>10914</v>
      </c>
      <c r="E2956" t="s">
        <v>1162</v>
      </c>
    </row>
    <row r="2957" spans="1:5" x14ac:dyDescent="0.2">
      <c r="A2957" s="940">
        <v>1543</v>
      </c>
      <c r="B2957" s="940">
        <v>137</v>
      </c>
      <c r="C2957" t="s">
        <v>6692</v>
      </c>
      <c r="D2957" s="940" t="s">
        <v>6693</v>
      </c>
      <c r="E2957" t="s">
        <v>99</v>
      </c>
    </row>
    <row r="2958" spans="1:5" x14ac:dyDescent="0.2">
      <c r="A2958" s="940">
        <v>3972</v>
      </c>
      <c r="B2958" s="940">
        <v>3</v>
      </c>
      <c r="C2958" t="s">
        <v>289</v>
      </c>
      <c r="D2958" s="940" t="s">
        <v>6334</v>
      </c>
      <c r="E2958" t="s">
        <v>243</v>
      </c>
    </row>
    <row r="2959" spans="1:5" x14ac:dyDescent="0.2">
      <c r="A2959" s="940">
        <v>3174</v>
      </c>
      <c r="B2959" s="940">
        <v>18</v>
      </c>
      <c r="C2959" t="s">
        <v>6694</v>
      </c>
      <c r="D2959" s="940" t="s">
        <v>6368</v>
      </c>
      <c r="E2959" t="s">
        <v>2793</v>
      </c>
    </row>
    <row r="2960" spans="1:5" x14ac:dyDescent="0.2">
      <c r="A2960" s="940">
        <v>3655</v>
      </c>
      <c r="B2960" s="940">
        <v>7</v>
      </c>
      <c r="C2960" t="s">
        <v>10915</v>
      </c>
      <c r="D2960" s="940" t="s">
        <v>10916</v>
      </c>
      <c r="E2960" t="s">
        <v>1906</v>
      </c>
    </row>
    <row r="2961" spans="1:5" x14ac:dyDescent="0.2">
      <c r="A2961" s="940">
        <v>4294</v>
      </c>
      <c r="B2961" s="940">
        <v>0</v>
      </c>
      <c r="C2961" t="s">
        <v>6695</v>
      </c>
      <c r="D2961" s="940" t="s">
        <v>2684</v>
      </c>
      <c r="E2961" t="s">
        <v>3218</v>
      </c>
    </row>
    <row r="2962" spans="1:5" x14ac:dyDescent="0.2">
      <c r="A2962" s="940">
        <v>2552</v>
      </c>
      <c r="B2962" s="940">
        <v>44</v>
      </c>
      <c r="C2962" t="s">
        <v>10917</v>
      </c>
      <c r="D2962" s="940" t="s">
        <v>9813</v>
      </c>
      <c r="E2962" t="s">
        <v>128</v>
      </c>
    </row>
    <row r="2963" spans="1:5" x14ac:dyDescent="0.2">
      <c r="A2963" s="940">
        <v>2101</v>
      </c>
      <c r="B2963" s="940">
        <v>77</v>
      </c>
      <c r="C2963" t="s">
        <v>6696</v>
      </c>
      <c r="D2963" s="940" t="s">
        <v>6697</v>
      </c>
      <c r="E2963" t="s">
        <v>99</v>
      </c>
    </row>
    <row r="2964" spans="1:5" x14ac:dyDescent="0.2">
      <c r="A2964" s="940">
        <v>4294</v>
      </c>
      <c r="B2964" s="940">
        <v>0</v>
      </c>
      <c r="C2964" t="s">
        <v>6698</v>
      </c>
      <c r="D2964" s="940" t="s">
        <v>6699</v>
      </c>
      <c r="E2964" t="s">
        <v>120</v>
      </c>
    </row>
    <row r="2965" spans="1:5" x14ac:dyDescent="0.2">
      <c r="A2965" s="940">
        <v>4294</v>
      </c>
      <c r="B2965" s="940">
        <v>0</v>
      </c>
      <c r="C2965" t="s">
        <v>6700</v>
      </c>
      <c r="D2965" s="940" t="s">
        <v>6701</v>
      </c>
      <c r="E2965" t="s">
        <v>120</v>
      </c>
    </row>
    <row r="2966" spans="1:5" x14ac:dyDescent="0.2">
      <c r="A2966" s="940">
        <v>62</v>
      </c>
      <c r="B2966" s="940">
        <v>1230</v>
      </c>
      <c r="C2966" t="s">
        <v>10918</v>
      </c>
      <c r="D2966" s="940" t="s">
        <v>10919</v>
      </c>
      <c r="E2966" t="s">
        <v>99</v>
      </c>
    </row>
    <row r="2967" spans="1:5" x14ac:dyDescent="0.2">
      <c r="A2967" s="940">
        <v>1366</v>
      </c>
      <c r="B2967" s="940">
        <v>169</v>
      </c>
      <c r="C2967" t="s">
        <v>1967</v>
      </c>
      <c r="D2967" s="940" t="s">
        <v>6702</v>
      </c>
      <c r="E2967" t="s">
        <v>1968</v>
      </c>
    </row>
    <row r="2968" spans="1:5" x14ac:dyDescent="0.2">
      <c r="A2968" s="940">
        <v>396</v>
      </c>
      <c r="B2968" s="940">
        <v>646</v>
      </c>
      <c r="C2968" t="s">
        <v>6703</v>
      </c>
      <c r="D2968" s="940" t="s">
        <v>6704</v>
      </c>
      <c r="E2968" t="s">
        <v>120</v>
      </c>
    </row>
    <row r="2969" spans="1:5" x14ac:dyDescent="0.2">
      <c r="A2969" s="940">
        <v>1289</v>
      </c>
      <c r="B2969" s="940">
        <v>187</v>
      </c>
      <c r="C2969" t="s">
        <v>1969</v>
      </c>
      <c r="D2969" s="940" t="s">
        <v>10920</v>
      </c>
      <c r="E2969" t="s">
        <v>138</v>
      </c>
    </row>
    <row r="2970" spans="1:5" x14ac:dyDescent="0.2">
      <c r="A2970" s="940">
        <v>4294</v>
      </c>
      <c r="B2970" s="940">
        <v>0</v>
      </c>
      <c r="C2970" t="s">
        <v>6705</v>
      </c>
      <c r="D2970" s="940" t="s">
        <v>4318</v>
      </c>
      <c r="E2970" t="s">
        <v>3114</v>
      </c>
    </row>
    <row r="2971" spans="1:5" x14ac:dyDescent="0.2">
      <c r="A2971" s="940">
        <v>2592</v>
      </c>
      <c r="B2971" s="940">
        <v>42</v>
      </c>
      <c r="C2971" t="s">
        <v>6706</v>
      </c>
      <c r="D2971" s="940" t="s">
        <v>6707</v>
      </c>
      <c r="E2971" t="s">
        <v>3383</v>
      </c>
    </row>
    <row r="2972" spans="1:5" x14ac:dyDescent="0.2">
      <c r="A2972" s="940">
        <v>3483</v>
      </c>
      <c r="B2972" s="940">
        <v>10</v>
      </c>
      <c r="C2972" t="s">
        <v>6708</v>
      </c>
      <c r="D2972" s="940" t="s">
        <v>3637</v>
      </c>
      <c r="E2972" t="s">
        <v>1460</v>
      </c>
    </row>
    <row r="2973" spans="1:5" x14ac:dyDescent="0.2">
      <c r="A2973" s="940">
        <v>1499</v>
      </c>
      <c r="B2973" s="940">
        <v>144</v>
      </c>
      <c r="C2973" t="s">
        <v>6709</v>
      </c>
      <c r="D2973" s="940" t="s">
        <v>6710</v>
      </c>
      <c r="E2973" t="s">
        <v>105</v>
      </c>
    </row>
    <row r="2974" spans="1:5" x14ac:dyDescent="0.2">
      <c r="A2974" s="940">
        <v>4294</v>
      </c>
      <c r="B2974" s="940">
        <v>0</v>
      </c>
      <c r="C2974" t="s">
        <v>6711</v>
      </c>
      <c r="D2974" s="940" t="s">
        <v>6353</v>
      </c>
      <c r="E2974" t="s">
        <v>6712</v>
      </c>
    </row>
    <row r="2975" spans="1:5" x14ac:dyDescent="0.2">
      <c r="A2975" s="940">
        <v>4294</v>
      </c>
      <c r="B2975" s="940">
        <v>0</v>
      </c>
      <c r="C2975" t="s">
        <v>10921</v>
      </c>
      <c r="D2975" s="940" t="s">
        <v>10922</v>
      </c>
      <c r="E2975" t="s">
        <v>103</v>
      </c>
    </row>
    <row r="2976" spans="1:5" x14ac:dyDescent="0.2">
      <c r="A2976" s="940">
        <v>2552</v>
      </c>
      <c r="B2976" s="940">
        <v>44</v>
      </c>
      <c r="C2976" t="s">
        <v>6713</v>
      </c>
      <c r="D2976" s="940" t="s">
        <v>6714</v>
      </c>
      <c r="E2976" t="s">
        <v>105</v>
      </c>
    </row>
    <row r="2977" spans="1:5" x14ac:dyDescent="0.2">
      <c r="A2977" s="940">
        <v>4294</v>
      </c>
      <c r="B2977" s="940">
        <v>0</v>
      </c>
      <c r="C2977" t="s">
        <v>6715</v>
      </c>
      <c r="D2977" s="940" t="s">
        <v>6716</v>
      </c>
      <c r="E2977" t="s">
        <v>163</v>
      </c>
    </row>
    <row r="2978" spans="1:5" x14ac:dyDescent="0.2">
      <c r="A2978" s="940">
        <v>1252</v>
      </c>
      <c r="B2978" s="940">
        <v>193</v>
      </c>
      <c r="C2978" t="s">
        <v>1973</v>
      </c>
      <c r="D2978" s="940" t="s">
        <v>6591</v>
      </c>
      <c r="E2978" t="s">
        <v>163</v>
      </c>
    </row>
    <row r="2979" spans="1:5" x14ac:dyDescent="0.2">
      <c r="A2979" s="940">
        <v>294</v>
      </c>
      <c r="B2979" s="940">
        <v>776</v>
      </c>
      <c r="C2979" t="s">
        <v>1974</v>
      </c>
      <c r="D2979" s="940" t="s">
        <v>6717</v>
      </c>
      <c r="E2979" t="s">
        <v>105</v>
      </c>
    </row>
    <row r="2980" spans="1:5" x14ac:dyDescent="0.2">
      <c r="A2980" s="940">
        <v>1729</v>
      </c>
      <c r="B2980" s="940">
        <v>113</v>
      </c>
      <c r="C2980" t="s">
        <v>1974</v>
      </c>
      <c r="D2980" s="940" t="s">
        <v>6718</v>
      </c>
      <c r="E2980" t="s">
        <v>132</v>
      </c>
    </row>
    <row r="2981" spans="1:5" x14ac:dyDescent="0.2">
      <c r="A2981" s="940">
        <v>1563</v>
      </c>
      <c r="B2981" s="940">
        <v>134</v>
      </c>
      <c r="C2981" t="s">
        <v>6719</v>
      </c>
      <c r="D2981" s="940" t="s">
        <v>6720</v>
      </c>
      <c r="E2981" t="s">
        <v>3098</v>
      </c>
    </row>
    <row r="2982" spans="1:5" x14ac:dyDescent="0.2">
      <c r="A2982" s="940">
        <v>3222</v>
      </c>
      <c r="B2982" s="940">
        <v>17</v>
      </c>
      <c r="C2982" t="s">
        <v>6722</v>
      </c>
      <c r="D2982" s="940" t="s">
        <v>5457</v>
      </c>
      <c r="E2982" t="s">
        <v>6417</v>
      </c>
    </row>
    <row r="2983" spans="1:5" x14ac:dyDescent="0.2">
      <c r="A2983" s="940">
        <v>2980</v>
      </c>
      <c r="B2983" s="940">
        <v>24</v>
      </c>
      <c r="C2983" t="s">
        <v>10923</v>
      </c>
      <c r="D2983" s="940" t="s">
        <v>10924</v>
      </c>
      <c r="E2983" t="s">
        <v>257</v>
      </c>
    </row>
    <row r="2984" spans="1:5" x14ac:dyDescent="0.2">
      <c r="A2984" s="940">
        <v>2083</v>
      </c>
      <c r="B2984" s="940">
        <v>79</v>
      </c>
      <c r="C2984" t="s">
        <v>6723</v>
      </c>
      <c r="D2984" s="940" t="s">
        <v>3006</v>
      </c>
      <c r="E2984" t="s">
        <v>1285</v>
      </c>
    </row>
    <row r="2985" spans="1:5" x14ac:dyDescent="0.2">
      <c r="A2985" s="940">
        <v>3796</v>
      </c>
      <c r="B2985" s="940">
        <v>5</v>
      </c>
      <c r="C2985" t="s">
        <v>6724</v>
      </c>
      <c r="D2985" s="940" t="s">
        <v>5052</v>
      </c>
      <c r="E2985" t="s">
        <v>72</v>
      </c>
    </row>
    <row r="2986" spans="1:5" x14ac:dyDescent="0.2">
      <c r="A2986" s="940">
        <v>3972</v>
      </c>
      <c r="B2986" s="940">
        <v>3</v>
      </c>
      <c r="C2986" t="s">
        <v>10925</v>
      </c>
      <c r="D2986" s="940" t="s">
        <v>3935</v>
      </c>
      <c r="E2986" t="s">
        <v>4674</v>
      </c>
    </row>
    <row r="2987" spans="1:5" x14ac:dyDescent="0.2">
      <c r="A2987" s="940">
        <v>3882</v>
      </c>
      <c r="B2987" s="940">
        <v>4</v>
      </c>
      <c r="C2987" t="s">
        <v>10926</v>
      </c>
      <c r="D2987" s="940" t="s">
        <v>4206</v>
      </c>
      <c r="E2987" t="s">
        <v>120</v>
      </c>
    </row>
    <row r="2988" spans="1:5" x14ac:dyDescent="0.2">
      <c r="A2988" s="940">
        <v>3882</v>
      </c>
      <c r="B2988" s="940">
        <v>4</v>
      </c>
      <c r="C2988" t="s">
        <v>6725</v>
      </c>
      <c r="D2988" s="940" t="s">
        <v>6726</v>
      </c>
      <c r="E2988" t="s">
        <v>1158</v>
      </c>
    </row>
    <row r="2989" spans="1:5" x14ac:dyDescent="0.2">
      <c r="A2989" s="940">
        <v>178</v>
      </c>
      <c r="B2989" s="940">
        <v>946</v>
      </c>
      <c r="C2989" t="s">
        <v>6727</v>
      </c>
      <c r="D2989" s="940" t="s">
        <v>6728</v>
      </c>
      <c r="E2989" t="s">
        <v>1158</v>
      </c>
    </row>
    <row r="2990" spans="1:5" x14ac:dyDescent="0.2">
      <c r="A2990" s="940">
        <v>1069</v>
      </c>
      <c r="B2990" s="940">
        <v>252</v>
      </c>
      <c r="C2990" t="s">
        <v>2528</v>
      </c>
      <c r="D2990" s="940" t="s">
        <v>6729</v>
      </c>
      <c r="E2990" t="s">
        <v>165</v>
      </c>
    </row>
    <row r="2991" spans="1:5" x14ac:dyDescent="0.2">
      <c r="A2991" s="940">
        <v>3358</v>
      </c>
      <c r="B2991" s="940">
        <v>13</v>
      </c>
      <c r="C2991" t="s">
        <v>10927</v>
      </c>
      <c r="D2991" s="940" t="s">
        <v>6345</v>
      </c>
      <c r="E2991" t="s">
        <v>170</v>
      </c>
    </row>
    <row r="2992" spans="1:5" x14ac:dyDescent="0.2">
      <c r="A2992" s="940">
        <v>1651</v>
      </c>
      <c r="B2992" s="940">
        <v>122</v>
      </c>
      <c r="C2992" t="s">
        <v>6730</v>
      </c>
      <c r="D2992" s="940" t="s">
        <v>6731</v>
      </c>
      <c r="E2992" t="s">
        <v>105</v>
      </c>
    </row>
    <row r="2993" spans="1:5" x14ac:dyDescent="0.2">
      <c r="A2993" s="940">
        <v>638</v>
      </c>
      <c r="B2993" s="940">
        <v>439</v>
      </c>
      <c r="C2993" t="s">
        <v>10928</v>
      </c>
      <c r="D2993" s="940" t="s">
        <v>10929</v>
      </c>
      <c r="E2993" t="s">
        <v>105</v>
      </c>
    </row>
    <row r="2994" spans="1:5" x14ac:dyDescent="0.2">
      <c r="A2994" s="940">
        <v>3174</v>
      </c>
      <c r="B2994" s="940">
        <v>18</v>
      </c>
      <c r="C2994" t="s">
        <v>10930</v>
      </c>
      <c r="D2994" s="940" t="s">
        <v>10337</v>
      </c>
      <c r="E2994" t="s">
        <v>9605</v>
      </c>
    </row>
    <row r="2995" spans="1:5" x14ac:dyDescent="0.2">
      <c r="A2995" s="940">
        <v>3655</v>
      </c>
      <c r="B2995" s="940">
        <v>7</v>
      </c>
      <c r="C2995" t="s">
        <v>10931</v>
      </c>
      <c r="D2995" s="940" t="s">
        <v>8081</v>
      </c>
      <c r="E2995" t="s">
        <v>105</v>
      </c>
    </row>
    <row r="2996" spans="1:5" x14ac:dyDescent="0.2">
      <c r="A2996" s="940">
        <v>2894</v>
      </c>
      <c r="B2996" s="940">
        <v>28</v>
      </c>
      <c r="C2996" t="s">
        <v>6732</v>
      </c>
      <c r="D2996" s="940" t="s">
        <v>3028</v>
      </c>
      <c r="E2996" t="s">
        <v>130</v>
      </c>
    </row>
    <row r="2997" spans="1:5" x14ac:dyDescent="0.2">
      <c r="A2997" s="940">
        <v>3136</v>
      </c>
      <c r="B2997" s="940">
        <v>19</v>
      </c>
      <c r="C2997" t="s">
        <v>6735</v>
      </c>
      <c r="D2997" s="940" t="s">
        <v>2922</v>
      </c>
      <c r="E2997" t="s">
        <v>1171</v>
      </c>
    </row>
    <row r="2998" spans="1:5" x14ac:dyDescent="0.2">
      <c r="A2998" s="940">
        <v>4294</v>
      </c>
      <c r="B2998" s="940">
        <v>0</v>
      </c>
      <c r="C2998" t="s">
        <v>10932</v>
      </c>
      <c r="D2998" s="940" t="s">
        <v>9060</v>
      </c>
      <c r="E2998" t="s">
        <v>1844</v>
      </c>
    </row>
    <row r="2999" spans="1:5" x14ac:dyDescent="0.2">
      <c r="A2999" s="940">
        <v>3602</v>
      </c>
      <c r="B2999" s="940">
        <v>8</v>
      </c>
      <c r="C2999" t="s">
        <v>6736</v>
      </c>
      <c r="D2999" s="940" t="s">
        <v>5772</v>
      </c>
      <c r="E2999" t="s">
        <v>120</v>
      </c>
    </row>
    <row r="3000" spans="1:5" x14ac:dyDescent="0.2">
      <c r="A3000" s="940">
        <v>4294</v>
      </c>
      <c r="B3000" s="940">
        <v>0</v>
      </c>
      <c r="C3000" t="s">
        <v>10933</v>
      </c>
      <c r="D3000" s="940" t="s">
        <v>10694</v>
      </c>
      <c r="E3000" t="s">
        <v>4674</v>
      </c>
    </row>
    <row r="3001" spans="1:5" x14ac:dyDescent="0.2">
      <c r="A3001" s="940">
        <v>4294</v>
      </c>
      <c r="B3001" s="940">
        <v>0</v>
      </c>
      <c r="C3001" t="s">
        <v>6737</v>
      </c>
      <c r="D3001" s="940" t="s">
        <v>4799</v>
      </c>
      <c r="E3001" t="s">
        <v>99</v>
      </c>
    </row>
    <row r="3002" spans="1:5" x14ac:dyDescent="0.2">
      <c r="A3002" s="940">
        <v>36</v>
      </c>
      <c r="B3002" s="940">
        <v>1385</v>
      </c>
      <c r="C3002" t="s">
        <v>6738</v>
      </c>
      <c r="D3002" s="940" t="s">
        <v>6739</v>
      </c>
      <c r="E3002" t="s">
        <v>74</v>
      </c>
    </row>
    <row r="3003" spans="1:5" x14ac:dyDescent="0.2">
      <c r="A3003" s="940">
        <v>4294</v>
      </c>
      <c r="B3003" s="940">
        <v>0</v>
      </c>
      <c r="C3003" t="s">
        <v>10934</v>
      </c>
      <c r="D3003" s="940" t="s">
        <v>10935</v>
      </c>
      <c r="E3003" t="s">
        <v>133</v>
      </c>
    </row>
    <row r="3004" spans="1:5" x14ac:dyDescent="0.2">
      <c r="A3004" s="940">
        <v>2938</v>
      </c>
      <c r="B3004" s="940">
        <v>26</v>
      </c>
      <c r="C3004" t="s">
        <v>6744</v>
      </c>
      <c r="D3004" s="940" t="s">
        <v>6745</v>
      </c>
      <c r="E3004" t="s">
        <v>106</v>
      </c>
    </row>
    <row r="3005" spans="1:5" x14ac:dyDescent="0.2">
      <c r="A3005" s="940">
        <v>4294</v>
      </c>
      <c r="B3005" s="940">
        <v>0</v>
      </c>
      <c r="C3005" t="s">
        <v>10936</v>
      </c>
      <c r="D3005" s="940" t="s">
        <v>6763</v>
      </c>
      <c r="E3005" t="s">
        <v>661</v>
      </c>
    </row>
    <row r="3006" spans="1:5" x14ac:dyDescent="0.2">
      <c r="A3006" s="940">
        <v>2980</v>
      </c>
      <c r="B3006" s="940">
        <v>24</v>
      </c>
      <c r="C3006" t="s">
        <v>6746</v>
      </c>
      <c r="D3006" s="940" t="s">
        <v>6747</v>
      </c>
      <c r="E3006" t="s">
        <v>1968</v>
      </c>
    </row>
    <row r="3007" spans="1:5" x14ac:dyDescent="0.2">
      <c r="A3007" s="940">
        <v>2668</v>
      </c>
      <c r="B3007" s="940">
        <v>38</v>
      </c>
      <c r="C3007" t="s">
        <v>10937</v>
      </c>
      <c r="D3007" s="940" t="s">
        <v>5303</v>
      </c>
      <c r="E3007" t="s">
        <v>9605</v>
      </c>
    </row>
    <row r="3008" spans="1:5" x14ac:dyDescent="0.2">
      <c r="A3008" s="940">
        <v>3882</v>
      </c>
      <c r="B3008" s="940">
        <v>4</v>
      </c>
      <c r="C3008" t="s">
        <v>6748</v>
      </c>
      <c r="D3008" s="940" t="s">
        <v>6749</v>
      </c>
      <c r="E3008" t="s">
        <v>130</v>
      </c>
    </row>
    <row r="3009" spans="1:5" x14ac:dyDescent="0.2">
      <c r="A3009" s="940">
        <v>4294</v>
      </c>
      <c r="B3009" s="940">
        <v>0</v>
      </c>
      <c r="C3009" t="s">
        <v>10938</v>
      </c>
      <c r="D3009" s="940" t="s">
        <v>10939</v>
      </c>
      <c r="E3009" t="s">
        <v>83</v>
      </c>
    </row>
    <row r="3010" spans="1:5" x14ac:dyDescent="0.2">
      <c r="A3010" s="940">
        <v>850</v>
      </c>
      <c r="B3010" s="940">
        <v>333</v>
      </c>
      <c r="C3010" t="s">
        <v>10940</v>
      </c>
      <c r="D3010" s="940" t="s">
        <v>10941</v>
      </c>
      <c r="E3010" t="s">
        <v>103</v>
      </c>
    </row>
    <row r="3011" spans="1:5" x14ac:dyDescent="0.2">
      <c r="A3011" s="940">
        <v>20</v>
      </c>
      <c r="B3011" s="940">
        <v>1465</v>
      </c>
      <c r="C3011" t="s">
        <v>6750</v>
      </c>
      <c r="D3011" s="940" t="s">
        <v>6751</v>
      </c>
      <c r="E3011" t="s">
        <v>74</v>
      </c>
    </row>
    <row r="3012" spans="1:5" x14ac:dyDescent="0.2">
      <c r="A3012" s="940">
        <v>742</v>
      </c>
      <c r="B3012" s="940">
        <v>385</v>
      </c>
      <c r="C3012" t="s">
        <v>10942</v>
      </c>
      <c r="D3012" s="940" t="s">
        <v>10943</v>
      </c>
      <c r="E3012" t="s">
        <v>1221</v>
      </c>
    </row>
    <row r="3013" spans="1:5" x14ac:dyDescent="0.2">
      <c r="A3013" s="940">
        <v>2101</v>
      </c>
      <c r="B3013" s="940">
        <v>77</v>
      </c>
      <c r="C3013" t="s">
        <v>1980</v>
      </c>
      <c r="D3013" s="940" t="s">
        <v>6755</v>
      </c>
      <c r="E3013" t="s">
        <v>115</v>
      </c>
    </row>
    <row r="3014" spans="1:5" x14ac:dyDescent="0.2">
      <c r="A3014" s="940">
        <v>4294</v>
      </c>
      <c r="B3014" s="940">
        <v>0</v>
      </c>
      <c r="C3014" t="s">
        <v>6756</v>
      </c>
      <c r="D3014" s="940" t="s">
        <v>5399</v>
      </c>
      <c r="E3014" t="s">
        <v>231</v>
      </c>
    </row>
    <row r="3015" spans="1:5" x14ac:dyDescent="0.2">
      <c r="A3015" s="940">
        <v>4294</v>
      </c>
      <c r="B3015" s="940">
        <v>0</v>
      </c>
      <c r="C3015" t="s">
        <v>6756</v>
      </c>
      <c r="D3015" s="940" t="s">
        <v>6759</v>
      </c>
      <c r="E3015" t="s">
        <v>120</v>
      </c>
    </row>
    <row r="3016" spans="1:5" x14ac:dyDescent="0.2">
      <c r="A3016" s="940">
        <v>3545</v>
      </c>
      <c r="B3016" s="940">
        <v>9</v>
      </c>
      <c r="C3016" t="s">
        <v>6760</v>
      </c>
      <c r="D3016" s="940" t="s">
        <v>5060</v>
      </c>
      <c r="E3016" t="s">
        <v>213</v>
      </c>
    </row>
    <row r="3017" spans="1:5" x14ac:dyDescent="0.2">
      <c r="A3017" s="940">
        <v>1651</v>
      </c>
      <c r="B3017" s="940">
        <v>122</v>
      </c>
      <c r="C3017" t="s">
        <v>10944</v>
      </c>
      <c r="D3017" s="940" t="s">
        <v>6114</v>
      </c>
      <c r="E3017" t="s">
        <v>2237</v>
      </c>
    </row>
    <row r="3018" spans="1:5" x14ac:dyDescent="0.2">
      <c r="A3018" s="940">
        <v>1420</v>
      </c>
      <c r="B3018" s="940">
        <v>159</v>
      </c>
      <c r="C3018" t="s">
        <v>6762</v>
      </c>
      <c r="D3018" s="940" t="s">
        <v>6763</v>
      </c>
      <c r="E3018" t="s">
        <v>2880</v>
      </c>
    </row>
    <row r="3019" spans="1:5" x14ac:dyDescent="0.2">
      <c r="A3019" s="940">
        <v>1293</v>
      </c>
      <c r="B3019" s="940">
        <v>186</v>
      </c>
      <c r="C3019" t="s">
        <v>10945</v>
      </c>
      <c r="D3019" s="940" t="s">
        <v>10946</v>
      </c>
      <c r="E3019" t="s">
        <v>1311</v>
      </c>
    </row>
    <row r="3020" spans="1:5" x14ac:dyDescent="0.2">
      <c r="A3020" s="940">
        <v>1790</v>
      </c>
      <c r="B3020" s="940">
        <v>106</v>
      </c>
      <c r="C3020" t="s">
        <v>6767</v>
      </c>
      <c r="D3020" s="940" t="s">
        <v>6768</v>
      </c>
      <c r="E3020" t="s">
        <v>128</v>
      </c>
    </row>
    <row r="3021" spans="1:5" x14ac:dyDescent="0.2">
      <c r="A3021" s="940">
        <v>196</v>
      </c>
      <c r="B3021" s="940">
        <v>921</v>
      </c>
      <c r="C3021" t="s">
        <v>291</v>
      </c>
      <c r="D3021" s="940" t="s">
        <v>6770</v>
      </c>
      <c r="E3021" t="s">
        <v>1609</v>
      </c>
    </row>
    <row r="3022" spans="1:5" x14ac:dyDescent="0.2">
      <c r="A3022" s="940">
        <v>1021</v>
      </c>
      <c r="B3022" s="940">
        <v>271</v>
      </c>
      <c r="C3022" t="s">
        <v>6772</v>
      </c>
      <c r="D3022" s="940" t="s">
        <v>6773</v>
      </c>
      <c r="E3022" t="s">
        <v>113</v>
      </c>
    </row>
    <row r="3023" spans="1:5" x14ac:dyDescent="0.2">
      <c r="A3023" s="940">
        <v>908</v>
      </c>
      <c r="B3023" s="940">
        <v>312</v>
      </c>
      <c r="C3023" t="s">
        <v>403</v>
      </c>
      <c r="D3023" s="940" t="s">
        <v>2785</v>
      </c>
      <c r="E3023" t="s">
        <v>128</v>
      </c>
    </row>
    <row r="3024" spans="1:5" x14ac:dyDescent="0.2">
      <c r="A3024" s="940">
        <v>388</v>
      </c>
      <c r="B3024" s="940">
        <v>649</v>
      </c>
      <c r="C3024" t="s">
        <v>6774</v>
      </c>
      <c r="D3024" s="940" t="s">
        <v>6775</v>
      </c>
      <c r="E3024" t="s">
        <v>132</v>
      </c>
    </row>
    <row r="3025" spans="1:5" x14ac:dyDescent="0.2">
      <c r="A3025" s="940">
        <v>4294</v>
      </c>
      <c r="B3025" s="940">
        <v>0</v>
      </c>
      <c r="C3025" t="s">
        <v>6776</v>
      </c>
      <c r="D3025" s="940" t="s">
        <v>6777</v>
      </c>
      <c r="E3025" t="s">
        <v>133</v>
      </c>
    </row>
    <row r="3026" spans="1:5" x14ac:dyDescent="0.2">
      <c r="A3026" s="940">
        <v>3008</v>
      </c>
      <c r="B3026" s="940">
        <v>23</v>
      </c>
      <c r="C3026" t="s">
        <v>10947</v>
      </c>
      <c r="D3026" s="940" t="s">
        <v>2974</v>
      </c>
      <c r="E3026" t="s">
        <v>74</v>
      </c>
    </row>
    <row r="3027" spans="1:5" x14ac:dyDescent="0.2">
      <c r="A3027" s="940">
        <v>1993</v>
      </c>
      <c r="B3027" s="940">
        <v>86</v>
      </c>
      <c r="C3027" t="s">
        <v>6778</v>
      </c>
      <c r="D3027" s="940" t="s">
        <v>5769</v>
      </c>
      <c r="E3027" t="s">
        <v>163</v>
      </c>
    </row>
    <row r="3028" spans="1:5" x14ac:dyDescent="0.2">
      <c r="A3028" s="940">
        <v>891</v>
      </c>
      <c r="B3028" s="940">
        <v>321</v>
      </c>
      <c r="C3028" t="s">
        <v>1984</v>
      </c>
      <c r="D3028" s="940" t="s">
        <v>6779</v>
      </c>
      <c r="E3028" t="s">
        <v>1171</v>
      </c>
    </row>
    <row r="3029" spans="1:5" x14ac:dyDescent="0.2">
      <c r="A3029" s="940">
        <v>4294</v>
      </c>
      <c r="B3029" s="940">
        <v>0</v>
      </c>
      <c r="C3029" t="s">
        <v>6780</v>
      </c>
      <c r="D3029" s="940" t="s">
        <v>2623</v>
      </c>
      <c r="E3029" t="s">
        <v>1578</v>
      </c>
    </row>
    <row r="3030" spans="1:5" x14ac:dyDescent="0.2">
      <c r="A3030" s="940">
        <v>4294</v>
      </c>
      <c r="B3030" s="940">
        <v>0</v>
      </c>
      <c r="C3030" t="s">
        <v>6781</v>
      </c>
      <c r="D3030" s="940" t="s">
        <v>3505</v>
      </c>
      <c r="E3030" t="s">
        <v>1214</v>
      </c>
    </row>
    <row r="3031" spans="1:5" x14ac:dyDescent="0.2">
      <c r="A3031" s="940">
        <v>337</v>
      </c>
      <c r="B3031" s="940">
        <v>713</v>
      </c>
      <c r="C3031" t="s">
        <v>6782</v>
      </c>
      <c r="D3031" s="940" t="s">
        <v>6783</v>
      </c>
      <c r="E3031" t="s">
        <v>113</v>
      </c>
    </row>
    <row r="3032" spans="1:5" x14ac:dyDescent="0.2">
      <c r="A3032" s="940">
        <v>1077</v>
      </c>
      <c r="B3032" s="940">
        <v>250</v>
      </c>
      <c r="C3032" t="s">
        <v>6784</v>
      </c>
      <c r="D3032" s="940" t="s">
        <v>6785</v>
      </c>
      <c r="E3032" t="s">
        <v>120</v>
      </c>
    </row>
    <row r="3033" spans="1:5" x14ac:dyDescent="0.2">
      <c r="A3033" s="940">
        <v>2774</v>
      </c>
      <c r="B3033" s="940">
        <v>34</v>
      </c>
      <c r="C3033" t="s">
        <v>6786</v>
      </c>
      <c r="D3033" s="940" t="s">
        <v>6337</v>
      </c>
      <c r="E3033" t="s">
        <v>114</v>
      </c>
    </row>
    <row r="3034" spans="1:5" x14ac:dyDescent="0.2">
      <c r="A3034" s="940">
        <v>4294</v>
      </c>
      <c r="B3034" s="940">
        <v>0</v>
      </c>
      <c r="C3034" t="s">
        <v>6787</v>
      </c>
      <c r="D3034" s="940" t="s">
        <v>6788</v>
      </c>
      <c r="E3034" t="s">
        <v>111</v>
      </c>
    </row>
    <row r="3035" spans="1:5" x14ac:dyDescent="0.2">
      <c r="A3035" s="940">
        <v>3222</v>
      </c>
      <c r="B3035" s="940">
        <v>17</v>
      </c>
      <c r="C3035" t="s">
        <v>6789</v>
      </c>
      <c r="D3035" s="940" t="s">
        <v>3043</v>
      </c>
      <c r="E3035" t="s">
        <v>1236</v>
      </c>
    </row>
    <row r="3036" spans="1:5" x14ac:dyDescent="0.2">
      <c r="A3036" s="940">
        <v>2150</v>
      </c>
      <c r="B3036" s="940">
        <v>73</v>
      </c>
      <c r="C3036" t="s">
        <v>6792</v>
      </c>
      <c r="D3036" s="940" t="s">
        <v>6793</v>
      </c>
      <c r="E3036" t="s">
        <v>105</v>
      </c>
    </row>
    <row r="3037" spans="1:5" x14ac:dyDescent="0.2">
      <c r="A3037" s="940">
        <v>3602</v>
      </c>
      <c r="B3037" s="940">
        <v>8</v>
      </c>
      <c r="C3037" t="s">
        <v>6796</v>
      </c>
      <c r="D3037" s="940" t="s">
        <v>10948</v>
      </c>
      <c r="E3037" t="s">
        <v>2054</v>
      </c>
    </row>
    <row r="3038" spans="1:5" x14ac:dyDescent="0.2">
      <c r="A3038" s="940">
        <v>3545</v>
      </c>
      <c r="B3038" s="940">
        <v>9</v>
      </c>
      <c r="C3038" t="s">
        <v>10949</v>
      </c>
      <c r="D3038" s="940" t="s">
        <v>8090</v>
      </c>
      <c r="E3038" t="s">
        <v>99</v>
      </c>
    </row>
    <row r="3039" spans="1:5" x14ac:dyDescent="0.2">
      <c r="A3039" s="940">
        <v>575</v>
      </c>
      <c r="B3039" s="940">
        <v>488</v>
      </c>
      <c r="C3039" t="s">
        <v>2567</v>
      </c>
      <c r="D3039" s="940" t="s">
        <v>3970</v>
      </c>
      <c r="E3039" t="s">
        <v>109</v>
      </c>
    </row>
    <row r="3040" spans="1:5" x14ac:dyDescent="0.2">
      <c r="A3040" s="940">
        <v>2286</v>
      </c>
      <c r="B3040" s="940">
        <v>63</v>
      </c>
      <c r="C3040" t="s">
        <v>1987</v>
      </c>
      <c r="D3040" s="940" t="s">
        <v>9460</v>
      </c>
      <c r="E3040" t="s">
        <v>1214</v>
      </c>
    </row>
    <row r="3041" spans="1:5" x14ac:dyDescent="0.2">
      <c r="A3041" s="940">
        <v>4294</v>
      </c>
      <c r="B3041" s="940">
        <v>0</v>
      </c>
      <c r="C3041" t="s">
        <v>6799</v>
      </c>
      <c r="D3041" s="940" t="s">
        <v>6800</v>
      </c>
      <c r="E3041" t="s">
        <v>99</v>
      </c>
    </row>
    <row r="3042" spans="1:5" x14ac:dyDescent="0.2">
      <c r="A3042" s="940">
        <v>1236</v>
      </c>
      <c r="B3042" s="940">
        <v>198</v>
      </c>
      <c r="C3042" t="s">
        <v>6801</v>
      </c>
      <c r="D3042" s="940" t="s">
        <v>6802</v>
      </c>
      <c r="E3042" t="s">
        <v>99</v>
      </c>
    </row>
    <row r="3043" spans="1:5" x14ac:dyDescent="0.2">
      <c r="A3043" s="940">
        <v>2396</v>
      </c>
      <c r="B3043" s="940">
        <v>55</v>
      </c>
      <c r="C3043" t="s">
        <v>6803</v>
      </c>
      <c r="D3043" s="940" t="s">
        <v>6802</v>
      </c>
      <c r="E3043" t="s">
        <v>120</v>
      </c>
    </row>
    <row r="3044" spans="1:5" x14ac:dyDescent="0.2">
      <c r="A3044" s="940">
        <v>170</v>
      </c>
      <c r="B3044" s="940">
        <v>957</v>
      </c>
      <c r="C3044" t="s">
        <v>10950</v>
      </c>
      <c r="D3044" s="940" t="s">
        <v>10951</v>
      </c>
      <c r="E3044" t="s">
        <v>171</v>
      </c>
    </row>
    <row r="3045" spans="1:5" x14ac:dyDescent="0.2">
      <c r="A3045" s="940">
        <v>977</v>
      </c>
      <c r="B3045" s="940">
        <v>287</v>
      </c>
      <c r="C3045" t="s">
        <v>542</v>
      </c>
      <c r="D3045" s="940" t="s">
        <v>6804</v>
      </c>
      <c r="E3045" t="s">
        <v>103</v>
      </c>
    </row>
    <row r="3046" spans="1:5" x14ac:dyDescent="0.2">
      <c r="A3046" s="940">
        <v>2339</v>
      </c>
      <c r="B3046" s="940">
        <v>59</v>
      </c>
      <c r="C3046" t="s">
        <v>10952</v>
      </c>
      <c r="D3046" s="940" t="s">
        <v>2856</v>
      </c>
      <c r="E3046" t="s">
        <v>1158</v>
      </c>
    </row>
    <row r="3047" spans="1:5" x14ac:dyDescent="0.2">
      <c r="A3047" s="940">
        <v>3483</v>
      </c>
      <c r="B3047" s="940">
        <v>10</v>
      </c>
      <c r="C3047" t="s">
        <v>10953</v>
      </c>
      <c r="D3047" s="940" t="s">
        <v>9387</v>
      </c>
      <c r="E3047" t="s">
        <v>1578</v>
      </c>
    </row>
    <row r="3048" spans="1:5" x14ac:dyDescent="0.2">
      <c r="A3048" s="940">
        <v>244</v>
      </c>
      <c r="B3048" s="940">
        <v>844</v>
      </c>
      <c r="C3048" t="s">
        <v>10954</v>
      </c>
      <c r="D3048" s="940" t="s">
        <v>7075</v>
      </c>
      <c r="E3048" t="s">
        <v>72</v>
      </c>
    </row>
    <row r="3049" spans="1:5" x14ac:dyDescent="0.2">
      <c r="A3049" s="940">
        <v>1629</v>
      </c>
      <c r="B3049" s="940">
        <v>124</v>
      </c>
      <c r="C3049" t="s">
        <v>1992</v>
      </c>
      <c r="D3049" s="940" t="s">
        <v>10955</v>
      </c>
      <c r="E3049" t="s">
        <v>1460</v>
      </c>
    </row>
    <row r="3050" spans="1:5" x14ac:dyDescent="0.2">
      <c r="A3050" s="940">
        <v>4181</v>
      </c>
      <c r="B3050" s="940">
        <v>1</v>
      </c>
      <c r="C3050" t="s">
        <v>1993</v>
      </c>
      <c r="D3050" s="940" t="s">
        <v>10956</v>
      </c>
      <c r="E3050" t="s">
        <v>72</v>
      </c>
    </row>
    <row r="3051" spans="1:5" x14ac:dyDescent="0.2">
      <c r="A3051" s="940">
        <v>1591</v>
      </c>
      <c r="B3051" s="940">
        <v>130</v>
      </c>
      <c r="C3051" t="s">
        <v>6813</v>
      </c>
      <c r="D3051" s="940" t="s">
        <v>6814</v>
      </c>
      <c r="E3051" t="s">
        <v>3098</v>
      </c>
    </row>
    <row r="3052" spans="1:5" x14ac:dyDescent="0.2">
      <c r="A3052" s="940">
        <v>2691</v>
      </c>
      <c r="B3052" s="940">
        <v>37</v>
      </c>
      <c r="C3052" t="s">
        <v>6815</v>
      </c>
      <c r="D3052" s="940" t="s">
        <v>6816</v>
      </c>
      <c r="E3052" t="s">
        <v>120</v>
      </c>
    </row>
    <row r="3053" spans="1:5" x14ac:dyDescent="0.2">
      <c r="A3053" s="940">
        <v>706</v>
      </c>
      <c r="B3053" s="940">
        <v>400</v>
      </c>
      <c r="C3053" t="s">
        <v>6817</v>
      </c>
      <c r="D3053" s="940" t="s">
        <v>6818</v>
      </c>
      <c r="E3053" t="s">
        <v>120</v>
      </c>
    </row>
    <row r="3054" spans="1:5" x14ac:dyDescent="0.2">
      <c r="A3054" s="940">
        <v>4294</v>
      </c>
      <c r="B3054" s="940">
        <v>0</v>
      </c>
      <c r="C3054" t="s">
        <v>10957</v>
      </c>
      <c r="D3054" s="940" t="s">
        <v>9285</v>
      </c>
      <c r="E3054" t="s">
        <v>120</v>
      </c>
    </row>
    <row r="3055" spans="1:5" x14ac:dyDescent="0.2">
      <c r="A3055" s="940">
        <v>2504</v>
      </c>
      <c r="B3055" s="940">
        <v>47</v>
      </c>
      <c r="C3055" t="s">
        <v>10958</v>
      </c>
      <c r="D3055" s="940" t="s">
        <v>10959</v>
      </c>
      <c r="E3055" t="s">
        <v>72</v>
      </c>
    </row>
    <row r="3056" spans="1:5" x14ac:dyDescent="0.2">
      <c r="A3056" s="940">
        <v>3732</v>
      </c>
      <c r="B3056" s="940">
        <v>6</v>
      </c>
      <c r="C3056" t="s">
        <v>6821</v>
      </c>
      <c r="D3056" s="940" t="s">
        <v>4426</v>
      </c>
      <c r="E3056" t="s">
        <v>165</v>
      </c>
    </row>
    <row r="3057" spans="1:5" x14ac:dyDescent="0.2">
      <c r="A3057" s="940">
        <v>1439</v>
      </c>
      <c r="B3057" s="940">
        <v>156</v>
      </c>
      <c r="C3057" t="s">
        <v>1994</v>
      </c>
      <c r="D3057" s="940" t="s">
        <v>10960</v>
      </c>
      <c r="E3057" t="s">
        <v>138</v>
      </c>
    </row>
    <row r="3058" spans="1:5" x14ac:dyDescent="0.2">
      <c r="A3058" s="940">
        <v>1738</v>
      </c>
      <c r="B3058" s="940">
        <v>112</v>
      </c>
      <c r="C3058" t="s">
        <v>1995</v>
      </c>
      <c r="D3058" s="940" t="s">
        <v>6129</v>
      </c>
      <c r="E3058" t="s">
        <v>105</v>
      </c>
    </row>
    <row r="3059" spans="1:5" x14ac:dyDescent="0.2">
      <c r="A3059" s="940">
        <v>4294</v>
      </c>
      <c r="B3059" s="940">
        <v>0</v>
      </c>
      <c r="C3059" t="s">
        <v>10961</v>
      </c>
      <c r="D3059" s="940" t="s">
        <v>9699</v>
      </c>
      <c r="E3059" t="s">
        <v>105</v>
      </c>
    </row>
    <row r="3060" spans="1:5" x14ac:dyDescent="0.2">
      <c r="A3060" s="940">
        <v>1629</v>
      </c>
      <c r="B3060" s="940">
        <v>124</v>
      </c>
      <c r="C3060" t="s">
        <v>6822</v>
      </c>
      <c r="D3060" s="940" t="s">
        <v>6823</v>
      </c>
      <c r="E3060" t="s">
        <v>213</v>
      </c>
    </row>
    <row r="3061" spans="1:5" x14ac:dyDescent="0.2">
      <c r="A3061" s="940">
        <v>1293</v>
      </c>
      <c r="B3061" s="940">
        <v>186</v>
      </c>
      <c r="C3061" t="s">
        <v>6824</v>
      </c>
      <c r="D3061" s="940" t="s">
        <v>3882</v>
      </c>
      <c r="E3061" t="s">
        <v>163</v>
      </c>
    </row>
    <row r="3062" spans="1:5" x14ac:dyDescent="0.2">
      <c r="A3062" s="940">
        <v>2725</v>
      </c>
      <c r="B3062" s="940">
        <v>36</v>
      </c>
      <c r="C3062" t="s">
        <v>6827</v>
      </c>
      <c r="D3062" s="940" t="s">
        <v>6828</v>
      </c>
      <c r="E3062" t="s">
        <v>163</v>
      </c>
    </row>
    <row r="3063" spans="1:5" x14ac:dyDescent="0.2">
      <c r="A3063" s="940">
        <v>4294</v>
      </c>
      <c r="B3063" s="940">
        <v>0</v>
      </c>
      <c r="C3063" t="s">
        <v>6829</v>
      </c>
      <c r="D3063" s="940" t="s">
        <v>2783</v>
      </c>
      <c r="E3063" t="s">
        <v>1467</v>
      </c>
    </row>
    <row r="3064" spans="1:5" x14ac:dyDescent="0.2">
      <c r="A3064" s="940">
        <v>4294</v>
      </c>
      <c r="B3064" s="940">
        <v>0</v>
      </c>
      <c r="C3064" t="s">
        <v>10962</v>
      </c>
      <c r="D3064" s="940" t="s">
        <v>6793</v>
      </c>
      <c r="E3064" t="s">
        <v>74</v>
      </c>
    </row>
    <row r="3065" spans="1:5" x14ac:dyDescent="0.2">
      <c r="A3065" s="940">
        <v>2242</v>
      </c>
      <c r="B3065" s="940">
        <v>66</v>
      </c>
      <c r="C3065" t="s">
        <v>10963</v>
      </c>
      <c r="D3065" s="940" t="s">
        <v>10964</v>
      </c>
      <c r="E3065" t="s">
        <v>99</v>
      </c>
    </row>
    <row r="3066" spans="1:5" x14ac:dyDescent="0.2">
      <c r="A3066" s="940">
        <v>2774</v>
      </c>
      <c r="B3066" s="940">
        <v>34</v>
      </c>
      <c r="C3066" t="s">
        <v>6830</v>
      </c>
      <c r="D3066" s="940" t="s">
        <v>6831</v>
      </c>
      <c r="E3066" t="s">
        <v>99</v>
      </c>
    </row>
    <row r="3067" spans="1:5" x14ac:dyDescent="0.2">
      <c r="A3067" s="940">
        <v>1574</v>
      </c>
      <c r="B3067" s="940">
        <v>132</v>
      </c>
      <c r="C3067" t="s">
        <v>10965</v>
      </c>
      <c r="D3067" s="940" t="s">
        <v>10966</v>
      </c>
      <c r="E3067" t="s">
        <v>1277</v>
      </c>
    </row>
    <row r="3068" spans="1:5" x14ac:dyDescent="0.2">
      <c r="A3068" s="940">
        <v>3222</v>
      </c>
      <c r="B3068" s="940">
        <v>17</v>
      </c>
      <c r="C3068" t="s">
        <v>10967</v>
      </c>
      <c r="D3068" s="940" t="s">
        <v>2756</v>
      </c>
      <c r="E3068" t="s">
        <v>120</v>
      </c>
    </row>
    <row r="3069" spans="1:5" x14ac:dyDescent="0.2">
      <c r="A3069" s="940">
        <v>1746</v>
      </c>
      <c r="B3069" s="940">
        <v>111</v>
      </c>
      <c r="C3069" t="s">
        <v>1996</v>
      </c>
      <c r="D3069" s="940" t="s">
        <v>6832</v>
      </c>
      <c r="E3069" t="s">
        <v>614</v>
      </c>
    </row>
    <row r="3070" spans="1:5" x14ac:dyDescent="0.2">
      <c r="A3070" s="940">
        <v>3446</v>
      </c>
      <c r="B3070" s="940">
        <v>11</v>
      </c>
      <c r="C3070" t="s">
        <v>10968</v>
      </c>
      <c r="D3070" s="940" t="s">
        <v>2671</v>
      </c>
      <c r="E3070" t="s">
        <v>72</v>
      </c>
    </row>
    <row r="3071" spans="1:5" x14ac:dyDescent="0.2">
      <c r="A3071" s="940">
        <v>4081</v>
      </c>
      <c r="B3071" s="940">
        <v>2</v>
      </c>
      <c r="C3071" t="s">
        <v>6834</v>
      </c>
      <c r="D3071" s="940" t="s">
        <v>4688</v>
      </c>
      <c r="E3071" t="s">
        <v>110</v>
      </c>
    </row>
    <row r="3072" spans="1:5" x14ac:dyDescent="0.2">
      <c r="A3072" s="940">
        <v>3290</v>
      </c>
      <c r="B3072" s="940">
        <v>15</v>
      </c>
      <c r="C3072" t="s">
        <v>292</v>
      </c>
      <c r="D3072" s="940" t="s">
        <v>5320</v>
      </c>
      <c r="E3072" t="s">
        <v>105</v>
      </c>
    </row>
    <row r="3073" spans="1:5" x14ac:dyDescent="0.2">
      <c r="A3073" s="940">
        <v>3358</v>
      </c>
      <c r="B3073" s="940">
        <v>13</v>
      </c>
      <c r="C3073" t="s">
        <v>6835</v>
      </c>
      <c r="D3073" s="940" t="s">
        <v>5801</v>
      </c>
      <c r="E3073" t="s">
        <v>105</v>
      </c>
    </row>
    <row r="3074" spans="1:5" x14ac:dyDescent="0.2">
      <c r="A3074" s="940">
        <v>4294</v>
      </c>
      <c r="B3074" s="940">
        <v>0</v>
      </c>
      <c r="C3074" t="s">
        <v>6835</v>
      </c>
      <c r="D3074" s="940" t="s">
        <v>4407</v>
      </c>
      <c r="E3074" t="s">
        <v>105</v>
      </c>
    </row>
    <row r="3075" spans="1:5" x14ac:dyDescent="0.2">
      <c r="A3075" s="940">
        <v>1668</v>
      </c>
      <c r="B3075" s="940">
        <v>121</v>
      </c>
      <c r="C3075" t="s">
        <v>6836</v>
      </c>
      <c r="D3075" s="940" t="s">
        <v>6639</v>
      </c>
      <c r="E3075" t="s">
        <v>133</v>
      </c>
    </row>
    <row r="3076" spans="1:5" x14ac:dyDescent="0.2">
      <c r="A3076" s="940">
        <v>1488</v>
      </c>
      <c r="B3076" s="940">
        <v>146</v>
      </c>
      <c r="C3076" t="s">
        <v>6837</v>
      </c>
      <c r="D3076" s="940" t="s">
        <v>6035</v>
      </c>
      <c r="E3076" t="s">
        <v>103</v>
      </c>
    </row>
    <row r="3077" spans="1:5" x14ac:dyDescent="0.2">
      <c r="A3077" s="940">
        <v>1585</v>
      </c>
      <c r="B3077" s="940">
        <v>131</v>
      </c>
      <c r="C3077" t="s">
        <v>1998</v>
      </c>
      <c r="D3077" s="940" t="s">
        <v>6411</v>
      </c>
      <c r="E3077" t="s">
        <v>1447</v>
      </c>
    </row>
    <row r="3078" spans="1:5" x14ac:dyDescent="0.2">
      <c r="A3078" s="940">
        <v>3655</v>
      </c>
      <c r="B3078" s="940">
        <v>7</v>
      </c>
      <c r="C3078" t="s">
        <v>10969</v>
      </c>
      <c r="D3078" s="940" t="s">
        <v>2848</v>
      </c>
      <c r="E3078" t="s">
        <v>1447</v>
      </c>
    </row>
    <row r="3079" spans="1:5" x14ac:dyDescent="0.2">
      <c r="A3079" s="940">
        <v>3545</v>
      </c>
      <c r="B3079" s="940">
        <v>9</v>
      </c>
      <c r="C3079" t="s">
        <v>10970</v>
      </c>
      <c r="D3079" s="940" t="s">
        <v>5207</v>
      </c>
      <c r="E3079" t="s">
        <v>9860</v>
      </c>
    </row>
    <row r="3080" spans="1:5" x14ac:dyDescent="0.2">
      <c r="A3080" s="940">
        <v>430</v>
      </c>
      <c r="B3080" s="940">
        <v>613</v>
      </c>
      <c r="C3080" t="s">
        <v>6843</v>
      </c>
      <c r="D3080" s="940" t="s">
        <v>6844</v>
      </c>
      <c r="E3080" t="s">
        <v>110</v>
      </c>
    </row>
    <row r="3081" spans="1:5" x14ac:dyDescent="0.2">
      <c r="A3081" s="940">
        <v>2233</v>
      </c>
      <c r="B3081" s="940">
        <v>67</v>
      </c>
      <c r="C3081" t="s">
        <v>6845</v>
      </c>
      <c r="D3081" s="940" t="s">
        <v>5930</v>
      </c>
      <c r="E3081" t="s">
        <v>2356</v>
      </c>
    </row>
    <row r="3082" spans="1:5" x14ac:dyDescent="0.2">
      <c r="A3082" s="940">
        <v>1591</v>
      </c>
      <c r="B3082" s="940">
        <v>130</v>
      </c>
      <c r="C3082" t="s">
        <v>10971</v>
      </c>
      <c r="D3082" s="940" t="s">
        <v>10972</v>
      </c>
      <c r="E3082" t="s">
        <v>10973</v>
      </c>
    </row>
    <row r="3083" spans="1:5" x14ac:dyDescent="0.2">
      <c r="A3083" s="940">
        <v>4294</v>
      </c>
      <c r="B3083" s="940">
        <v>0</v>
      </c>
      <c r="C3083" t="s">
        <v>6846</v>
      </c>
      <c r="D3083" s="940" t="s">
        <v>6847</v>
      </c>
      <c r="E3083" t="s">
        <v>103</v>
      </c>
    </row>
    <row r="3084" spans="1:5" x14ac:dyDescent="0.2">
      <c r="A3084" s="940">
        <v>2725</v>
      </c>
      <c r="B3084" s="940">
        <v>36</v>
      </c>
      <c r="C3084" t="s">
        <v>10974</v>
      </c>
      <c r="D3084" s="940" t="s">
        <v>3157</v>
      </c>
      <c r="E3084" t="s">
        <v>145</v>
      </c>
    </row>
    <row r="3085" spans="1:5" x14ac:dyDescent="0.2">
      <c r="A3085" s="940">
        <v>336</v>
      </c>
      <c r="B3085" s="940">
        <v>714</v>
      </c>
      <c r="C3085" t="s">
        <v>6851</v>
      </c>
      <c r="D3085" s="940" t="s">
        <v>6852</v>
      </c>
      <c r="E3085" t="s">
        <v>132</v>
      </c>
    </row>
    <row r="3086" spans="1:5" x14ac:dyDescent="0.2">
      <c r="A3086" s="940">
        <v>2745</v>
      </c>
      <c r="B3086" s="940">
        <v>35</v>
      </c>
      <c r="C3086" t="s">
        <v>6857</v>
      </c>
      <c r="D3086" s="940" t="s">
        <v>6858</v>
      </c>
      <c r="E3086" t="s">
        <v>1332</v>
      </c>
    </row>
    <row r="3087" spans="1:5" x14ac:dyDescent="0.2">
      <c r="A3087" s="940">
        <v>4294</v>
      </c>
      <c r="B3087" s="940">
        <v>0</v>
      </c>
      <c r="C3087" t="s">
        <v>10975</v>
      </c>
      <c r="D3087" s="940" t="s">
        <v>7756</v>
      </c>
      <c r="E3087" t="s">
        <v>3200</v>
      </c>
    </row>
    <row r="3088" spans="1:5" x14ac:dyDescent="0.2">
      <c r="A3088" s="940">
        <v>2056</v>
      </c>
      <c r="B3088" s="940">
        <v>81</v>
      </c>
      <c r="C3088" t="s">
        <v>6859</v>
      </c>
      <c r="D3088" s="940" t="s">
        <v>2908</v>
      </c>
      <c r="E3088" t="s">
        <v>1162</v>
      </c>
    </row>
    <row r="3089" spans="1:5" x14ac:dyDescent="0.2">
      <c r="A3089" s="940">
        <v>226</v>
      </c>
      <c r="B3089" s="940">
        <v>873</v>
      </c>
      <c r="C3089" t="s">
        <v>10976</v>
      </c>
      <c r="D3089" s="940" t="s">
        <v>10977</v>
      </c>
      <c r="E3089" t="s">
        <v>1584</v>
      </c>
    </row>
    <row r="3090" spans="1:5" x14ac:dyDescent="0.2">
      <c r="A3090" s="940">
        <v>1366</v>
      </c>
      <c r="B3090" s="940">
        <v>169</v>
      </c>
      <c r="C3090" t="s">
        <v>10976</v>
      </c>
      <c r="D3090" s="940" t="s">
        <v>10978</v>
      </c>
      <c r="E3090" t="s">
        <v>105</v>
      </c>
    </row>
    <row r="3091" spans="1:5" x14ac:dyDescent="0.2">
      <c r="A3091" s="940">
        <v>4294</v>
      </c>
      <c r="B3091" s="940">
        <v>0</v>
      </c>
      <c r="C3091" t="s">
        <v>6860</v>
      </c>
      <c r="D3091" s="940" t="s">
        <v>3873</v>
      </c>
      <c r="E3091" t="s">
        <v>113</v>
      </c>
    </row>
    <row r="3092" spans="1:5" x14ac:dyDescent="0.2">
      <c r="A3092" s="940">
        <v>4294</v>
      </c>
      <c r="B3092" s="940">
        <v>0</v>
      </c>
      <c r="C3092" t="s">
        <v>6860</v>
      </c>
      <c r="D3092" s="940" t="s">
        <v>8806</v>
      </c>
      <c r="E3092" t="s">
        <v>2979</v>
      </c>
    </row>
    <row r="3093" spans="1:5" x14ac:dyDescent="0.2">
      <c r="A3093" s="940">
        <v>4294</v>
      </c>
      <c r="B3093" s="940">
        <v>0</v>
      </c>
      <c r="C3093" t="s">
        <v>6861</v>
      </c>
      <c r="D3093" s="940" t="s">
        <v>4316</v>
      </c>
      <c r="E3093" t="s">
        <v>251</v>
      </c>
    </row>
    <row r="3094" spans="1:5" x14ac:dyDescent="0.2">
      <c r="A3094" s="940">
        <v>4294</v>
      </c>
      <c r="B3094" s="940">
        <v>0</v>
      </c>
      <c r="C3094" t="s">
        <v>10979</v>
      </c>
      <c r="D3094" s="940" t="s">
        <v>7530</v>
      </c>
      <c r="E3094" t="s">
        <v>8217</v>
      </c>
    </row>
    <row r="3095" spans="1:5" x14ac:dyDescent="0.2">
      <c r="A3095" s="940">
        <v>2915</v>
      </c>
      <c r="B3095" s="940">
        <v>27</v>
      </c>
      <c r="C3095" t="s">
        <v>6862</v>
      </c>
      <c r="D3095" s="940" t="s">
        <v>6863</v>
      </c>
      <c r="E3095" t="s">
        <v>6864</v>
      </c>
    </row>
    <row r="3096" spans="1:5" x14ac:dyDescent="0.2">
      <c r="A3096" s="940">
        <v>1001</v>
      </c>
      <c r="B3096" s="940">
        <v>277</v>
      </c>
      <c r="C3096" t="s">
        <v>10980</v>
      </c>
      <c r="D3096" s="940" t="s">
        <v>10981</v>
      </c>
      <c r="E3096" t="s">
        <v>105</v>
      </c>
    </row>
    <row r="3097" spans="1:5" x14ac:dyDescent="0.2">
      <c r="A3097" s="940">
        <v>4294</v>
      </c>
      <c r="B3097" s="940">
        <v>0</v>
      </c>
      <c r="C3097" t="s">
        <v>6865</v>
      </c>
      <c r="D3097" s="940" t="s">
        <v>2816</v>
      </c>
      <c r="E3097" t="s">
        <v>1200</v>
      </c>
    </row>
    <row r="3098" spans="1:5" x14ac:dyDescent="0.2">
      <c r="A3098" s="940">
        <v>4294</v>
      </c>
      <c r="B3098" s="940">
        <v>0</v>
      </c>
      <c r="C3098" t="s">
        <v>6865</v>
      </c>
      <c r="D3098" s="940" t="s">
        <v>6866</v>
      </c>
      <c r="E3098" t="s">
        <v>99</v>
      </c>
    </row>
    <row r="3099" spans="1:5" x14ac:dyDescent="0.2">
      <c r="A3099" s="940">
        <v>4294</v>
      </c>
      <c r="B3099" s="940">
        <v>0</v>
      </c>
      <c r="C3099" t="s">
        <v>6867</v>
      </c>
      <c r="D3099" s="940" t="s">
        <v>6868</v>
      </c>
      <c r="E3099" t="s">
        <v>1243</v>
      </c>
    </row>
    <row r="3100" spans="1:5" x14ac:dyDescent="0.2">
      <c r="A3100" s="940">
        <v>2725</v>
      </c>
      <c r="B3100" s="940">
        <v>36</v>
      </c>
      <c r="C3100" t="s">
        <v>6869</v>
      </c>
      <c r="D3100" s="940" t="s">
        <v>6870</v>
      </c>
      <c r="E3100" t="s">
        <v>376</v>
      </c>
    </row>
    <row r="3101" spans="1:5" x14ac:dyDescent="0.2">
      <c r="A3101" s="940">
        <v>2124</v>
      </c>
      <c r="B3101" s="940">
        <v>75</v>
      </c>
      <c r="C3101" t="s">
        <v>10982</v>
      </c>
      <c r="D3101" s="940" t="s">
        <v>10983</v>
      </c>
      <c r="E3101" t="s">
        <v>183</v>
      </c>
    </row>
    <row r="3102" spans="1:5" x14ac:dyDescent="0.2">
      <c r="A3102" s="940">
        <v>721</v>
      </c>
      <c r="B3102" s="940">
        <v>395</v>
      </c>
      <c r="C3102" t="s">
        <v>6871</v>
      </c>
      <c r="D3102" s="940" t="s">
        <v>6872</v>
      </c>
      <c r="E3102" t="s">
        <v>1156</v>
      </c>
    </row>
    <row r="3103" spans="1:5" x14ac:dyDescent="0.2">
      <c r="A3103" s="940">
        <v>92</v>
      </c>
      <c r="B3103" s="940">
        <v>1150</v>
      </c>
      <c r="C3103" t="s">
        <v>6873</v>
      </c>
      <c r="D3103" s="940" t="s">
        <v>6874</v>
      </c>
      <c r="E3103" t="s">
        <v>83</v>
      </c>
    </row>
    <row r="3104" spans="1:5" x14ac:dyDescent="0.2">
      <c r="A3104" s="940">
        <v>165</v>
      </c>
      <c r="B3104" s="940">
        <v>962</v>
      </c>
      <c r="C3104" t="s">
        <v>6875</v>
      </c>
      <c r="D3104" s="940" t="s">
        <v>6876</v>
      </c>
      <c r="E3104" t="s">
        <v>122</v>
      </c>
    </row>
    <row r="3105" spans="1:5" x14ac:dyDescent="0.2">
      <c r="A3105" s="940">
        <v>3972</v>
      </c>
      <c r="B3105" s="940">
        <v>3</v>
      </c>
      <c r="C3105" t="s">
        <v>6877</v>
      </c>
      <c r="D3105" s="940" t="s">
        <v>6878</v>
      </c>
      <c r="E3105" t="s">
        <v>109</v>
      </c>
    </row>
    <row r="3106" spans="1:5" x14ac:dyDescent="0.2">
      <c r="A3106" s="940">
        <v>4181</v>
      </c>
      <c r="B3106" s="940">
        <v>1</v>
      </c>
      <c r="C3106" t="s">
        <v>6879</v>
      </c>
      <c r="D3106" s="940" t="s">
        <v>3127</v>
      </c>
      <c r="E3106" t="s">
        <v>144</v>
      </c>
    </row>
    <row r="3107" spans="1:5" x14ac:dyDescent="0.2">
      <c r="A3107" s="940">
        <v>2042</v>
      </c>
      <c r="B3107" s="940">
        <v>82</v>
      </c>
      <c r="C3107" t="s">
        <v>10984</v>
      </c>
      <c r="D3107" s="940" t="s">
        <v>10372</v>
      </c>
      <c r="E3107" t="s">
        <v>1435</v>
      </c>
    </row>
    <row r="3108" spans="1:5" x14ac:dyDescent="0.2">
      <c r="A3108" s="940">
        <v>3602</v>
      </c>
      <c r="B3108" s="940">
        <v>8</v>
      </c>
      <c r="C3108" t="s">
        <v>6882</v>
      </c>
      <c r="D3108" s="940" t="s">
        <v>2653</v>
      </c>
      <c r="E3108" t="s">
        <v>99</v>
      </c>
    </row>
    <row r="3109" spans="1:5" x14ac:dyDescent="0.2">
      <c r="A3109" s="940">
        <v>2592</v>
      </c>
      <c r="B3109" s="940">
        <v>42</v>
      </c>
      <c r="C3109" t="s">
        <v>6883</v>
      </c>
      <c r="D3109" s="940" t="s">
        <v>10985</v>
      </c>
      <c r="E3109" t="s">
        <v>99</v>
      </c>
    </row>
    <row r="3110" spans="1:5" x14ac:dyDescent="0.2">
      <c r="A3110" s="940">
        <v>959</v>
      </c>
      <c r="B3110" s="940">
        <v>293</v>
      </c>
      <c r="C3110" t="s">
        <v>6885</v>
      </c>
      <c r="D3110" s="940" t="s">
        <v>6886</v>
      </c>
      <c r="E3110" t="s">
        <v>4548</v>
      </c>
    </row>
    <row r="3111" spans="1:5" x14ac:dyDescent="0.2">
      <c r="A3111" s="940">
        <v>2207</v>
      </c>
      <c r="B3111" s="940">
        <v>69</v>
      </c>
      <c r="C3111" t="s">
        <v>10986</v>
      </c>
      <c r="D3111" s="940" t="s">
        <v>5352</v>
      </c>
      <c r="E3111" t="s">
        <v>1190</v>
      </c>
    </row>
    <row r="3112" spans="1:5" x14ac:dyDescent="0.2">
      <c r="A3112" s="940">
        <v>4294</v>
      </c>
      <c r="B3112" s="940">
        <v>0</v>
      </c>
      <c r="C3112" t="s">
        <v>6887</v>
      </c>
      <c r="D3112" s="940" t="s">
        <v>3818</v>
      </c>
      <c r="E3112" t="s">
        <v>251</v>
      </c>
    </row>
    <row r="3113" spans="1:5" x14ac:dyDescent="0.2">
      <c r="A3113" s="940">
        <v>2514</v>
      </c>
      <c r="B3113" s="940">
        <v>46</v>
      </c>
      <c r="C3113" t="s">
        <v>6888</v>
      </c>
      <c r="D3113" s="940" t="s">
        <v>6889</v>
      </c>
      <c r="E3113" t="s">
        <v>3687</v>
      </c>
    </row>
    <row r="3114" spans="1:5" x14ac:dyDescent="0.2">
      <c r="A3114" s="940">
        <v>2980</v>
      </c>
      <c r="B3114" s="940">
        <v>24</v>
      </c>
      <c r="C3114" t="s">
        <v>6890</v>
      </c>
      <c r="D3114" s="940" t="s">
        <v>6891</v>
      </c>
      <c r="E3114" t="s">
        <v>103</v>
      </c>
    </row>
    <row r="3115" spans="1:5" x14ac:dyDescent="0.2">
      <c r="A3115" s="940">
        <v>4294</v>
      </c>
      <c r="B3115" s="940">
        <v>0</v>
      </c>
      <c r="C3115" t="s">
        <v>6892</v>
      </c>
      <c r="D3115" s="940" t="s">
        <v>5066</v>
      </c>
      <c r="E3115" t="s">
        <v>1214</v>
      </c>
    </row>
    <row r="3116" spans="1:5" x14ac:dyDescent="0.2">
      <c r="A3116" s="940">
        <v>586</v>
      </c>
      <c r="B3116" s="940">
        <v>482</v>
      </c>
      <c r="C3116" t="s">
        <v>6893</v>
      </c>
      <c r="D3116" s="940" t="s">
        <v>6894</v>
      </c>
      <c r="E3116" t="s">
        <v>1214</v>
      </c>
    </row>
    <row r="3117" spans="1:5" x14ac:dyDescent="0.2">
      <c r="A3117" s="940">
        <v>4081</v>
      </c>
      <c r="B3117" s="940">
        <v>2</v>
      </c>
      <c r="C3117" t="s">
        <v>10987</v>
      </c>
      <c r="D3117" s="940" t="s">
        <v>10988</v>
      </c>
      <c r="E3117" t="s">
        <v>120</v>
      </c>
    </row>
    <row r="3118" spans="1:5" x14ac:dyDescent="0.2">
      <c r="A3118" s="940">
        <v>1774</v>
      </c>
      <c r="B3118" s="940">
        <v>108</v>
      </c>
      <c r="C3118" t="s">
        <v>2568</v>
      </c>
      <c r="D3118" s="940" t="s">
        <v>6897</v>
      </c>
      <c r="E3118" t="s">
        <v>109</v>
      </c>
    </row>
    <row r="3119" spans="1:5" x14ac:dyDescent="0.2">
      <c r="A3119" s="940">
        <v>4181</v>
      </c>
      <c r="B3119" s="940">
        <v>1</v>
      </c>
      <c r="C3119" t="s">
        <v>6898</v>
      </c>
      <c r="D3119" s="940" t="s">
        <v>5572</v>
      </c>
      <c r="E3119" t="s">
        <v>110</v>
      </c>
    </row>
    <row r="3120" spans="1:5" x14ac:dyDescent="0.2">
      <c r="A3120" s="940">
        <v>2774</v>
      </c>
      <c r="B3120" s="940">
        <v>34</v>
      </c>
      <c r="C3120" t="s">
        <v>6899</v>
      </c>
      <c r="D3120" s="940" t="s">
        <v>6900</v>
      </c>
      <c r="E3120" t="s">
        <v>83</v>
      </c>
    </row>
    <row r="3121" spans="1:5" x14ac:dyDescent="0.2">
      <c r="A3121" s="940">
        <v>2298</v>
      </c>
      <c r="B3121" s="940">
        <v>62</v>
      </c>
      <c r="C3121" t="s">
        <v>2005</v>
      </c>
      <c r="D3121" s="940" t="s">
        <v>6901</v>
      </c>
      <c r="E3121" t="s">
        <v>1214</v>
      </c>
    </row>
    <row r="3122" spans="1:5" x14ac:dyDescent="0.2">
      <c r="A3122" s="940">
        <v>3402</v>
      </c>
      <c r="B3122" s="940">
        <v>12</v>
      </c>
      <c r="C3122" t="s">
        <v>10989</v>
      </c>
      <c r="D3122" s="940" t="s">
        <v>6905</v>
      </c>
      <c r="E3122" t="s">
        <v>179</v>
      </c>
    </row>
    <row r="3123" spans="1:5" x14ac:dyDescent="0.2">
      <c r="A3123" s="940">
        <v>1629</v>
      </c>
      <c r="B3123" s="940">
        <v>124</v>
      </c>
      <c r="C3123" t="s">
        <v>6906</v>
      </c>
      <c r="D3123" s="940" t="s">
        <v>2780</v>
      </c>
      <c r="E3123" t="s">
        <v>74</v>
      </c>
    </row>
    <row r="3124" spans="1:5" x14ac:dyDescent="0.2">
      <c r="A3124" s="940">
        <v>4294</v>
      </c>
      <c r="B3124" s="940">
        <v>0</v>
      </c>
      <c r="C3124" t="s">
        <v>6907</v>
      </c>
      <c r="D3124" s="940" t="s">
        <v>6908</v>
      </c>
      <c r="E3124" t="s">
        <v>72</v>
      </c>
    </row>
    <row r="3125" spans="1:5" x14ac:dyDescent="0.2">
      <c r="A3125" s="940">
        <v>4294</v>
      </c>
      <c r="B3125" s="940">
        <v>0</v>
      </c>
      <c r="C3125" t="s">
        <v>6909</v>
      </c>
      <c r="D3125" s="940" t="s">
        <v>4799</v>
      </c>
      <c r="E3125" t="s">
        <v>2963</v>
      </c>
    </row>
    <row r="3126" spans="1:5" x14ac:dyDescent="0.2">
      <c r="A3126" s="940">
        <v>2150</v>
      </c>
      <c r="B3126" s="940">
        <v>73</v>
      </c>
      <c r="C3126" t="s">
        <v>6910</v>
      </c>
      <c r="D3126" s="940" t="s">
        <v>2953</v>
      </c>
      <c r="E3126" t="s">
        <v>1675</v>
      </c>
    </row>
    <row r="3127" spans="1:5" x14ac:dyDescent="0.2">
      <c r="A3127" s="940">
        <v>4294</v>
      </c>
      <c r="B3127" s="940">
        <v>0</v>
      </c>
      <c r="C3127" t="s">
        <v>6911</v>
      </c>
      <c r="D3127" s="940" t="s">
        <v>4948</v>
      </c>
      <c r="E3127" t="s">
        <v>163</v>
      </c>
    </row>
    <row r="3128" spans="1:5" x14ac:dyDescent="0.2">
      <c r="A3128" s="940">
        <v>1499</v>
      </c>
      <c r="B3128" s="940">
        <v>144</v>
      </c>
      <c r="C3128" t="s">
        <v>6912</v>
      </c>
      <c r="D3128" s="940" t="s">
        <v>4724</v>
      </c>
      <c r="E3128" t="s">
        <v>1156</v>
      </c>
    </row>
    <row r="3129" spans="1:5" x14ac:dyDescent="0.2">
      <c r="A3129" s="940">
        <v>2649</v>
      </c>
      <c r="B3129" s="940">
        <v>39</v>
      </c>
      <c r="C3129" t="s">
        <v>10990</v>
      </c>
      <c r="D3129" s="940" t="s">
        <v>10991</v>
      </c>
      <c r="E3129" t="s">
        <v>1156</v>
      </c>
    </row>
    <row r="3130" spans="1:5" x14ac:dyDescent="0.2">
      <c r="A3130" s="940">
        <v>749</v>
      </c>
      <c r="B3130" s="940">
        <v>382</v>
      </c>
      <c r="C3130" t="s">
        <v>6913</v>
      </c>
      <c r="D3130" s="940" t="s">
        <v>6914</v>
      </c>
      <c r="E3130" t="s">
        <v>129</v>
      </c>
    </row>
    <row r="3131" spans="1:5" x14ac:dyDescent="0.2">
      <c r="A3131" s="940">
        <v>2794</v>
      </c>
      <c r="B3131" s="940">
        <v>33</v>
      </c>
      <c r="C3131" t="s">
        <v>10992</v>
      </c>
      <c r="D3131" s="940" t="s">
        <v>8166</v>
      </c>
      <c r="E3131" t="s">
        <v>1341</v>
      </c>
    </row>
    <row r="3132" spans="1:5" x14ac:dyDescent="0.2">
      <c r="A3132" s="940">
        <v>202</v>
      </c>
      <c r="B3132" s="940">
        <v>912</v>
      </c>
      <c r="C3132" t="s">
        <v>6915</v>
      </c>
      <c r="D3132" s="940" t="s">
        <v>6916</v>
      </c>
      <c r="E3132" t="s">
        <v>1590</v>
      </c>
    </row>
    <row r="3133" spans="1:5" x14ac:dyDescent="0.2">
      <c r="A3133" s="940">
        <v>3008</v>
      </c>
      <c r="B3133" s="940">
        <v>23</v>
      </c>
      <c r="C3133" t="s">
        <v>545</v>
      </c>
      <c r="D3133" s="940" t="s">
        <v>4256</v>
      </c>
      <c r="E3133" t="s">
        <v>1386</v>
      </c>
    </row>
    <row r="3134" spans="1:5" x14ac:dyDescent="0.2">
      <c r="A3134" s="940">
        <v>4294</v>
      </c>
      <c r="B3134" s="940">
        <v>0</v>
      </c>
      <c r="C3134" t="s">
        <v>6917</v>
      </c>
      <c r="D3134" s="940" t="s">
        <v>6918</v>
      </c>
      <c r="E3134" t="s">
        <v>105</v>
      </c>
    </row>
    <row r="3135" spans="1:5" x14ac:dyDescent="0.2">
      <c r="A3135" s="940">
        <v>2329</v>
      </c>
      <c r="B3135" s="940">
        <v>60</v>
      </c>
      <c r="C3135" t="s">
        <v>6919</v>
      </c>
      <c r="D3135" s="940" t="s">
        <v>5762</v>
      </c>
      <c r="E3135" t="s">
        <v>4920</v>
      </c>
    </row>
    <row r="3136" spans="1:5" x14ac:dyDescent="0.2">
      <c r="A3136" s="940">
        <v>4294</v>
      </c>
      <c r="B3136" s="940">
        <v>0</v>
      </c>
      <c r="C3136" t="s">
        <v>10993</v>
      </c>
      <c r="D3136" s="940" t="s">
        <v>8526</v>
      </c>
      <c r="E3136" t="s">
        <v>120</v>
      </c>
    </row>
    <row r="3137" spans="1:5" x14ac:dyDescent="0.2">
      <c r="A3137" s="940">
        <v>3972</v>
      </c>
      <c r="B3137" s="940">
        <v>3</v>
      </c>
      <c r="C3137" t="s">
        <v>10994</v>
      </c>
      <c r="D3137" s="940" t="s">
        <v>8291</v>
      </c>
      <c r="E3137" t="s">
        <v>72</v>
      </c>
    </row>
    <row r="3138" spans="1:5" x14ac:dyDescent="0.2">
      <c r="A3138" s="940">
        <v>2396</v>
      </c>
      <c r="B3138" s="940">
        <v>55</v>
      </c>
      <c r="C3138" t="s">
        <v>10995</v>
      </c>
      <c r="D3138" s="940" t="s">
        <v>3757</v>
      </c>
      <c r="E3138" t="s">
        <v>1330</v>
      </c>
    </row>
    <row r="3139" spans="1:5" x14ac:dyDescent="0.2">
      <c r="A3139" s="940">
        <v>1398</v>
      </c>
      <c r="B3139" s="940">
        <v>162</v>
      </c>
      <c r="C3139" t="s">
        <v>10996</v>
      </c>
      <c r="D3139" s="940" t="s">
        <v>10590</v>
      </c>
      <c r="E3139" t="s">
        <v>113</v>
      </c>
    </row>
    <row r="3140" spans="1:5" x14ac:dyDescent="0.2">
      <c r="A3140" s="940">
        <v>3796</v>
      </c>
      <c r="B3140" s="940">
        <v>5</v>
      </c>
      <c r="C3140" t="s">
        <v>10997</v>
      </c>
      <c r="D3140" s="940" t="s">
        <v>8308</v>
      </c>
      <c r="E3140" t="s">
        <v>128</v>
      </c>
    </row>
    <row r="3141" spans="1:5" x14ac:dyDescent="0.2">
      <c r="A3141" s="940">
        <v>575</v>
      </c>
      <c r="B3141" s="940">
        <v>488</v>
      </c>
      <c r="C3141" t="s">
        <v>10998</v>
      </c>
      <c r="D3141" s="940" t="s">
        <v>10999</v>
      </c>
      <c r="E3141" t="s">
        <v>4574</v>
      </c>
    </row>
    <row r="3142" spans="1:5" x14ac:dyDescent="0.2">
      <c r="A3142" s="940">
        <v>587</v>
      </c>
      <c r="B3142" s="940">
        <v>480</v>
      </c>
      <c r="C3142" t="s">
        <v>11000</v>
      </c>
      <c r="D3142" s="940" t="s">
        <v>3717</v>
      </c>
      <c r="E3142" t="s">
        <v>163</v>
      </c>
    </row>
    <row r="3143" spans="1:5" x14ac:dyDescent="0.2">
      <c r="A3143" s="940">
        <v>1894</v>
      </c>
      <c r="B3143" s="940">
        <v>96</v>
      </c>
      <c r="C3143" t="s">
        <v>6923</v>
      </c>
      <c r="D3143" s="940" t="s">
        <v>6924</v>
      </c>
      <c r="E3143" t="s">
        <v>4667</v>
      </c>
    </row>
    <row r="3144" spans="1:5" x14ac:dyDescent="0.2">
      <c r="A3144" s="940">
        <v>4294</v>
      </c>
      <c r="B3144" s="940">
        <v>0</v>
      </c>
      <c r="C3144" t="s">
        <v>6925</v>
      </c>
      <c r="D3144" s="940" t="s">
        <v>5022</v>
      </c>
      <c r="E3144" t="s">
        <v>105</v>
      </c>
    </row>
    <row r="3145" spans="1:5" x14ac:dyDescent="0.2">
      <c r="A3145" s="940">
        <v>3222</v>
      </c>
      <c r="B3145" s="940">
        <v>17</v>
      </c>
      <c r="C3145" t="s">
        <v>6926</v>
      </c>
      <c r="D3145" s="940" t="s">
        <v>6927</v>
      </c>
      <c r="E3145" t="s">
        <v>105</v>
      </c>
    </row>
    <row r="3146" spans="1:5" x14ac:dyDescent="0.2">
      <c r="A3146" s="940">
        <v>1594</v>
      </c>
      <c r="B3146" s="940">
        <v>129</v>
      </c>
      <c r="C3146" t="s">
        <v>2009</v>
      </c>
      <c r="D3146" s="940" t="s">
        <v>6928</v>
      </c>
      <c r="E3146" t="s">
        <v>105</v>
      </c>
    </row>
    <row r="3147" spans="1:5" x14ac:dyDescent="0.2">
      <c r="A3147" s="940">
        <v>3796</v>
      </c>
      <c r="B3147" s="940">
        <v>5</v>
      </c>
      <c r="C3147" t="s">
        <v>11001</v>
      </c>
      <c r="D3147" s="940" t="s">
        <v>10166</v>
      </c>
      <c r="E3147" t="s">
        <v>74</v>
      </c>
    </row>
    <row r="3148" spans="1:5" x14ac:dyDescent="0.2">
      <c r="A3148" s="940">
        <v>1462</v>
      </c>
      <c r="B3148" s="940">
        <v>152</v>
      </c>
      <c r="C3148" t="s">
        <v>6929</v>
      </c>
      <c r="D3148" s="940" t="s">
        <v>6930</v>
      </c>
      <c r="E3148" t="s">
        <v>83</v>
      </c>
    </row>
    <row r="3149" spans="1:5" x14ac:dyDescent="0.2">
      <c r="A3149" s="940">
        <v>1392</v>
      </c>
      <c r="B3149" s="940">
        <v>163</v>
      </c>
      <c r="C3149" t="s">
        <v>546</v>
      </c>
      <c r="D3149" s="940" t="s">
        <v>6931</v>
      </c>
      <c r="E3149" t="s">
        <v>139</v>
      </c>
    </row>
    <row r="3150" spans="1:5" x14ac:dyDescent="0.2">
      <c r="A3150" s="940">
        <v>3545</v>
      </c>
      <c r="B3150" s="940">
        <v>9</v>
      </c>
      <c r="C3150" t="s">
        <v>6932</v>
      </c>
      <c r="D3150" s="940" t="s">
        <v>6908</v>
      </c>
      <c r="E3150" t="s">
        <v>164</v>
      </c>
    </row>
    <row r="3151" spans="1:5" x14ac:dyDescent="0.2">
      <c r="A3151" s="940">
        <v>3796</v>
      </c>
      <c r="B3151" s="940">
        <v>5</v>
      </c>
      <c r="C3151" t="s">
        <v>11002</v>
      </c>
      <c r="D3151" s="940" t="s">
        <v>8416</v>
      </c>
      <c r="E3151" t="s">
        <v>74</v>
      </c>
    </row>
    <row r="3152" spans="1:5" x14ac:dyDescent="0.2">
      <c r="A3152" s="940">
        <v>4294</v>
      </c>
      <c r="B3152" s="940">
        <v>0</v>
      </c>
      <c r="C3152" t="s">
        <v>6933</v>
      </c>
      <c r="D3152" s="940" t="s">
        <v>5865</v>
      </c>
      <c r="E3152" t="s">
        <v>74</v>
      </c>
    </row>
    <row r="3153" spans="1:5" x14ac:dyDescent="0.2">
      <c r="A3153" s="940">
        <v>4294</v>
      </c>
      <c r="B3153" s="940">
        <v>0</v>
      </c>
      <c r="C3153" t="s">
        <v>6934</v>
      </c>
      <c r="D3153" s="940" t="s">
        <v>2962</v>
      </c>
      <c r="E3153" t="s">
        <v>105</v>
      </c>
    </row>
    <row r="3154" spans="1:5" x14ac:dyDescent="0.2">
      <c r="A3154" s="940">
        <v>4294</v>
      </c>
      <c r="B3154" s="940">
        <v>0</v>
      </c>
      <c r="C3154" t="s">
        <v>11003</v>
      </c>
      <c r="D3154" s="940" t="s">
        <v>6257</v>
      </c>
      <c r="E3154" t="s">
        <v>2723</v>
      </c>
    </row>
    <row r="3155" spans="1:5" x14ac:dyDescent="0.2">
      <c r="A3155" s="940">
        <v>2083</v>
      </c>
      <c r="B3155" s="940">
        <v>79</v>
      </c>
      <c r="C3155" t="s">
        <v>6937</v>
      </c>
      <c r="D3155" s="940" t="s">
        <v>3226</v>
      </c>
      <c r="E3155" t="s">
        <v>99</v>
      </c>
    </row>
    <row r="3156" spans="1:5" x14ac:dyDescent="0.2">
      <c r="A3156" s="940">
        <v>2423</v>
      </c>
      <c r="B3156" s="940">
        <v>53</v>
      </c>
      <c r="C3156" t="s">
        <v>6938</v>
      </c>
      <c r="D3156" s="940" t="s">
        <v>6939</v>
      </c>
      <c r="E3156" t="s">
        <v>120</v>
      </c>
    </row>
    <row r="3157" spans="1:5" x14ac:dyDescent="0.2">
      <c r="A3157" s="940">
        <v>2938</v>
      </c>
      <c r="B3157" s="940">
        <v>26</v>
      </c>
      <c r="C3157" t="s">
        <v>6940</v>
      </c>
      <c r="D3157" s="940" t="s">
        <v>6941</v>
      </c>
      <c r="E3157" t="s">
        <v>128</v>
      </c>
    </row>
    <row r="3158" spans="1:5" x14ac:dyDescent="0.2">
      <c r="A3158" s="940">
        <v>3083</v>
      </c>
      <c r="B3158" s="940">
        <v>21</v>
      </c>
      <c r="C3158" t="s">
        <v>6942</v>
      </c>
      <c r="D3158" s="940" t="s">
        <v>6359</v>
      </c>
      <c r="E3158" t="s">
        <v>1158</v>
      </c>
    </row>
    <row r="3159" spans="1:5" x14ac:dyDescent="0.2">
      <c r="A3159" s="940">
        <v>104</v>
      </c>
      <c r="B3159" s="940">
        <v>1105</v>
      </c>
      <c r="C3159" t="s">
        <v>6943</v>
      </c>
      <c r="D3159" s="940" t="s">
        <v>6939</v>
      </c>
      <c r="E3159" t="s">
        <v>120</v>
      </c>
    </row>
    <row r="3160" spans="1:5" x14ac:dyDescent="0.2">
      <c r="A3160" s="940">
        <v>4294</v>
      </c>
      <c r="B3160" s="940">
        <v>0</v>
      </c>
      <c r="C3160" t="s">
        <v>11004</v>
      </c>
      <c r="D3160" s="940" t="s">
        <v>9654</v>
      </c>
      <c r="E3160" t="s">
        <v>105</v>
      </c>
    </row>
    <row r="3161" spans="1:5" x14ac:dyDescent="0.2">
      <c r="A3161" s="940">
        <v>1462</v>
      </c>
      <c r="B3161" s="940">
        <v>152</v>
      </c>
      <c r="C3161" t="s">
        <v>6945</v>
      </c>
      <c r="D3161" s="940" t="s">
        <v>6946</v>
      </c>
      <c r="E3161" t="s">
        <v>6947</v>
      </c>
    </row>
    <row r="3162" spans="1:5" x14ac:dyDescent="0.2">
      <c r="A3162" s="940">
        <v>1568</v>
      </c>
      <c r="B3162" s="940">
        <v>133</v>
      </c>
      <c r="C3162" t="s">
        <v>547</v>
      </c>
      <c r="D3162" s="940" t="s">
        <v>3057</v>
      </c>
      <c r="E3162" t="s">
        <v>103</v>
      </c>
    </row>
    <row r="3163" spans="1:5" x14ac:dyDescent="0.2">
      <c r="A3163" s="940">
        <v>3483</v>
      </c>
      <c r="B3163" s="940">
        <v>10</v>
      </c>
      <c r="C3163" t="s">
        <v>11005</v>
      </c>
      <c r="D3163" s="940" t="s">
        <v>3021</v>
      </c>
      <c r="E3163" t="s">
        <v>2054</v>
      </c>
    </row>
    <row r="3164" spans="1:5" x14ac:dyDescent="0.2">
      <c r="A3164" s="940">
        <v>1676</v>
      </c>
      <c r="B3164" s="940">
        <v>120</v>
      </c>
      <c r="C3164" t="s">
        <v>6948</v>
      </c>
      <c r="D3164" s="940" t="s">
        <v>6949</v>
      </c>
      <c r="E3164" t="s">
        <v>171</v>
      </c>
    </row>
    <row r="3165" spans="1:5" x14ac:dyDescent="0.2">
      <c r="A3165" s="940">
        <v>607</v>
      </c>
      <c r="B3165" s="940">
        <v>463</v>
      </c>
      <c r="C3165" t="s">
        <v>296</v>
      </c>
      <c r="D3165" s="940" t="s">
        <v>6951</v>
      </c>
      <c r="E3165" t="s">
        <v>1860</v>
      </c>
    </row>
    <row r="3166" spans="1:5" x14ac:dyDescent="0.2">
      <c r="A3166" s="940">
        <v>3732</v>
      </c>
      <c r="B3166" s="940">
        <v>6</v>
      </c>
      <c r="C3166" t="s">
        <v>11006</v>
      </c>
      <c r="D3166" s="940" t="s">
        <v>11007</v>
      </c>
      <c r="E3166" t="s">
        <v>11008</v>
      </c>
    </row>
    <row r="3167" spans="1:5" x14ac:dyDescent="0.2">
      <c r="A3167" s="940">
        <v>2168</v>
      </c>
      <c r="B3167" s="940">
        <v>72</v>
      </c>
      <c r="C3167" t="s">
        <v>6952</v>
      </c>
      <c r="D3167" s="940" t="s">
        <v>6953</v>
      </c>
      <c r="E3167" t="s">
        <v>105</v>
      </c>
    </row>
    <row r="3168" spans="1:5" x14ac:dyDescent="0.2">
      <c r="A3168" s="940">
        <v>4294</v>
      </c>
      <c r="B3168" s="940">
        <v>0</v>
      </c>
      <c r="C3168" t="s">
        <v>2010</v>
      </c>
      <c r="D3168" s="940" t="s">
        <v>6954</v>
      </c>
      <c r="E3168" t="s">
        <v>120</v>
      </c>
    </row>
    <row r="3169" spans="1:5" x14ac:dyDescent="0.2">
      <c r="A3169" s="940">
        <v>3655</v>
      </c>
      <c r="B3169" s="940">
        <v>7</v>
      </c>
      <c r="C3169" t="s">
        <v>11009</v>
      </c>
      <c r="D3169" s="940" t="s">
        <v>9516</v>
      </c>
      <c r="E3169" t="s">
        <v>3137</v>
      </c>
    </row>
    <row r="3170" spans="1:5" x14ac:dyDescent="0.2">
      <c r="A3170" s="940">
        <v>3222</v>
      </c>
      <c r="B3170" s="940">
        <v>17</v>
      </c>
      <c r="C3170" t="s">
        <v>6955</v>
      </c>
      <c r="D3170" s="940" t="s">
        <v>2645</v>
      </c>
      <c r="E3170" t="s">
        <v>1286</v>
      </c>
    </row>
    <row r="3171" spans="1:5" x14ac:dyDescent="0.2">
      <c r="A3171" s="940">
        <v>2533</v>
      </c>
      <c r="B3171" s="940">
        <v>45</v>
      </c>
      <c r="C3171" t="s">
        <v>6956</v>
      </c>
      <c r="D3171" s="940" t="s">
        <v>2783</v>
      </c>
      <c r="E3171" t="s">
        <v>376</v>
      </c>
    </row>
    <row r="3172" spans="1:5" x14ac:dyDescent="0.2">
      <c r="A3172" s="940">
        <v>670</v>
      </c>
      <c r="B3172" s="940">
        <v>422</v>
      </c>
      <c r="C3172" t="s">
        <v>11010</v>
      </c>
      <c r="D3172" s="940" t="s">
        <v>11011</v>
      </c>
      <c r="E3172" t="s">
        <v>105</v>
      </c>
    </row>
    <row r="3173" spans="1:5" x14ac:dyDescent="0.2">
      <c r="A3173" s="940">
        <v>1843</v>
      </c>
      <c r="B3173" s="940">
        <v>101</v>
      </c>
      <c r="C3173" t="s">
        <v>6957</v>
      </c>
      <c r="D3173" s="940" t="s">
        <v>6958</v>
      </c>
      <c r="E3173" t="s">
        <v>99</v>
      </c>
    </row>
    <row r="3174" spans="1:5" x14ac:dyDescent="0.2">
      <c r="A3174" s="940">
        <v>2894</v>
      </c>
      <c r="B3174" s="940">
        <v>28</v>
      </c>
      <c r="C3174" t="s">
        <v>6959</v>
      </c>
      <c r="D3174" s="940" t="s">
        <v>6960</v>
      </c>
      <c r="E3174" t="s">
        <v>1214</v>
      </c>
    </row>
    <row r="3175" spans="1:5" x14ac:dyDescent="0.2">
      <c r="A3175" s="940">
        <v>1936</v>
      </c>
      <c r="B3175" s="940">
        <v>92</v>
      </c>
      <c r="C3175" t="s">
        <v>11012</v>
      </c>
      <c r="D3175" s="940" t="s">
        <v>8804</v>
      </c>
      <c r="E3175" t="s">
        <v>1429</v>
      </c>
    </row>
    <row r="3176" spans="1:5" x14ac:dyDescent="0.2">
      <c r="A3176" s="940">
        <v>2353</v>
      </c>
      <c r="B3176" s="940">
        <v>58</v>
      </c>
      <c r="C3176" t="s">
        <v>11013</v>
      </c>
      <c r="D3176" s="940" t="s">
        <v>8804</v>
      </c>
      <c r="E3176" t="s">
        <v>1429</v>
      </c>
    </row>
    <row r="3177" spans="1:5" x14ac:dyDescent="0.2">
      <c r="A3177" s="940">
        <v>4294</v>
      </c>
      <c r="B3177" s="940">
        <v>0</v>
      </c>
      <c r="C3177" t="s">
        <v>11014</v>
      </c>
      <c r="D3177" s="940" t="s">
        <v>4302</v>
      </c>
      <c r="E3177" t="s">
        <v>1182</v>
      </c>
    </row>
    <row r="3178" spans="1:5" x14ac:dyDescent="0.2">
      <c r="A3178" s="940">
        <v>815</v>
      </c>
      <c r="B3178" s="940">
        <v>354</v>
      </c>
      <c r="C3178" t="s">
        <v>847</v>
      </c>
      <c r="D3178" s="940" t="s">
        <v>11015</v>
      </c>
      <c r="E3178" t="s">
        <v>1290</v>
      </c>
    </row>
    <row r="3179" spans="1:5" x14ac:dyDescent="0.2">
      <c r="A3179" s="940">
        <v>1629</v>
      </c>
      <c r="B3179" s="940">
        <v>124</v>
      </c>
      <c r="C3179" t="s">
        <v>2011</v>
      </c>
      <c r="D3179" s="940" t="s">
        <v>6457</v>
      </c>
      <c r="E3179" t="s">
        <v>119</v>
      </c>
    </row>
    <row r="3180" spans="1:5" x14ac:dyDescent="0.2">
      <c r="A3180" s="940">
        <v>3174</v>
      </c>
      <c r="B3180" s="940">
        <v>18</v>
      </c>
      <c r="C3180" t="s">
        <v>11016</v>
      </c>
      <c r="D3180" s="940" t="s">
        <v>5052</v>
      </c>
      <c r="E3180" t="s">
        <v>4373</v>
      </c>
    </row>
    <row r="3181" spans="1:5" x14ac:dyDescent="0.2">
      <c r="A3181" s="940">
        <v>1107</v>
      </c>
      <c r="B3181" s="940">
        <v>237</v>
      </c>
      <c r="C3181" t="s">
        <v>11017</v>
      </c>
      <c r="D3181" s="940" t="s">
        <v>11018</v>
      </c>
      <c r="E3181" t="s">
        <v>132</v>
      </c>
    </row>
    <row r="3182" spans="1:5" x14ac:dyDescent="0.2">
      <c r="A3182" s="940">
        <v>4181</v>
      </c>
      <c r="B3182" s="940">
        <v>1</v>
      </c>
      <c r="C3182" t="s">
        <v>11019</v>
      </c>
      <c r="D3182" s="940" t="s">
        <v>8532</v>
      </c>
      <c r="E3182" t="s">
        <v>2979</v>
      </c>
    </row>
    <row r="3183" spans="1:5" x14ac:dyDescent="0.2">
      <c r="A3183" s="940">
        <v>2254</v>
      </c>
      <c r="B3183" s="940">
        <v>65</v>
      </c>
      <c r="C3183" t="s">
        <v>6961</v>
      </c>
      <c r="D3183" s="940" t="s">
        <v>6962</v>
      </c>
      <c r="E3183" t="s">
        <v>1236</v>
      </c>
    </row>
    <row r="3184" spans="1:5" x14ac:dyDescent="0.2">
      <c r="A3184" s="940">
        <v>152</v>
      </c>
      <c r="B3184" s="940">
        <v>1002</v>
      </c>
      <c r="C3184" t="s">
        <v>6963</v>
      </c>
      <c r="D3184" s="940" t="s">
        <v>5829</v>
      </c>
      <c r="E3184" t="s">
        <v>6361</v>
      </c>
    </row>
    <row r="3185" spans="1:5" x14ac:dyDescent="0.2">
      <c r="A3185" s="940">
        <v>3972</v>
      </c>
      <c r="B3185" s="940">
        <v>3</v>
      </c>
      <c r="C3185" t="s">
        <v>6964</v>
      </c>
      <c r="D3185" s="940" t="s">
        <v>5877</v>
      </c>
      <c r="E3185" t="s">
        <v>120</v>
      </c>
    </row>
    <row r="3186" spans="1:5" x14ac:dyDescent="0.2">
      <c r="A3186" s="940">
        <v>2571</v>
      </c>
      <c r="B3186" s="940">
        <v>43</v>
      </c>
      <c r="C3186" t="s">
        <v>11020</v>
      </c>
      <c r="D3186" s="940" t="s">
        <v>6349</v>
      </c>
      <c r="E3186" t="s">
        <v>1856</v>
      </c>
    </row>
    <row r="3187" spans="1:5" x14ac:dyDescent="0.2">
      <c r="A3187" s="940">
        <v>815</v>
      </c>
      <c r="B3187" s="940">
        <v>354</v>
      </c>
      <c r="C3187" t="s">
        <v>11021</v>
      </c>
      <c r="D3187" s="940" t="s">
        <v>11022</v>
      </c>
      <c r="E3187" t="s">
        <v>171</v>
      </c>
    </row>
    <row r="3188" spans="1:5" x14ac:dyDescent="0.2">
      <c r="A3188" s="940">
        <v>1988</v>
      </c>
      <c r="B3188" s="940">
        <v>87</v>
      </c>
      <c r="C3188" t="s">
        <v>722</v>
      </c>
      <c r="D3188" s="940" t="s">
        <v>11023</v>
      </c>
      <c r="E3188" t="s">
        <v>716</v>
      </c>
    </row>
    <row r="3189" spans="1:5" x14ac:dyDescent="0.2">
      <c r="A3189" s="940">
        <v>1274</v>
      </c>
      <c r="B3189" s="940">
        <v>190</v>
      </c>
      <c r="C3189" t="s">
        <v>11024</v>
      </c>
      <c r="D3189" s="940" t="s">
        <v>11025</v>
      </c>
      <c r="E3189" t="s">
        <v>128</v>
      </c>
    </row>
    <row r="3190" spans="1:5" x14ac:dyDescent="0.2">
      <c r="A3190" s="940">
        <v>4294</v>
      </c>
      <c r="B3190" s="940">
        <v>0</v>
      </c>
      <c r="C3190" t="s">
        <v>11026</v>
      </c>
      <c r="D3190" s="940" t="s">
        <v>4514</v>
      </c>
      <c r="E3190" t="s">
        <v>2846</v>
      </c>
    </row>
    <row r="3191" spans="1:5" x14ac:dyDescent="0.2">
      <c r="A3191" s="940">
        <v>3048</v>
      </c>
      <c r="B3191" s="940">
        <v>22</v>
      </c>
      <c r="C3191" t="s">
        <v>11027</v>
      </c>
      <c r="D3191" s="940" t="s">
        <v>5572</v>
      </c>
      <c r="E3191" t="s">
        <v>2963</v>
      </c>
    </row>
    <row r="3192" spans="1:5" x14ac:dyDescent="0.2">
      <c r="A3192" s="940">
        <v>2486</v>
      </c>
      <c r="B3192" s="940">
        <v>48</v>
      </c>
      <c r="C3192" t="s">
        <v>6967</v>
      </c>
      <c r="D3192" s="940" t="s">
        <v>2768</v>
      </c>
      <c r="E3192" t="s">
        <v>1275</v>
      </c>
    </row>
    <row r="3193" spans="1:5" x14ac:dyDescent="0.2">
      <c r="A3193" s="940">
        <v>4294</v>
      </c>
      <c r="B3193" s="940">
        <v>0</v>
      </c>
      <c r="C3193" t="s">
        <v>6968</v>
      </c>
      <c r="D3193" s="940" t="s">
        <v>3047</v>
      </c>
      <c r="E3193" t="s">
        <v>74</v>
      </c>
    </row>
    <row r="3194" spans="1:5" x14ac:dyDescent="0.2">
      <c r="A3194" s="940">
        <v>4294</v>
      </c>
      <c r="B3194" s="940">
        <v>0</v>
      </c>
      <c r="C3194" t="s">
        <v>11028</v>
      </c>
      <c r="D3194" s="940" t="s">
        <v>4046</v>
      </c>
      <c r="E3194" t="s">
        <v>2970</v>
      </c>
    </row>
    <row r="3195" spans="1:5" x14ac:dyDescent="0.2">
      <c r="A3195" s="940">
        <v>4081</v>
      </c>
      <c r="B3195" s="940">
        <v>2</v>
      </c>
      <c r="C3195" t="s">
        <v>6969</v>
      </c>
      <c r="D3195" s="940" t="s">
        <v>6252</v>
      </c>
      <c r="E3195" t="s">
        <v>1256</v>
      </c>
    </row>
    <row r="3196" spans="1:5" x14ac:dyDescent="0.2">
      <c r="A3196" s="940">
        <v>4294</v>
      </c>
      <c r="B3196" s="940">
        <v>0</v>
      </c>
      <c r="C3196" t="s">
        <v>6970</v>
      </c>
      <c r="D3196" s="940" t="s">
        <v>6971</v>
      </c>
      <c r="E3196" t="s">
        <v>661</v>
      </c>
    </row>
    <row r="3197" spans="1:5" x14ac:dyDescent="0.2">
      <c r="A3197" s="940">
        <v>4294</v>
      </c>
      <c r="B3197" s="940">
        <v>0</v>
      </c>
      <c r="C3197" t="s">
        <v>11029</v>
      </c>
      <c r="D3197" s="940" t="s">
        <v>11030</v>
      </c>
      <c r="E3197" t="s">
        <v>84</v>
      </c>
    </row>
    <row r="3198" spans="1:5" x14ac:dyDescent="0.2">
      <c r="A3198" s="940">
        <v>680</v>
      </c>
      <c r="B3198" s="940">
        <v>415</v>
      </c>
      <c r="C3198" t="s">
        <v>11031</v>
      </c>
      <c r="D3198" s="940" t="s">
        <v>11032</v>
      </c>
      <c r="E3198" t="s">
        <v>106</v>
      </c>
    </row>
    <row r="3199" spans="1:5" x14ac:dyDescent="0.2">
      <c r="A3199" s="940">
        <v>4294</v>
      </c>
      <c r="B3199" s="940">
        <v>0</v>
      </c>
      <c r="C3199" t="s">
        <v>11033</v>
      </c>
      <c r="D3199" s="940" t="s">
        <v>8166</v>
      </c>
      <c r="E3199" t="s">
        <v>1475</v>
      </c>
    </row>
    <row r="3200" spans="1:5" x14ac:dyDescent="0.2">
      <c r="A3200" s="940">
        <v>396</v>
      </c>
      <c r="B3200" s="940">
        <v>646</v>
      </c>
      <c r="C3200" t="s">
        <v>11034</v>
      </c>
      <c r="D3200" s="940" t="s">
        <v>11035</v>
      </c>
      <c r="E3200" t="s">
        <v>113</v>
      </c>
    </row>
    <row r="3201" spans="1:5" x14ac:dyDescent="0.2">
      <c r="A3201" s="940">
        <v>521</v>
      </c>
      <c r="B3201" s="940">
        <v>526</v>
      </c>
      <c r="C3201" t="s">
        <v>11036</v>
      </c>
      <c r="D3201" s="940" t="s">
        <v>11037</v>
      </c>
      <c r="E3201" t="s">
        <v>136</v>
      </c>
    </row>
    <row r="3202" spans="1:5" x14ac:dyDescent="0.2">
      <c r="A3202" s="940">
        <v>4294</v>
      </c>
      <c r="B3202" s="940">
        <v>0</v>
      </c>
      <c r="C3202" t="s">
        <v>11038</v>
      </c>
      <c r="D3202" s="940" t="s">
        <v>11039</v>
      </c>
      <c r="E3202" t="s">
        <v>144</v>
      </c>
    </row>
    <row r="3203" spans="1:5" x14ac:dyDescent="0.2">
      <c r="A3203" s="940">
        <v>3655</v>
      </c>
      <c r="B3203" s="940">
        <v>7</v>
      </c>
      <c r="C3203" t="s">
        <v>11040</v>
      </c>
      <c r="D3203" s="940" t="s">
        <v>11041</v>
      </c>
      <c r="E3203" t="s">
        <v>163</v>
      </c>
    </row>
    <row r="3204" spans="1:5" x14ac:dyDescent="0.2">
      <c r="A3204" s="940">
        <v>2218</v>
      </c>
      <c r="B3204" s="940">
        <v>68</v>
      </c>
      <c r="C3204" t="s">
        <v>6975</v>
      </c>
      <c r="D3204" s="940" t="s">
        <v>5715</v>
      </c>
      <c r="E3204" t="s">
        <v>120</v>
      </c>
    </row>
    <row r="3205" spans="1:5" x14ac:dyDescent="0.2">
      <c r="A3205" s="940">
        <v>2450</v>
      </c>
      <c r="B3205" s="940">
        <v>51</v>
      </c>
      <c r="C3205" t="s">
        <v>6976</v>
      </c>
      <c r="D3205" s="940" t="s">
        <v>6977</v>
      </c>
      <c r="E3205" t="s">
        <v>132</v>
      </c>
    </row>
    <row r="3206" spans="1:5" x14ac:dyDescent="0.2">
      <c r="A3206" s="940">
        <v>4294</v>
      </c>
      <c r="B3206" s="940">
        <v>0</v>
      </c>
      <c r="C3206" t="s">
        <v>11042</v>
      </c>
      <c r="D3206" s="940" t="s">
        <v>10104</v>
      </c>
      <c r="E3206" t="s">
        <v>164</v>
      </c>
    </row>
    <row r="3207" spans="1:5" x14ac:dyDescent="0.2">
      <c r="A3207" s="940">
        <v>3048</v>
      </c>
      <c r="B3207" s="940">
        <v>22</v>
      </c>
      <c r="C3207" t="s">
        <v>6978</v>
      </c>
      <c r="D3207" s="940" t="s">
        <v>5572</v>
      </c>
      <c r="E3207" t="s">
        <v>1286</v>
      </c>
    </row>
    <row r="3208" spans="1:5" x14ac:dyDescent="0.2">
      <c r="A3208" s="940">
        <v>1746</v>
      </c>
      <c r="B3208" s="940">
        <v>111</v>
      </c>
      <c r="C3208" t="s">
        <v>2014</v>
      </c>
      <c r="D3208" s="940" t="s">
        <v>6979</v>
      </c>
      <c r="E3208" t="s">
        <v>120</v>
      </c>
    </row>
    <row r="3209" spans="1:5" x14ac:dyDescent="0.2">
      <c r="A3209" s="940">
        <v>1868</v>
      </c>
      <c r="B3209" s="940">
        <v>98</v>
      </c>
      <c r="C3209" t="s">
        <v>6980</v>
      </c>
      <c r="D3209" s="940" t="s">
        <v>3845</v>
      </c>
      <c r="E3209" t="s">
        <v>120</v>
      </c>
    </row>
    <row r="3210" spans="1:5" x14ac:dyDescent="0.2">
      <c r="A3210" s="940">
        <v>3048</v>
      </c>
      <c r="B3210" s="940">
        <v>22</v>
      </c>
      <c r="C3210" t="s">
        <v>11043</v>
      </c>
      <c r="D3210" s="940" t="s">
        <v>11044</v>
      </c>
      <c r="E3210" t="s">
        <v>1214</v>
      </c>
    </row>
    <row r="3211" spans="1:5" x14ac:dyDescent="0.2">
      <c r="A3211" s="940">
        <v>408</v>
      </c>
      <c r="B3211" s="940">
        <v>635</v>
      </c>
      <c r="C3211" t="s">
        <v>6984</v>
      </c>
      <c r="D3211" s="940" t="s">
        <v>6985</v>
      </c>
      <c r="E3211" t="s">
        <v>3098</v>
      </c>
    </row>
    <row r="3212" spans="1:5" x14ac:dyDescent="0.2">
      <c r="A3212" s="940">
        <v>1</v>
      </c>
      <c r="B3212" s="940">
        <v>1684</v>
      </c>
      <c r="C3212" t="s">
        <v>6986</v>
      </c>
      <c r="D3212" s="940" t="s">
        <v>6987</v>
      </c>
      <c r="E3212" t="s">
        <v>6988</v>
      </c>
    </row>
    <row r="3213" spans="1:5" x14ac:dyDescent="0.2">
      <c r="A3213" s="940">
        <v>4181</v>
      </c>
      <c r="B3213" s="940">
        <v>1</v>
      </c>
      <c r="C3213" t="s">
        <v>11045</v>
      </c>
      <c r="D3213" s="940" t="s">
        <v>3935</v>
      </c>
      <c r="E3213" t="s">
        <v>183</v>
      </c>
    </row>
    <row r="3214" spans="1:5" x14ac:dyDescent="0.2">
      <c r="A3214" s="940">
        <v>3602</v>
      </c>
      <c r="B3214" s="940">
        <v>8</v>
      </c>
      <c r="C3214" t="s">
        <v>6989</v>
      </c>
      <c r="D3214" s="940" t="s">
        <v>3588</v>
      </c>
      <c r="E3214" t="s">
        <v>103</v>
      </c>
    </row>
    <row r="3215" spans="1:5" x14ac:dyDescent="0.2">
      <c r="A3215" s="940">
        <v>752</v>
      </c>
      <c r="B3215" s="940">
        <v>381</v>
      </c>
      <c r="C3215" t="s">
        <v>11046</v>
      </c>
      <c r="D3215" s="940" t="s">
        <v>11047</v>
      </c>
      <c r="E3215" t="s">
        <v>1285</v>
      </c>
    </row>
    <row r="3216" spans="1:5" x14ac:dyDescent="0.2">
      <c r="A3216" s="940">
        <v>1054</v>
      </c>
      <c r="B3216" s="940">
        <v>257</v>
      </c>
      <c r="C3216" t="s">
        <v>6992</v>
      </c>
      <c r="D3216" s="940" t="s">
        <v>6993</v>
      </c>
      <c r="E3216" t="s">
        <v>103</v>
      </c>
    </row>
    <row r="3217" spans="1:5" x14ac:dyDescent="0.2">
      <c r="A3217" s="940">
        <v>201</v>
      </c>
      <c r="B3217" s="940">
        <v>913</v>
      </c>
      <c r="C3217" t="s">
        <v>297</v>
      </c>
      <c r="D3217" s="940" t="s">
        <v>6994</v>
      </c>
      <c r="E3217" t="s">
        <v>83</v>
      </c>
    </row>
    <row r="3218" spans="1:5" x14ac:dyDescent="0.2">
      <c r="A3218" s="940">
        <v>4294</v>
      </c>
      <c r="B3218" s="940">
        <v>0</v>
      </c>
      <c r="C3218" t="s">
        <v>11048</v>
      </c>
      <c r="D3218" s="940" t="s">
        <v>11049</v>
      </c>
      <c r="E3218" t="s">
        <v>144</v>
      </c>
    </row>
    <row r="3219" spans="1:5" x14ac:dyDescent="0.2">
      <c r="A3219" s="940">
        <v>3732</v>
      </c>
      <c r="B3219" s="940">
        <v>6</v>
      </c>
      <c r="C3219" t="s">
        <v>6995</v>
      </c>
      <c r="D3219" s="940" t="s">
        <v>3775</v>
      </c>
      <c r="E3219" t="s">
        <v>99</v>
      </c>
    </row>
    <row r="3220" spans="1:5" x14ac:dyDescent="0.2">
      <c r="A3220" s="940">
        <v>2533</v>
      </c>
      <c r="B3220" s="940">
        <v>45</v>
      </c>
      <c r="C3220" t="s">
        <v>6996</v>
      </c>
      <c r="D3220" s="940" t="s">
        <v>6997</v>
      </c>
      <c r="E3220" t="s">
        <v>1221</v>
      </c>
    </row>
    <row r="3221" spans="1:5" x14ac:dyDescent="0.2">
      <c r="A3221" s="940">
        <v>4294</v>
      </c>
      <c r="B3221" s="940">
        <v>0</v>
      </c>
      <c r="C3221" t="s">
        <v>11050</v>
      </c>
      <c r="D3221" s="940" t="s">
        <v>5179</v>
      </c>
      <c r="E3221" t="s">
        <v>105</v>
      </c>
    </row>
    <row r="3222" spans="1:5" x14ac:dyDescent="0.2">
      <c r="A3222" s="940">
        <v>2745</v>
      </c>
      <c r="B3222" s="940">
        <v>35</v>
      </c>
      <c r="C3222" t="s">
        <v>6998</v>
      </c>
      <c r="D3222" s="940" t="s">
        <v>6614</v>
      </c>
      <c r="E3222" t="s">
        <v>120</v>
      </c>
    </row>
    <row r="3223" spans="1:5" x14ac:dyDescent="0.2">
      <c r="A3223" s="940">
        <v>1921</v>
      </c>
      <c r="B3223" s="940">
        <v>93</v>
      </c>
      <c r="C3223" t="s">
        <v>6999</v>
      </c>
      <c r="D3223" s="940" t="s">
        <v>6997</v>
      </c>
      <c r="E3223" t="s">
        <v>99</v>
      </c>
    </row>
    <row r="3224" spans="1:5" x14ac:dyDescent="0.2">
      <c r="A3224" s="940">
        <v>1334</v>
      </c>
      <c r="B3224" s="940">
        <v>174</v>
      </c>
      <c r="C3224" t="s">
        <v>7000</v>
      </c>
      <c r="D3224" s="940" t="s">
        <v>3554</v>
      </c>
      <c r="E3224" t="s">
        <v>1286</v>
      </c>
    </row>
    <row r="3225" spans="1:5" x14ac:dyDescent="0.2">
      <c r="A3225" s="940">
        <v>4081</v>
      </c>
      <c r="B3225" s="940">
        <v>2</v>
      </c>
      <c r="C3225" t="s">
        <v>7001</v>
      </c>
      <c r="D3225" s="940" t="s">
        <v>3222</v>
      </c>
      <c r="E3225" t="s">
        <v>74</v>
      </c>
    </row>
    <row r="3226" spans="1:5" x14ac:dyDescent="0.2">
      <c r="A3226" s="940">
        <v>3655</v>
      </c>
      <c r="B3226" s="940">
        <v>7</v>
      </c>
      <c r="C3226" t="s">
        <v>7002</v>
      </c>
      <c r="D3226" s="940" t="s">
        <v>2813</v>
      </c>
      <c r="E3226" t="s">
        <v>108</v>
      </c>
    </row>
    <row r="3227" spans="1:5" x14ac:dyDescent="0.2">
      <c r="A3227" s="940">
        <v>1964</v>
      </c>
      <c r="B3227" s="940">
        <v>89</v>
      </c>
      <c r="C3227" t="s">
        <v>7003</v>
      </c>
      <c r="D3227" s="940" t="s">
        <v>4378</v>
      </c>
      <c r="E3227" t="s">
        <v>4395</v>
      </c>
    </row>
    <row r="3228" spans="1:5" x14ac:dyDescent="0.2">
      <c r="A3228" s="940">
        <v>3483</v>
      </c>
      <c r="B3228" s="940">
        <v>10</v>
      </c>
      <c r="C3228" t="s">
        <v>7004</v>
      </c>
      <c r="D3228" s="940" t="s">
        <v>4877</v>
      </c>
      <c r="E3228" t="s">
        <v>1460</v>
      </c>
    </row>
    <row r="3229" spans="1:5" x14ac:dyDescent="0.2">
      <c r="A3229" s="940">
        <v>3732</v>
      </c>
      <c r="B3229" s="940">
        <v>6</v>
      </c>
      <c r="C3229" t="s">
        <v>7005</v>
      </c>
      <c r="D3229" s="940" t="s">
        <v>7006</v>
      </c>
      <c r="E3229" t="s">
        <v>1460</v>
      </c>
    </row>
    <row r="3230" spans="1:5" x14ac:dyDescent="0.2">
      <c r="A3230" s="940">
        <v>4294</v>
      </c>
      <c r="B3230" s="940">
        <v>0</v>
      </c>
      <c r="C3230" t="s">
        <v>11051</v>
      </c>
      <c r="D3230" s="940" t="s">
        <v>3897</v>
      </c>
      <c r="E3230" t="s">
        <v>120</v>
      </c>
    </row>
    <row r="3231" spans="1:5" x14ac:dyDescent="0.2">
      <c r="A3231" s="940">
        <v>4294</v>
      </c>
      <c r="B3231" s="940">
        <v>0</v>
      </c>
      <c r="C3231" t="s">
        <v>11052</v>
      </c>
      <c r="D3231" s="940" t="s">
        <v>11053</v>
      </c>
      <c r="E3231" t="s">
        <v>10004</v>
      </c>
    </row>
    <row r="3232" spans="1:5" x14ac:dyDescent="0.2">
      <c r="A3232" s="940">
        <v>2833</v>
      </c>
      <c r="B3232" s="940">
        <v>31</v>
      </c>
      <c r="C3232" t="s">
        <v>7010</v>
      </c>
      <c r="D3232" s="940" t="s">
        <v>7011</v>
      </c>
      <c r="E3232" t="s">
        <v>105</v>
      </c>
    </row>
    <row r="3233" spans="1:5" x14ac:dyDescent="0.2">
      <c r="A3233" s="940">
        <v>4294</v>
      </c>
      <c r="B3233" s="940">
        <v>0</v>
      </c>
      <c r="C3233" t="s">
        <v>7012</v>
      </c>
      <c r="D3233" s="940" t="s">
        <v>7013</v>
      </c>
      <c r="E3233" t="s">
        <v>1315</v>
      </c>
    </row>
    <row r="3234" spans="1:5" x14ac:dyDescent="0.2">
      <c r="A3234" s="940">
        <v>3602</v>
      </c>
      <c r="B3234" s="940">
        <v>8</v>
      </c>
      <c r="C3234" t="s">
        <v>7014</v>
      </c>
      <c r="D3234" s="940" t="s">
        <v>4401</v>
      </c>
      <c r="E3234" t="s">
        <v>1211</v>
      </c>
    </row>
    <row r="3235" spans="1:5" x14ac:dyDescent="0.2">
      <c r="A3235" s="940">
        <v>294</v>
      </c>
      <c r="B3235" s="940">
        <v>776</v>
      </c>
      <c r="C3235" t="s">
        <v>7015</v>
      </c>
      <c r="D3235" s="940" t="s">
        <v>7016</v>
      </c>
      <c r="E3235" t="s">
        <v>75</v>
      </c>
    </row>
    <row r="3236" spans="1:5" x14ac:dyDescent="0.2">
      <c r="A3236" s="940">
        <v>4294</v>
      </c>
      <c r="B3236" s="940">
        <v>0</v>
      </c>
      <c r="C3236" t="s">
        <v>11054</v>
      </c>
      <c r="D3236" s="940" t="s">
        <v>8680</v>
      </c>
      <c r="E3236" t="s">
        <v>1587</v>
      </c>
    </row>
    <row r="3237" spans="1:5" x14ac:dyDescent="0.2">
      <c r="A3237" s="940">
        <v>926</v>
      </c>
      <c r="B3237" s="940">
        <v>306</v>
      </c>
      <c r="C3237" t="s">
        <v>11055</v>
      </c>
      <c r="D3237" s="940" t="s">
        <v>11056</v>
      </c>
      <c r="E3237" t="s">
        <v>103</v>
      </c>
    </row>
    <row r="3238" spans="1:5" x14ac:dyDescent="0.2">
      <c r="A3238" s="940">
        <v>1244</v>
      </c>
      <c r="B3238" s="940">
        <v>196</v>
      </c>
      <c r="C3238" t="s">
        <v>7017</v>
      </c>
      <c r="D3238" s="940" t="s">
        <v>5472</v>
      </c>
      <c r="E3238" t="s">
        <v>175</v>
      </c>
    </row>
    <row r="3239" spans="1:5" x14ac:dyDescent="0.2">
      <c r="A3239" s="940">
        <v>3402</v>
      </c>
      <c r="B3239" s="940">
        <v>12</v>
      </c>
      <c r="C3239" t="s">
        <v>7018</v>
      </c>
      <c r="D3239" s="940" t="s">
        <v>5897</v>
      </c>
      <c r="E3239" t="s">
        <v>109</v>
      </c>
    </row>
    <row r="3240" spans="1:5" x14ac:dyDescent="0.2">
      <c r="A3240" s="940">
        <v>59</v>
      </c>
      <c r="B3240" s="940">
        <v>1240</v>
      </c>
      <c r="C3240" t="s">
        <v>7019</v>
      </c>
      <c r="D3240" s="940" t="s">
        <v>7020</v>
      </c>
      <c r="E3240" t="s">
        <v>99</v>
      </c>
    </row>
    <row r="3241" spans="1:5" x14ac:dyDescent="0.2">
      <c r="A3241" s="940">
        <v>1574</v>
      </c>
      <c r="B3241" s="940">
        <v>132</v>
      </c>
      <c r="C3241" t="s">
        <v>7021</v>
      </c>
      <c r="D3241" s="940" t="s">
        <v>7022</v>
      </c>
      <c r="E3241" t="s">
        <v>105</v>
      </c>
    </row>
    <row r="3242" spans="1:5" x14ac:dyDescent="0.2">
      <c r="A3242" s="940">
        <v>2138</v>
      </c>
      <c r="B3242" s="940">
        <v>74</v>
      </c>
      <c r="C3242" t="s">
        <v>7023</v>
      </c>
      <c r="D3242" s="940" t="s">
        <v>7024</v>
      </c>
      <c r="E3242" t="s">
        <v>117</v>
      </c>
    </row>
    <row r="3243" spans="1:5" x14ac:dyDescent="0.2">
      <c r="A3243" s="940">
        <v>4294</v>
      </c>
      <c r="B3243" s="940">
        <v>0</v>
      </c>
      <c r="C3243" t="s">
        <v>11057</v>
      </c>
      <c r="D3243" s="940" t="s">
        <v>11058</v>
      </c>
      <c r="E3243" t="s">
        <v>5156</v>
      </c>
    </row>
    <row r="3244" spans="1:5" x14ac:dyDescent="0.2">
      <c r="A3244" s="940">
        <v>4294</v>
      </c>
      <c r="B3244" s="940">
        <v>0</v>
      </c>
      <c r="C3244" t="s">
        <v>11059</v>
      </c>
      <c r="D3244" s="940" t="s">
        <v>11060</v>
      </c>
      <c r="E3244" t="s">
        <v>117</v>
      </c>
    </row>
    <row r="3245" spans="1:5" x14ac:dyDescent="0.2">
      <c r="A3245" s="940">
        <v>1921</v>
      </c>
      <c r="B3245" s="940">
        <v>93</v>
      </c>
      <c r="C3245" t="s">
        <v>11061</v>
      </c>
      <c r="D3245" s="940" t="s">
        <v>11062</v>
      </c>
      <c r="E3245" t="s">
        <v>72</v>
      </c>
    </row>
    <row r="3246" spans="1:5" x14ac:dyDescent="0.2">
      <c r="A3246" s="940">
        <v>4294</v>
      </c>
      <c r="B3246" s="940">
        <v>0</v>
      </c>
      <c r="C3246" t="s">
        <v>7025</v>
      </c>
      <c r="D3246" s="940" t="s">
        <v>3532</v>
      </c>
      <c r="E3246" t="s">
        <v>105</v>
      </c>
    </row>
    <row r="3247" spans="1:5" x14ac:dyDescent="0.2">
      <c r="A3247" s="940">
        <v>1217</v>
      </c>
      <c r="B3247" s="940">
        <v>204</v>
      </c>
      <c r="C3247" t="s">
        <v>7026</v>
      </c>
      <c r="D3247" s="940" t="s">
        <v>7027</v>
      </c>
      <c r="E3247" t="s">
        <v>2928</v>
      </c>
    </row>
    <row r="3248" spans="1:5" x14ac:dyDescent="0.2">
      <c r="A3248" s="940">
        <v>3972</v>
      </c>
      <c r="B3248" s="940">
        <v>3</v>
      </c>
      <c r="C3248" t="s">
        <v>7029</v>
      </c>
      <c r="D3248" s="940" t="s">
        <v>6811</v>
      </c>
      <c r="E3248" t="s">
        <v>1844</v>
      </c>
    </row>
    <row r="3249" spans="1:5" x14ac:dyDescent="0.2">
      <c r="A3249" s="940">
        <v>2980</v>
      </c>
      <c r="B3249" s="940">
        <v>24</v>
      </c>
      <c r="C3249" t="s">
        <v>7030</v>
      </c>
      <c r="D3249" s="940" t="s">
        <v>7031</v>
      </c>
      <c r="E3249" t="s">
        <v>1343</v>
      </c>
    </row>
    <row r="3250" spans="1:5" x14ac:dyDescent="0.2">
      <c r="A3250" s="940">
        <v>4294</v>
      </c>
      <c r="B3250" s="940">
        <v>0</v>
      </c>
      <c r="C3250" t="s">
        <v>7034</v>
      </c>
      <c r="D3250" s="940" t="s">
        <v>7035</v>
      </c>
      <c r="E3250" t="s">
        <v>105</v>
      </c>
    </row>
    <row r="3251" spans="1:5" x14ac:dyDescent="0.2">
      <c r="A3251" s="940">
        <v>2462</v>
      </c>
      <c r="B3251" s="940">
        <v>50</v>
      </c>
      <c r="C3251" t="s">
        <v>7036</v>
      </c>
      <c r="D3251" s="940" t="s">
        <v>4980</v>
      </c>
      <c r="E3251" t="s">
        <v>1372</v>
      </c>
    </row>
    <row r="3252" spans="1:5" x14ac:dyDescent="0.2">
      <c r="A3252" s="940">
        <v>1301</v>
      </c>
      <c r="B3252" s="940">
        <v>184</v>
      </c>
      <c r="C3252" t="s">
        <v>7037</v>
      </c>
      <c r="D3252" s="940" t="s">
        <v>5932</v>
      </c>
      <c r="E3252" t="s">
        <v>147</v>
      </c>
    </row>
    <row r="3253" spans="1:5" x14ac:dyDescent="0.2">
      <c r="A3253" s="940">
        <v>2614</v>
      </c>
      <c r="B3253" s="940">
        <v>41</v>
      </c>
      <c r="C3253" t="s">
        <v>7038</v>
      </c>
      <c r="D3253" s="940" t="s">
        <v>5416</v>
      </c>
      <c r="E3253" t="s">
        <v>1171</v>
      </c>
    </row>
    <row r="3254" spans="1:5" x14ac:dyDescent="0.2">
      <c r="A3254" s="940">
        <v>4294</v>
      </c>
      <c r="B3254" s="940">
        <v>0</v>
      </c>
      <c r="C3254" t="s">
        <v>7039</v>
      </c>
      <c r="D3254" s="940" t="s">
        <v>7040</v>
      </c>
      <c r="E3254" t="s">
        <v>1968</v>
      </c>
    </row>
    <row r="3255" spans="1:5" x14ac:dyDescent="0.2">
      <c r="A3255" s="940">
        <v>4294</v>
      </c>
      <c r="B3255" s="940">
        <v>0</v>
      </c>
      <c r="C3255" t="s">
        <v>7041</v>
      </c>
      <c r="D3255" s="940" t="s">
        <v>3546</v>
      </c>
      <c r="E3255" t="s">
        <v>163</v>
      </c>
    </row>
    <row r="3256" spans="1:5" x14ac:dyDescent="0.2">
      <c r="A3256" s="940">
        <v>3290</v>
      </c>
      <c r="B3256" s="940">
        <v>15</v>
      </c>
      <c r="C3256" t="s">
        <v>7045</v>
      </c>
      <c r="D3256" s="940" t="s">
        <v>7046</v>
      </c>
      <c r="E3256" t="s">
        <v>74</v>
      </c>
    </row>
    <row r="3257" spans="1:5" x14ac:dyDescent="0.2">
      <c r="A3257" s="940">
        <v>2514</v>
      </c>
      <c r="B3257" s="940">
        <v>46</v>
      </c>
      <c r="C3257" t="s">
        <v>7047</v>
      </c>
      <c r="D3257" s="940" t="s">
        <v>3558</v>
      </c>
      <c r="E3257" t="s">
        <v>1171</v>
      </c>
    </row>
    <row r="3258" spans="1:5" x14ac:dyDescent="0.2">
      <c r="A3258" s="940">
        <v>298</v>
      </c>
      <c r="B3258" s="940">
        <v>774</v>
      </c>
      <c r="C3258" t="s">
        <v>11063</v>
      </c>
      <c r="D3258" s="940" t="s">
        <v>11064</v>
      </c>
      <c r="E3258" t="s">
        <v>113</v>
      </c>
    </row>
    <row r="3259" spans="1:5" x14ac:dyDescent="0.2">
      <c r="A3259" s="940">
        <v>2207</v>
      </c>
      <c r="B3259" s="940">
        <v>69</v>
      </c>
      <c r="C3259" t="s">
        <v>550</v>
      </c>
      <c r="D3259" s="940" t="s">
        <v>11065</v>
      </c>
      <c r="E3259" t="s">
        <v>105</v>
      </c>
    </row>
    <row r="3260" spans="1:5" x14ac:dyDescent="0.2">
      <c r="A3260" s="940">
        <v>4294</v>
      </c>
      <c r="B3260" s="940">
        <v>0</v>
      </c>
      <c r="C3260" t="s">
        <v>7048</v>
      </c>
      <c r="D3260" s="940" t="s">
        <v>3440</v>
      </c>
      <c r="E3260" t="s">
        <v>105</v>
      </c>
    </row>
    <row r="3261" spans="1:5" x14ac:dyDescent="0.2">
      <c r="A3261" s="940">
        <v>4181</v>
      </c>
      <c r="B3261" s="940">
        <v>1</v>
      </c>
      <c r="C3261" t="s">
        <v>7050</v>
      </c>
      <c r="D3261" s="940" t="s">
        <v>7051</v>
      </c>
      <c r="E3261" t="s">
        <v>120</v>
      </c>
    </row>
    <row r="3262" spans="1:5" x14ac:dyDescent="0.2">
      <c r="A3262" s="940">
        <v>4294</v>
      </c>
      <c r="B3262" s="940">
        <v>0</v>
      </c>
      <c r="C3262" t="s">
        <v>11066</v>
      </c>
      <c r="D3262" s="940" t="s">
        <v>6159</v>
      </c>
      <c r="E3262" t="s">
        <v>1156</v>
      </c>
    </row>
    <row r="3263" spans="1:5" x14ac:dyDescent="0.2">
      <c r="A3263" s="940">
        <v>3882</v>
      </c>
      <c r="B3263" s="940">
        <v>4</v>
      </c>
      <c r="C3263" t="s">
        <v>11067</v>
      </c>
      <c r="D3263" s="940" t="s">
        <v>11068</v>
      </c>
      <c r="E3263" t="s">
        <v>11069</v>
      </c>
    </row>
    <row r="3264" spans="1:5" x14ac:dyDescent="0.2">
      <c r="A3264" s="940">
        <v>3972</v>
      </c>
      <c r="B3264" s="940">
        <v>3</v>
      </c>
      <c r="C3264" t="s">
        <v>11067</v>
      </c>
      <c r="D3264" s="940" t="s">
        <v>4597</v>
      </c>
      <c r="E3264" t="s">
        <v>1372</v>
      </c>
    </row>
    <row r="3265" spans="1:5" x14ac:dyDescent="0.2">
      <c r="A3265" s="940">
        <v>724</v>
      </c>
      <c r="B3265" s="940">
        <v>394</v>
      </c>
      <c r="C3265" t="s">
        <v>848</v>
      </c>
      <c r="D3265" s="940" t="s">
        <v>7053</v>
      </c>
      <c r="E3265" t="s">
        <v>109</v>
      </c>
    </row>
    <row r="3266" spans="1:5" x14ac:dyDescent="0.2">
      <c r="A3266" s="940">
        <v>4294</v>
      </c>
      <c r="B3266" s="940">
        <v>0</v>
      </c>
      <c r="C3266" t="s">
        <v>7054</v>
      </c>
      <c r="D3266" s="940" t="s">
        <v>7055</v>
      </c>
      <c r="E3266" t="s">
        <v>105</v>
      </c>
    </row>
    <row r="3267" spans="1:5" x14ac:dyDescent="0.2">
      <c r="A3267" s="940">
        <v>2042</v>
      </c>
      <c r="B3267" s="940">
        <v>82</v>
      </c>
      <c r="C3267" t="s">
        <v>7056</v>
      </c>
      <c r="D3267" s="940" t="s">
        <v>7057</v>
      </c>
      <c r="E3267" t="s">
        <v>7058</v>
      </c>
    </row>
    <row r="3268" spans="1:5" x14ac:dyDescent="0.2">
      <c r="A3268" s="940">
        <v>2353</v>
      </c>
      <c r="B3268" s="940">
        <v>58</v>
      </c>
      <c r="C3268" t="s">
        <v>7059</v>
      </c>
      <c r="D3268" s="940" t="s">
        <v>5171</v>
      </c>
      <c r="E3268" t="s">
        <v>183</v>
      </c>
    </row>
    <row r="3269" spans="1:5" x14ac:dyDescent="0.2">
      <c r="A3269" s="940">
        <v>1766</v>
      </c>
      <c r="B3269" s="940">
        <v>109</v>
      </c>
      <c r="C3269" t="s">
        <v>11070</v>
      </c>
      <c r="D3269" s="940" t="s">
        <v>9782</v>
      </c>
      <c r="E3269" t="s">
        <v>1251</v>
      </c>
    </row>
    <row r="3270" spans="1:5" x14ac:dyDescent="0.2">
      <c r="A3270" s="940">
        <v>1524</v>
      </c>
      <c r="B3270" s="940">
        <v>141</v>
      </c>
      <c r="C3270" t="s">
        <v>11071</v>
      </c>
      <c r="D3270" s="940" t="s">
        <v>11018</v>
      </c>
      <c r="E3270" t="s">
        <v>2613</v>
      </c>
    </row>
    <row r="3271" spans="1:5" x14ac:dyDescent="0.2">
      <c r="A3271" s="940">
        <v>3732</v>
      </c>
      <c r="B3271" s="940">
        <v>6</v>
      </c>
      <c r="C3271" t="s">
        <v>11072</v>
      </c>
      <c r="D3271" s="940" t="s">
        <v>9911</v>
      </c>
      <c r="E3271" t="s">
        <v>3398</v>
      </c>
    </row>
    <row r="3272" spans="1:5" x14ac:dyDescent="0.2">
      <c r="A3272" s="940">
        <v>2150</v>
      </c>
      <c r="B3272" s="940">
        <v>73</v>
      </c>
      <c r="C3272" t="s">
        <v>7060</v>
      </c>
      <c r="D3272" s="940" t="s">
        <v>7061</v>
      </c>
      <c r="E3272" t="s">
        <v>1332</v>
      </c>
    </row>
    <row r="3273" spans="1:5" x14ac:dyDescent="0.2">
      <c r="A3273" s="940">
        <v>2124</v>
      </c>
      <c r="B3273" s="940">
        <v>75</v>
      </c>
      <c r="C3273" t="s">
        <v>7062</v>
      </c>
      <c r="D3273" s="940" t="s">
        <v>7063</v>
      </c>
      <c r="E3273" t="s">
        <v>7064</v>
      </c>
    </row>
    <row r="3274" spans="1:5" x14ac:dyDescent="0.2">
      <c r="A3274" s="940">
        <v>2794</v>
      </c>
      <c r="B3274" s="940">
        <v>33</v>
      </c>
      <c r="C3274" t="s">
        <v>11073</v>
      </c>
      <c r="D3274" s="940" t="s">
        <v>11074</v>
      </c>
      <c r="E3274" t="s">
        <v>170</v>
      </c>
    </row>
    <row r="3275" spans="1:5" x14ac:dyDescent="0.2">
      <c r="A3275" s="940">
        <v>223</v>
      </c>
      <c r="B3275" s="940">
        <v>877</v>
      </c>
      <c r="C3275" t="s">
        <v>7066</v>
      </c>
      <c r="D3275" s="940" t="s">
        <v>7067</v>
      </c>
      <c r="E3275" t="s">
        <v>141</v>
      </c>
    </row>
    <row r="3276" spans="1:5" x14ac:dyDescent="0.2">
      <c r="A3276" s="940">
        <v>1806</v>
      </c>
      <c r="B3276" s="940">
        <v>104</v>
      </c>
      <c r="C3276" t="s">
        <v>7069</v>
      </c>
      <c r="D3276" s="940" t="s">
        <v>7070</v>
      </c>
      <c r="E3276" t="s">
        <v>122</v>
      </c>
    </row>
    <row r="3277" spans="1:5" x14ac:dyDescent="0.2">
      <c r="A3277" s="940">
        <v>3732</v>
      </c>
      <c r="B3277" s="940">
        <v>6</v>
      </c>
      <c r="C3277" t="s">
        <v>7071</v>
      </c>
      <c r="D3277" s="940" t="s">
        <v>6163</v>
      </c>
      <c r="E3277" t="s">
        <v>1427</v>
      </c>
    </row>
    <row r="3278" spans="1:5" x14ac:dyDescent="0.2">
      <c r="A3278" s="940">
        <v>932</v>
      </c>
      <c r="B3278" s="940">
        <v>305</v>
      </c>
      <c r="C3278" t="s">
        <v>551</v>
      </c>
      <c r="D3278" s="940" t="s">
        <v>3605</v>
      </c>
      <c r="E3278" t="s">
        <v>141</v>
      </c>
    </row>
    <row r="3279" spans="1:5" x14ac:dyDescent="0.2">
      <c r="A3279" s="940">
        <v>2083</v>
      </c>
      <c r="B3279" s="940">
        <v>79</v>
      </c>
      <c r="C3279" t="s">
        <v>551</v>
      </c>
      <c r="D3279" s="940" t="s">
        <v>6802</v>
      </c>
      <c r="E3279" t="s">
        <v>99</v>
      </c>
    </row>
    <row r="3280" spans="1:5" x14ac:dyDescent="0.2">
      <c r="A3280" s="940">
        <v>1774</v>
      </c>
      <c r="B3280" s="940">
        <v>108</v>
      </c>
      <c r="C3280" t="s">
        <v>7072</v>
      </c>
      <c r="D3280" s="940" t="s">
        <v>7073</v>
      </c>
      <c r="E3280" t="s">
        <v>1358</v>
      </c>
    </row>
    <row r="3281" spans="1:5" x14ac:dyDescent="0.2">
      <c r="A3281" s="940">
        <v>4294</v>
      </c>
      <c r="B3281" s="940">
        <v>0</v>
      </c>
      <c r="C3281" t="s">
        <v>11075</v>
      </c>
      <c r="D3281" s="940" t="s">
        <v>3431</v>
      </c>
      <c r="E3281" t="s">
        <v>1524</v>
      </c>
    </row>
    <row r="3282" spans="1:5" x14ac:dyDescent="0.2">
      <c r="A3282" s="940">
        <v>3083</v>
      </c>
      <c r="B3282" s="940">
        <v>21</v>
      </c>
      <c r="C3282" t="s">
        <v>11076</v>
      </c>
      <c r="D3282" s="940" t="s">
        <v>11077</v>
      </c>
      <c r="E3282" t="s">
        <v>163</v>
      </c>
    </row>
    <row r="3283" spans="1:5" x14ac:dyDescent="0.2">
      <c r="A3283" s="940">
        <v>2014</v>
      </c>
      <c r="B3283" s="940">
        <v>84</v>
      </c>
      <c r="C3283" t="s">
        <v>7076</v>
      </c>
      <c r="D3283" s="940" t="s">
        <v>3741</v>
      </c>
      <c r="E3283" t="s">
        <v>7077</v>
      </c>
    </row>
    <row r="3284" spans="1:5" x14ac:dyDescent="0.2">
      <c r="A3284" s="940">
        <v>575</v>
      </c>
      <c r="B3284" s="940">
        <v>488</v>
      </c>
      <c r="C3284" t="s">
        <v>11078</v>
      </c>
      <c r="D3284" s="940" t="s">
        <v>11079</v>
      </c>
      <c r="E3284" t="s">
        <v>105</v>
      </c>
    </row>
    <row r="3285" spans="1:5" x14ac:dyDescent="0.2">
      <c r="A3285" s="940">
        <v>3008</v>
      </c>
      <c r="B3285" s="940">
        <v>23</v>
      </c>
      <c r="C3285" t="s">
        <v>7078</v>
      </c>
      <c r="D3285" s="940" t="s">
        <v>4633</v>
      </c>
      <c r="E3285" t="s">
        <v>1844</v>
      </c>
    </row>
    <row r="3286" spans="1:5" x14ac:dyDescent="0.2">
      <c r="A3286" s="940">
        <v>3732</v>
      </c>
      <c r="B3286" s="940">
        <v>6</v>
      </c>
      <c r="C3286" t="s">
        <v>7079</v>
      </c>
      <c r="D3286" s="940" t="s">
        <v>3212</v>
      </c>
      <c r="E3286" t="s">
        <v>170</v>
      </c>
    </row>
    <row r="3287" spans="1:5" x14ac:dyDescent="0.2">
      <c r="A3287" s="940">
        <v>1009</v>
      </c>
      <c r="B3287" s="940">
        <v>274</v>
      </c>
      <c r="C3287" t="s">
        <v>2024</v>
      </c>
      <c r="D3287" s="940" t="s">
        <v>9191</v>
      </c>
      <c r="E3287" t="s">
        <v>120</v>
      </c>
    </row>
    <row r="3288" spans="1:5" x14ac:dyDescent="0.2">
      <c r="A3288" s="940">
        <v>2649</v>
      </c>
      <c r="B3288" s="940">
        <v>39</v>
      </c>
      <c r="C3288" t="s">
        <v>302</v>
      </c>
      <c r="D3288" s="940" t="s">
        <v>7080</v>
      </c>
      <c r="E3288" t="s">
        <v>3487</v>
      </c>
    </row>
    <row r="3289" spans="1:5" x14ac:dyDescent="0.2">
      <c r="A3289" s="940">
        <v>2514</v>
      </c>
      <c r="B3289" s="940">
        <v>46</v>
      </c>
      <c r="C3289" t="s">
        <v>7081</v>
      </c>
      <c r="D3289" s="940" t="s">
        <v>3935</v>
      </c>
      <c r="E3289" t="s">
        <v>2928</v>
      </c>
    </row>
    <row r="3290" spans="1:5" x14ac:dyDescent="0.2">
      <c r="A3290" s="940">
        <v>2794</v>
      </c>
      <c r="B3290" s="940">
        <v>33</v>
      </c>
      <c r="C3290" t="s">
        <v>11080</v>
      </c>
      <c r="D3290" s="940" t="s">
        <v>10337</v>
      </c>
      <c r="E3290" t="s">
        <v>243</v>
      </c>
    </row>
    <row r="3291" spans="1:5" x14ac:dyDescent="0.2">
      <c r="A3291" s="940">
        <v>4294</v>
      </c>
      <c r="B3291" s="940">
        <v>0</v>
      </c>
      <c r="C3291" t="s">
        <v>7082</v>
      </c>
      <c r="D3291" s="940" t="s">
        <v>3818</v>
      </c>
      <c r="E3291" t="s">
        <v>120</v>
      </c>
    </row>
    <row r="3292" spans="1:5" x14ac:dyDescent="0.2">
      <c r="A3292" s="940">
        <v>4294</v>
      </c>
      <c r="B3292" s="940">
        <v>0</v>
      </c>
      <c r="C3292" t="s">
        <v>11081</v>
      </c>
      <c r="D3292" s="940" t="s">
        <v>3196</v>
      </c>
      <c r="E3292" t="s">
        <v>120</v>
      </c>
    </row>
    <row r="3293" spans="1:5" x14ac:dyDescent="0.2">
      <c r="A3293" s="940">
        <v>3796</v>
      </c>
      <c r="B3293" s="940">
        <v>5</v>
      </c>
      <c r="C3293" t="s">
        <v>7083</v>
      </c>
      <c r="D3293" s="940" t="s">
        <v>4634</v>
      </c>
      <c r="E3293" t="s">
        <v>105</v>
      </c>
    </row>
    <row r="3294" spans="1:5" x14ac:dyDescent="0.2">
      <c r="A3294" s="940">
        <v>4294</v>
      </c>
      <c r="B3294" s="940">
        <v>0</v>
      </c>
      <c r="C3294" t="s">
        <v>11082</v>
      </c>
      <c r="D3294" s="940" t="s">
        <v>4163</v>
      </c>
      <c r="E3294" t="s">
        <v>1214</v>
      </c>
    </row>
    <row r="3295" spans="1:5" x14ac:dyDescent="0.2">
      <c r="A3295" s="940">
        <v>4181</v>
      </c>
      <c r="B3295" s="940">
        <v>1</v>
      </c>
      <c r="C3295" t="s">
        <v>7084</v>
      </c>
      <c r="D3295" s="940" t="s">
        <v>7085</v>
      </c>
      <c r="E3295" t="s">
        <v>163</v>
      </c>
    </row>
    <row r="3296" spans="1:5" x14ac:dyDescent="0.2">
      <c r="A3296" s="940">
        <v>3882</v>
      </c>
      <c r="B3296" s="940">
        <v>4</v>
      </c>
      <c r="C3296" t="s">
        <v>7086</v>
      </c>
      <c r="D3296" s="940" t="s">
        <v>7087</v>
      </c>
      <c r="E3296" t="s">
        <v>164</v>
      </c>
    </row>
    <row r="3297" spans="1:5" x14ac:dyDescent="0.2">
      <c r="A3297" s="940">
        <v>4294</v>
      </c>
      <c r="B3297" s="940">
        <v>0</v>
      </c>
      <c r="C3297" t="s">
        <v>7090</v>
      </c>
      <c r="D3297" s="940" t="s">
        <v>2651</v>
      </c>
      <c r="E3297" t="s">
        <v>105</v>
      </c>
    </row>
    <row r="3298" spans="1:5" x14ac:dyDescent="0.2">
      <c r="A3298" s="940">
        <v>3655</v>
      </c>
      <c r="B3298" s="940">
        <v>7</v>
      </c>
      <c r="C3298" t="s">
        <v>7091</v>
      </c>
      <c r="D3298" s="940" t="s">
        <v>2651</v>
      </c>
      <c r="E3298" t="s">
        <v>105</v>
      </c>
    </row>
    <row r="3299" spans="1:5" x14ac:dyDescent="0.2">
      <c r="A3299" s="940">
        <v>4294</v>
      </c>
      <c r="B3299" s="940">
        <v>0</v>
      </c>
      <c r="C3299" t="s">
        <v>7092</v>
      </c>
      <c r="D3299" s="940" t="s">
        <v>3220</v>
      </c>
      <c r="E3299" t="s">
        <v>72</v>
      </c>
    </row>
    <row r="3300" spans="1:5" x14ac:dyDescent="0.2">
      <c r="A3300" s="940">
        <v>4294</v>
      </c>
      <c r="B3300" s="940">
        <v>0</v>
      </c>
      <c r="C3300" t="s">
        <v>7093</v>
      </c>
      <c r="D3300" s="940" t="s">
        <v>7094</v>
      </c>
      <c r="E3300" t="s">
        <v>105</v>
      </c>
    </row>
    <row r="3301" spans="1:5" x14ac:dyDescent="0.2">
      <c r="A3301" s="940">
        <v>4294</v>
      </c>
      <c r="B3301" s="940">
        <v>0</v>
      </c>
      <c r="C3301" t="s">
        <v>7097</v>
      </c>
      <c r="D3301" s="940" t="s">
        <v>7098</v>
      </c>
      <c r="E3301" t="s">
        <v>117</v>
      </c>
    </row>
    <row r="3302" spans="1:5" x14ac:dyDescent="0.2">
      <c r="A3302" s="940">
        <v>883</v>
      </c>
      <c r="B3302" s="940">
        <v>325</v>
      </c>
      <c r="C3302" t="s">
        <v>7099</v>
      </c>
      <c r="D3302" s="940" t="s">
        <v>7100</v>
      </c>
      <c r="E3302" t="s">
        <v>147</v>
      </c>
    </row>
    <row r="3303" spans="1:5" x14ac:dyDescent="0.2">
      <c r="A3303" s="940">
        <v>2833</v>
      </c>
      <c r="B3303" s="940">
        <v>31</v>
      </c>
      <c r="C3303" t="s">
        <v>7101</v>
      </c>
      <c r="D3303" s="940" t="s">
        <v>11083</v>
      </c>
      <c r="E3303" t="s">
        <v>3137</v>
      </c>
    </row>
    <row r="3304" spans="1:5" x14ac:dyDescent="0.2">
      <c r="A3304" s="940">
        <v>4181</v>
      </c>
      <c r="B3304" s="940">
        <v>1</v>
      </c>
      <c r="C3304" t="s">
        <v>7102</v>
      </c>
      <c r="D3304" s="940" t="s">
        <v>7103</v>
      </c>
      <c r="E3304" t="s">
        <v>1427</v>
      </c>
    </row>
    <row r="3305" spans="1:5" x14ac:dyDescent="0.2">
      <c r="A3305" s="940">
        <v>1613</v>
      </c>
      <c r="B3305" s="940">
        <v>126</v>
      </c>
      <c r="C3305" t="s">
        <v>7104</v>
      </c>
      <c r="D3305" s="940" t="s">
        <v>7105</v>
      </c>
      <c r="E3305" t="s">
        <v>1269</v>
      </c>
    </row>
    <row r="3306" spans="1:5" x14ac:dyDescent="0.2">
      <c r="A3306" s="940">
        <v>3358</v>
      </c>
      <c r="B3306" s="940">
        <v>13</v>
      </c>
      <c r="C3306" t="s">
        <v>11084</v>
      </c>
      <c r="D3306" s="940" t="s">
        <v>5028</v>
      </c>
      <c r="E3306" t="s">
        <v>6471</v>
      </c>
    </row>
    <row r="3307" spans="1:5" x14ac:dyDescent="0.2">
      <c r="A3307" s="940">
        <v>3602</v>
      </c>
      <c r="B3307" s="940">
        <v>8</v>
      </c>
      <c r="C3307" t="s">
        <v>7106</v>
      </c>
      <c r="D3307" s="940" t="s">
        <v>3162</v>
      </c>
      <c r="E3307" t="s">
        <v>1327</v>
      </c>
    </row>
    <row r="3308" spans="1:5" x14ac:dyDescent="0.2">
      <c r="A3308" s="940">
        <v>4294</v>
      </c>
      <c r="B3308" s="940">
        <v>0</v>
      </c>
      <c r="C3308" t="s">
        <v>2025</v>
      </c>
      <c r="D3308" s="940" t="s">
        <v>4189</v>
      </c>
      <c r="E3308" t="s">
        <v>110</v>
      </c>
    </row>
    <row r="3309" spans="1:5" x14ac:dyDescent="0.2">
      <c r="A3309" s="940">
        <v>3882</v>
      </c>
      <c r="B3309" s="940">
        <v>4</v>
      </c>
      <c r="C3309" t="s">
        <v>7113</v>
      </c>
      <c r="D3309" s="940" t="s">
        <v>3311</v>
      </c>
      <c r="E3309" t="s">
        <v>120</v>
      </c>
    </row>
    <row r="3310" spans="1:5" x14ac:dyDescent="0.2">
      <c r="A3310" s="940">
        <v>2124</v>
      </c>
      <c r="B3310" s="940">
        <v>75</v>
      </c>
      <c r="C3310" t="s">
        <v>7114</v>
      </c>
      <c r="D3310" s="940" t="s">
        <v>5987</v>
      </c>
      <c r="E3310" t="s">
        <v>1507</v>
      </c>
    </row>
    <row r="3311" spans="1:5" x14ac:dyDescent="0.2">
      <c r="A3311" s="940">
        <v>217</v>
      </c>
      <c r="B3311" s="940">
        <v>883</v>
      </c>
      <c r="C3311" t="s">
        <v>7115</v>
      </c>
      <c r="D3311" s="940" t="s">
        <v>7116</v>
      </c>
      <c r="E3311" t="s">
        <v>1236</v>
      </c>
    </row>
    <row r="3312" spans="1:5" x14ac:dyDescent="0.2">
      <c r="A3312" s="940">
        <v>2329</v>
      </c>
      <c r="B3312" s="940">
        <v>60</v>
      </c>
      <c r="C3312" t="s">
        <v>7117</v>
      </c>
      <c r="D3312" s="940" t="s">
        <v>7118</v>
      </c>
      <c r="E3312" t="s">
        <v>4466</v>
      </c>
    </row>
    <row r="3313" spans="1:5" x14ac:dyDescent="0.2">
      <c r="A3313" s="940">
        <v>4294</v>
      </c>
      <c r="B3313" s="940">
        <v>0</v>
      </c>
      <c r="C3313" t="s">
        <v>2026</v>
      </c>
      <c r="D3313" s="940" t="s">
        <v>7120</v>
      </c>
      <c r="E3313" t="s">
        <v>120</v>
      </c>
    </row>
    <row r="3314" spans="1:5" x14ac:dyDescent="0.2">
      <c r="A3314" s="940">
        <v>1102</v>
      </c>
      <c r="B3314" s="940">
        <v>240</v>
      </c>
      <c r="C3314" t="s">
        <v>2569</v>
      </c>
      <c r="D3314" s="940" t="s">
        <v>7121</v>
      </c>
      <c r="E3314" t="s">
        <v>73</v>
      </c>
    </row>
    <row r="3315" spans="1:5" x14ac:dyDescent="0.2">
      <c r="A3315" s="940">
        <v>4294</v>
      </c>
      <c r="B3315" s="940">
        <v>0</v>
      </c>
      <c r="C3315" t="s">
        <v>2569</v>
      </c>
      <c r="D3315" s="940" t="s">
        <v>11085</v>
      </c>
      <c r="E3315" t="s">
        <v>4722</v>
      </c>
    </row>
    <row r="3316" spans="1:5" x14ac:dyDescent="0.2">
      <c r="A3316" s="940">
        <v>3655</v>
      </c>
      <c r="B3316" s="940">
        <v>7</v>
      </c>
      <c r="C3316" t="s">
        <v>11086</v>
      </c>
      <c r="D3316" s="940" t="s">
        <v>11087</v>
      </c>
      <c r="E3316" t="s">
        <v>1315</v>
      </c>
    </row>
    <row r="3317" spans="1:5" x14ac:dyDescent="0.2">
      <c r="A3317" s="940">
        <v>2286</v>
      </c>
      <c r="B3317" s="940">
        <v>63</v>
      </c>
      <c r="C3317" t="s">
        <v>11088</v>
      </c>
      <c r="D3317" s="940" t="s">
        <v>11089</v>
      </c>
      <c r="E3317" t="s">
        <v>120</v>
      </c>
    </row>
    <row r="3318" spans="1:5" x14ac:dyDescent="0.2">
      <c r="A3318" s="940">
        <v>699</v>
      </c>
      <c r="B3318" s="940">
        <v>403</v>
      </c>
      <c r="C3318" t="s">
        <v>2028</v>
      </c>
      <c r="D3318" s="940" t="s">
        <v>10223</v>
      </c>
      <c r="E3318" t="s">
        <v>105</v>
      </c>
    </row>
    <row r="3319" spans="1:5" x14ac:dyDescent="0.2">
      <c r="A3319" s="940">
        <v>1964</v>
      </c>
      <c r="B3319" s="940">
        <v>89</v>
      </c>
      <c r="C3319" t="s">
        <v>2032</v>
      </c>
      <c r="D3319" s="940" t="s">
        <v>11090</v>
      </c>
      <c r="E3319" t="s">
        <v>120</v>
      </c>
    </row>
    <row r="3320" spans="1:5" x14ac:dyDescent="0.2">
      <c r="A3320" s="940">
        <v>11</v>
      </c>
      <c r="B3320" s="940">
        <v>1564</v>
      </c>
      <c r="C3320" t="s">
        <v>7123</v>
      </c>
      <c r="D3320" s="940" t="s">
        <v>7124</v>
      </c>
      <c r="E3320" t="s">
        <v>99</v>
      </c>
    </row>
    <row r="3321" spans="1:5" x14ac:dyDescent="0.2">
      <c r="A3321" s="940">
        <v>4294</v>
      </c>
      <c r="B3321" s="940">
        <v>0</v>
      </c>
      <c r="C3321" t="s">
        <v>11091</v>
      </c>
      <c r="D3321" s="940" t="s">
        <v>7414</v>
      </c>
      <c r="E3321" t="s">
        <v>1311</v>
      </c>
    </row>
    <row r="3322" spans="1:5" x14ac:dyDescent="0.2">
      <c r="A3322" s="940">
        <v>240</v>
      </c>
      <c r="B3322" s="940">
        <v>851</v>
      </c>
      <c r="C3322" t="s">
        <v>303</v>
      </c>
      <c r="D3322" s="940" t="s">
        <v>7127</v>
      </c>
      <c r="E3322" t="s">
        <v>166</v>
      </c>
    </row>
    <row r="3323" spans="1:5" x14ac:dyDescent="0.2">
      <c r="A3323" s="940">
        <v>2592</v>
      </c>
      <c r="B3323" s="940">
        <v>42</v>
      </c>
      <c r="C3323" t="s">
        <v>7128</v>
      </c>
      <c r="D3323" s="940" t="s">
        <v>3187</v>
      </c>
      <c r="E3323" t="s">
        <v>3429</v>
      </c>
    </row>
    <row r="3324" spans="1:5" x14ac:dyDescent="0.2">
      <c r="A3324" s="940">
        <v>3972</v>
      </c>
      <c r="B3324" s="940">
        <v>3</v>
      </c>
      <c r="C3324" t="s">
        <v>7129</v>
      </c>
      <c r="D3324" s="940" t="s">
        <v>6697</v>
      </c>
      <c r="E3324" t="s">
        <v>160</v>
      </c>
    </row>
    <row r="3325" spans="1:5" x14ac:dyDescent="0.2">
      <c r="A3325" s="940">
        <v>4294</v>
      </c>
      <c r="B3325" s="940">
        <v>0</v>
      </c>
      <c r="C3325" t="s">
        <v>7130</v>
      </c>
      <c r="D3325" s="940" t="s">
        <v>3933</v>
      </c>
      <c r="E3325" t="s">
        <v>3487</v>
      </c>
    </row>
    <row r="3326" spans="1:5" x14ac:dyDescent="0.2">
      <c r="A3326" s="940">
        <v>1105</v>
      </c>
      <c r="B3326" s="940">
        <v>238</v>
      </c>
      <c r="C3326" t="s">
        <v>2034</v>
      </c>
      <c r="D3326" s="940" t="s">
        <v>7131</v>
      </c>
      <c r="E3326" t="s">
        <v>243</v>
      </c>
    </row>
    <row r="3327" spans="1:5" x14ac:dyDescent="0.2">
      <c r="A3327" s="940">
        <v>4181</v>
      </c>
      <c r="B3327" s="940">
        <v>1</v>
      </c>
      <c r="C3327" t="s">
        <v>7132</v>
      </c>
      <c r="D3327" s="940" t="s">
        <v>7133</v>
      </c>
      <c r="E3327" t="s">
        <v>103</v>
      </c>
    </row>
    <row r="3328" spans="1:5" x14ac:dyDescent="0.2">
      <c r="A3328" s="940">
        <v>301</v>
      </c>
      <c r="B3328" s="940">
        <v>773</v>
      </c>
      <c r="C3328" t="s">
        <v>11092</v>
      </c>
      <c r="D3328" s="940" t="s">
        <v>11093</v>
      </c>
      <c r="E3328" t="s">
        <v>130</v>
      </c>
    </row>
    <row r="3329" spans="1:5" x14ac:dyDescent="0.2">
      <c r="A3329" s="940">
        <v>2504</v>
      </c>
      <c r="B3329" s="940">
        <v>47</v>
      </c>
      <c r="C3329" t="s">
        <v>7134</v>
      </c>
      <c r="D3329" s="940" t="s">
        <v>6409</v>
      </c>
      <c r="E3329" t="s">
        <v>1587</v>
      </c>
    </row>
    <row r="3330" spans="1:5" x14ac:dyDescent="0.2">
      <c r="A3330" s="940">
        <v>1027</v>
      </c>
      <c r="B3330" s="940">
        <v>268</v>
      </c>
      <c r="C3330" t="s">
        <v>2570</v>
      </c>
      <c r="D3330" s="940" t="s">
        <v>7006</v>
      </c>
      <c r="E3330" t="s">
        <v>99</v>
      </c>
    </row>
    <row r="3331" spans="1:5" x14ac:dyDescent="0.2">
      <c r="A3331" s="940">
        <v>432</v>
      </c>
      <c r="B3331" s="940">
        <v>612</v>
      </c>
      <c r="C3331" t="s">
        <v>7135</v>
      </c>
      <c r="D3331" s="940" t="s">
        <v>7136</v>
      </c>
      <c r="E3331" t="s">
        <v>105</v>
      </c>
    </row>
    <row r="3332" spans="1:5" x14ac:dyDescent="0.2">
      <c r="A3332" s="940">
        <v>4294</v>
      </c>
      <c r="B3332" s="940">
        <v>0</v>
      </c>
      <c r="C3332" t="s">
        <v>11094</v>
      </c>
      <c r="D3332" s="940" t="s">
        <v>11095</v>
      </c>
      <c r="E3332" t="s">
        <v>105</v>
      </c>
    </row>
    <row r="3333" spans="1:5" x14ac:dyDescent="0.2">
      <c r="A3333" s="940">
        <v>3655</v>
      </c>
      <c r="B3333" s="940">
        <v>7</v>
      </c>
      <c r="C3333" t="s">
        <v>11096</v>
      </c>
      <c r="D3333" s="940" t="s">
        <v>8166</v>
      </c>
      <c r="E3333" t="s">
        <v>213</v>
      </c>
    </row>
    <row r="3334" spans="1:5" x14ac:dyDescent="0.2">
      <c r="A3334" s="940">
        <v>112</v>
      </c>
      <c r="B3334" s="940">
        <v>1086</v>
      </c>
      <c r="C3334" t="s">
        <v>7137</v>
      </c>
      <c r="D3334" s="940" t="s">
        <v>7138</v>
      </c>
      <c r="E3334" t="s">
        <v>105</v>
      </c>
    </row>
    <row r="3335" spans="1:5" x14ac:dyDescent="0.2">
      <c r="A3335" s="940">
        <v>2101</v>
      </c>
      <c r="B3335" s="940">
        <v>77</v>
      </c>
      <c r="C3335" t="s">
        <v>11097</v>
      </c>
      <c r="D3335" s="940" t="s">
        <v>11098</v>
      </c>
      <c r="E3335" t="s">
        <v>1255</v>
      </c>
    </row>
    <row r="3336" spans="1:5" x14ac:dyDescent="0.2">
      <c r="A3336" s="940">
        <v>2367</v>
      </c>
      <c r="B3336" s="940">
        <v>57</v>
      </c>
      <c r="C3336" t="s">
        <v>7139</v>
      </c>
      <c r="D3336" s="940" t="s">
        <v>7140</v>
      </c>
      <c r="E3336" t="s">
        <v>111</v>
      </c>
    </row>
    <row r="3337" spans="1:5" x14ac:dyDescent="0.2">
      <c r="A3337" s="940">
        <v>1125</v>
      </c>
      <c r="B3337" s="940">
        <v>232</v>
      </c>
      <c r="C3337" t="s">
        <v>7141</v>
      </c>
      <c r="D3337" s="940" t="s">
        <v>6159</v>
      </c>
      <c r="E3337" t="s">
        <v>171</v>
      </c>
    </row>
    <row r="3338" spans="1:5" x14ac:dyDescent="0.2">
      <c r="A3338" s="940">
        <v>870</v>
      </c>
      <c r="B3338" s="940">
        <v>328</v>
      </c>
      <c r="C3338" t="s">
        <v>7143</v>
      </c>
      <c r="D3338" s="940" t="s">
        <v>7144</v>
      </c>
      <c r="E3338" t="s">
        <v>7145</v>
      </c>
    </row>
    <row r="3339" spans="1:5" x14ac:dyDescent="0.2">
      <c r="A3339" s="940">
        <v>2150</v>
      </c>
      <c r="B3339" s="940">
        <v>73</v>
      </c>
      <c r="C3339" t="s">
        <v>7146</v>
      </c>
      <c r="D3339" s="940" t="s">
        <v>7147</v>
      </c>
      <c r="E3339" t="s">
        <v>120</v>
      </c>
    </row>
    <row r="3340" spans="1:5" x14ac:dyDescent="0.2">
      <c r="A3340" s="940">
        <v>4294</v>
      </c>
      <c r="B3340" s="940">
        <v>0</v>
      </c>
      <c r="C3340" t="s">
        <v>7148</v>
      </c>
      <c r="D3340" s="940" t="s">
        <v>3470</v>
      </c>
      <c r="E3340" t="s">
        <v>126</v>
      </c>
    </row>
    <row r="3341" spans="1:5" x14ac:dyDescent="0.2">
      <c r="A3341" s="940">
        <v>1473</v>
      </c>
      <c r="B3341" s="940">
        <v>150</v>
      </c>
      <c r="C3341" t="s">
        <v>7149</v>
      </c>
      <c r="D3341" s="940" t="s">
        <v>7150</v>
      </c>
      <c r="E3341" t="s">
        <v>1332</v>
      </c>
    </row>
    <row r="3342" spans="1:5" x14ac:dyDescent="0.2">
      <c r="A3342" s="940">
        <v>1211</v>
      </c>
      <c r="B3342" s="940">
        <v>205</v>
      </c>
      <c r="C3342" t="s">
        <v>7151</v>
      </c>
      <c r="D3342" s="940" t="s">
        <v>7152</v>
      </c>
      <c r="E3342" t="s">
        <v>120</v>
      </c>
    </row>
    <row r="3343" spans="1:5" x14ac:dyDescent="0.2">
      <c r="A3343" s="940">
        <v>554</v>
      </c>
      <c r="B3343" s="940">
        <v>505</v>
      </c>
      <c r="C3343" t="s">
        <v>11099</v>
      </c>
      <c r="D3343" s="940" t="s">
        <v>11100</v>
      </c>
      <c r="E3343" t="s">
        <v>132</v>
      </c>
    </row>
    <row r="3344" spans="1:5" x14ac:dyDescent="0.2">
      <c r="A3344" s="940">
        <v>1317</v>
      </c>
      <c r="B3344" s="940">
        <v>181</v>
      </c>
      <c r="C3344" t="s">
        <v>305</v>
      </c>
      <c r="D3344" s="940" t="s">
        <v>5619</v>
      </c>
      <c r="E3344" t="s">
        <v>110</v>
      </c>
    </row>
    <row r="3345" spans="1:5" x14ac:dyDescent="0.2">
      <c r="A3345" s="940">
        <v>326</v>
      </c>
      <c r="B3345" s="940">
        <v>729</v>
      </c>
      <c r="C3345" t="s">
        <v>7157</v>
      </c>
      <c r="D3345" s="940" t="s">
        <v>7158</v>
      </c>
      <c r="E3345" t="s">
        <v>105</v>
      </c>
    </row>
    <row r="3346" spans="1:5" x14ac:dyDescent="0.2">
      <c r="A3346" s="940">
        <v>1069</v>
      </c>
      <c r="B3346" s="940">
        <v>252</v>
      </c>
      <c r="C3346" t="s">
        <v>2036</v>
      </c>
      <c r="D3346" s="940" t="s">
        <v>4806</v>
      </c>
      <c r="E3346" t="s">
        <v>105</v>
      </c>
    </row>
    <row r="3347" spans="1:5" x14ac:dyDescent="0.2">
      <c r="A3347" s="940">
        <v>38</v>
      </c>
      <c r="B3347" s="940">
        <v>1382</v>
      </c>
      <c r="C3347" t="s">
        <v>7160</v>
      </c>
      <c r="D3347" s="940" t="s">
        <v>7161</v>
      </c>
      <c r="E3347" t="s">
        <v>1609</v>
      </c>
    </row>
    <row r="3348" spans="1:5" x14ac:dyDescent="0.2">
      <c r="A3348" s="940">
        <v>552</v>
      </c>
      <c r="B3348" s="940">
        <v>506</v>
      </c>
      <c r="C3348" t="s">
        <v>7162</v>
      </c>
      <c r="D3348" s="940" t="s">
        <v>7163</v>
      </c>
      <c r="E3348" t="s">
        <v>1267</v>
      </c>
    </row>
    <row r="3349" spans="1:5" x14ac:dyDescent="0.2">
      <c r="A3349" s="940">
        <v>2056</v>
      </c>
      <c r="B3349" s="940">
        <v>81</v>
      </c>
      <c r="C3349" t="s">
        <v>2039</v>
      </c>
      <c r="D3349" s="940" t="s">
        <v>10188</v>
      </c>
      <c r="E3349" t="s">
        <v>11101</v>
      </c>
    </row>
    <row r="3350" spans="1:5" x14ac:dyDescent="0.2">
      <c r="A3350" s="940">
        <v>2649</v>
      </c>
      <c r="B3350" s="940">
        <v>39</v>
      </c>
      <c r="C3350" t="s">
        <v>11102</v>
      </c>
      <c r="D3350" s="940" t="s">
        <v>11103</v>
      </c>
      <c r="E3350" t="s">
        <v>106</v>
      </c>
    </row>
    <row r="3351" spans="1:5" x14ac:dyDescent="0.2">
      <c r="A3351" s="940">
        <v>3174</v>
      </c>
      <c r="B3351" s="940">
        <v>18</v>
      </c>
      <c r="C3351" t="s">
        <v>11104</v>
      </c>
      <c r="D3351" s="940" t="s">
        <v>11105</v>
      </c>
      <c r="E3351" t="s">
        <v>103</v>
      </c>
    </row>
    <row r="3352" spans="1:5" x14ac:dyDescent="0.2">
      <c r="A3352" s="940">
        <v>4294</v>
      </c>
      <c r="B3352" s="940">
        <v>0</v>
      </c>
      <c r="C3352" t="s">
        <v>11106</v>
      </c>
      <c r="D3352" s="940" t="s">
        <v>10293</v>
      </c>
      <c r="E3352" t="s">
        <v>110</v>
      </c>
    </row>
    <row r="3353" spans="1:5" x14ac:dyDescent="0.2">
      <c r="A3353" s="940">
        <v>4294</v>
      </c>
      <c r="B3353" s="940">
        <v>0</v>
      </c>
      <c r="C3353" t="s">
        <v>11107</v>
      </c>
      <c r="D3353" s="940" t="s">
        <v>8534</v>
      </c>
      <c r="E3353" t="s">
        <v>4583</v>
      </c>
    </row>
    <row r="3354" spans="1:5" x14ac:dyDescent="0.2">
      <c r="A3354" s="940">
        <v>3048</v>
      </c>
      <c r="B3354" s="940">
        <v>22</v>
      </c>
      <c r="C3354" t="s">
        <v>7164</v>
      </c>
      <c r="D3354" s="940" t="s">
        <v>7165</v>
      </c>
      <c r="E3354" t="s">
        <v>120</v>
      </c>
    </row>
    <row r="3355" spans="1:5" x14ac:dyDescent="0.2">
      <c r="A3355" s="940">
        <v>4294</v>
      </c>
      <c r="B3355" s="940">
        <v>0</v>
      </c>
      <c r="C3355" t="s">
        <v>7166</v>
      </c>
      <c r="D3355" s="940" t="s">
        <v>7167</v>
      </c>
      <c r="E3355" t="s">
        <v>1182</v>
      </c>
    </row>
    <row r="3356" spans="1:5" x14ac:dyDescent="0.2">
      <c r="A3356" s="940">
        <v>1629</v>
      </c>
      <c r="B3356" s="940">
        <v>124</v>
      </c>
      <c r="C3356" t="s">
        <v>7168</v>
      </c>
      <c r="D3356" s="940" t="s">
        <v>7169</v>
      </c>
      <c r="E3356" t="s">
        <v>170</v>
      </c>
    </row>
    <row r="3357" spans="1:5" x14ac:dyDescent="0.2">
      <c r="A3357" s="940">
        <v>3290</v>
      </c>
      <c r="B3357" s="940">
        <v>15</v>
      </c>
      <c r="C3357" t="s">
        <v>7170</v>
      </c>
      <c r="D3357" s="940" t="s">
        <v>7171</v>
      </c>
      <c r="E3357" t="s">
        <v>1162</v>
      </c>
    </row>
    <row r="3358" spans="1:5" x14ac:dyDescent="0.2">
      <c r="A3358" s="940">
        <v>596</v>
      </c>
      <c r="B3358" s="940">
        <v>475</v>
      </c>
      <c r="C3358" t="s">
        <v>11108</v>
      </c>
      <c r="D3358" s="940" t="s">
        <v>11109</v>
      </c>
      <c r="E3358" t="s">
        <v>73</v>
      </c>
    </row>
    <row r="3359" spans="1:5" x14ac:dyDescent="0.2">
      <c r="A3359" s="940">
        <v>4294</v>
      </c>
      <c r="B3359" s="940">
        <v>0</v>
      </c>
      <c r="C3359" t="s">
        <v>7174</v>
      </c>
      <c r="D3359" s="940" t="s">
        <v>3319</v>
      </c>
      <c r="E3359" t="s">
        <v>142</v>
      </c>
    </row>
    <row r="3360" spans="1:5" x14ac:dyDescent="0.2">
      <c r="A3360" s="940">
        <v>1403</v>
      </c>
      <c r="B3360" s="940">
        <v>161</v>
      </c>
      <c r="C3360" t="s">
        <v>7175</v>
      </c>
      <c r="D3360" s="940" t="s">
        <v>7176</v>
      </c>
      <c r="E3360" t="s">
        <v>103</v>
      </c>
    </row>
    <row r="3361" spans="1:5" x14ac:dyDescent="0.2">
      <c r="A3361" s="940">
        <v>3250</v>
      </c>
      <c r="B3361" s="940">
        <v>16</v>
      </c>
      <c r="C3361" t="s">
        <v>7177</v>
      </c>
      <c r="D3361" s="940" t="s">
        <v>7178</v>
      </c>
      <c r="E3361" t="s">
        <v>99</v>
      </c>
    </row>
    <row r="3362" spans="1:5" x14ac:dyDescent="0.2">
      <c r="A3362" s="940">
        <v>630</v>
      </c>
      <c r="B3362" s="940">
        <v>445</v>
      </c>
      <c r="C3362" t="s">
        <v>11110</v>
      </c>
      <c r="D3362" s="940" t="s">
        <v>11111</v>
      </c>
      <c r="E3362" t="s">
        <v>1267</v>
      </c>
    </row>
    <row r="3363" spans="1:5" x14ac:dyDescent="0.2">
      <c r="A3363" s="940">
        <v>650</v>
      </c>
      <c r="B3363" s="940">
        <v>433</v>
      </c>
      <c r="C3363" t="s">
        <v>7179</v>
      </c>
      <c r="D3363" s="940" t="s">
        <v>7180</v>
      </c>
      <c r="E3363" t="s">
        <v>166</v>
      </c>
    </row>
    <row r="3364" spans="1:5" x14ac:dyDescent="0.2">
      <c r="A3364" s="940">
        <v>1069</v>
      </c>
      <c r="B3364" s="940">
        <v>252</v>
      </c>
      <c r="C3364" t="s">
        <v>555</v>
      </c>
      <c r="D3364" s="940" t="s">
        <v>6931</v>
      </c>
      <c r="E3364" t="s">
        <v>103</v>
      </c>
    </row>
    <row r="3365" spans="1:5" x14ac:dyDescent="0.2">
      <c r="A3365" s="940">
        <v>2649</v>
      </c>
      <c r="B3365" s="940">
        <v>39</v>
      </c>
      <c r="C3365" t="s">
        <v>7181</v>
      </c>
      <c r="D3365" s="940" t="s">
        <v>6133</v>
      </c>
      <c r="E3365" t="s">
        <v>120</v>
      </c>
    </row>
    <row r="3366" spans="1:5" x14ac:dyDescent="0.2">
      <c r="A3366" s="940">
        <v>150</v>
      </c>
      <c r="B3366" s="940">
        <v>1004</v>
      </c>
      <c r="C3366" t="s">
        <v>7182</v>
      </c>
      <c r="D3366" s="940" t="s">
        <v>7183</v>
      </c>
      <c r="E3366" t="s">
        <v>84</v>
      </c>
    </row>
    <row r="3367" spans="1:5" x14ac:dyDescent="0.2">
      <c r="A3367" s="940">
        <v>3483</v>
      </c>
      <c r="B3367" s="940">
        <v>10</v>
      </c>
      <c r="C3367" t="s">
        <v>11112</v>
      </c>
      <c r="D3367" s="940" t="s">
        <v>2852</v>
      </c>
      <c r="E3367" t="s">
        <v>1343</v>
      </c>
    </row>
    <row r="3368" spans="1:5" x14ac:dyDescent="0.2">
      <c r="A3368" s="940">
        <v>447</v>
      </c>
      <c r="B3368" s="940">
        <v>596</v>
      </c>
      <c r="C3368" t="s">
        <v>7184</v>
      </c>
      <c r="D3368" s="940" t="s">
        <v>7185</v>
      </c>
      <c r="E3368" t="s">
        <v>165</v>
      </c>
    </row>
    <row r="3369" spans="1:5" x14ac:dyDescent="0.2">
      <c r="A3369" s="940">
        <v>116</v>
      </c>
      <c r="B3369" s="940">
        <v>1070</v>
      </c>
      <c r="C3369" t="s">
        <v>7186</v>
      </c>
      <c r="D3369" s="940" t="s">
        <v>7187</v>
      </c>
      <c r="E3369" t="s">
        <v>120</v>
      </c>
    </row>
    <row r="3370" spans="1:5" x14ac:dyDescent="0.2">
      <c r="A3370" s="940">
        <v>2915</v>
      </c>
      <c r="B3370" s="940">
        <v>27</v>
      </c>
      <c r="C3370" t="s">
        <v>7188</v>
      </c>
      <c r="D3370" s="940" t="s">
        <v>7189</v>
      </c>
      <c r="E3370" t="s">
        <v>179</v>
      </c>
    </row>
    <row r="3371" spans="1:5" x14ac:dyDescent="0.2">
      <c r="A3371" s="940">
        <v>4294</v>
      </c>
      <c r="B3371" s="940">
        <v>0</v>
      </c>
      <c r="C3371" t="s">
        <v>11113</v>
      </c>
      <c r="D3371" s="940" t="s">
        <v>7191</v>
      </c>
      <c r="E3371" t="s">
        <v>120</v>
      </c>
    </row>
    <row r="3372" spans="1:5" x14ac:dyDescent="0.2">
      <c r="A3372" s="940">
        <v>3483</v>
      </c>
      <c r="B3372" s="940">
        <v>10</v>
      </c>
      <c r="C3372" t="s">
        <v>11114</v>
      </c>
      <c r="D3372" s="940" t="s">
        <v>11115</v>
      </c>
      <c r="E3372" t="s">
        <v>139</v>
      </c>
    </row>
    <row r="3373" spans="1:5" x14ac:dyDescent="0.2">
      <c r="A3373" s="940">
        <v>3882</v>
      </c>
      <c r="B3373" s="940">
        <v>4</v>
      </c>
      <c r="C3373" t="s">
        <v>11116</v>
      </c>
      <c r="D3373" s="940" t="s">
        <v>3639</v>
      </c>
      <c r="E3373" t="s">
        <v>122</v>
      </c>
    </row>
    <row r="3374" spans="1:5" x14ac:dyDescent="0.2">
      <c r="A3374" s="940">
        <v>4294</v>
      </c>
      <c r="B3374" s="940">
        <v>0</v>
      </c>
      <c r="C3374" t="s">
        <v>11117</v>
      </c>
      <c r="D3374" s="940" t="s">
        <v>3803</v>
      </c>
      <c r="E3374" t="s">
        <v>122</v>
      </c>
    </row>
    <row r="3375" spans="1:5" x14ac:dyDescent="0.2">
      <c r="A3375" s="940">
        <v>3796</v>
      </c>
      <c r="B3375" s="940">
        <v>5</v>
      </c>
      <c r="C3375" t="s">
        <v>11118</v>
      </c>
      <c r="D3375" s="940" t="s">
        <v>9543</v>
      </c>
      <c r="E3375" t="s">
        <v>105</v>
      </c>
    </row>
    <row r="3376" spans="1:5" x14ac:dyDescent="0.2">
      <c r="A3376" s="940">
        <v>2462</v>
      </c>
      <c r="B3376" s="940">
        <v>50</v>
      </c>
      <c r="C3376" t="s">
        <v>7190</v>
      </c>
      <c r="D3376" s="940" t="s">
        <v>7191</v>
      </c>
      <c r="E3376" t="s">
        <v>147</v>
      </c>
    </row>
    <row r="3377" spans="1:5" x14ac:dyDescent="0.2">
      <c r="A3377" s="940">
        <v>1904</v>
      </c>
      <c r="B3377" s="940">
        <v>95</v>
      </c>
      <c r="C3377" t="s">
        <v>7192</v>
      </c>
      <c r="D3377" s="940" t="s">
        <v>6002</v>
      </c>
      <c r="E3377" t="s">
        <v>104</v>
      </c>
    </row>
    <row r="3378" spans="1:5" x14ac:dyDescent="0.2">
      <c r="A3378" s="940">
        <v>850</v>
      </c>
      <c r="B3378" s="940">
        <v>333</v>
      </c>
      <c r="C3378" t="s">
        <v>2042</v>
      </c>
      <c r="D3378" s="940" t="s">
        <v>7196</v>
      </c>
      <c r="E3378" t="s">
        <v>120</v>
      </c>
    </row>
    <row r="3379" spans="1:5" x14ac:dyDescent="0.2">
      <c r="A3379" s="940">
        <v>4294</v>
      </c>
      <c r="B3379" s="940">
        <v>0</v>
      </c>
      <c r="C3379" t="s">
        <v>11119</v>
      </c>
      <c r="D3379" s="940" t="s">
        <v>7198</v>
      </c>
      <c r="E3379" t="s">
        <v>1182</v>
      </c>
    </row>
    <row r="3380" spans="1:5" x14ac:dyDescent="0.2">
      <c r="A3380" s="940">
        <v>2168</v>
      </c>
      <c r="B3380" s="940">
        <v>72</v>
      </c>
      <c r="C3380" t="s">
        <v>7199</v>
      </c>
      <c r="D3380" s="940" t="s">
        <v>3136</v>
      </c>
      <c r="E3380" t="s">
        <v>1332</v>
      </c>
    </row>
    <row r="3381" spans="1:5" x14ac:dyDescent="0.2">
      <c r="A3381" s="940">
        <v>4294</v>
      </c>
      <c r="B3381" s="940">
        <v>0</v>
      </c>
      <c r="C3381" t="s">
        <v>7200</v>
      </c>
      <c r="D3381" s="940" t="s">
        <v>6547</v>
      </c>
      <c r="E3381" t="s">
        <v>1182</v>
      </c>
    </row>
    <row r="3382" spans="1:5" x14ac:dyDescent="0.2">
      <c r="A3382" s="940">
        <v>4081</v>
      </c>
      <c r="B3382" s="940">
        <v>2</v>
      </c>
      <c r="C3382" t="s">
        <v>7202</v>
      </c>
      <c r="D3382" s="940" t="s">
        <v>5079</v>
      </c>
      <c r="E3382" t="s">
        <v>120</v>
      </c>
    </row>
    <row r="3383" spans="1:5" x14ac:dyDescent="0.2">
      <c r="A3383" s="940">
        <v>288</v>
      </c>
      <c r="B3383" s="940">
        <v>787</v>
      </c>
      <c r="C3383" t="s">
        <v>11120</v>
      </c>
      <c r="D3383" s="940" t="s">
        <v>11121</v>
      </c>
      <c r="E3383" t="s">
        <v>3597</v>
      </c>
    </row>
    <row r="3384" spans="1:5" x14ac:dyDescent="0.2">
      <c r="A3384" s="940">
        <v>1613</v>
      </c>
      <c r="B3384" s="940">
        <v>126</v>
      </c>
      <c r="C3384" t="s">
        <v>2044</v>
      </c>
      <c r="D3384" s="940" t="s">
        <v>7070</v>
      </c>
      <c r="E3384" t="s">
        <v>1236</v>
      </c>
    </row>
    <row r="3385" spans="1:5" x14ac:dyDescent="0.2">
      <c r="A3385" s="940">
        <v>2630</v>
      </c>
      <c r="B3385" s="940">
        <v>40</v>
      </c>
      <c r="C3385" t="s">
        <v>11122</v>
      </c>
      <c r="D3385" s="940" t="s">
        <v>3762</v>
      </c>
      <c r="E3385" t="s">
        <v>1277</v>
      </c>
    </row>
    <row r="3386" spans="1:5" x14ac:dyDescent="0.2">
      <c r="A3386" s="940">
        <v>1226</v>
      </c>
      <c r="B3386" s="940">
        <v>200</v>
      </c>
      <c r="C3386" t="s">
        <v>2046</v>
      </c>
      <c r="D3386" s="940" t="s">
        <v>11123</v>
      </c>
      <c r="E3386" t="s">
        <v>83</v>
      </c>
    </row>
    <row r="3387" spans="1:5" x14ac:dyDescent="0.2">
      <c r="A3387" s="940">
        <v>4294</v>
      </c>
      <c r="B3387" s="940">
        <v>0</v>
      </c>
      <c r="C3387" t="s">
        <v>11124</v>
      </c>
      <c r="D3387" s="940" t="s">
        <v>10311</v>
      </c>
      <c r="E3387" t="s">
        <v>3128</v>
      </c>
    </row>
    <row r="3388" spans="1:5" x14ac:dyDescent="0.2">
      <c r="A3388" s="940">
        <v>634</v>
      </c>
      <c r="B3388" s="940">
        <v>442</v>
      </c>
      <c r="C3388" t="s">
        <v>11125</v>
      </c>
      <c r="D3388" s="940" t="s">
        <v>11126</v>
      </c>
      <c r="E3388" t="s">
        <v>183</v>
      </c>
    </row>
    <row r="3389" spans="1:5" x14ac:dyDescent="0.2">
      <c r="A3389" s="940">
        <v>1002</v>
      </c>
      <c r="B3389" s="940">
        <v>276</v>
      </c>
      <c r="C3389" t="s">
        <v>2047</v>
      </c>
      <c r="D3389" s="940" t="s">
        <v>7205</v>
      </c>
      <c r="E3389" t="s">
        <v>111</v>
      </c>
    </row>
    <row r="3390" spans="1:5" x14ac:dyDescent="0.2">
      <c r="A3390" s="940">
        <v>1005</v>
      </c>
      <c r="B3390" s="940">
        <v>275</v>
      </c>
      <c r="C3390" t="s">
        <v>11127</v>
      </c>
      <c r="D3390" s="940" t="s">
        <v>11128</v>
      </c>
      <c r="E3390" t="s">
        <v>863</v>
      </c>
    </row>
    <row r="3391" spans="1:5" x14ac:dyDescent="0.2">
      <c r="A3391" s="940">
        <v>4294</v>
      </c>
      <c r="B3391" s="940">
        <v>0</v>
      </c>
      <c r="C3391" t="s">
        <v>7209</v>
      </c>
      <c r="D3391" s="940" t="s">
        <v>7210</v>
      </c>
      <c r="E3391" t="s">
        <v>2542</v>
      </c>
    </row>
    <row r="3392" spans="1:5" x14ac:dyDescent="0.2">
      <c r="A3392" s="940">
        <v>265</v>
      </c>
      <c r="B3392" s="940">
        <v>820</v>
      </c>
      <c r="C3392" t="s">
        <v>7211</v>
      </c>
      <c r="D3392" s="940" t="s">
        <v>7212</v>
      </c>
      <c r="E3392" t="s">
        <v>72</v>
      </c>
    </row>
    <row r="3393" spans="1:5" x14ac:dyDescent="0.2">
      <c r="A3393" s="940">
        <v>766</v>
      </c>
      <c r="B3393" s="940">
        <v>377</v>
      </c>
      <c r="C3393" t="s">
        <v>7211</v>
      </c>
      <c r="D3393" s="940" t="s">
        <v>7213</v>
      </c>
      <c r="E3393" t="s">
        <v>112</v>
      </c>
    </row>
    <row r="3394" spans="1:5" x14ac:dyDescent="0.2">
      <c r="A3394" s="940">
        <v>2630</v>
      </c>
      <c r="B3394" s="940">
        <v>40</v>
      </c>
      <c r="C3394" t="s">
        <v>11129</v>
      </c>
      <c r="D3394" s="940" t="s">
        <v>11130</v>
      </c>
      <c r="E3394" t="s">
        <v>99</v>
      </c>
    </row>
    <row r="3395" spans="1:5" x14ac:dyDescent="0.2">
      <c r="A3395" s="940">
        <v>96</v>
      </c>
      <c r="B3395" s="940">
        <v>1144</v>
      </c>
      <c r="C3395" t="s">
        <v>7214</v>
      </c>
      <c r="D3395" s="940" t="s">
        <v>7215</v>
      </c>
      <c r="E3395" t="s">
        <v>109</v>
      </c>
    </row>
    <row r="3396" spans="1:5" x14ac:dyDescent="0.2">
      <c r="A3396" s="940">
        <v>276</v>
      </c>
      <c r="B3396" s="940">
        <v>808</v>
      </c>
      <c r="C3396" t="s">
        <v>7216</v>
      </c>
      <c r="D3396" s="940" t="s">
        <v>7217</v>
      </c>
      <c r="E3396" t="s">
        <v>1158</v>
      </c>
    </row>
    <row r="3397" spans="1:5" x14ac:dyDescent="0.2">
      <c r="A3397" s="940">
        <v>1385</v>
      </c>
      <c r="B3397" s="940">
        <v>165</v>
      </c>
      <c r="C3397" t="s">
        <v>7216</v>
      </c>
      <c r="D3397" s="940" t="s">
        <v>7218</v>
      </c>
      <c r="E3397" t="s">
        <v>1158</v>
      </c>
    </row>
    <row r="3398" spans="1:5" x14ac:dyDescent="0.2">
      <c r="A3398" s="940">
        <v>2894</v>
      </c>
      <c r="B3398" s="940">
        <v>28</v>
      </c>
      <c r="C3398" t="s">
        <v>7219</v>
      </c>
      <c r="D3398" s="940" t="s">
        <v>7220</v>
      </c>
      <c r="E3398" t="s">
        <v>142</v>
      </c>
    </row>
    <row r="3399" spans="1:5" x14ac:dyDescent="0.2">
      <c r="A3399" s="940">
        <v>957</v>
      </c>
      <c r="B3399" s="940">
        <v>294</v>
      </c>
      <c r="C3399" t="s">
        <v>7221</v>
      </c>
      <c r="D3399" s="940" t="s">
        <v>7222</v>
      </c>
      <c r="E3399" t="s">
        <v>166</v>
      </c>
    </row>
    <row r="3400" spans="1:5" x14ac:dyDescent="0.2">
      <c r="A3400" s="940">
        <v>1946</v>
      </c>
      <c r="B3400" s="940">
        <v>91</v>
      </c>
      <c r="C3400" t="s">
        <v>7223</v>
      </c>
      <c r="D3400" s="940" t="s">
        <v>2719</v>
      </c>
      <c r="E3400" t="s">
        <v>1156</v>
      </c>
    </row>
    <row r="3401" spans="1:5" x14ac:dyDescent="0.2">
      <c r="A3401" s="940">
        <v>2218</v>
      </c>
      <c r="B3401" s="940">
        <v>68</v>
      </c>
      <c r="C3401" t="s">
        <v>7224</v>
      </c>
      <c r="D3401" s="940" t="s">
        <v>3965</v>
      </c>
      <c r="E3401" t="s">
        <v>120</v>
      </c>
    </row>
    <row r="3402" spans="1:5" x14ac:dyDescent="0.2">
      <c r="A3402" s="940">
        <v>155</v>
      </c>
      <c r="B3402" s="940">
        <v>997</v>
      </c>
      <c r="C3402" t="s">
        <v>7225</v>
      </c>
      <c r="D3402" s="940" t="s">
        <v>7226</v>
      </c>
      <c r="E3402" t="s">
        <v>1277</v>
      </c>
    </row>
    <row r="3403" spans="1:5" x14ac:dyDescent="0.2">
      <c r="A3403" s="940">
        <v>4294</v>
      </c>
      <c r="B3403" s="940">
        <v>0</v>
      </c>
      <c r="C3403" t="s">
        <v>7225</v>
      </c>
      <c r="D3403" s="940" t="s">
        <v>8820</v>
      </c>
      <c r="E3403" t="s">
        <v>133</v>
      </c>
    </row>
    <row r="3404" spans="1:5" x14ac:dyDescent="0.2">
      <c r="A3404" s="940">
        <v>4294</v>
      </c>
      <c r="B3404" s="940">
        <v>0</v>
      </c>
      <c r="C3404" t="s">
        <v>7227</v>
      </c>
      <c r="D3404" s="940" t="s">
        <v>5512</v>
      </c>
      <c r="E3404" t="s">
        <v>113</v>
      </c>
    </row>
    <row r="3405" spans="1:5" x14ac:dyDescent="0.2">
      <c r="A3405" s="940">
        <v>626</v>
      </c>
      <c r="B3405" s="940">
        <v>448</v>
      </c>
      <c r="C3405" t="s">
        <v>7228</v>
      </c>
      <c r="D3405" s="940" t="s">
        <v>7229</v>
      </c>
      <c r="E3405" t="s">
        <v>6361</v>
      </c>
    </row>
    <row r="3406" spans="1:5" x14ac:dyDescent="0.2">
      <c r="A3406" s="940">
        <v>3107</v>
      </c>
      <c r="B3406" s="940">
        <v>20</v>
      </c>
      <c r="C3406" t="s">
        <v>7230</v>
      </c>
      <c r="D3406" s="940" t="s">
        <v>6900</v>
      </c>
      <c r="E3406" t="s">
        <v>1364</v>
      </c>
    </row>
    <row r="3407" spans="1:5" x14ac:dyDescent="0.2">
      <c r="A3407" s="940">
        <v>4294</v>
      </c>
      <c r="B3407" s="940">
        <v>0</v>
      </c>
      <c r="C3407" t="s">
        <v>11131</v>
      </c>
      <c r="D3407" s="940" t="s">
        <v>9006</v>
      </c>
      <c r="E3407" t="s">
        <v>1236</v>
      </c>
    </row>
    <row r="3408" spans="1:5" x14ac:dyDescent="0.2">
      <c r="A3408" s="940">
        <v>4294</v>
      </c>
      <c r="B3408" s="940">
        <v>0</v>
      </c>
      <c r="C3408" t="s">
        <v>7231</v>
      </c>
      <c r="D3408" s="940" t="s">
        <v>6621</v>
      </c>
      <c r="E3408" t="s">
        <v>73</v>
      </c>
    </row>
    <row r="3409" spans="1:5" x14ac:dyDescent="0.2">
      <c r="A3409" s="940">
        <v>3402</v>
      </c>
      <c r="B3409" s="940">
        <v>12</v>
      </c>
      <c r="C3409" t="s">
        <v>7234</v>
      </c>
      <c r="D3409" s="940" t="s">
        <v>7085</v>
      </c>
      <c r="E3409" t="s">
        <v>1584</v>
      </c>
    </row>
    <row r="3410" spans="1:5" x14ac:dyDescent="0.2">
      <c r="A3410" s="940">
        <v>4294</v>
      </c>
      <c r="B3410" s="940">
        <v>0</v>
      </c>
      <c r="C3410" t="s">
        <v>7234</v>
      </c>
      <c r="D3410" s="940" t="s">
        <v>4870</v>
      </c>
      <c r="E3410" t="s">
        <v>73</v>
      </c>
    </row>
    <row r="3411" spans="1:5" x14ac:dyDescent="0.2">
      <c r="A3411" s="940">
        <v>3972</v>
      </c>
      <c r="B3411" s="940">
        <v>3</v>
      </c>
      <c r="C3411" t="s">
        <v>7235</v>
      </c>
      <c r="D3411" s="940" t="s">
        <v>7237</v>
      </c>
      <c r="E3411" t="s">
        <v>1363</v>
      </c>
    </row>
    <row r="3412" spans="1:5" x14ac:dyDescent="0.2">
      <c r="A3412" s="940">
        <v>3602</v>
      </c>
      <c r="B3412" s="940">
        <v>8</v>
      </c>
      <c r="C3412" t="s">
        <v>7238</v>
      </c>
      <c r="D3412" s="940" t="s">
        <v>2953</v>
      </c>
      <c r="E3412" t="s">
        <v>120</v>
      </c>
    </row>
    <row r="3413" spans="1:5" x14ac:dyDescent="0.2">
      <c r="A3413" s="940">
        <v>419</v>
      </c>
      <c r="B3413" s="940">
        <v>627</v>
      </c>
      <c r="C3413" t="s">
        <v>7241</v>
      </c>
      <c r="D3413" s="940" t="s">
        <v>11132</v>
      </c>
      <c r="E3413" t="s">
        <v>105</v>
      </c>
    </row>
    <row r="3414" spans="1:5" x14ac:dyDescent="0.2">
      <c r="A3414" s="940">
        <v>3732</v>
      </c>
      <c r="B3414" s="940">
        <v>6</v>
      </c>
      <c r="C3414" t="s">
        <v>7241</v>
      </c>
      <c r="D3414" s="940" t="s">
        <v>7242</v>
      </c>
      <c r="E3414" t="s">
        <v>179</v>
      </c>
    </row>
    <row r="3415" spans="1:5" x14ac:dyDescent="0.2">
      <c r="A3415" s="940">
        <v>385</v>
      </c>
      <c r="B3415" s="940">
        <v>652</v>
      </c>
      <c r="C3415" t="s">
        <v>7243</v>
      </c>
      <c r="D3415" s="940" t="s">
        <v>7244</v>
      </c>
      <c r="E3415" t="s">
        <v>106</v>
      </c>
    </row>
    <row r="3416" spans="1:5" x14ac:dyDescent="0.2">
      <c r="A3416" s="940">
        <v>2571</v>
      </c>
      <c r="B3416" s="940">
        <v>43</v>
      </c>
      <c r="C3416" t="s">
        <v>11133</v>
      </c>
      <c r="D3416" s="940" t="s">
        <v>11134</v>
      </c>
      <c r="E3416" t="s">
        <v>3487</v>
      </c>
    </row>
    <row r="3417" spans="1:5" x14ac:dyDescent="0.2">
      <c r="A3417" s="940">
        <v>2367</v>
      </c>
      <c r="B3417" s="940">
        <v>57</v>
      </c>
      <c r="C3417" t="s">
        <v>11135</v>
      </c>
      <c r="D3417" s="940" t="s">
        <v>9901</v>
      </c>
      <c r="E3417" t="s">
        <v>160</v>
      </c>
    </row>
    <row r="3418" spans="1:5" x14ac:dyDescent="0.2">
      <c r="A3418" s="940">
        <v>1543</v>
      </c>
      <c r="B3418" s="940">
        <v>137</v>
      </c>
      <c r="C3418" t="s">
        <v>2051</v>
      </c>
      <c r="D3418" s="940" t="s">
        <v>7245</v>
      </c>
      <c r="E3418" t="s">
        <v>1311</v>
      </c>
    </row>
    <row r="3419" spans="1:5" x14ac:dyDescent="0.2">
      <c r="A3419" s="940">
        <v>3655</v>
      </c>
      <c r="B3419" s="940">
        <v>7</v>
      </c>
      <c r="C3419" t="s">
        <v>11136</v>
      </c>
      <c r="D3419" s="940" t="s">
        <v>11137</v>
      </c>
      <c r="E3419" t="s">
        <v>105</v>
      </c>
    </row>
    <row r="3420" spans="1:5" x14ac:dyDescent="0.2">
      <c r="A3420" s="940">
        <v>1039</v>
      </c>
      <c r="B3420" s="940">
        <v>263</v>
      </c>
      <c r="C3420" t="s">
        <v>7246</v>
      </c>
      <c r="D3420" s="940" t="s">
        <v>5685</v>
      </c>
      <c r="E3420" t="s">
        <v>105</v>
      </c>
    </row>
    <row r="3421" spans="1:5" x14ac:dyDescent="0.2">
      <c r="A3421" s="940">
        <v>2938</v>
      </c>
      <c r="B3421" s="940">
        <v>26</v>
      </c>
      <c r="C3421" t="s">
        <v>7247</v>
      </c>
      <c r="D3421" s="940" t="s">
        <v>7248</v>
      </c>
      <c r="E3421" t="s">
        <v>120</v>
      </c>
    </row>
    <row r="3422" spans="1:5" x14ac:dyDescent="0.2">
      <c r="A3422" s="940">
        <v>34</v>
      </c>
      <c r="B3422" s="940">
        <v>1404</v>
      </c>
      <c r="C3422" t="s">
        <v>7249</v>
      </c>
      <c r="D3422" s="940" t="s">
        <v>7250</v>
      </c>
      <c r="E3422" t="s">
        <v>166</v>
      </c>
    </row>
    <row r="3423" spans="1:5" x14ac:dyDescent="0.2">
      <c r="A3423" s="940">
        <v>4181</v>
      </c>
      <c r="B3423" s="940">
        <v>1</v>
      </c>
      <c r="C3423" t="s">
        <v>7251</v>
      </c>
      <c r="D3423" s="940" t="s">
        <v>7252</v>
      </c>
      <c r="E3423" t="s">
        <v>111</v>
      </c>
    </row>
    <row r="3424" spans="1:5" x14ac:dyDescent="0.2">
      <c r="A3424" s="940">
        <v>926</v>
      </c>
      <c r="B3424" s="940">
        <v>306</v>
      </c>
      <c r="C3424" t="s">
        <v>724</v>
      </c>
      <c r="D3424" s="940" t="s">
        <v>7253</v>
      </c>
      <c r="E3424" t="s">
        <v>105</v>
      </c>
    </row>
    <row r="3425" spans="1:5" x14ac:dyDescent="0.2">
      <c r="A3425" s="940">
        <v>643</v>
      </c>
      <c r="B3425" s="940">
        <v>436</v>
      </c>
      <c r="C3425" t="s">
        <v>11138</v>
      </c>
      <c r="D3425" s="940" t="s">
        <v>11139</v>
      </c>
      <c r="E3425" t="s">
        <v>139</v>
      </c>
    </row>
    <row r="3426" spans="1:5" x14ac:dyDescent="0.2">
      <c r="A3426" s="940">
        <v>1826</v>
      </c>
      <c r="B3426" s="940">
        <v>102</v>
      </c>
      <c r="C3426" t="s">
        <v>560</v>
      </c>
      <c r="D3426" s="940" t="s">
        <v>4666</v>
      </c>
      <c r="E3426" t="s">
        <v>73</v>
      </c>
    </row>
    <row r="3427" spans="1:5" x14ac:dyDescent="0.2">
      <c r="A3427" s="940">
        <v>113</v>
      </c>
      <c r="B3427" s="940">
        <v>1085</v>
      </c>
      <c r="C3427" t="s">
        <v>7254</v>
      </c>
      <c r="D3427" s="940" t="s">
        <v>6450</v>
      </c>
      <c r="E3427" t="s">
        <v>72</v>
      </c>
    </row>
    <row r="3428" spans="1:5" x14ac:dyDescent="0.2">
      <c r="A3428" s="940">
        <v>2486</v>
      </c>
      <c r="B3428" s="940">
        <v>48</v>
      </c>
      <c r="C3428" t="s">
        <v>7255</v>
      </c>
      <c r="D3428" s="940" t="s">
        <v>4159</v>
      </c>
      <c r="E3428" t="s">
        <v>1578</v>
      </c>
    </row>
    <row r="3429" spans="1:5" x14ac:dyDescent="0.2">
      <c r="A3429" s="940">
        <v>2434</v>
      </c>
      <c r="B3429" s="940">
        <v>52</v>
      </c>
      <c r="C3429" t="s">
        <v>7256</v>
      </c>
      <c r="D3429" s="940" t="s">
        <v>7257</v>
      </c>
      <c r="E3429" t="s">
        <v>128</v>
      </c>
    </row>
    <row r="3430" spans="1:5" x14ac:dyDescent="0.2">
      <c r="A3430" s="940">
        <v>4294</v>
      </c>
      <c r="B3430" s="940">
        <v>0</v>
      </c>
      <c r="C3430" t="s">
        <v>7258</v>
      </c>
      <c r="D3430" s="940" t="s">
        <v>7259</v>
      </c>
      <c r="E3430" t="s">
        <v>1460</v>
      </c>
    </row>
    <row r="3431" spans="1:5" x14ac:dyDescent="0.2">
      <c r="A3431" s="940">
        <v>4294</v>
      </c>
      <c r="B3431" s="940">
        <v>0</v>
      </c>
      <c r="C3431" t="s">
        <v>7258</v>
      </c>
      <c r="D3431" s="940" t="s">
        <v>6257</v>
      </c>
      <c r="E3431" t="s">
        <v>128</v>
      </c>
    </row>
    <row r="3432" spans="1:5" x14ac:dyDescent="0.2">
      <c r="A3432" s="940">
        <v>1015</v>
      </c>
      <c r="B3432" s="940">
        <v>273</v>
      </c>
      <c r="C3432" t="s">
        <v>2055</v>
      </c>
      <c r="D3432" s="940" t="s">
        <v>3061</v>
      </c>
      <c r="E3432" t="s">
        <v>176</v>
      </c>
    </row>
    <row r="3433" spans="1:5" x14ac:dyDescent="0.2">
      <c r="A3433" s="940">
        <v>3882</v>
      </c>
      <c r="B3433" s="940">
        <v>4</v>
      </c>
      <c r="C3433" t="s">
        <v>7260</v>
      </c>
      <c r="D3433" s="940" t="s">
        <v>4698</v>
      </c>
      <c r="E3433" t="s">
        <v>111</v>
      </c>
    </row>
    <row r="3434" spans="1:5" x14ac:dyDescent="0.2">
      <c r="A3434" s="940">
        <v>3882</v>
      </c>
      <c r="B3434" s="940">
        <v>4</v>
      </c>
      <c r="C3434" t="s">
        <v>11140</v>
      </c>
      <c r="D3434" s="940" t="s">
        <v>11141</v>
      </c>
      <c r="E3434" t="s">
        <v>3487</v>
      </c>
    </row>
    <row r="3435" spans="1:5" x14ac:dyDescent="0.2">
      <c r="A3435" s="940">
        <v>464</v>
      </c>
      <c r="B3435" s="940">
        <v>580</v>
      </c>
      <c r="C3435" t="s">
        <v>7262</v>
      </c>
      <c r="D3435" s="940" t="s">
        <v>4131</v>
      </c>
      <c r="E3435" t="s">
        <v>112</v>
      </c>
    </row>
    <row r="3436" spans="1:5" x14ac:dyDescent="0.2">
      <c r="A3436" s="940">
        <v>4294</v>
      </c>
      <c r="B3436" s="940">
        <v>0</v>
      </c>
      <c r="C3436" t="s">
        <v>7263</v>
      </c>
      <c r="D3436" s="940" t="s">
        <v>6293</v>
      </c>
      <c r="E3436" t="s">
        <v>164</v>
      </c>
    </row>
    <row r="3437" spans="1:5" x14ac:dyDescent="0.2">
      <c r="A3437" s="940">
        <v>4181</v>
      </c>
      <c r="B3437" s="940">
        <v>1</v>
      </c>
      <c r="C3437" t="s">
        <v>7264</v>
      </c>
      <c r="D3437" s="940" t="s">
        <v>6293</v>
      </c>
      <c r="E3437" t="s">
        <v>164</v>
      </c>
    </row>
    <row r="3438" spans="1:5" x14ac:dyDescent="0.2">
      <c r="A3438" s="940">
        <v>4294</v>
      </c>
      <c r="B3438" s="940">
        <v>0</v>
      </c>
      <c r="C3438" t="s">
        <v>7265</v>
      </c>
      <c r="D3438" s="940" t="s">
        <v>7266</v>
      </c>
      <c r="E3438" t="s">
        <v>1332</v>
      </c>
    </row>
    <row r="3439" spans="1:5" x14ac:dyDescent="0.2">
      <c r="A3439" s="940">
        <v>2571</v>
      </c>
      <c r="B3439" s="940">
        <v>43</v>
      </c>
      <c r="C3439" t="s">
        <v>7267</v>
      </c>
      <c r="D3439" s="940" t="s">
        <v>6124</v>
      </c>
      <c r="E3439" t="s">
        <v>105</v>
      </c>
    </row>
    <row r="3440" spans="1:5" x14ac:dyDescent="0.2">
      <c r="A3440" s="940">
        <v>3882</v>
      </c>
      <c r="B3440" s="940">
        <v>4</v>
      </c>
      <c r="C3440" t="s">
        <v>7268</v>
      </c>
      <c r="D3440" s="940" t="s">
        <v>7269</v>
      </c>
      <c r="E3440" t="s">
        <v>1315</v>
      </c>
    </row>
    <row r="3441" spans="1:5" x14ac:dyDescent="0.2">
      <c r="A3441" s="940">
        <v>2042</v>
      </c>
      <c r="B3441" s="940">
        <v>82</v>
      </c>
      <c r="C3441" t="s">
        <v>725</v>
      </c>
      <c r="D3441" s="940" t="s">
        <v>11142</v>
      </c>
      <c r="E3441" t="s">
        <v>120</v>
      </c>
    </row>
    <row r="3442" spans="1:5" x14ac:dyDescent="0.2">
      <c r="A3442" s="940">
        <v>2860</v>
      </c>
      <c r="B3442" s="940">
        <v>30</v>
      </c>
      <c r="C3442" t="s">
        <v>7271</v>
      </c>
      <c r="D3442" s="940" t="s">
        <v>6820</v>
      </c>
      <c r="E3442" t="s">
        <v>290</v>
      </c>
    </row>
    <row r="3443" spans="1:5" x14ac:dyDescent="0.2">
      <c r="A3443" s="940">
        <v>3008</v>
      </c>
      <c r="B3443" s="940">
        <v>23</v>
      </c>
      <c r="C3443" t="s">
        <v>11143</v>
      </c>
      <c r="D3443" s="940" t="s">
        <v>11144</v>
      </c>
      <c r="E3443" t="s">
        <v>72</v>
      </c>
    </row>
    <row r="3444" spans="1:5" x14ac:dyDescent="0.2">
      <c r="A3444" s="940">
        <v>2486</v>
      </c>
      <c r="B3444" s="940">
        <v>48</v>
      </c>
      <c r="C3444" t="s">
        <v>7272</v>
      </c>
      <c r="D3444" s="940" t="s">
        <v>5843</v>
      </c>
      <c r="E3444" t="s">
        <v>2928</v>
      </c>
    </row>
    <row r="3445" spans="1:5" x14ac:dyDescent="0.2">
      <c r="A3445" s="940">
        <v>173</v>
      </c>
      <c r="B3445" s="940">
        <v>953</v>
      </c>
      <c r="C3445" t="s">
        <v>7274</v>
      </c>
      <c r="D3445" s="940" t="s">
        <v>7275</v>
      </c>
      <c r="E3445" t="s">
        <v>3597</v>
      </c>
    </row>
    <row r="3446" spans="1:5" x14ac:dyDescent="0.2">
      <c r="A3446" s="940">
        <v>1211</v>
      </c>
      <c r="B3446" s="940">
        <v>205</v>
      </c>
      <c r="C3446" t="s">
        <v>7276</v>
      </c>
      <c r="D3446" s="940" t="s">
        <v>7277</v>
      </c>
      <c r="E3446" t="s">
        <v>147</v>
      </c>
    </row>
    <row r="3447" spans="1:5" x14ac:dyDescent="0.2">
      <c r="A3447" s="940">
        <v>4081</v>
      </c>
      <c r="B3447" s="940">
        <v>2</v>
      </c>
      <c r="C3447" t="s">
        <v>7278</v>
      </c>
      <c r="D3447" s="940" t="s">
        <v>3737</v>
      </c>
      <c r="E3447" t="s">
        <v>2654</v>
      </c>
    </row>
    <row r="3448" spans="1:5" x14ac:dyDescent="0.2">
      <c r="A3448" s="940">
        <v>2409</v>
      </c>
      <c r="B3448" s="940">
        <v>54</v>
      </c>
      <c r="C3448" t="s">
        <v>7279</v>
      </c>
      <c r="D3448" s="940" t="s">
        <v>2643</v>
      </c>
      <c r="E3448" t="s">
        <v>106</v>
      </c>
    </row>
    <row r="3449" spans="1:5" x14ac:dyDescent="0.2">
      <c r="A3449" s="940">
        <v>2592</v>
      </c>
      <c r="B3449" s="940">
        <v>42</v>
      </c>
      <c r="C3449" t="s">
        <v>7279</v>
      </c>
      <c r="D3449" s="940" t="s">
        <v>7280</v>
      </c>
      <c r="E3449" t="s">
        <v>105</v>
      </c>
    </row>
    <row r="3450" spans="1:5" x14ac:dyDescent="0.2">
      <c r="A3450" s="940">
        <v>4294</v>
      </c>
      <c r="B3450" s="940">
        <v>0</v>
      </c>
      <c r="C3450" t="s">
        <v>7281</v>
      </c>
      <c r="D3450" s="940" t="s">
        <v>7282</v>
      </c>
      <c r="E3450" t="s">
        <v>2720</v>
      </c>
    </row>
    <row r="3451" spans="1:5" x14ac:dyDescent="0.2">
      <c r="A3451" s="940">
        <v>2592</v>
      </c>
      <c r="B3451" s="940">
        <v>42</v>
      </c>
      <c r="C3451" t="s">
        <v>7285</v>
      </c>
      <c r="D3451" s="940" t="s">
        <v>5822</v>
      </c>
      <c r="E3451" t="s">
        <v>2916</v>
      </c>
    </row>
    <row r="3452" spans="1:5" x14ac:dyDescent="0.2">
      <c r="A3452" s="940">
        <v>398</v>
      </c>
      <c r="B3452" s="940">
        <v>645</v>
      </c>
      <c r="C3452" t="s">
        <v>7286</v>
      </c>
      <c r="D3452" s="940" t="s">
        <v>7287</v>
      </c>
      <c r="E3452" t="s">
        <v>2720</v>
      </c>
    </row>
    <row r="3453" spans="1:5" x14ac:dyDescent="0.2">
      <c r="A3453" s="940">
        <v>293</v>
      </c>
      <c r="B3453" s="940">
        <v>778</v>
      </c>
      <c r="C3453" t="s">
        <v>11145</v>
      </c>
      <c r="D3453" s="940" t="s">
        <v>11146</v>
      </c>
      <c r="E3453" t="s">
        <v>103</v>
      </c>
    </row>
    <row r="3454" spans="1:5" x14ac:dyDescent="0.2">
      <c r="A3454" s="940">
        <v>4294</v>
      </c>
      <c r="B3454" s="940">
        <v>0</v>
      </c>
      <c r="C3454" t="s">
        <v>11147</v>
      </c>
      <c r="D3454" s="940" t="s">
        <v>9764</v>
      </c>
      <c r="E3454" t="s">
        <v>99</v>
      </c>
    </row>
    <row r="3455" spans="1:5" x14ac:dyDescent="0.2">
      <c r="A3455" s="940">
        <v>4294</v>
      </c>
      <c r="B3455" s="940">
        <v>0</v>
      </c>
      <c r="C3455" t="s">
        <v>11148</v>
      </c>
      <c r="D3455" s="940" t="s">
        <v>10868</v>
      </c>
      <c r="E3455" t="s">
        <v>128</v>
      </c>
    </row>
    <row r="3456" spans="1:5" x14ac:dyDescent="0.2">
      <c r="A3456" s="940">
        <v>1946</v>
      </c>
      <c r="B3456" s="940">
        <v>91</v>
      </c>
      <c r="C3456" t="s">
        <v>11149</v>
      </c>
      <c r="D3456" s="940" t="s">
        <v>11150</v>
      </c>
      <c r="E3456" t="s">
        <v>113</v>
      </c>
    </row>
    <row r="3457" spans="1:5" x14ac:dyDescent="0.2">
      <c r="A3457" s="940">
        <v>2423</v>
      </c>
      <c r="B3457" s="940">
        <v>53</v>
      </c>
      <c r="C3457" t="s">
        <v>7289</v>
      </c>
      <c r="D3457" s="940" t="s">
        <v>7290</v>
      </c>
      <c r="E3457" t="s">
        <v>112</v>
      </c>
    </row>
    <row r="3458" spans="1:5" x14ac:dyDescent="0.2">
      <c r="A3458" s="940">
        <v>3602</v>
      </c>
      <c r="B3458" s="940">
        <v>8</v>
      </c>
      <c r="C3458" t="s">
        <v>7291</v>
      </c>
      <c r="D3458" s="940" t="s">
        <v>7292</v>
      </c>
      <c r="E3458" t="s">
        <v>1590</v>
      </c>
    </row>
    <row r="3459" spans="1:5" x14ac:dyDescent="0.2">
      <c r="A3459" s="940">
        <v>1894</v>
      </c>
      <c r="B3459" s="940">
        <v>96</v>
      </c>
      <c r="C3459" t="s">
        <v>7293</v>
      </c>
      <c r="D3459" s="940" t="s">
        <v>3582</v>
      </c>
      <c r="E3459" t="s">
        <v>1156</v>
      </c>
    </row>
    <row r="3460" spans="1:5" x14ac:dyDescent="0.2">
      <c r="A3460" s="940">
        <v>4294</v>
      </c>
      <c r="B3460" s="940">
        <v>0</v>
      </c>
      <c r="C3460" t="s">
        <v>11151</v>
      </c>
      <c r="D3460" s="940" t="s">
        <v>11152</v>
      </c>
      <c r="E3460" t="s">
        <v>106</v>
      </c>
    </row>
    <row r="3461" spans="1:5" x14ac:dyDescent="0.2">
      <c r="A3461" s="940">
        <v>3483</v>
      </c>
      <c r="B3461" s="940">
        <v>10</v>
      </c>
      <c r="C3461" t="s">
        <v>11153</v>
      </c>
      <c r="D3461" s="940" t="s">
        <v>4571</v>
      </c>
      <c r="E3461" t="s">
        <v>1170</v>
      </c>
    </row>
    <row r="3462" spans="1:5" x14ac:dyDescent="0.2">
      <c r="A3462" s="940">
        <v>4294</v>
      </c>
      <c r="B3462" s="940">
        <v>0</v>
      </c>
      <c r="C3462" t="s">
        <v>11154</v>
      </c>
      <c r="D3462" s="940" t="s">
        <v>8430</v>
      </c>
      <c r="E3462" t="s">
        <v>84</v>
      </c>
    </row>
    <row r="3463" spans="1:5" x14ac:dyDescent="0.2">
      <c r="A3463" s="940">
        <v>497</v>
      </c>
      <c r="B3463" s="940">
        <v>552</v>
      </c>
      <c r="C3463" t="s">
        <v>7294</v>
      </c>
      <c r="D3463" s="940" t="s">
        <v>7295</v>
      </c>
      <c r="E3463" t="s">
        <v>175</v>
      </c>
    </row>
    <row r="3464" spans="1:5" x14ac:dyDescent="0.2">
      <c r="A3464" s="940">
        <v>4294</v>
      </c>
      <c r="B3464" s="940">
        <v>0</v>
      </c>
      <c r="C3464" t="s">
        <v>7296</v>
      </c>
      <c r="D3464" s="940" t="s">
        <v>3650</v>
      </c>
      <c r="E3464" t="s">
        <v>1460</v>
      </c>
    </row>
    <row r="3465" spans="1:5" x14ac:dyDescent="0.2">
      <c r="A3465" s="940">
        <v>1524</v>
      </c>
      <c r="B3465" s="940">
        <v>141</v>
      </c>
      <c r="C3465" t="s">
        <v>7297</v>
      </c>
      <c r="D3465" s="940" t="s">
        <v>7298</v>
      </c>
      <c r="E3465" t="s">
        <v>7299</v>
      </c>
    </row>
    <row r="3466" spans="1:5" x14ac:dyDescent="0.2">
      <c r="A3466" s="940">
        <v>1714</v>
      </c>
      <c r="B3466" s="940">
        <v>116</v>
      </c>
      <c r="C3466" t="s">
        <v>2062</v>
      </c>
      <c r="D3466" s="940" t="s">
        <v>4568</v>
      </c>
      <c r="E3466" t="s">
        <v>80</v>
      </c>
    </row>
    <row r="3467" spans="1:5" x14ac:dyDescent="0.2">
      <c r="A3467" s="940">
        <v>1956</v>
      </c>
      <c r="B3467" s="940">
        <v>90</v>
      </c>
      <c r="C3467" t="s">
        <v>7300</v>
      </c>
      <c r="D3467" s="940" t="s">
        <v>2788</v>
      </c>
      <c r="E3467" t="s">
        <v>105</v>
      </c>
    </row>
    <row r="3468" spans="1:5" x14ac:dyDescent="0.2">
      <c r="A3468" s="940">
        <v>3250</v>
      </c>
      <c r="B3468" s="940">
        <v>16</v>
      </c>
      <c r="C3468" t="s">
        <v>11155</v>
      </c>
      <c r="D3468" s="940" t="s">
        <v>3032</v>
      </c>
      <c r="E3468" t="s">
        <v>84</v>
      </c>
    </row>
    <row r="3469" spans="1:5" x14ac:dyDescent="0.2">
      <c r="A3469" s="940">
        <v>626</v>
      </c>
      <c r="B3469" s="940">
        <v>448</v>
      </c>
      <c r="C3469" t="s">
        <v>11156</v>
      </c>
      <c r="D3469" s="940" t="s">
        <v>11157</v>
      </c>
      <c r="E3469" t="s">
        <v>111</v>
      </c>
    </row>
    <row r="3470" spans="1:5" x14ac:dyDescent="0.2">
      <c r="A3470" s="940">
        <v>249</v>
      </c>
      <c r="B3470" s="940">
        <v>840</v>
      </c>
      <c r="C3470" t="s">
        <v>7301</v>
      </c>
      <c r="D3470" s="940" t="s">
        <v>7302</v>
      </c>
      <c r="E3470" t="s">
        <v>113</v>
      </c>
    </row>
    <row r="3471" spans="1:5" x14ac:dyDescent="0.2">
      <c r="A3471" s="940">
        <v>4294</v>
      </c>
      <c r="B3471" s="940">
        <v>0</v>
      </c>
      <c r="C3471" t="s">
        <v>11158</v>
      </c>
      <c r="D3471" s="940" t="s">
        <v>11159</v>
      </c>
      <c r="E3471" t="s">
        <v>243</v>
      </c>
    </row>
    <row r="3472" spans="1:5" x14ac:dyDescent="0.2">
      <c r="A3472" s="940">
        <v>2233</v>
      </c>
      <c r="B3472" s="940">
        <v>67</v>
      </c>
      <c r="C3472" t="s">
        <v>11160</v>
      </c>
      <c r="D3472" s="940" t="s">
        <v>11161</v>
      </c>
      <c r="E3472" t="s">
        <v>1343</v>
      </c>
    </row>
    <row r="3473" spans="1:5" x14ac:dyDescent="0.2">
      <c r="A3473" s="940">
        <v>1345</v>
      </c>
      <c r="B3473" s="940">
        <v>172</v>
      </c>
      <c r="C3473" t="s">
        <v>7303</v>
      </c>
      <c r="D3473" s="940" t="s">
        <v>4571</v>
      </c>
      <c r="E3473" t="s">
        <v>1162</v>
      </c>
    </row>
    <row r="3474" spans="1:5" x14ac:dyDescent="0.2">
      <c r="A3474" s="940">
        <v>3655</v>
      </c>
      <c r="B3474" s="940">
        <v>7</v>
      </c>
      <c r="C3474" t="s">
        <v>11162</v>
      </c>
      <c r="D3474" s="940" t="s">
        <v>11163</v>
      </c>
      <c r="E3474" t="s">
        <v>1214</v>
      </c>
    </row>
    <row r="3475" spans="1:5" x14ac:dyDescent="0.2">
      <c r="A3475" s="940">
        <v>4294</v>
      </c>
      <c r="B3475" s="940">
        <v>0</v>
      </c>
      <c r="C3475" t="s">
        <v>11164</v>
      </c>
      <c r="D3475" s="940" t="s">
        <v>8968</v>
      </c>
      <c r="E3475" t="s">
        <v>1435</v>
      </c>
    </row>
    <row r="3476" spans="1:5" x14ac:dyDescent="0.2">
      <c r="A3476" s="940">
        <v>4294</v>
      </c>
      <c r="B3476" s="940">
        <v>0</v>
      </c>
      <c r="C3476" t="s">
        <v>7304</v>
      </c>
      <c r="D3476" s="940" t="s">
        <v>7305</v>
      </c>
      <c r="E3476" t="s">
        <v>113</v>
      </c>
    </row>
    <row r="3477" spans="1:5" x14ac:dyDescent="0.2">
      <c r="A3477" s="940">
        <v>3136</v>
      </c>
      <c r="B3477" s="940">
        <v>19</v>
      </c>
      <c r="C3477" t="s">
        <v>7306</v>
      </c>
      <c r="D3477" s="940" t="s">
        <v>4510</v>
      </c>
      <c r="E3477" t="s">
        <v>132</v>
      </c>
    </row>
    <row r="3478" spans="1:5" x14ac:dyDescent="0.2">
      <c r="A3478" s="940">
        <v>3882</v>
      </c>
      <c r="B3478" s="940">
        <v>4</v>
      </c>
      <c r="C3478" t="s">
        <v>11165</v>
      </c>
      <c r="D3478" s="940" t="s">
        <v>5524</v>
      </c>
      <c r="E3478" t="s">
        <v>1156</v>
      </c>
    </row>
    <row r="3479" spans="1:5" x14ac:dyDescent="0.2">
      <c r="A3479" s="940">
        <v>1852</v>
      </c>
      <c r="B3479" s="940">
        <v>100</v>
      </c>
      <c r="C3479" t="s">
        <v>11166</v>
      </c>
      <c r="D3479" s="940" t="s">
        <v>11167</v>
      </c>
      <c r="E3479" t="s">
        <v>3518</v>
      </c>
    </row>
    <row r="3480" spans="1:5" x14ac:dyDescent="0.2">
      <c r="A3480" s="940">
        <v>502</v>
      </c>
      <c r="B3480" s="940">
        <v>544</v>
      </c>
      <c r="C3480" t="s">
        <v>562</v>
      </c>
      <c r="D3480" s="940" t="s">
        <v>7307</v>
      </c>
      <c r="E3480" t="s">
        <v>117</v>
      </c>
    </row>
    <row r="3481" spans="1:5" x14ac:dyDescent="0.2">
      <c r="A3481" s="940">
        <v>4294</v>
      </c>
      <c r="B3481" s="940">
        <v>0</v>
      </c>
      <c r="C3481" t="s">
        <v>7308</v>
      </c>
      <c r="D3481" s="940" t="s">
        <v>7309</v>
      </c>
      <c r="E3481" t="s">
        <v>105</v>
      </c>
    </row>
    <row r="3482" spans="1:5" x14ac:dyDescent="0.2">
      <c r="A3482" s="940">
        <v>976</v>
      </c>
      <c r="B3482" s="940">
        <v>288</v>
      </c>
      <c r="C3482" t="s">
        <v>563</v>
      </c>
      <c r="D3482" s="940" t="s">
        <v>2937</v>
      </c>
      <c r="E3482" t="s">
        <v>72</v>
      </c>
    </row>
    <row r="3483" spans="1:5" x14ac:dyDescent="0.2">
      <c r="A3483" s="940">
        <v>2434</v>
      </c>
      <c r="B3483" s="940">
        <v>52</v>
      </c>
      <c r="C3483" t="s">
        <v>7310</v>
      </c>
      <c r="D3483" s="940" t="s">
        <v>4306</v>
      </c>
      <c r="E3483" t="s">
        <v>120</v>
      </c>
    </row>
    <row r="3484" spans="1:5" x14ac:dyDescent="0.2">
      <c r="A3484" s="940">
        <v>281</v>
      </c>
      <c r="B3484" s="940">
        <v>805</v>
      </c>
      <c r="C3484" t="s">
        <v>7311</v>
      </c>
      <c r="D3484" s="940" t="s">
        <v>7312</v>
      </c>
      <c r="E3484" t="s">
        <v>1221</v>
      </c>
    </row>
    <row r="3485" spans="1:5" x14ac:dyDescent="0.2">
      <c r="A3485" s="940">
        <v>3402</v>
      </c>
      <c r="B3485" s="940">
        <v>12</v>
      </c>
      <c r="C3485" t="s">
        <v>7313</v>
      </c>
      <c r="D3485" s="940" t="s">
        <v>3346</v>
      </c>
      <c r="E3485" t="s">
        <v>6758</v>
      </c>
    </row>
    <row r="3486" spans="1:5" x14ac:dyDescent="0.2">
      <c r="A3486" s="940">
        <v>286</v>
      </c>
      <c r="B3486" s="940">
        <v>795</v>
      </c>
      <c r="C3486" t="s">
        <v>7314</v>
      </c>
      <c r="D3486" s="940" t="s">
        <v>7315</v>
      </c>
      <c r="E3486" t="s">
        <v>3200</v>
      </c>
    </row>
    <row r="3487" spans="1:5" x14ac:dyDescent="0.2">
      <c r="A3487" s="940">
        <v>4294</v>
      </c>
      <c r="B3487" s="940">
        <v>0</v>
      </c>
      <c r="C3487" t="s">
        <v>11168</v>
      </c>
      <c r="D3487" s="940" t="s">
        <v>11169</v>
      </c>
      <c r="E3487" t="s">
        <v>105</v>
      </c>
    </row>
    <row r="3488" spans="1:5" x14ac:dyDescent="0.2">
      <c r="A3488" s="940">
        <v>247</v>
      </c>
      <c r="B3488" s="940">
        <v>842</v>
      </c>
      <c r="C3488" t="s">
        <v>11170</v>
      </c>
      <c r="D3488" s="940" t="s">
        <v>11171</v>
      </c>
      <c r="E3488" t="s">
        <v>105</v>
      </c>
    </row>
    <row r="3489" spans="1:5" x14ac:dyDescent="0.2">
      <c r="A3489" s="940">
        <v>4294</v>
      </c>
      <c r="B3489" s="940">
        <v>0</v>
      </c>
      <c r="C3489" t="s">
        <v>7317</v>
      </c>
      <c r="D3489" s="940" t="s">
        <v>7318</v>
      </c>
      <c r="E3489" t="s">
        <v>1182</v>
      </c>
    </row>
    <row r="3490" spans="1:5" x14ac:dyDescent="0.2">
      <c r="A3490" s="940">
        <v>3446</v>
      </c>
      <c r="B3490" s="940">
        <v>11</v>
      </c>
      <c r="C3490" t="s">
        <v>11172</v>
      </c>
      <c r="D3490" s="940" t="s">
        <v>8109</v>
      </c>
      <c r="E3490" t="s">
        <v>1754</v>
      </c>
    </row>
    <row r="3491" spans="1:5" x14ac:dyDescent="0.2">
      <c r="A3491" s="940">
        <v>2339</v>
      </c>
      <c r="B3491" s="940">
        <v>59</v>
      </c>
      <c r="C3491" t="s">
        <v>2065</v>
      </c>
      <c r="D3491" s="940" t="s">
        <v>3528</v>
      </c>
      <c r="E3491" t="s">
        <v>1236</v>
      </c>
    </row>
    <row r="3492" spans="1:5" x14ac:dyDescent="0.2">
      <c r="A3492" s="940">
        <v>4294</v>
      </c>
      <c r="B3492" s="940">
        <v>0</v>
      </c>
      <c r="C3492" t="s">
        <v>11173</v>
      </c>
      <c r="D3492" s="940" t="s">
        <v>11174</v>
      </c>
      <c r="E3492" t="s">
        <v>105</v>
      </c>
    </row>
    <row r="3493" spans="1:5" x14ac:dyDescent="0.2">
      <c r="A3493" s="940">
        <v>1398</v>
      </c>
      <c r="B3493" s="940">
        <v>162</v>
      </c>
      <c r="C3493" t="s">
        <v>7319</v>
      </c>
      <c r="D3493" s="940" t="s">
        <v>7320</v>
      </c>
      <c r="E3493" t="s">
        <v>3200</v>
      </c>
    </row>
    <row r="3494" spans="1:5" x14ac:dyDescent="0.2">
      <c r="A3494" s="940">
        <v>446</v>
      </c>
      <c r="B3494" s="940">
        <v>597</v>
      </c>
      <c r="C3494" t="s">
        <v>11175</v>
      </c>
      <c r="D3494" s="940" t="s">
        <v>11176</v>
      </c>
      <c r="E3494" t="s">
        <v>1261</v>
      </c>
    </row>
    <row r="3495" spans="1:5" x14ac:dyDescent="0.2">
      <c r="A3495" s="940">
        <v>1816</v>
      </c>
      <c r="B3495" s="940">
        <v>103</v>
      </c>
      <c r="C3495" t="s">
        <v>7321</v>
      </c>
      <c r="D3495" s="940" t="s">
        <v>6779</v>
      </c>
      <c r="E3495" t="s">
        <v>4104</v>
      </c>
    </row>
    <row r="3496" spans="1:5" x14ac:dyDescent="0.2">
      <c r="A3496" s="940">
        <v>569</v>
      </c>
      <c r="B3496" s="940">
        <v>492</v>
      </c>
      <c r="C3496" t="s">
        <v>11177</v>
      </c>
      <c r="D3496" s="940" t="s">
        <v>11178</v>
      </c>
      <c r="E3496" t="s">
        <v>11179</v>
      </c>
    </row>
    <row r="3497" spans="1:5" x14ac:dyDescent="0.2">
      <c r="A3497" s="940">
        <v>2193</v>
      </c>
      <c r="B3497" s="940">
        <v>70</v>
      </c>
      <c r="C3497" t="s">
        <v>11180</v>
      </c>
      <c r="D3497" s="940" t="s">
        <v>11181</v>
      </c>
      <c r="E3497" t="s">
        <v>126</v>
      </c>
    </row>
    <row r="3498" spans="1:5" x14ac:dyDescent="0.2">
      <c r="A3498" s="940">
        <v>1816</v>
      </c>
      <c r="B3498" s="940">
        <v>103</v>
      </c>
      <c r="C3498" t="s">
        <v>2069</v>
      </c>
      <c r="D3498" s="940" t="s">
        <v>6870</v>
      </c>
      <c r="E3498" t="s">
        <v>105</v>
      </c>
    </row>
    <row r="3499" spans="1:5" x14ac:dyDescent="0.2">
      <c r="A3499" s="940">
        <v>1308</v>
      </c>
      <c r="B3499" s="940">
        <v>182</v>
      </c>
      <c r="C3499" t="s">
        <v>7324</v>
      </c>
      <c r="D3499" s="940" t="s">
        <v>7325</v>
      </c>
      <c r="E3499" t="s">
        <v>3098</v>
      </c>
    </row>
    <row r="3500" spans="1:5" x14ac:dyDescent="0.2">
      <c r="A3500" s="940">
        <v>2286</v>
      </c>
      <c r="B3500" s="940">
        <v>63</v>
      </c>
      <c r="C3500" t="s">
        <v>7326</v>
      </c>
      <c r="D3500" s="940" t="s">
        <v>7327</v>
      </c>
      <c r="E3500" t="s">
        <v>4395</v>
      </c>
    </row>
    <row r="3501" spans="1:5" x14ac:dyDescent="0.2">
      <c r="A3501" s="940">
        <v>971</v>
      </c>
      <c r="B3501" s="940">
        <v>290</v>
      </c>
      <c r="C3501" t="s">
        <v>7328</v>
      </c>
      <c r="D3501" s="940" t="s">
        <v>7329</v>
      </c>
      <c r="E3501" t="s">
        <v>213</v>
      </c>
    </row>
    <row r="3502" spans="1:5" x14ac:dyDescent="0.2">
      <c r="A3502" s="940">
        <v>1738</v>
      </c>
      <c r="B3502" s="940">
        <v>112</v>
      </c>
      <c r="C3502" t="s">
        <v>2071</v>
      </c>
      <c r="D3502" s="940" t="s">
        <v>5231</v>
      </c>
      <c r="E3502" t="s">
        <v>1198</v>
      </c>
    </row>
    <row r="3503" spans="1:5" x14ac:dyDescent="0.2">
      <c r="A3503" s="940">
        <v>2833</v>
      </c>
      <c r="B3503" s="940">
        <v>31</v>
      </c>
      <c r="C3503" t="s">
        <v>7330</v>
      </c>
      <c r="D3503" s="940" t="s">
        <v>7331</v>
      </c>
      <c r="E3503" t="s">
        <v>188</v>
      </c>
    </row>
    <row r="3504" spans="1:5" x14ac:dyDescent="0.2">
      <c r="A3504" s="940">
        <v>3796</v>
      </c>
      <c r="B3504" s="940">
        <v>5</v>
      </c>
      <c r="C3504" t="s">
        <v>7332</v>
      </c>
      <c r="D3504" s="940" t="s">
        <v>4688</v>
      </c>
      <c r="E3504" t="s">
        <v>1156</v>
      </c>
    </row>
    <row r="3505" spans="1:5" x14ac:dyDescent="0.2">
      <c r="A3505" s="940">
        <v>2962</v>
      </c>
      <c r="B3505" s="940">
        <v>25</v>
      </c>
      <c r="C3505" t="s">
        <v>11182</v>
      </c>
      <c r="D3505" s="940" t="s">
        <v>7842</v>
      </c>
      <c r="E3505" t="s">
        <v>11183</v>
      </c>
    </row>
    <row r="3506" spans="1:5" x14ac:dyDescent="0.2">
      <c r="A3506" s="940">
        <v>1252</v>
      </c>
      <c r="B3506" s="940">
        <v>193</v>
      </c>
      <c r="C3506" t="s">
        <v>11184</v>
      </c>
      <c r="D3506" s="940" t="s">
        <v>11185</v>
      </c>
      <c r="E3506" t="s">
        <v>1372</v>
      </c>
    </row>
    <row r="3507" spans="1:5" x14ac:dyDescent="0.2">
      <c r="A3507" s="940">
        <v>2668</v>
      </c>
      <c r="B3507" s="940">
        <v>38</v>
      </c>
      <c r="C3507" t="s">
        <v>7333</v>
      </c>
      <c r="D3507" s="940" t="s">
        <v>4016</v>
      </c>
      <c r="E3507" t="s">
        <v>72</v>
      </c>
    </row>
    <row r="3508" spans="1:5" x14ac:dyDescent="0.2">
      <c r="A3508" s="940">
        <v>1048</v>
      </c>
      <c r="B3508" s="940">
        <v>259</v>
      </c>
      <c r="C3508" t="s">
        <v>2073</v>
      </c>
      <c r="D3508" s="940" t="s">
        <v>5770</v>
      </c>
      <c r="E3508" t="s">
        <v>111</v>
      </c>
    </row>
    <row r="3509" spans="1:5" x14ac:dyDescent="0.2">
      <c r="A3509" s="940">
        <v>2298</v>
      </c>
      <c r="B3509" s="940">
        <v>62</v>
      </c>
      <c r="C3509" t="s">
        <v>11186</v>
      </c>
      <c r="D3509" s="940" t="s">
        <v>9969</v>
      </c>
      <c r="E3509" t="s">
        <v>3487</v>
      </c>
    </row>
    <row r="3510" spans="1:5" x14ac:dyDescent="0.2">
      <c r="A3510" s="940">
        <v>304</v>
      </c>
      <c r="B3510" s="940">
        <v>766</v>
      </c>
      <c r="C3510" t="s">
        <v>2076</v>
      </c>
      <c r="D3510" s="940" t="s">
        <v>3528</v>
      </c>
      <c r="E3510" t="s">
        <v>120</v>
      </c>
    </row>
    <row r="3511" spans="1:5" x14ac:dyDescent="0.2">
      <c r="A3511" s="940">
        <v>2254</v>
      </c>
      <c r="B3511" s="940">
        <v>65</v>
      </c>
      <c r="C3511" t="s">
        <v>2077</v>
      </c>
      <c r="D3511" s="940" t="s">
        <v>11187</v>
      </c>
      <c r="E3511" t="s">
        <v>113</v>
      </c>
    </row>
    <row r="3512" spans="1:5" x14ac:dyDescent="0.2">
      <c r="A3512" s="940">
        <v>2514</v>
      </c>
      <c r="B3512" s="940">
        <v>46</v>
      </c>
      <c r="C3512" t="s">
        <v>7337</v>
      </c>
      <c r="D3512" s="940" t="s">
        <v>7338</v>
      </c>
      <c r="E3512" t="s">
        <v>1169</v>
      </c>
    </row>
    <row r="3513" spans="1:5" x14ac:dyDescent="0.2">
      <c r="A3513" s="940">
        <v>4294</v>
      </c>
      <c r="B3513" s="940">
        <v>0</v>
      </c>
      <c r="C3513" t="s">
        <v>7339</v>
      </c>
      <c r="D3513" s="940" t="s">
        <v>11188</v>
      </c>
      <c r="E3513" t="s">
        <v>186</v>
      </c>
    </row>
    <row r="3514" spans="1:5" x14ac:dyDescent="0.2">
      <c r="A3514" s="940">
        <v>1144</v>
      </c>
      <c r="B3514" s="940">
        <v>226</v>
      </c>
      <c r="C3514" t="s">
        <v>11189</v>
      </c>
      <c r="D3514" s="940" t="s">
        <v>9190</v>
      </c>
      <c r="E3514" t="s">
        <v>1211</v>
      </c>
    </row>
    <row r="3515" spans="1:5" x14ac:dyDescent="0.2">
      <c r="A3515" s="940">
        <v>4294</v>
      </c>
      <c r="B3515" s="940">
        <v>0</v>
      </c>
      <c r="C3515" t="s">
        <v>11190</v>
      </c>
      <c r="D3515" s="940" t="s">
        <v>10365</v>
      </c>
      <c r="E3515" t="s">
        <v>614</v>
      </c>
    </row>
    <row r="3516" spans="1:5" x14ac:dyDescent="0.2">
      <c r="A3516" s="940">
        <v>2423</v>
      </c>
      <c r="B3516" s="940">
        <v>53</v>
      </c>
      <c r="C3516" t="s">
        <v>7340</v>
      </c>
      <c r="D3516" s="940" t="s">
        <v>7341</v>
      </c>
      <c r="E3516" t="s">
        <v>120</v>
      </c>
    </row>
    <row r="3517" spans="1:5" x14ac:dyDescent="0.2">
      <c r="A3517" s="940">
        <v>3107</v>
      </c>
      <c r="B3517" s="940">
        <v>20</v>
      </c>
      <c r="C3517" t="s">
        <v>11191</v>
      </c>
      <c r="D3517" s="940" t="s">
        <v>3193</v>
      </c>
      <c r="E3517" t="s">
        <v>1608</v>
      </c>
    </row>
    <row r="3518" spans="1:5" x14ac:dyDescent="0.2">
      <c r="A3518" s="940">
        <v>151</v>
      </c>
      <c r="B3518" s="940">
        <v>1003</v>
      </c>
      <c r="C3518" t="s">
        <v>7342</v>
      </c>
      <c r="D3518" s="940" t="s">
        <v>7343</v>
      </c>
      <c r="E3518" t="s">
        <v>128</v>
      </c>
    </row>
    <row r="3519" spans="1:5" x14ac:dyDescent="0.2">
      <c r="A3519" s="940">
        <v>1467</v>
      </c>
      <c r="B3519" s="940">
        <v>151</v>
      </c>
      <c r="C3519" t="s">
        <v>7344</v>
      </c>
      <c r="D3519" s="940" t="s">
        <v>7046</v>
      </c>
      <c r="E3519" t="s">
        <v>132</v>
      </c>
    </row>
    <row r="3520" spans="1:5" x14ac:dyDescent="0.2">
      <c r="A3520" s="940">
        <v>266</v>
      </c>
      <c r="B3520" s="940">
        <v>817</v>
      </c>
      <c r="C3520" t="s">
        <v>11192</v>
      </c>
      <c r="D3520" s="940" t="s">
        <v>11193</v>
      </c>
      <c r="E3520" t="s">
        <v>132</v>
      </c>
    </row>
    <row r="3521" spans="1:5" x14ac:dyDescent="0.2">
      <c r="A3521" s="940">
        <v>3048</v>
      </c>
      <c r="B3521" s="940">
        <v>22</v>
      </c>
      <c r="C3521" t="s">
        <v>7345</v>
      </c>
      <c r="D3521" s="940" t="s">
        <v>7346</v>
      </c>
      <c r="E3521" t="s">
        <v>132</v>
      </c>
    </row>
    <row r="3522" spans="1:5" x14ac:dyDescent="0.2">
      <c r="A3522" s="940">
        <v>1301</v>
      </c>
      <c r="B3522" s="940">
        <v>184</v>
      </c>
      <c r="C3522" t="s">
        <v>7347</v>
      </c>
      <c r="D3522" s="940" t="s">
        <v>3358</v>
      </c>
      <c r="E3522" t="s">
        <v>7348</v>
      </c>
    </row>
    <row r="3523" spans="1:5" x14ac:dyDescent="0.2">
      <c r="A3523" s="940">
        <v>1050</v>
      </c>
      <c r="B3523" s="940">
        <v>258</v>
      </c>
      <c r="C3523" t="s">
        <v>7349</v>
      </c>
      <c r="D3523" s="940" t="s">
        <v>3919</v>
      </c>
      <c r="E3523" t="s">
        <v>3098</v>
      </c>
    </row>
    <row r="3524" spans="1:5" x14ac:dyDescent="0.2">
      <c r="A3524" s="940">
        <v>3655</v>
      </c>
      <c r="B3524" s="940">
        <v>7</v>
      </c>
      <c r="C3524" t="s">
        <v>7350</v>
      </c>
      <c r="D3524" s="940" t="s">
        <v>3423</v>
      </c>
      <c r="E3524" t="s">
        <v>1221</v>
      </c>
    </row>
    <row r="3525" spans="1:5" x14ac:dyDescent="0.2">
      <c r="A3525" s="940">
        <v>4294</v>
      </c>
      <c r="B3525" s="940">
        <v>0</v>
      </c>
      <c r="C3525" t="s">
        <v>7351</v>
      </c>
      <c r="D3525" s="940" t="s">
        <v>2760</v>
      </c>
      <c r="E3525" t="s">
        <v>120</v>
      </c>
    </row>
    <row r="3526" spans="1:5" x14ac:dyDescent="0.2">
      <c r="A3526" s="940">
        <v>2168</v>
      </c>
      <c r="B3526" s="940">
        <v>72</v>
      </c>
      <c r="C3526" t="s">
        <v>7354</v>
      </c>
      <c r="D3526" s="940" t="s">
        <v>7355</v>
      </c>
      <c r="E3526" t="s">
        <v>1251</v>
      </c>
    </row>
    <row r="3527" spans="1:5" x14ac:dyDescent="0.2">
      <c r="A3527" s="940">
        <v>294</v>
      </c>
      <c r="B3527" s="940">
        <v>776</v>
      </c>
      <c r="C3527" t="s">
        <v>2080</v>
      </c>
      <c r="D3527" s="940" t="s">
        <v>7356</v>
      </c>
      <c r="E3527" t="s">
        <v>166</v>
      </c>
    </row>
    <row r="3528" spans="1:5" x14ac:dyDescent="0.2">
      <c r="A3528" s="940">
        <v>2691</v>
      </c>
      <c r="B3528" s="940">
        <v>37</v>
      </c>
      <c r="C3528" t="s">
        <v>11194</v>
      </c>
      <c r="D3528" s="940" t="s">
        <v>7767</v>
      </c>
      <c r="E3528" t="s">
        <v>4509</v>
      </c>
    </row>
    <row r="3529" spans="1:5" x14ac:dyDescent="0.2">
      <c r="A3529" s="940">
        <v>1279</v>
      </c>
      <c r="B3529" s="940">
        <v>189</v>
      </c>
      <c r="C3529" t="s">
        <v>7357</v>
      </c>
      <c r="D3529" s="940" t="s">
        <v>6701</v>
      </c>
      <c r="E3529" t="s">
        <v>105</v>
      </c>
    </row>
    <row r="3530" spans="1:5" x14ac:dyDescent="0.2">
      <c r="A3530" s="940">
        <v>318</v>
      </c>
      <c r="B3530" s="940">
        <v>746</v>
      </c>
      <c r="C3530" t="s">
        <v>11195</v>
      </c>
      <c r="D3530" s="940" t="s">
        <v>11196</v>
      </c>
      <c r="E3530" t="s">
        <v>130</v>
      </c>
    </row>
    <row r="3531" spans="1:5" x14ac:dyDescent="0.2">
      <c r="A3531" s="940">
        <v>2042</v>
      </c>
      <c r="B3531" s="940">
        <v>82</v>
      </c>
      <c r="C3531" t="s">
        <v>11197</v>
      </c>
      <c r="D3531" s="940" t="s">
        <v>11198</v>
      </c>
      <c r="E3531" t="s">
        <v>1447</v>
      </c>
    </row>
    <row r="3532" spans="1:5" x14ac:dyDescent="0.2">
      <c r="A3532" s="940">
        <v>1921</v>
      </c>
      <c r="B3532" s="940">
        <v>93</v>
      </c>
      <c r="C3532" t="s">
        <v>7358</v>
      </c>
      <c r="D3532" s="940" t="s">
        <v>3935</v>
      </c>
      <c r="E3532" t="s">
        <v>2880</v>
      </c>
    </row>
    <row r="3533" spans="1:5" x14ac:dyDescent="0.2">
      <c r="A3533" s="940">
        <v>4294</v>
      </c>
      <c r="B3533" s="940">
        <v>0</v>
      </c>
      <c r="C3533" t="s">
        <v>7359</v>
      </c>
      <c r="D3533" s="940" t="s">
        <v>7360</v>
      </c>
      <c r="E3533" t="s">
        <v>105</v>
      </c>
    </row>
    <row r="3534" spans="1:5" x14ac:dyDescent="0.2">
      <c r="A3534" s="940">
        <v>4294</v>
      </c>
      <c r="B3534" s="940">
        <v>0</v>
      </c>
      <c r="C3534" t="s">
        <v>7361</v>
      </c>
      <c r="D3534" s="940" t="s">
        <v>5060</v>
      </c>
      <c r="E3534" t="s">
        <v>117</v>
      </c>
    </row>
    <row r="3535" spans="1:5" x14ac:dyDescent="0.2">
      <c r="A3535" s="940">
        <v>3174</v>
      </c>
      <c r="B3535" s="940">
        <v>18</v>
      </c>
      <c r="C3535" t="s">
        <v>7362</v>
      </c>
      <c r="D3535" s="940" t="s">
        <v>7363</v>
      </c>
      <c r="E3535" t="s">
        <v>1507</v>
      </c>
    </row>
    <row r="3536" spans="1:5" x14ac:dyDescent="0.2">
      <c r="A3536" s="940">
        <v>778</v>
      </c>
      <c r="B3536" s="940">
        <v>371</v>
      </c>
      <c r="C3536" t="s">
        <v>7364</v>
      </c>
      <c r="D3536" s="940" t="s">
        <v>7365</v>
      </c>
      <c r="E3536" t="s">
        <v>105</v>
      </c>
    </row>
    <row r="3537" spans="1:5" x14ac:dyDescent="0.2">
      <c r="A3537" s="940">
        <v>839</v>
      </c>
      <c r="B3537" s="940">
        <v>344</v>
      </c>
      <c r="C3537" t="s">
        <v>11199</v>
      </c>
      <c r="D3537" s="940" t="s">
        <v>11200</v>
      </c>
      <c r="E3537" t="s">
        <v>136</v>
      </c>
    </row>
    <row r="3538" spans="1:5" x14ac:dyDescent="0.2">
      <c r="A3538" s="940">
        <v>2571</v>
      </c>
      <c r="B3538" s="940">
        <v>43</v>
      </c>
      <c r="C3538" t="s">
        <v>11201</v>
      </c>
      <c r="D3538" s="940" t="s">
        <v>6573</v>
      </c>
      <c r="E3538" t="s">
        <v>1171</v>
      </c>
    </row>
    <row r="3539" spans="1:5" x14ac:dyDescent="0.2">
      <c r="A3539" s="940">
        <v>4181</v>
      </c>
      <c r="B3539" s="940">
        <v>1</v>
      </c>
      <c r="C3539" t="s">
        <v>11202</v>
      </c>
      <c r="D3539" s="940" t="s">
        <v>2731</v>
      </c>
      <c r="E3539" t="s">
        <v>376</v>
      </c>
    </row>
    <row r="3540" spans="1:5" x14ac:dyDescent="0.2">
      <c r="A3540" s="940">
        <v>4294</v>
      </c>
      <c r="B3540" s="940">
        <v>0</v>
      </c>
      <c r="C3540" t="s">
        <v>7368</v>
      </c>
      <c r="D3540" s="940" t="s">
        <v>7369</v>
      </c>
      <c r="E3540" t="s">
        <v>1171</v>
      </c>
    </row>
    <row r="3541" spans="1:5" x14ac:dyDescent="0.2">
      <c r="A3541" s="940">
        <v>3446</v>
      </c>
      <c r="B3541" s="940">
        <v>11</v>
      </c>
      <c r="C3541" t="s">
        <v>7370</v>
      </c>
      <c r="D3541" s="940" t="s">
        <v>6997</v>
      </c>
      <c r="E3541" t="s">
        <v>2624</v>
      </c>
    </row>
    <row r="3542" spans="1:5" x14ac:dyDescent="0.2">
      <c r="A3542" s="940">
        <v>2962</v>
      </c>
      <c r="B3542" s="940">
        <v>25</v>
      </c>
      <c r="C3542" t="s">
        <v>7371</v>
      </c>
      <c r="D3542" s="940" t="s">
        <v>5007</v>
      </c>
      <c r="E3542" t="s">
        <v>120</v>
      </c>
    </row>
    <row r="3543" spans="1:5" x14ac:dyDescent="0.2">
      <c r="A3543" s="940">
        <v>1285</v>
      </c>
      <c r="B3543" s="940">
        <v>188</v>
      </c>
      <c r="C3543" t="s">
        <v>7372</v>
      </c>
      <c r="D3543" s="940" t="s">
        <v>3990</v>
      </c>
      <c r="E3543" t="s">
        <v>1261</v>
      </c>
    </row>
    <row r="3544" spans="1:5" x14ac:dyDescent="0.2">
      <c r="A3544" s="940">
        <v>3796</v>
      </c>
      <c r="B3544" s="940">
        <v>5</v>
      </c>
      <c r="C3544" t="s">
        <v>11203</v>
      </c>
      <c r="D3544" s="940" t="s">
        <v>11204</v>
      </c>
      <c r="E3544" t="s">
        <v>6361</v>
      </c>
    </row>
    <row r="3545" spans="1:5" x14ac:dyDescent="0.2">
      <c r="A3545" s="940">
        <v>3136</v>
      </c>
      <c r="B3545" s="940">
        <v>19</v>
      </c>
      <c r="C3545" t="s">
        <v>11205</v>
      </c>
      <c r="D3545" s="940" t="s">
        <v>11206</v>
      </c>
      <c r="E3545" t="s">
        <v>105</v>
      </c>
    </row>
    <row r="3546" spans="1:5" x14ac:dyDescent="0.2">
      <c r="A3546" s="940">
        <v>3174</v>
      </c>
      <c r="B3546" s="940">
        <v>18</v>
      </c>
      <c r="C3546" t="s">
        <v>7375</v>
      </c>
      <c r="D3546" s="940" t="s">
        <v>7376</v>
      </c>
      <c r="E3546" t="s">
        <v>1358</v>
      </c>
    </row>
    <row r="3547" spans="1:5" x14ac:dyDescent="0.2">
      <c r="A3547" s="940">
        <v>3796</v>
      </c>
      <c r="B3547" s="940">
        <v>5</v>
      </c>
      <c r="C3547" t="s">
        <v>7377</v>
      </c>
      <c r="D3547" s="940" t="s">
        <v>4629</v>
      </c>
      <c r="E3547" t="s">
        <v>1939</v>
      </c>
    </row>
    <row r="3548" spans="1:5" x14ac:dyDescent="0.2">
      <c r="A3548" s="940">
        <v>1188</v>
      </c>
      <c r="B3548" s="940">
        <v>215</v>
      </c>
      <c r="C3548" t="s">
        <v>7378</v>
      </c>
      <c r="D3548" s="940" t="s">
        <v>7379</v>
      </c>
      <c r="E3548" t="s">
        <v>120</v>
      </c>
    </row>
    <row r="3549" spans="1:5" x14ac:dyDescent="0.2">
      <c r="A3549" s="940">
        <v>3083</v>
      </c>
      <c r="B3549" s="940">
        <v>21</v>
      </c>
      <c r="C3549" t="s">
        <v>11207</v>
      </c>
      <c r="D3549" s="940" t="s">
        <v>11208</v>
      </c>
      <c r="E3549" t="s">
        <v>1214</v>
      </c>
    </row>
    <row r="3550" spans="1:5" x14ac:dyDescent="0.2">
      <c r="A3550" s="940">
        <v>512</v>
      </c>
      <c r="B3550" s="940">
        <v>535</v>
      </c>
      <c r="C3550" t="s">
        <v>2086</v>
      </c>
      <c r="D3550" s="940" t="s">
        <v>7380</v>
      </c>
      <c r="E3550" t="s">
        <v>105</v>
      </c>
    </row>
    <row r="3551" spans="1:5" x14ac:dyDescent="0.2">
      <c r="A3551" s="940">
        <v>4294</v>
      </c>
      <c r="B3551" s="940">
        <v>0</v>
      </c>
      <c r="C3551" t="s">
        <v>2086</v>
      </c>
      <c r="D3551" s="940" t="s">
        <v>9102</v>
      </c>
      <c r="E3551" t="s">
        <v>105</v>
      </c>
    </row>
    <row r="3552" spans="1:5" x14ac:dyDescent="0.2">
      <c r="A3552" s="940">
        <v>101</v>
      </c>
      <c r="B3552" s="940">
        <v>1125</v>
      </c>
      <c r="C3552" t="s">
        <v>567</v>
      </c>
      <c r="D3552" s="940" t="s">
        <v>7381</v>
      </c>
      <c r="E3552" t="s">
        <v>99</v>
      </c>
    </row>
    <row r="3553" spans="1:5" x14ac:dyDescent="0.2">
      <c r="A3553" s="940">
        <v>1912</v>
      </c>
      <c r="B3553" s="940">
        <v>94</v>
      </c>
      <c r="C3553" t="s">
        <v>11209</v>
      </c>
      <c r="D3553" s="940" t="s">
        <v>9225</v>
      </c>
      <c r="E3553" t="s">
        <v>377</v>
      </c>
    </row>
    <row r="3554" spans="1:5" x14ac:dyDescent="0.2">
      <c r="A3554" s="940">
        <v>4294</v>
      </c>
      <c r="B3554" s="940">
        <v>0</v>
      </c>
      <c r="C3554" t="s">
        <v>11209</v>
      </c>
      <c r="D3554" s="940" t="s">
        <v>9717</v>
      </c>
      <c r="E3554" t="s">
        <v>1214</v>
      </c>
    </row>
    <row r="3555" spans="1:5" x14ac:dyDescent="0.2">
      <c r="A3555" s="940">
        <v>3222</v>
      </c>
      <c r="B3555" s="940">
        <v>17</v>
      </c>
      <c r="C3555" t="s">
        <v>7382</v>
      </c>
      <c r="D3555" s="940" t="s">
        <v>7383</v>
      </c>
      <c r="E3555" t="s">
        <v>117</v>
      </c>
    </row>
    <row r="3556" spans="1:5" x14ac:dyDescent="0.2">
      <c r="A3556" s="940">
        <v>1392</v>
      </c>
      <c r="B3556" s="940">
        <v>163</v>
      </c>
      <c r="C3556" t="s">
        <v>2088</v>
      </c>
      <c r="D3556" s="940" t="s">
        <v>7386</v>
      </c>
      <c r="E3556" t="s">
        <v>136</v>
      </c>
    </row>
    <row r="3557" spans="1:5" x14ac:dyDescent="0.2">
      <c r="A3557" s="940">
        <v>3136</v>
      </c>
      <c r="B3557" s="940">
        <v>19</v>
      </c>
      <c r="C3557" t="s">
        <v>2088</v>
      </c>
      <c r="D3557" s="940" t="s">
        <v>7385</v>
      </c>
      <c r="E3557" t="s">
        <v>119</v>
      </c>
    </row>
    <row r="3558" spans="1:5" x14ac:dyDescent="0.2">
      <c r="A3558" s="940">
        <v>2630</v>
      </c>
      <c r="B3558" s="940">
        <v>40</v>
      </c>
      <c r="C3558" t="s">
        <v>2530</v>
      </c>
      <c r="D3558" s="940" t="s">
        <v>4828</v>
      </c>
      <c r="E3558" t="s">
        <v>105</v>
      </c>
    </row>
    <row r="3559" spans="1:5" x14ac:dyDescent="0.2">
      <c r="A3559" s="940">
        <v>106</v>
      </c>
      <c r="B3559" s="940">
        <v>1100</v>
      </c>
      <c r="C3559" t="s">
        <v>568</v>
      </c>
      <c r="D3559" s="940" t="s">
        <v>7387</v>
      </c>
      <c r="E3559" t="s">
        <v>105</v>
      </c>
    </row>
    <row r="3560" spans="1:5" x14ac:dyDescent="0.2">
      <c r="A3560" s="940">
        <v>4181</v>
      </c>
      <c r="B3560" s="940">
        <v>1</v>
      </c>
      <c r="C3560" t="s">
        <v>568</v>
      </c>
      <c r="D3560" s="940" t="s">
        <v>6017</v>
      </c>
      <c r="E3560" t="s">
        <v>111</v>
      </c>
    </row>
    <row r="3561" spans="1:5" x14ac:dyDescent="0.2">
      <c r="A3561" s="940">
        <v>4294</v>
      </c>
      <c r="B3561" s="940">
        <v>0</v>
      </c>
      <c r="C3561" t="s">
        <v>2089</v>
      </c>
      <c r="D3561" s="940" t="s">
        <v>8291</v>
      </c>
      <c r="E3561" t="s">
        <v>1590</v>
      </c>
    </row>
    <row r="3562" spans="1:5" x14ac:dyDescent="0.2">
      <c r="A3562" s="940">
        <v>1964</v>
      </c>
      <c r="B3562" s="940">
        <v>89</v>
      </c>
      <c r="C3562" t="s">
        <v>7388</v>
      </c>
      <c r="D3562" s="940" t="s">
        <v>7389</v>
      </c>
      <c r="E3562" t="s">
        <v>1358</v>
      </c>
    </row>
    <row r="3563" spans="1:5" x14ac:dyDescent="0.2">
      <c r="A3563" s="940">
        <v>4294</v>
      </c>
      <c r="B3563" s="940">
        <v>0</v>
      </c>
      <c r="C3563" t="s">
        <v>7388</v>
      </c>
      <c r="D3563" s="940" t="s">
        <v>7713</v>
      </c>
      <c r="E3563" t="s">
        <v>1590</v>
      </c>
    </row>
    <row r="3564" spans="1:5" x14ac:dyDescent="0.2">
      <c r="A3564" s="940">
        <v>4294</v>
      </c>
      <c r="B3564" s="940">
        <v>0</v>
      </c>
      <c r="C3564" t="s">
        <v>7390</v>
      </c>
      <c r="D3564" s="940" t="s">
        <v>5685</v>
      </c>
      <c r="E3564" t="s">
        <v>1248</v>
      </c>
    </row>
    <row r="3565" spans="1:5" x14ac:dyDescent="0.2">
      <c r="A3565" s="940">
        <v>4294</v>
      </c>
      <c r="B3565" s="940">
        <v>0</v>
      </c>
      <c r="C3565" t="s">
        <v>7390</v>
      </c>
      <c r="D3565" s="940" t="s">
        <v>7391</v>
      </c>
      <c r="E3565" t="s">
        <v>105</v>
      </c>
    </row>
    <row r="3566" spans="1:5" x14ac:dyDescent="0.2">
      <c r="A3566" s="940">
        <v>1485</v>
      </c>
      <c r="B3566" s="940">
        <v>147</v>
      </c>
      <c r="C3566" t="s">
        <v>2571</v>
      </c>
      <c r="D3566" s="940" t="s">
        <v>4856</v>
      </c>
      <c r="E3566" t="s">
        <v>166</v>
      </c>
    </row>
    <row r="3567" spans="1:5" x14ac:dyDescent="0.2">
      <c r="A3567" s="940">
        <v>4294</v>
      </c>
      <c r="B3567" s="940">
        <v>0</v>
      </c>
      <c r="C3567" t="s">
        <v>2571</v>
      </c>
      <c r="D3567" s="940" t="s">
        <v>7393</v>
      </c>
      <c r="E3567" t="s">
        <v>103</v>
      </c>
    </row>
    <row r="3568" spans="1:5" x14ac:dyDescent="0.2">
      <c r="A3568" s="940">
        <v>2691</v>
      </c>
      <c r="B3568" s="940">
        <v>37</v>
      </c>
      <c r="C3568" t="s">
        <v>7394</v>
      </c>
      <c r="D3568" s="940" t="s">
        <v>5442</v>
      </c>
      <c r="E3568" t="s">
        <v>117</v>
      </c>
    </row>
    <row r="3569" spans="1:5" x14ac:dyDescent="0.2">
      <c r="A3569" s="940">
        <v>2649</v>
      </c>
      <c r="B3569" s="940">
        <v>39</v>
      </c>
      <c r="C3569" t="s">
        <v>7395</v>
      </c>
      <c r="D3569" s="940" t="s">
        <v>7323</v>
      </c>
      <c r="E3569" t="s">
        <v>105</v>
      </c>
    </row>
    <row r="3570" spans="1:5" x14ac:dyDescent="0.2">
      <c r="A3570" s="940">
        <v>1826</v>
      </c>
      <c r="B3570" s="940">
        <v>102</v>
      </c>
      <c r="C3570" t="s">
        <v>2090</v>
      </c>
      <c r="D3570" s="940" t="s">
        <v>7396</v>
      </c>
      <c r="E3570" t="s">
        <v>7397</v>
      </c>
    </row>
    <row r="3571" spans="1:5" x14ac:dyDescent="0.2">
      <c r="A3571" s="940">
        <v>821</v>
      </c>
      <c r="B3571" s="940">
        <v>353</v>
      </c>
      <c r="C3571" t="s">
        <v>7398</v>
      </c>
      <c r="D3571" s="940" t="s">
        <v>7399</v>
      </c>
      <c r="E3571" t="s">
        <v>2558</v>
      </c>
    </row>
    <row r="3572" spans="1:5" x14ac:dyDescent="0.2">
      <c r="A3572" s="940">
        <v>3174</v>
      </c>
      <c r="B3572" s="940">
        <v>18</v>
      </c>
      <c r="C3572" t="s">
        <v>7398</v>
      </c>
      <c r="D3572" s="940" t="s">
        <v>6114</v>
      </c>
      <c r="E3572" t="s">
        <v>183</v>
      </c>
    </row>
    <row r="3573" spans="1:5" x14ac:dyDescent="0.2">
      <c r="A3573" s="940">
        <v>3290</v>
      </c>
      <c r="B3573" s="940">
        <v>15</v>
      </c>
      <c r="C3573" t="s">
        <v>7400</v>
      </c>
      <c r="D3573" s="940" t="s">
        <v>5418</v>
      </c>
      <c r="E3573" t="s">
        <v>111</v>
      </c>
    </row>
    <row r="3574" spans="1:5" x14ac:dyDescent="0.2">
      <c r="A3574" s="940">
        <v>1880</v>
      </c>
      <c r="B3574" s="940">
        <v>97</v>
      </c>
      <c r="C3574" t="s">
        <v>2572</v>
      </c>
      <c r="D3574" s="940" t="s">
        <v>10223</v>
      </c>
      <c r="E3574" t="s">
        <v>180</v>
      </c>
    </row>
    <row r="3575" spans="1:5" x14ac:dyDescent="0.2">
      <c r="A3575" s="940">
        <v>4294</v>
      </c>
      <c r="B3575" s="940">
        <v>0</v>
      </c>
      <c r="C3575" t="s">
        <v>7401</v>
      </c>
      <c r="D3575" s="940" t="s">
        <v>5946</v>
      </c>
      <c r="E3575" t="s">
        <v>122</v>
      </c>
    </row>
    <row r="3576" spans="1:5" x14ac:dyDescent="0.2">
      <c r="A3576" s="940">
        <v>3545</v>
      </c>
      <c r="B3576" s="940">
        <v>9</v>
      </c>
      <c r="C3576" t="s">
        <v>11210</v>
      </c>
      <c r="D3576" s="940" t="s">
        <v>4510</v>
      </c>
      <c r="E3576" t="s">
        <v>1475</v>
      </c>
    </row>
    <row r="3577" spans="1:5" x14ac:dyDescent="0.2">
      <c r="A3577" s="940">
        <v>526</v>
      </c>
      <c r="B3577" s="940">
        <v>521</v>
      </c>
      <c r="C3577" t="s">
        <v>7402</v>
      </c>
      <c r="D3577" s="940" t="s">
        <v>7403</v>
      </c>
      <c r="E3577" t="s">
        <v>1214</v>
      </c>
    </row>
    <row r="3578" spans="1:5" x14ac:dyDescent="0.2">
      <c r="A3578" s="940">
        <v>1452</v>
      </c>
      <c r="B3578" s="940">
        <v>154</v>
      </c>
      <c r="C3578" t="s">
        <v>7404</v>
      </c>
      <c r="D3578" s="940" t="s">
        <v>3626</v>
      </c>
      <c r="E3578" t="s">
        <v>105</v>
      </c>
    </row>
    <row r="3579" spans="1:5" x14ac:dyDescent="0.2">
      <c r="A3579" s="940">
        <v>2180</v>
      </c>
      <c r="B3579" s="940">
        <v>71</v>
      </c>
      <c r="C3579" t="s">
        <v>11211</v>
      </c>
      <c r="D3579" s="940" t="s">
        <v>7767</v>
      </c>
      <c r="E3579" t="s">
        <v>1182</v>
      </c>
    </row>
    <row r="3580" spans="1:5" x14ac:dyDescent="0.2">
      <c r="A3580" s="940">
        <v>4294</v>
      </c>
      <c r="B3580" s="940">
        <v>0</v>
      </c>
      <c r="C3580" t="s">
        <v>7405</v>
      </c>
      <c r="D3580" s="940" t="s">
        <v>5302</v>
      </c>
      <c r="E3580" t="s">
        <v>163</v>
      </c>
    </row>
    <row r="3581" spans="1:5" x14ac:dyDescent="0.2">
      <c r="A3581" s="940">
        <v>3358</v>
      </c>
      <c r="B3581" s="940">
        <v>13</v>
      </c>
      <c r="C3581" t="s">
        <v>11212</v>
      </c>
      <c r="D3581" s="940" t="s">
        <v>7121</v>
      </c>
      <c r="E3581" t="s">
        <v>2549</v>
      </c>
    </row>
    <row r="3582" spans="1:5" x14ac:dyDescent="0.2">
      <c r="A3582" s="940">
        <v>4181</v>
      </c>
      <c r="B3582" s="940">
        <v>1</v>
      </c>
      <c r="C3582" t="s">
        <v>11213</v>
      </c>
      <c r="D3582" s="940" t="s">
        <v>2816</v>
      </c>
      <c r="E3582" t="s">
        <v>1200</v>
      </c>
    </row>
    <row r="3583" spans="1:5" x14ac:dyDescent="0.2">
      <c r="A3583" s="940">
        <v>3796</v>
      </c>
      <c r="B3583" s="940">
        <v>5</v>
      </c>
      <c r="C3583" t="s">
        <v>7406</v>
      </c>
      <c r="D3583" s="940" t="s">
        <v>7407</v>
      </c>
      <c r="E3583" t="s">
        <v>1248</v>
      </c>
    </row>
    <row r="3584" spans="1:5" x14ac:dyDescent="0.2">
      <c r="A3584" s="940">
        <v>1439</v>
      </c>
      <c r="B3584" s="940">
        <v>156</v>
      </c>
      <c r="C3584" t="s">
        <v>853</v>
      </c>
      <c r="D3584" s="940" t="s">
        <v>5169</v>
      </c>
      <c r="E3584" t="s">
        <v>1204</v>
      </c>
    </row>
    <row r="3585" spans="1:5" x14ac:dyDescent="0.2">
      <c r="A3585" s="940">
        <v>250</v>
      </c>
      <c r="B3585" s="940">
        <v>837</v>
      </c>
      <c r="C3585" t="s">
        <v>7408</v>
      </c>
      <c r="D3585" s="940" t="s">
        <v>7409</v>
      </c>
      <c r="E3585" t="s">
        <v>1156</v>
      </c>
    </row>
    <row r="3586" spans="1:5" x14ac:dyDescent="0.2">
      <c r="A3586" s="940">
        <v>209</v>
      </c>
      <c r="B3586" s="940">
        <v>898</v>
      </c>
      <c r="C3586" t="s">
        <v>7410</v>
      </c>
      <c r="D3586" s="940" t="s">
        <v>7411</v>
      </c>
      <c r="E3586" t="s">
        <v>1156</v>
      </c>
    </row>
    <row r="3587" spans="1:5" x14ac:dyDescent="0.2">
      <c r="A3587" s="940">
        <v>2877</v>
      </c>
      <c r="B3587" s="940">
        <v>29</v>
      </c>
      <c r="C3587" t="s">
        <v>7412</v>
      </c>
      <c r="D3587" s="940" t="s">
        <v>4351</v>
      </c>
      <c r="E3587" t="s">
        <v>1214</v>
      </c>
    </row>
    <row r="3588" spans="1:5" x14ac:dyDescent="0.2">
      <c r="A3588" s="940">
        <v>4294</v>
      </c>
      <c r="B3588" s="940">
        <v>0</v>
      </c>
      <c r="C3588" t="s">
        <v>7413</v>
      </c>
      <c r="D3588" s="940" t="s">
        <v>4908</v>
      </c>
      <c r="E3588" t="s">
        <v>117</v>
      </c>
    </row>
    <row r="3589" spans="1:5" x14ac:dyDescent="0.2">
      <c r="A3589" s="940">
        <v>1220</v>
      </c>
      <c r="B3589" s="940">
        <v>203</v>
      </c>
      <c r="C3589" t="s">
        <v>11214</v>
      </c>
      <c r="D3589" s="940" t="s">
        <v>11215</v>
      </c>
      <c r="E3589" t="s">
        <v>2542</v>
      </c>
    </row>
    <row r="3590" spans="1:5" x14ac:dyDescent="0.2">
      <c r="A3590" s="940">
        <v>1184</v>
      </c>
      <c r="B3590" s="940">
        <v>216</v>
      </c>
      <c r="C3590" t="s">
        <v>11216</v>
      </c>
      <c r="D3590" s="940" t="s">
        <v>4129</v>
      </c>
      <c r="E3590" t="s">
        <v>2913</v>
      </c>
    </row>
    <row r="3591" spans="1:5" x14ac:dyDescent="0.2">
      <c r="A3591" s="940">
        <v>2042</v>
      </c>
      <c r="B3591" s="940">
        <v>82</v>
      </c>
      <c r="C3591" t="s">
        <v>2096</v>
      </c>
      <c r="D3591" s="940" t="s">
        <v>2686</v>
      </c>
      <c r="E3591" t="s">
        <v>127</v>
      </c>
    </row>
    <row r="3592" spans="1:5" x14ac:dyDescent="0.2">
      <c r="A3592" s="940">
        <v>2571</v>
      </c>
      <c r="B3592" s="940">
        <v>43</v>
      </c>
      <c r="C3592" t="s">
        <v>569</v>
      </c>
      <c r="D3592" s="940" t="s">
        <v>7414</v>
      </c>
      <c r="E3592" t="s">
        <v>106</v>
      </c>
    </row>
    <row r="3593" spans="1:5" x14ac:dyDescent="0.2">
      <c r="A3593" s="940">
        <v>3655</v>
      </c>
      <c r="B3593" s="940">
        <v>7</v>
      </c>
      <c r="C3593" t="s">
        <v>11217</v>
      </c>
      <c r="D3593" s="940" t="s">
        <v>8764</v>
      </c>
      <c r="E3593" t="s">
        <v>3687</v>
      </c>
    </row>
    <row r="3594" spans="1:5" x14ac:dyDescent="0.2">
      <c r="A3594" s="940">
        <v>4294</v>
      </c>
      <c r="B3594" s="940">
        <v>0</v>
      </c>
      <c r="C3594" t="s">
        <v>11218</v>
      </c>
      <c r="D3594" s="940" t="s">
        <v>5050</v>
      </c>
      <c r="E3594" t="s">
        <v>120</v>
      </c>
    </row>
    <row r="3595" spans="1:5" x14ac:dyDescent="0.2">
      <c r="A3595" s="940">
        <v>4081</v>
      </c>
      <c r="B3595" s="940">
        <v>2</v>
      </c>
      <c r="C3595" t="s">
        <v>7415</v>
      </c>
      <c r="D3595" s="940" t="s">
        <v>3405</v>
      </c>
      <c r="E3595" t="s">
        <v>1171</v>
      </c>
    </row>
    <row r="3596" spans="1:5" x14ac:dyDescent="0.2">
      <c r="A3596" s="940">
        <v>1089</v>
      </c>
      <c r="B3596" s="940">
        <v>245</v>
      </c>
      <c r="C3596" t="s">
        <v>7418</v>
      </c>
      <c r="D3596" s="940" t="s">
        <v>7419</v>
      </c>
      <c r="E3596" t="s">
        <v>115</v>
      </c>
    </row>
    <row r="3597" spans="1:5" x14ac:dyDescent="0.2">
      <c r="A3597" s="940">
        <v>1069</v>
      </c>
      <c r="B3597" s="940">
        <v>252</v>
      </c>
      <c r="C3597" t="s">
        <v>7420</v>
      </c>
      <c r="D3597" s="940" t="s">
        <v>2657</v>
      </c>
      <c r="E3597" t="s">
        <v>1171</v>
      </c>
    </row>
    <row r="3598" spans="1:5" x14ac:dyDescent="0.2">
      <c r="A3598" s="940">
        <v>3655</v>
      </c>
      <c r="B3598" s="940">
        <v>7</v>
      </c>
      <c r="C3598" t="s">
        <v>11219</v>
      </c>
      <c r="D3598" s="940" t="s">
        <v>4533</v>
      </c>
      <c r="E3598" t="s">
        <v>4674</v>
      </c>
    </row>
    <row r="3599" spans="1:5" x14ac:dyDescent="0.2">
      <c r="A3599" s="940">
        <v>4294</v>
      </c>
      <c r="B3599" s="940">
        <v>0</v>
      </c>
      <c r="C3599" t="s">
        <v>7423</v>
      </c>
      <c r="D3599" s="940" t="s">
        <v>7424</v>
      </c>
      <c r="E3599" t="s">
        <v>72</v>
      </c>
    </row>
    <row r="3600" spans="1:5" x14ac:dyDescent="0.2">
      <c r="A3600" s="940">
        <v>4294</v>
      </c>
      <c r="B3600" s="940">
        <v>0</v>
      </c>
      <c r="C3600" t="s">
        <v>11220</v>
      </c>
      <c r="D3600" s="940" t="s">
        <v>9496</v>
      </c>
      <c r="E3600" t="s">
        <v>105</v>
      </c>
    </row>
    <row r="3601" spans="1:5" x14ac:dyDescent="0.2">
      <c r="A3601" s="940">
        <v>4294</v>
      </c>
      <c r="B3601" s="940">
        <v>0</v>
      </c>
      <c r="C3601" t="s">
        <v>7425</v>
      </c>
      <c r="D3601" s="940" t="s">
        <v>7426</v>
      </c>
      <c r="E3601" t="s">
        <v>111</v>
      </c>
    </row>
    <row r="3602" spans="1:5" x14ac:dyDescent="0.2">
      <c r="A3602" s="940">
        <v>1033</v>
      </c>
      <c r="B3602" s="940">
        <v>266</v>
      </c>
      <c r="C3602" t="s">
        <v>7429</v>
      </c>
      <c r="D3602" s="940" t="s">
        <v>7430</v>
      </c>
      <c r="E3602" t="s">
        <v>208</v>
      </c>
    </row>
    <row r="3603" spans="1:5" x14ac:dyDescent="0.2">
      <c r="A3603" s="940">
        <v>3008</v>
      </c>
      <c r="B3603" s="940">
        <v>23</v>
      </c>
      <c r="C3603" t="s">
        <v>7431</v>
      </c>
      <c r="D3603" s="940" t="s">
        <v>4091</v>
      </c>
      <c r="E3603" t="s">
        <v>1358</v>
      </c>
    </row>
    <row r="3604" spans="1:5" x14ac:dyDescent="0.2">
      <c r="A3604" s="940">
        <v>821</v>
      </c>
      <c r="B3604" s="940">
        <v>353</v>
      </c>
      <c r="C3604" t="s">
        <v>7432</v>
      </c>
      <c r="D3604" s="940" t="s">
        <v>7433</v>
      </c>
      <c r="E3604" t="s">
        <v>2880</v>
      </c>
    </row>
    <row r="3605" spans="1:5" x14ac:dyDescent="0.2">
      <c r="A3605" s="940">
        <v>31</v>
      </c>
      <c r="B3605" s="940">
        <v>1413</v>
      </c>
      <c r="C3605" t="s">
        <v>7435</v>
      </c>
      <c r="D3605" s="940" t="s">
        <v>7436</v>
      </c>
      <c r="E3605" t="s">
        <v>7437</v>
      </c>
    </row>
    <row r="3606" spans="1:5" x14ac:dyDescent="0.2">
      <c r="A3606" s="940">
        <v>2207</v>
      </c>
      <c r="B3606" s="940">
        <v>69</v>
      </c>
      <c r="C3606" t="s">
        <v>11221</v>
      </c>
      <c r="D3606" s="940" t="s">
        <v>7731</v>
      </c>
      <c r="E3606" t="s">
        <v>1358</v>
      </c>
    </row>
    <row r="3607" spans="1:5" x14ac:dyDescent="0.2">
      <c r="A3607" s="940">
        <v>1738</v>
      </c>
      <c r="B3607" s="940">
        <v>112</v>
      </c>
      <c r="C3607" t="s">
        <v>11222</v>
      </c>
      <c r="D3607" s="940" t="s">
        <v>11223</v>
      </c>
      <c r="E3607" t="s">
        <v>130</v>
      </c>
    </row>
    <row r="3608" spans="1:5" x14ac:dyDescent="0.2">
      <c r="A3608" s="940">
        <v>2329</v>
      </c>
      <c r="B3608" s="940">
        <v>60</v>
      </c>
      <c r="C3608" t="s">
        <v>11224</v>
      </c>
      <c r="D3608" s="940" t="s">
        <v>11074</v>
      </c>
      <c r="E3608" t="s">
        <v>113</v>
      </c>
    </row>
    <row r="3609" spans="1:5" x14ac:dyDescent="0.2">
      <c r="A3609" s="940">
        <v>2833</v>
      </c>
      <c r="B3609" s="940">
        <v>31</v>
      </c>
      <c r="C3609" t="s">
        <v>7438</v>
      </c>
      <c r="D3609" s="940" t="s">
        <v>2647</v>
      </c>
      <c r="E3609" t="s">
        <v>6245</v>
      </c>
    </row>
    <row r="3610" spans="1:5" x14ac:dyDescent="0.2">
      <c r="A3610" s="940">
        <v>1806</v>
      </c>
      <c r="B3610" s="940">
        <v>104</v>
      </c>
      <c r="C3610" t="s">
        <v>2101</v>
      </c>
      <c r="D3610" s="940" t="s">
        <v>7439</v>
      </c>
      <c r="E3610" t="s">
        <v>120</v>
      </c>
    </row>
    <row r="3611" spans="1:5" x14ac:dyDescent="0.2">
      <c r="A3611" s="940">
        <v>3655</v>
      </c>
      <c r="B3611" s="940">
        <v>7</v>
      </c>
      <c r="C3611" t="s">
        <v>11225</v>
      </c>
      <c r="D3611" s="940" t="s">
        <v>9576</v>
      </c>
      <c r="E3611" t="s">
        <v>1236</v>
      </c>
    </row>
    <row r="3612" spans="1:5" x14ac:dyDescent="0.2">
      <c r="A3612" s="940">
        <v>1746</v>
      </c>
      <c r="B3612" s="940">
        <v>111</v>
      </c>
      <c r="C3612" t="s">
        <v>7440</v>
      </c>
      <c r="D3612" s="940" t="s">
        <v>4893</v>
      </c>
      <c r="E3612" t="s">
        <v>3140</v>
      </c>
    </row>
    <row r="3613" spans="1:5" x14ac:dyDescent="0.2">
      <c r="A3613" s="940">
        <v>4294</v>
      </c>
      <c r="B3613" s="940">
        <v>0</v>
      </c>
      <c r="C3613" t="s">
        <v>7443</v>
      </c>
      <c r="D3613" s="940" t="s">
        <v>6677</v>
      </c>
      <c r="E3613" t="s">
        <v>105</v>
      </c>
    </row>
    <row r="3614" spans="1:5" x14ac:dyDescent="0.2">
      <c r="A3614" s="940">
        <v>4181</v>
      </c>
      <c r="B3614" s="940">
        <v>1</v>
      </c>
      <c r="C3614" t="s">
        <v>11226</v>
      </c>
      <c r="D3614" s="940" t="s">
        <v>11227</v>
      </c>
      <c r="E3614" t="s">
        <v>120</v>
      </c>
    </row>
    <row r="3615" spans="1:5" x14ac:dyDescent="0.2">
      <c r="A3615" s="940">
        <v>314</v>
      </c>
      <c r="B3615" s="940">
        <v>749</v>
      </c>
      <c r="C3615" t="s">
        <v>7444</v>
      </c>
      <c r="D3615" s="940" t="s">
        <v>7445</v>
      </c>
      <c r="E3615" t="s">
        <v>105</v>
      </c>
    </row>
    <row r="3616" spans="1:5" x14ac:dyDescent="0.2">
      <c r="A3616" s="940">
        <v>3174</v>
      </c>
      <c r="B3616" s="940">
        <v>18</v>
      </c>
      <c r="C3616" t="s">
        <v>11228</v>
      </c>
      <c r="D3616" s="940" t="s">
        <v>11229</v>
      </c>
      <c r="E3616" t="s">
        <v>1578</v>
      </c>
    </row>
    <row r="3617" spans="1:5" x14ac:dyDescent="0.2">
      <c r="A3617" s="940">
        <v>776</v>
      </c>
      <c r="B3617" s="940">
        <v>373</v>
      </c>
      <c r="C3617" t="s">
        <v>7446</v>
      </c>
      <c r="D3617" s="940" t="s">
        <v>7447</v>
      </c>
      <c r="E3617" t="s">
        <v>4679</v>
      </c>
    </row>
    <row r="3618" spans="1:5" x14ac:dyDescent="0.2">
      <c r="A3618" s="940">
        <v>1641</v>
      </c>
      <c r="B3618" s="940">
        <v>123</v>
      </c>
      <c r="C3618" t="s">
        <v>7448</v>
      </c>
      <c r="D3618" s="940" t="s">
        <v>2983</v>
      </c>
      <c r="E3618" t="s">
        <v>3098</v>
      </c>
    </row>
    <row r="3619" spans="1:5" x14ac:dyDescent="0.2">
      <c r="A3619" s="940">
        <v>4294</v>
      </c>
      <c r="B3619" s="940">
        <v>0</v>
      </c>
      <c r="C3619" t="s">
        <v>11230</v>
      </c>
      <c r="D3619" s="940" t="s">
        <v>3935</v>
      </c>
      <c r="E3619" t="s">
        <v>1156</v>
      </c>
    </row>
    <row r="3620" spans="1:5" x14ac:dyDescent="0.2">
      <c r="A3620" s="940">
        <v>4181</v>
      </c>
      <c r="B3620" s="940">
        <v>1</v>
      </c>
      <c r="C3620" t="s">
        <v>11231</v>
      </c>
      <c r="D3620" s="940" t="s">
        <v>2989</v>
      </c>
      <c r="E3620" t="s">
        <v>128</v>
      </c>
    </row>
    <row r="3621" spans="1:5" x14ac:dyDescent="0.2">
      <c r="A3621" s="940">
        <v>2409</v>
      </c>
      <c r="B3621" s="940">
        <v>54</v>
      </c>
      <c r="C3621" t="s">
        <v>7449</v>
      </c>
      <c r="D3621" s="940" t="s">
        <v>7389</v>
      </c>
      <c r="E3621" t="s">
        <v>1214</v>
      </c>
    </row>
    <row r="3622" spans="1:5" x14ac:dyDescent="0.2">
      <c r="A3622" s="940">
        <v>3174</v>
      </c>
      <c r="B3622" s="940">
        <v>18</v>
      </c>
      <c r="C3622" t="s">
        <v>11232</v>
      </c>
      <c r="D3622" s="940" t="s">
        <v>8090</v>
      </c>
      <c r="E3622" t="s">
        <v>117</v>
      </c>
    </row>
    <row r="3623" spans="1:5" x14ac:dyDescent="0.2">
      <c r="A3623" s="940">
        <v>4294</v>
      </c>
      <c r="B3623" s="940">
        <v>0</v>
      </c>
      <c r="C3623" t="s">
        <v>7450</v>
      </c>
      <c r="D3623" s="940" t="s">
        <v>7451</v>
      </c>
      <c r="E3623" t="s">
        <v>164</v>
      </c>
    </row>
    <row r="3624" spans="1:5" x14ac:dyDescent="0.2">
      <c r="A3624" s="940">
        <v>631</v>
      </c>
      <c r="B3624" s="940">
        <v>444</v>
      </c>
      <c r="C3624" t="s">
        <v>7452</v>
      </c>
      <c r="D3624" s="940" t="s">
        <v>7453</v>
      </c>
      <c r="E3624" t="s">
        <v>1307</v>
      </c>
    </row>
    <row r="3625" spans="1:5" x14ac:dyDescent="0.2">
      <c r="A3625" s="940">
        <v>2193</v>
      </c>
      <c r="B3625" s="940">
        <v>70</v>
      </c>
      <c r="C3625" t="s">
        <v>7454</v>
      </c>
      <c r="D3625" s="940" t="s">
        <v>2813</v>
      </c>
      <c r="E3625" t="s">
        <v>1578</v>
      </c>
    </row>
    <row r="3626" spans="1:5" x14ac:dyDescent="0.2">
      <c r="A3626" s="940">
        <v>3136</v>
      </c>
      <c r="B3626" s="940">
        <v>19</v>
      </c>
      <c r="C3626" t="s">
        <v>7455</v>
      </c>
      <c r="D3626" s="940" t="s">
        <v>7456</v>
      </c>
      <c r="E3626" t="s">
        <v>120</v>
      </c>
    </row>
    <row r="3627" spans="1:5" x14ac:dyDescent="0.2">
      <c r="A3627" s="940">
        <v>3483</v>
      </c>
      <c r="B3627" s="940">
        <v>10</v>
      </c>
      <c r="C3627" t="s">
        <v>7460</v>
      </c>
      <c r="D3627" s="940" t="s">
        <v>3590</v>
      </c>
      <c r="E3627" t="s">
        <v>1176</v>
      </c>
    </row>
    <row r="3628" spans="1:5" x14ac:dyDescent="0.2">
      <c r="A3628" s="940">
        <v>2486</v>
      </c>
      <c r="B3628" s="940">
        <v>48</v>
      </c>
      <c r="C3628" t="s">
        <v>7461</v>
      </c>
      <c r="D3628" s="940" t="s">
        <v>6002</v>
      </c>
      <c r="E3628" t="s">
        <v>105</v>
      </c>
    </row>
    <row r="3629" spans="1:5" x14ac:dyDescent="0.2">
      <c r="A3629" s="940">
        <v>345</v>
      </c>
      <c r="B3629" s="940">
        <v>706</v>
      </c>
      <c r="C3629" t="s">
        <v>7462</v>
      </c>
      <c r="D3629" s="940" t="s">
        <v>7463</v>
      </c>
      <c r="E3629" t="s">
        <v>120</v>
      </c>
    </row>
    <row r="3630" spans="1:5" x14ac:dyDescent="0.2">
      <c r="A3630" s="940">
        <v>4294</v>
      </c>
      <c r="B3630" s="940">
        <v>0</v>
      </c>
      <c r="C3630" t="s">
        <v>7466</v>
      </c>
      <c r="D3630" s="940" t="s">
        <v>7467</v>
      </c>
      <c r="E3630" t="s">
        <v>1315</v>
      </c>
    </row>
    <row r="3631" spans="1:5" x14ac:dyDescent="0.2">
      <c r="A3631" s="940">
        <v>3882</v>
      </c>
      <c r="B3631" s="940">
        <v>4</v>
      </c>
      <c r="C3631" t="s">
        <v>7468</v>
      </c>
      <c r="D3631" s="940" t="s">
        <v>2751</v>
      </c>
      <c r="E3631" t="s">
        <v>105</v>
      </c>
    </row>
    <row r="3632" spans="1:5" x14ac:dyDescent="0.2">
      <c r="A3632" s="940">
        <v>4294</v>
      </c>
      <c r="B3632" s="940">
        <v>0</v>
      </c>
      <c r="C3632" t="s">
        <v>11233</v>
      </c>
      <c r="D3632" s="940" t="s">
        <v>6591</v>
      </c>
      <c r="E3632" t="s">
        <v>1251</v>
      </c>
    </row>
    <row r="3633" spans="1:5" x14ac:dyDescent="0.2">
      <c r="A3633" s="940">
        <v>4294</v>
      </c>
      <c r="B3633" s="940">
        <v>0</v>
      </c>
      <c r="C3633" t="s">
        <v>7469</v>
      </c>
      <c r="D3633" s="940" t="s">
        <v>7470</v>
      </c>
      <c r="E3633" t="s">
        <v>2654</v>
      </c>
    </row>
    <row r="3634" spans="1:5" x14ac:dyDescent="0.2">
      <c r="A3634" s="940">
        <v>3796</v>
      </c>
      <c r="B3634" s="940">
        <v>5</v>
      </c>
      <c r="C3634" t="s">
        <v>11234</v>
      </c>
      <c r="D3634" s="940" t="s">
        <v>5389</v>
      </c>
      <c r="E3634" t="s">
        <v>105</v>
      </c>
    </row>
    <row r="3635" spans="1:5" x14ac:dyDescent="0.2">
      <c r="A3635" s="940">
        <v>2860</v>
      </c>
      <c r="B3635" s="940">
        <v>30</v>
      </c>
      <c r="C3635" t="s">
        <v>11235</v>
      </c>
      <c r="D3635" s="940" t="s">
        <v>7424</v>
      </c>
      <c r="E3635" t="s">
        <v>1584</v>
      </c>
    </row>
    <row r="3636" spans="1:5" x14ac:dyDescent="0.2">
      <c r="A3636" s="940">
        <v>1574</v>
      </c>
      <c r="B3636" s="940">
        <v>132</v>
      </c>
      <c r="C3636" t="s">
        <v>2103</v>
      </c>
      <c r="D3636" s="940" t="s">
        <v>7471</v>
      </c>
      <c r="E3636" t="s">
        <v>213</v>
      </c>
    </row>
    <row r="3637" spans="1:5" x14ac:dyDescent="0.2">
      <c r="A3637" s="940">
        <v>4294</v>
      </c>
      <c r="B3637" s="940">
        <v>0</v>
      </c>
      <c r="C3637" t="s">
        <v>11236</v>
      </c>
      <c r="D3637" s="940" t="s">
        <v>3935</v>
      </c>
      <c r="E3637" t="s">
        <v>120</v>
      </c>
    </row>
    <row r="3638" spans="1:5" x14ac:dyDescent="0.2">
      <c r="A3638" s="940">
        <v>525</v>
      </c>
      <c r="B3638" s="940">
        <v>522</v>
      </c>
      <c r="C3638" t="s">
        <v>7472</v>
      </c>
      <c r="D3638" s="940" t="s">
        <v>7473</v>
      </c>
      <c r="E3638" t="s">
        <v>7474</v>
      </c>
    </row>
    <row r="3639" spans="1:5" x14ac:dyDescent="0.2">
      <c r="A3639" s="940">
        <v>2409</v>
      </c>
      <c r="B3639" s="940">
        <v>54</v>
      </c>
      <c r="C3639" t="s">
        <v>7475</v>
      </c>
      <c r="D3639" s="940" t="s">
        <v>2835</v>
      </c>
      <c r="E3639" t="s">
        <v>103</v>
      </c>
    </row>
    <row r="3640" spans="1:5" x14ac:dyDescent="0.2">
      <c r="A3640" s="940">
        <v>2193</v>
      </c>
      <c r="B3640" s="940">
        <v>70</v>
      </c>
      <c r="C3640" t="s">
        <v>11237</v>
      </c>
      <c r="D3640" s="940" t="s">
        <v>10581</v>
      </c>
      <c r="E3640" t="s">
        <v>10701</v>
      </c>
    </row>
    <row r="3641" spans="1:5" x14ac:dyDescent="0.2">
      <c r="A3641" s="940">
        <v>2980</v>
      </c>
      <c r="B3641" s="940">
        <v>24</v>
      </c>
      <c r="C3641" t="s">
        <v>7476</v>
      </c>
      <c r="D3641" s="940" t="s">
        <v>7477</v>
      </c>
      <c r="E3641" t="s">
        <v>1248</v>
      </c>
    </row>
    <row r="3642" spans="1:5" x14ac:dyDescent="0.2">
      <c r="A3642" s="940">
        <v>3358</v>
      </c>
      <c r="B3642" s="940">
        <v>13</v>
      </c>
      <c r="C3642" t="s">
        <v>7478</v>
      </c>
      <c r="D3642" s="940" t="s">
        <v>7479</v>
      </c>
      <c r="E3642" t="s">
        <v>1248</v>
      </c>
    </row>
    <row r="3643" spans="1:5" x14ac:dyDescent="0.2">
      <c r="A3643" s="940">
        <v>2980</v>
      </c>
      <c r="B3643" s="940">
        <v>24</v>
      </c>
      <c r="C3643" t="s">
        <v>7480</v>
      </c>
      <c r="D3643" s="940" t="s">
        <v>3574</v>
      </c>
      <c r="E3643" t="s">
        <v>1584</v>
      </c>
    </row>
    <row r="3644" spans="1:5" x14ac:dyDescent="0.2">
      <c r="A3644" s="940">
        <v>2286</v>
      </c>
      <c r="B3644" s="940">
        <v>63</v>
      </c>
      <c r="C3644" t="s">
        <v>7481</v>
      </c>
      <c r="D3644" s="940" t="s">
        <v>3594</v>
      </c>
      <c r="E3644" t="s">
        <v>128</v>
      </c>
    </row>
    <row r="3645" spans="1:5" x14ac:dyDescent="0.2">
      <c r="A3645" s="940">
        <v>2691</v>
      </c>
      <c r="B3645" s="940">
        <v>37</v>
      </c>
      <c r="C3645" t="s">
        <v>11238</v>
      </c>
      <c r="D3645" s="940" t="s">
        <v>11239</v>
      </c>
      <c r="E3645" t="s">
        <v>84</v>
      </c>
    </row>
    <row r="3646" spans="1:5" x14ac:dyDescent="0.2">
      <c r="A3646" s="940">
        <v>47</v>
      </c>
      <c r="B3646" s="940">
        <v>1303</v>
      </c>
      <c r="C3646" t="s">
        <v>7482</v>
      </c>
      <c r="D3646" s="940" t="s">
        <v>7483</v>
      </c>
      <c r="E3646" t="s">
        <v>105</v>
      </c>
    </row>
    <row r="3647" spans="1:5" x14ac:dyDescent="0.2">
      <c r="A3647" s="940">
        <v>2014</v>
      </c>
      <c r="B3647" s="940">
        <v>84</v>
      </c>
      <c r="C3647" t="s">
        <v>11240</v>
      </c>
      <c r="D3647" s="940" t="s">
        <v>11241</v>
      </c>
      <c r="E3647" t="s">
        <v>111</v>
      </c>
    </row>
    <row r="3648" spans="1:5" x14ac:dyDescent="0.2">
      <c r="A3648" s="940">
        <v>4294</v>
      </c>
      <c r="B3648" s="940">
        <v>0</v>
      </c>
      <c r="C3648" t="s">
        <v>11242</v>
      </c>
      <c r="D3648" s="940" t="s">
        <v>6629</v>
      </c>
      <c r="E3648" t="s">
        <v>1332</v>
      </c>
    </row>
    <row r="3649" spans="1:5" x14ac:dyDescent="0.2">
      <c r="A3649" s="940">
        <v>1852</v>
      </c>
      <c r="B3649" s="940">
        <v>100</v>
      </c>
      <c r="C3649" t="s">
        <v>731</v>
      </c>
      <c r="D3649" s="940" t="s">
        <v>7484</v>
      </c>
      <c r="E3649" t="s">
        <v>120</v>
      </c>
    </row>
    <row r="3650" spans="1:5" x14ac:dyDescent="0.2">
      <c r="A3650" s="940">
        <v>3545</v>
      </c>
      <c r="B3650" s="940">
        <v>9</v>
      </c>
      <c r="C3650" t="s">
        <v>7487</v>
      </c>
      <c r="D3650" s="940" t="s">
        <v>4125</v>
      </c>
      <c r="E3650" t="s">
        <v>120</v>
      </c>
    </row>
    <row r="3651" spans="1:5" x14ac:dyDescent="0.2">
      <c r="A3651" s="940">
        <v>3323</v>
      </c>
      <c r="B3651" s="940">
        <v>14</v>
      </c>
      <c r="C3651" t="s">
        <v>7488</v>
      </c>
      <c r="D3651" s="940" t="s">
        <v>7489</v>
      </c>
      <c r="E3651" t="s">
        <v>72</v>
      </c>
    </row>
    <row r="3652" spans="1:5" x14ac:dyDescent="0.2">
      <c r="A3652" s="940">
        <v>2270</v>
      </c>
      <c r="B3652" s="940">
        <v>64</v>
      </c>
      <c r="C3652" t="s">
        <v>7490</v>
      </c>
      <c r="D3652" s="940" t="s">
        <v>7491</v>
      </c>
      <c r="E3652" t="s">
        <v>130</v>
      </c>
    </row>
    <row r="3653" spans="1:5" x14ac:dyDescent="0.2">
      <c r="A3653" s="940">
        <v>4294</v>
      </c>
      <c r="B3653" s="940">
        <v>0</v>
      </c>
      <c r="C3653" t="s">
        <v>11243</v>
      </c>
      <c r="D3653" s="940" t="s">
        <v>4571</v>
      </c>
      <c r="E3653" t="s">
        <v>222</v>
      </c>
    </row>
    <row r="3654" spans="1:5" x14ac:dyDescent="0.2">
      <c r="A3654" s="940">
        <v>4081</v>
      </c>
      <c r="B3654" s="940">
        <v>2</v>
      </c>
      <c r="C3654" t="s">
        <v>7493</v>
      </c>
      <c r="D3654" s="940" t="s">
        <v>3299</v>
      </c>
      <c r="E3654" t="s">
        <v>120</v>
      </c>
    </row>
    <row r="3655" spans="1:5" x14ac:dyDescent="0.2">
      <c r="A3655" s="940">
        <v>1802</v>
      </c>
      <c r="B3655" s="940">
        <v>105</v>
      </c>
      <c r="C3655" t="s">
        <v>7494</v>
      </c>
      <c r="D3655" s="940" t="s">
        <v>6124</v>
      </c>
      <c r="E3655" t="s">
        <v>282</v>
      </c>
    </row>
    <row r="3656" spans="1:5" x14ac:dyDescent="0.2">
      <c r="A3656" s="940">
        <v>4294</v>
      </c>
      <c r="B3656" s="940">
        <v>0</v>
      </c>
      <c r="C3656" t="s">
        <v>11244</v>
      </c>
      <c r="D3656" s="940" t="s">
        <v>11245</v>
      </c>
      <c r="E3656" t="s">
        <v>3687</v>
      </c>
    </row>
    <row r="3657" spans="1:5" x14ac:dyDescent="0.2">
      <c r="A3657" s="940">
        <v>3107</v>
      </c>
      <c r="B3657" s="940">
        <v>20</v>
      </c>
      <c r="C3657" t="s">
        <v>7495</v>
      </c>
      <c r="D3657" s="940" t="s">
        <v>7496</v>
      </c>
      <c r="E3657" t="s">
        <v>105</v>
      </c>
    </row>
    <row r="3658" spans="1:5" x14ac:dyDescent="0.2">
      <c r="A3658" s="940">
        <v>3882</v>
      </c>
      <c r="B3658" s="940">
        <v>4</v>
      </c>
      <c r="C3658" t="s">
        <v>11246</v>
      </c>
      <c r="D3658" s="940" t="s">
        <v>11247</v>
      </c>
      <c r="E3658" t="s">
        <v>1238</v>
      </c>
    </row>
    <row r="3659" spans="1:5" x14ac:dyDescent="0.2">
      <c r="A3659" s="940">
        <v>2552</v>
      </c>
      <c r="B3659" s="940">
        <v>44</v>
      </c>
      <c r="C3659" t="s">
        <v>7499</v>
      </c>
      <c r="D3659" s="940" t="s">
        <v>5672</v>
      </c>
      <c r="E3659" t="s">
        <v>119</v>
      </c>
    </row>
    <row r="3660" spans="1:5" x14ac:dyDescent="0.2">
      <c r="A3660" s="940">
        <v>2067</v>
      </c>
      <c r="B3660" s="940">
        <v>80</v>
      </c>
      <c r="C3660" t="s">
        <v>7500</v>
      </c>
      <c r="D3660" s="940" t="s">
        <v>3222</v>
      </c>
      <c r="E3660" t="s">
        <v>3098</v>
      </c>
    </row>
    <row r="3661" spans="1:5" x14ac:dyDescent="0.2">
      <c r="A3661" s="940">
        <v>4294</v>
      </c>
      <c r="B3661" s="940">
        <v>0</v>
      </c>
      <c r="C3661" t="s">
        <v>11248</v>
      </c>
      <c r="D3661" s="940" t="s">
        <v>8968</v>
      </c>
      <c r="E3661" t="s">
        <v>84</v>
      </c>
    </row>
    <row r="3662" spans="1:5" x14ac:dyDescent="0.2">
      <c r="A3662" s="940">
        <v>1021</v>
      </c>
      <c r="B3662" s="940">
        <v>271</v>
      </c>
      <c r="C3662" t="s">
        <v>2573</v>
      </c>
      <c r="D3662" s="940" t="s">
        <v>7501</v>
      </c>
      <c r="E3662" t="s">
        <v>73</v>
      </c>
    </row>
    <row r="3663" spans="1:5" x14ac:dyDescent="0.2">
      <c r="A3663" s="940">
        <v>4294</v>
      </c>
      <c r="B3663" s="940">
        <v>0</v>
      </c>
      <c r="C3663" t="s">
        <v>11249</v>
      </c>
      <c r="D3663" s="940" t="s">
        <v>11169</v>
      </c>
      <c r="E3663" t="s">
        <v>130</v>
      </c>
    </row>
    <row r="3664" spans="1:5" x14ac:dyDescent="0.2">
      <c r="A3664" s="940">
        <v>1912</v>
      </c>
      <c r="B3664" s="940">
        <v>94</v>
      </c>
      <c r="C3664" t="s">
        <v>7502</v>
      </c>
      <c r="D3664" s="940" t="s">
        <v>6927</v>
      </c>
      <c r="E3664" t="s">
        <v>160</v>
      </c>
    </row>
    <row r="3665" spans="1:5" x14ac:dyDescent="0.2">
      <c r="A3665" s="940">
        <v>4294</v>
      </c>
      <c r="B3665" s="940">
        <v>0</v>
      </c>
      <c r="C3665" t="s">
        <v>7503</v>
      </c>
      <c r="D3665" s="940" t="s">
        <v>4925</v>
      </c>
      <c r="E3665" t="s">
        <v>120</v>
      </c>
    </row>
    <row r="3666" spans="1:5" x14ac:dyDescent="0.2">
      <c r="A3666" s="940">
        <v>4294</v>
      </c>
      <c r="B3666" s="940">
        <v>0</v>
      </c>
      <c r="C3666" t="s">
        <v>11250</v>
      </c>
      <c r="D3666" s="940" t="s">
        <v>4453</v>
      </c>
      <c r="E3666" t="s">
        <v>120</v>
      </c>
    </row>
    <row r="3667" spans="1:5" x14ac:dyDescent="0.2">
      <c r="A3667" s="940">
        <v>1306</v>
      </c>
      <c r="B3667" s="940">
        <v>183</v>
      </c>
      <c r="C3667" t="s">
        <v>7506</v>
      </c>
      <c r="D3667" s="940" t="s">
        <v>7507</v>
      </c>
      <c r="E3667" t="s">
        <v>99</v>
      </c>
    </row>
    <row r="3668" spans="1:5" x14ac:dyDescent="0.2">
      <c r="A3668" s="940">
        <v>4181</v>
      </c>
      <c r="B3668" s="940">
        <v>1</v>
      </c>
      <c r="C3668" t="s">
        <v>7508</v>
      </c>
      <c r="D3668" s="940" t="s">
        <v>5561</v>
      </c>
      <c r="E3668" t="s">
        <v>105</v>
      </c>
    </row>
    <row r="3669" spans="1:5" x14ac:dyDescent="0.2">
      <c r="A3669" s="940">
        <v>2329</v>
      </c>
      <c r="B3669" s="940">
        <v>60</v>
      </c>
      <c r="C3669" t="s">
        <v>7509</v>
      </c>
      <c r="D3669" s="940" t="s">
        <v>7510</v>
      </c>
      <c r="E3669" t="s">
        <v>1507</v>
      </c>
    </row>
    <row r="3670" spans="1:5" x14ac:dyDescent="0.2">
      <c r="A3670" s="940">
        <v>2312</v>
      </c>
      <c r="B3670" s="940">
        <v>61</v>
      </c>
      <c r="C3670" t="s">
        <v>7511</v>
      </c>
      <c r="D3670" s="940" t="s">
        <v>7512</v>
      </c>
      <c r="E3670" t="s">
        <v>1507</v>
      </c>
    </row>
    <row r="3671" spans="1:5" x14ac:dyDescent="0.2">
      <c r="A3671" s="940">
        <v>2042</v>
      </c>
      <c r="B3671" s="940">
        <v>82</v>
      </c>
      <c r="C3671" t="s">
        <v>2110</v>
      </c>
      <c r="D3671" s="940" t="s">
        <v>8103</v>
      </c>
      <c r="E3671" t="s">
        <v>2111</v>
      </c>
    </row>
    <row r="3672" spans="1:5" x14ac:dyDescent="0.2">
      <c r="A3672" s="940">
        <v>2630</v>
      </c>
      <c r="B3672" s="940">
        <v>40</v>
      </c>
      <c r="C3672" t="s">
        <v>11251</v>
      </c>
      <c r="D3672" s="940" t="s">
        <v>10028</v>
      </c>
      <c r="E3672" t="s">
        <v>104</v>
      </c>
    </row>
    <row r="3673" spans="1:5" x14ac:dyDescent="0.2">
      <c r="A3673" s="940">
        <v>175</v>
      </c>
      <c r="B3673" s="940">
        <v>951</v>
      </c>
      <c r="C3673" t="s">
        <v>7513</v>
      </c>
      <c r="D3673" s="940" t="s">
        <v>7514</v>
      </c>
      <c r="E3673" t="s">
        <v>113</v>
      </c>
    </row>
    <row r="3674" spans="1:5" x14ac:dyDescent="0.2">
      <c r="A3674" s="940">
        <v>4294</v>
      </c>
      <c r="B3674" s="940">
        <v>0</v>
      </c>
      <c r="C3674" t="s">
        <v>7515</v>
      </c>
      <c r="D3674" s="940" t="s">
        <v>2778</v>
      </c>
      <c r="E3674" t="s">
        <v>170</v>
      </c>
    </row>
    <row r="3675" spans="1:5" x14ac:dyDescent="0.2">
      <c r="A3675" s="940">
        <v>4294</v>
      </c>
      <c r="B3675" s="940">
        <v>0</v>
      </c>
      <c r="C3675" t="s">
        <v>7518</v>
      </c>
      <c r="D3675" s="940" t="s">
        <v>6353</v>
      </c>
      <c r="E3675" t="s">
        <v>1182</v>
      </c>
    </row>
    <row r="3676" spans="1:5" x14ac:dyDescent="0.2">
      <c r="A3676" s="940">
        <v>3107</v>
      </c>
      <c r="B3676" s="940">
        <v>20</v>
      </c>
      <c r="C3676" t="s">
        <v>7520</v>
      </c>
      <c r="D3676" s="940" t="s">
        <v>7521</v>
      </c>
      <c r="E3676" t="s">
        <v>120</v>
      </c>
    </row>
    <row r="3677" spans="1:5" x14ac:dyDescent="0.2">
      <c r="A3677" s="940">
        <v>2396</v>
      </c>
      <c r="B3677" s="940">
        <v>55</v>
      </c>
      <c r="C3677" t="s">
        <v>11252</v>
      </c>
      <c r="D3677" s="940" t="s">
        <v>11253</v>
      </c>
      <c r="E3677" t="s">
        <v>72</v>
      </c>
    </row>
    <row r="3678" spans="1:5" x14ac:dyDescent="0.2">
      <c r="A3678" s="940">
        <v>1696</v>
      </c>
      <c r="B3678" s="940">
        <v>118</v>
      </c>
      <c r="C3678" t="s">
        <v>7522</v>
      </c>
      <c r="D3678" s="940" t="s">
        <v>6816</v>
      </c>
      <c r="E3678" t="s">
        <v>2880</v>
      </c>
    </row>
    <row r="3679" spans="1:5" x14ac:dyDescent="0.2">
      <c r="A3679" s="940">
        <v>2962</v>
      </c>
      <c r="B3679" s="940">
        <v>25</v>
      </c>
      <c r="C3679" t="s">
        <v>11254</v>
      </c>
      <c r="D3679" s="940" t="s">
        <v>3974</v>
      </c>
      <c r="E3679" t="s">
        <v>9809</v>
      </c>
    </row>
    <row r="3680" spans="1:5" x14ac:dyDescent="0.2">
      <c r="A3680" s="940">
        <v>646</v>
      </c>
      <c r="B3680" s="940">
        <v>435</v>
      </c>
      <c r="C3680" t="s">
        <v>7526</v>
      </c>
      <c r="D3680" s="940" t="s">
        <v>7527</v>
      </c>
      <c r="E3680" t="s">
        <v>132</v>
      </c>
    </row>
    <row r="3681" spans="1:5" x14ac:dyDescent="0.2">
      <c r="A3681" s="940">
        <v>3545</v>
      </c>
      <c r="B3681" s="940">
        <v>9</v>
      </c>
      <c r="C3681" t="s">
        <v>7528</v>
      </c>
      <c r="D3681" s="940" t="s">
        <v>6587</v>
      </c>
      <c r="E3681" t="s">
        <v>1427</v>
      </c>
    </row>
    <row r="3682" spans="1:5" x14ac:dyDescent="0.2">
      <c r="A3682" s="940">
        <v>1964</v>
      </c>
      <c r="B3682" s="940">
        <v>89</v>
      </c>
      <c r="C3682" t="s">
        <v>7529</v>
      </c>
      <c r="D3682" s="940" t="s">
        <v>7530</v>
      </c>
      <c r="E3682" t="s">
        <v>2880</v>
      </c>
    </row>
    <row r="3683" spans="1:5" x14ac:dyDescent="0.2">
      <c r="A3683" s="940">
        <v>1479</v>
      </c>
      <c r="B3683" s="940">
        <v>149</v>
      </c>
      <c r="C3683" t="s">
        <v>11255</v>
      </c>
      <c r="D3683" s="940" t="s">
        <v>2656</v>
      </c>
      <c r="E3683" t="s">
        <v>73</v>
      </c>
    </row>
    <row r="3684" spans="1:5" x14ac:dyDescent="0.2">
      <c r="A3684" s="940">
        <v>172</v>
      </c>
      <c r="B3684" s="940">
        <v>954</v>
      </c>
      <c r="C3684" t="s">
        <v>7531</v>
      </c>
      <c r="D3684" s="940" t="s">
        <v>7532</v>
      </c>
      <c r="E3684" t="s">
        <v>105</v>
      </c>
    </row>
    <row r="3685" spans="1:5" x14ac:dyDescent="0.2">
      <c r="A3685" s="940">
        <v>3290</v>
      </c>
      <c r="B3685" s="940">
        <v>15</v>
      </c>
      <c r="C3685" t="s">
        <v>7533</v>
      </c>
      <c r="D3685" s="940" t="s">
        <v>4284</v>
      </c>
      <c r="E3685" t="s">
        <v>1171</v>
      </c>
    </row>
    <row r="3686" spans="1:5" x14ac:dyDescent="0.2">
      <c r="A3686" s="940">
        <v>205</v>
      </c>
      <c r="B3686" s="940">
        <v>908</v>
      </c>
      <c r="C3686" t="s">
        <v>7534</v>
      </c>
      <c r="D3686" s="940" t="s">
        <v>7535</v>
      </c>
      <c r="E3686" t="s">
        <v>6003</v>
      </c>
    </row>
    <row r="3687" spans="1:5" x14ac:dyDescent="0.2">
      <c r="A3687" s="940">
        <v>3358</v>
      </c>
      <c r="B3687" s="940">
        <v>13</v>
      </c>
      <c r="C3687" t="s">
        <v>7536</v>
      </c>
      <c r="D3687" s="940" t="s">
        <v>7537</v>
      </c>
      <c r="E3687" t="s">
        <v>99</v>
      </c>
    </row>
    <row r="3688" spans="1:5" x14ac:dyDescent="0.2">
      <c r="A3688" s="940">
        <v>4181</v>
      </c>
      <c r="B3688" s="940">
        <v>1</v>
      </c>
      <c r="C3688" t="s">
        <v>7538</v>
      </c>
      <c r="D3688" s="940" t="s">
        <v>4223</v>
      </c>
      <c r="E3688" t="s">
        <v>1182</v>
      </c>
    </row>
    <row r="3689" spans="1:5" x14ac:dyDescent="0.2">
      <c r="A3689" s="940">
        <v>2150</v>
      </c>
      <c r="B3689" s="940">
        <v>73</v>
      </c>
      <c r="C3689" t="s">
        <v>11256</v>
      </c>
      <c r="D3689" s="940" t="s">
        <v>3967</v>
      </c>
      <c r="E3689" t="s">
        <v>231</v>
      </c>
    </row>
    <row r="3690" spans="1:5" x14ac:dyDescent="0.2">
      <c r="A3690" s="940">
        <v>963</v>
      </c>
      <c r="B3690" s="940">
        <v>292</v>
      </c>
      <c r="C3690" t="s">
        <v>7540</v>
      </c>
      <c r="D3690" s="940" t="s">
        <v>7541</v>
      </c>
      <c r="E3690" t="s">
        <v>99</v>
      </c>
    </row>
    <row r="3691" spans="1:5" x14ac:dyDescent="0.2">
      <c r="A3691" s="940">
        <v>4294</v>
      </c>
      <c r="B3691" s="940">
        <v>0</v>
      </c>
      <c r="C3691" t="s">
        <v>11257</v>
      </c>
      <c r="D3691" s="940" t="s">
        <v>3139</v>
      </c>
      <c r="E3691" t="s">
        <v>231</v>
      </c>
    </row>
    <row r="3692" spans="1:5" x14ac:dyDescent="0.2">
      <c r="A3692" s="940">
        <v>3402</v>
      </c>
      <c r="B3692" s="940">
        <v>12</v>
      </c>
      <c r="C3692" t="s">
        <v>7542</v>
      </c>
      <c r="D3692" s="940" t="s">
        <v>3185</v>
      </c>
      <c r="E3692" t="s">
        <v>117</v>
      </c>
    </row>
    <row r="3693" spans="1:5" x14ac:dyDescent="0.2">
      <c r="A3693" s="940">
        <v>3008</v>
      </c>
      <c r="B3693" s="940">
        <v>23</v>
      </c>
      <c r="C3693" t="s">
        <v>7545</v>
      </c>
      <c r="D3693" s="940" t="s">
        <v>7546</v>
      </c>
      <c r="E3693" t="s">
        <v>1590</v>
      </c>
    </row>
    <row r="3694" spans="1:5" x14ac:dyDescent="0.2">
      <c r="A3694" s="940">
        <v>4294</v>
      </c>
      <c r="B3694" s="940">
        <v>0</v>
      </c>
      <c r="C3694" t="s">
        <v>7547</v>
      </c>
      <c r="D3694" s="940" t="s">
        <v>7548</v>
      </c>
      <c r="E3694" t="s">
        <v>163</v>
      </c>
    </row>
    <row r="3695" spans="1:5" x14ac:dyDescent="0.2">
      <c r="A3695" s="940">
        <v>3602</v>
      </c>
      <c r="B3695" s="940">
        <v>8</v>
      </c>
      <c r="C3695" t="s">
        <v>11258</v>
      </c>
      <c r="D3695" s="940" t="s">
        <v>6334</v>
      </c>
      <c r="E3695" t="s">
        <v>163</v>
      </c>
    </row>
    <row r="3696" spans="1:5" x14ac:dyDescent="0.2">
      <c r="A3696" s="940">
        <v>939</v>
      </c>
      <c r="B3696" s="940">
        <v>302</v>
      </c>
      <c r="C3696" t="s">
        <v>7551</v>
      </c>
      <c r="D3696" s="940" t="s">
        <v>7552</v>
      </c>
      <c r="E3696" t="s">
        <v>3098</v>
      </c>
    </row>
    <row r="3697" spans="1:5" x14ac:dyDescent="0.2">
      <c r="A3697" s="940">
        <v>2630</v>
      </c>
      <c r="B3697" s="940">
        <v>40</v>
      </c>
      <c r="C3697" t="s">
        <v>7553</v>
      </c>
      <c r="D3697" s="940" t="s">
        <v>2904</v>
      </c>
      <c r="E3697" t="s">
        <v>165</v>
      </c>
    </row>
    <row r="3698" spans="1:5" x14ac:dyDescent="0.2">
      <c r="A3698" s="940">
        <v>2067</v>
      </c>
      <c r="B3698" s="940">
        <v>80</v>
      </c>
      <c r="C3698" t="s">
        <v>7554</v>
      </c>
      <c r="D3698" s="940" t="s">
        <v>7555</v>
      </c>
      <c r="E3698" t="s">
        <v>7556</v>
      </c>
    </row>
    <row r="3699" spans="1:5" x14ac:dyDescent="0.2">
      <c r="A3699" s="940">
        <v>4294</v>
      </c>
      <c r="B3699" s="940">
        <v>0</v>
      </c>
      <c r="C3699" t="s">
        <v>7557</v>
      </c>
      <c r="D3699" s="940" t="s">
        <v>4292</v>
      </c>
      <c r="E3699" t="s">
        <v>74</v>
      </c>
    </row>
    <row r="3700" spans="1:5" x14ac:dyDescent="0.2">
      <c r="A3700" s="940">
        <v>2774</v>
      </c>
      <c r="B3700" s="940">
        <v>34</v>
      </c>
      <c r="C3700" t="s">
        <v>7558</v>
      </c>
      <c r="D3700" s="940" t="s">
        <v>2813</v>
      </c>
      <c r="E3700" t="s">
        <v>120</v>
      </c>
    </row>
    <row r="3701" spans="1:5" x14ac:dyDescent="0.2">
      <c r="A3701" s="940">
        <v>721</v>
      </c>
      <c r="B3701" s="940">
        <v>395</v>
      </c>
      <c r="C3701" t="s">
        <v>7559</v>
      </c>
      <c r="D3701" s="940" t="s">
        <v>7560</v>
      </c>
      <c r="E3701" t="s">
        <v>5344</v>
      </c>
    </row>
    <row r="3702" spans="1:5" x14ac:dyDescent="0.2">
      <c r="A3702" s="940">
        <v>4294</v>
      </c>
      <c r="B3702" s="940">
        <v>0</v>
      </c>
      <c r="C3702" t="s">
        <v>7561</v>
      </c>
      <c r="D3702" s="940" t="s">
        <v>3840</v>
      </c>
      <c r="E3702" t="s">
        <v>122</v>
      </c>
    </row>
    <row r="3703" spans="1:5" x14ac:dyDescent="0.2">
      <c r="A3703" s="940">
        <v>3250</v>
      </c>
      <c r="B3703" s="940">
        <v>16</v>
      </c>
      <c r="C3703" t="s">
        <v>11259</v>
      </c>
      <c r="D3703" s="940" t="s">
        <v>8680</v>
      </c>
      <c r="E3703" t="s">
        <v>7474</v>
      </c>
    </row>
    <row r="3704" spans="1:5" x14ac:dyDescent="0.2">
      <c r="A3704" s="940">
        <v>537</v>
      </c>
      <c r="B3704" s="940">
        <v>513</v>
      </c>
      <c r="C3704" t="s">
        <v>7562</v>
      </c>
      <c r="D3704" s="940" t="s">
        <v>7563</v>
      </c>
      <c r="E3704" t="s">
        <v>1275</v>
      </c>
    </row>
    <row r="3705" spans="1:5" x14ac:dyDescent="0.2">
      <c r="A3705" s="940">
        <v>2745</v>
      </c>
      <c r="B3705" s="940">
        <v>35</v>
      </c>
      <c r="C3705" t="s">
        <v>7566</v>
      </c>
      <c r="D3705" s="940" t="s">
        <v>3935</v>
      </c>
      <c r="E3705" t="s">
        <v>1214</v>
      </c>
    </row>
    <row r="3706" spans="1:5" x14ac:dyDescent="0.2">
      <c r="A3706" s="940">
        <v>1782</v>
      </c>
      <c r="B3706" s="940">
        <v>107</v>
      </c>
      <c r="C3706" t="s">
        <v>7568</v>
      </c>
      <c r="D3706" s="940" t="s">
        <v>7569</v>
      </c>
      <c r="E3706" t="s">
        <v>3098</v>
      </c>
    </row>
    <row r="3707" spans="1:5" x14ac:dyDescent="0.2">
      <c r="A3707" s="940">
        <v>610</v>
      </c>
      <c r="B3707" s="940">
        <v>460</v>
      </c>
      <c r="C3707" t="s">
        <v>11260</v>
      </c>
      <c r="D3707" s="940" t="s">
        <v>11261</v>
      </c>
      <c r="E3707" t="s">
        <v>1460</v>
      </c>
    </row>
    <row r="3708" spans="1:5" x14ac:dyDescent="0.2">
      <c r="A3708" s="940">
        <v>24</v>
      </c>
      <c r="B3708" s="940">
        <v>1448</v>
      </c>
      <c r="C3708" t="s">
        <v>7570</v>
      </c>
      <c r="D3708" s="940" t="s">
        <v>7571</v>
      </c>
      <c r="E3708" t="s">
        <v>130</v>
      </c>
    </row>
    <row r="3709" spans="1:5" x14ac:dyDescent="0.2">
      <c r="A3709" s="940">
        <v>3882</v>
      </c>
      <c r="B3709" s="940">
        <v>4</v>
      </c>
      <c r="C3709" t="s">
        <v>7572</v>
      </c>
      <c r="D3709" s="940" t="s">
        <v>3726</v>
      </c>
      <c r="E3709" t="s">
        <v>614</v>
      </c>
    </row>
    <row r="3710" spans="1:5" x14ac:dyDescent="0.2">
      <c r="A3710" s="940">
        <v>3545</v>
      </c>
      <c r="B3710" s="940">
        <v>9</v>
      </c>
      <c r="C3710" t="s">
        <v>7573</v>
      </c>
      <c r="D3710" s="940" t="s">
        <v>7574</v>
      </c>
      <c r="E3710" t="s">
        <v>130</v>
      </c>
    </row>
    <row r="3711" spans="1:5" x14ac:dyDescent="0.2">
      <c r="A3711" s="940">
        <v>4081</v>
      </c>
      <c r="B3711" s="940">
        <v>2</v>
      </c>
      <c r="C3711" t="s">
        <v>7575</v>
      </c>
      <c r="D3711" s="940" t="s">
        <v>7576</v>
      </c>
      <c r="E3711" t="s">
        <v>1236</v>
      </c>
    </row>
    <row r="3712" spans="1:5" x14ac:dyDescent="0.2">
      <c r="A3712" s="940">
        <v>1868</v>
      </c>
      <c r="B3712" s="940">
        <v>98</v>
      </c>
      <c r="C3712" t="s">
        <v>7577</v>
      </c>
      <c r="D3712" s="940" t="s">
        <v>7578</v>
      </c>
      <c r="E3712" t="s">
        <v>2880</v>
      </c>
    </row>
    <row r="3713" spans="1:5" x14ac:dyDescent="0.2">
      <c r="A3713" s="940">
        <v>3602</v>
      </c>
      <c r="B3713" s="940">
        <v>8</v>
      </c>
      <c r="C3713" t="s">
        <v>7579</v>
      </c>
      <c r="D3713" s="940" t="s">
        <v>7580</v>
      </c>
      <c r="E3713" t="s">
        <v>120</v>
      </c>
    </row>
    <row r="3714" spans="1:5" x14ac:dyDescent="0.2">
      <c r="A3714" s="940">
        <v>175</v>
      </c>
      <c r="B3714" s="940">
        <v>951</v>
      </c>
      <c r="C3714" t="s">
        <v>404</v>
      </c>
      <c r="D3714" s="940" t="s">
        <v>7581</v>
      </c>
      <c r="E3714" t="s">
        <v>103</v>
      </c>
    </row>
    <row r="3715" spans="1:5" x14ac:dyDescent="0.2">
      <c r="A3715" s="940">
        <v>3323</v>
      </c>
      <c r="B3715" s="940">
        <v>14</v>
      </c>
      <c r="C3715" t="s">
        <v>7582</v>
      </c>
      <c r="D3715" s="940" t="s">
        <v>3142</v>
      </c>
      <c r="E3715" t="s">
        <v>3114</v>
      </c>
    </row>
    <row r="3716" spans="1:5" x14ac:dyDescent="0.2">
      <c r="A3716" s="940">
        <v>4294</v>
      </c>
      <c r="B3716" s="940">
        <v>0</v>
      </c>
      <c r="C3716" t="s">
        <v>7583</v>
      </c>
      <c r="D3716" s="940" t="s">
        <v>4211</v>
      </c>
      <c r="E3716" t="s">
        <v>1327</v>
      </c>
    </row>
    <row r="3717" spans="1:5" x14ac:dyDescent="0.2">
      <c r="A3717" s="940">
        <v>161</v>
      </c>
      <c r="B3717" s="940">
        <v>981</v>
      </c>
      <c r="C3717" t="s">
        <v>7584</v>
      </c>
      <c r="D3717" s="940" t="s">
        <v>7585</v>
      </c>
      <c r="E3717" t="s">
        <v>120</v>
      </c>
    </row>
    <row r="3718" spans="1:5" x14ac:dyDescent="0.2">
      <c r="A3718" s="940">
        <v>4294</v>
      </c>
      <c r="B3718" s="940">
        <v>0</v>
      </c>
      <c r="C3718" t="s">
        <v>7586</v>
      </c>
      <c r="D3718" s="940" t="s">
        <v>6759</v>
      </c>
      <c r="E3718" t="s">
        <v>120</v>
      </c>
    </row>
    <row r="3719" spans="1:5" x14ac:dyDescent="0.2">
      <c r="A3719" s="940">
        <v>4181</v>
      </c>
      <c r="B3719" s="940">
        <v>1</v>
      </c>
      <c r="C3719" t="s">
        <v>11262</v>
      </c>
      <c r="D3719" s="940" t="s">
        <v>9146</v>
      </c>
      <c r="E3719" t="s">
        <v>163</v>
      </c>
    </row>
    <row r="3720" spans="1:5" x14ac:dyDescent="0.2">
      <c r="A3720" s="940">
        <v>4081</v>
      </c>
      <c r="B3720" s="940">
        <v>2</v>
      </c>
      <c r="C3720" t="s">
        <v>11263</v>
      </c>
      <c r="D3720" s="940" t="s">
        <v>11264</v>
      </c>
      <c r="E3720" t="s">
        <v>120</v>
      </c>
    </row>
    <row r="3721" spans="1:5" x14ac:dyDescent="0.2">
      <c r="A3721" s="940">
        <v>600</v>
      </c>
      <c r="B3721" s="940">
        <v>471</v>
      </c>
      <c r="C3721" t="s">
        <v>7587</v>
      </c>
      <c r="D3721" s="940" t="s">
        <v>7588</v>
      </c>
      <c r="E3721" t="s">
        <v>1609</v>
      </c>
    </row>
    <row r="3722" spans="1:5" x14ac:dyDescent="0.2">
      <c r="A3722" s="940">
        <v>3972</v>
      </c>
      <c r="B3722" s="940">
        <v>3</v>
      </c>
      <c r="C3722" t="s">
        <v>7589</v>
      </c>
      <c r="D3722" s="940" t="s">
        <v>7590</v>
      </c>
      <c r="E3722" t="s">
        <v>1332</v>
      </c>
    </row>
    <row r="3723" spans="1:5" x14ac:dyDescent="0.2">
      <c r="A3723" s="940">
        <v>3136</v>
      </c>
      <c r="B3723" s="940">
        <v>19</v>
      </c>
      <c r="C3723" t="s">
        <v>11265</v>
      </c>
      <c r="D3723" s="940" t="s">
        <v>2927</v>
      </c>
      <c r="E3723" t="s">
        <v>163</v>
      </c>
    </row>
    <row r="3724" spans="1:5" x14ac:dyDescent="0.2">
      <c r="A3724" s="940">
        <v>2096</v>
      </c>
      <c r="B3724" s="940">
        <v>78</v>
      </c>
      <c r="C3724" t="s">
        <v>7592</v>
      </c>
      <c r="D3724" s="940" t="s">
        <v>6697</v>
      </c>
      <c r="E3724" t="s">
        <v>99</v>
      </c>
    </row>
    <row r="3725" spans="1:5" x14ac:dyDescent="0.2">
      <c r="A3725" s="940">
        <v>4294</v>
      </c>
      <c r="B3725" s="940">
        <v>0</v>
      </c>
      <c r="C3725" t="s">
        <v>11266</v>
      </c>
      <c r="D3725" s="940" t="s">
        <v>7305</v>
      </c>
      <c r="E3725" t="s">
        <v>3026</v>
      </c>
    </row>
    <row r="3726" spans="1:5" x14ac:dyDescent="0.2">
      <c r="A3726" s="940">
        <v>4294</v>
      </c>
      <c r="B3726" s="940">
        <v>0</v>
      </c>
      <c r="C3726" t="s">
        <v>7593</v>
      </c>
      <c r="D3726" s="940" t="s">
        <v>4817</v>
      </c>
      <c r="E3726" t="s">
        <v>163</v>
      </c>
    </row>
    <row r="3727" spans="1:5" x14ac:dyDescent="0.2">
      <c r="A3727" s="940">
        <v>3107</v>
      </c>
      <c r="B3727" s="940">
        <v>20</v>
      </c>
      <c r="C3727" t="s">
        <v>7594</v>
      </c>
      <c r="D3727" s="940" t="s">
        <v>7595</v>
      </c>
      <c r="E3727" t="s">
        <v>122</v>
      </c>
    </row>
    <row r="3728" spans="1:5" x14ac:dyDescent="0.2">
      <c r="A3728" s="940">
        <v>3796</v>
      </c>
      <c r="B3728" s="940">
        <v>5</v>
      </c>
      <c r="C3728" t="s">
        <v>7596</v>
      </c>
      <c r="D3728" s="940" t="s">
        <v>3554</v>
      </c>
      <c r="E3728" t="s">
        <v>115</v>
      </c>
    </row>
    <row r="3729" spans="1:5" x14ac:dyDescent="0.2">
      <c r="A3729" s="940">
        <v>3136</v>
      </c>
      <c r="B3729" s="940">
        <v>19</v>
      </c>
      <c r="C3729" t="s">
        <v>7598</v>
      </c>
      <c r="D3729" s="940" t="s">
        <v>2827</v>
      </c>
      <c r="E3729" t="s">
        <v>1238</v>
      </c>
    </row>
    <row r="3730" spans="1:5" x14ac:dyDescent="0.2">
      <c r="A3730" s="940">
        <v>2083</v>
      </c>
      <c r="B3730" s="940">
        <v>79</v>
      </c>
      <c r="C3730" t="s">
        <v>2122</v>
      </c>
      <c r="D3730" s="940" t="s">
        <v>2893</v>
      </c>
      <c r="E3730" t="s">
        <v>120</v>
      </c>
    </row>
    <row r="3731" spans="1:5" x14ac:dyDescent="0.2">
      <c r="A3731" s="940">
        <v>1467</v>
      </c>
      <c r="B3731" s="940">
        <v>151</v>
      </c>
      <c r="C3731" t="s">
        <v>7601</v>
      </c>
      <c r="D3731" s="940" t="s">
        <v>7105</v>
      </c>
      <c r="E3731" t="s">
        <v>2880</v>
      </c>
    </row>
    <row r="3732" spans="1:5" x14ac:dyDescent="0.2">
      <c r="A3732" s="940">
        <v>4294</v>
      </c>
      <c r="B3732" s="940">
        <v>0</v>
      </c>
      <c r="C3732" t="s">
        <v>7604</v>
      </c>
      <c r="D3732" s="940" t="s">
        <v>2623</v>
      </c>
      <c r="E3732" t="s">
        <v>2654</v>
      </c>
    </row>
    <row r="3733" spans="1:5" x14ac:dyDescent="0.2">
      <c r="A3733" s="940">
        <v>3882</v>
      </c>
      <c r="B3733" s="940">
        <v>4</v>
      </c>
      <c r="C3733" t="s">
        <v>7605</v>
      </c>
      <c r="D3733" s="940" t="s">
        <v>7606</v>
      </c>
      <c r="E3733" t="s">
        <v>120</v>
      </c>
    </row>
    <row r="3734" spans="1:5" x14ac:dyDescent="0.2">
      <c r="A3734" s="940">
        <v>321</v>
      </c>
      <c r="B3734" s="940">
        <v>738</v>
      </c>
      <c r="C3734" t="s">
        <v>7611</v>
      </c>
      <c r="D3734" s="940" t="s">
        <v>7612</v>
      </c>
      <c r="E3734" t="s">
        <v>120</v>
      </c>
    </row>
    <row r="3735" spans="1:5" x14ac:dyDescent="0.2">
      <c r="A3735" s="940">
        <v>1696</v>
      </c>
      <c r="B3735" s="940">
        <v>118</v>
      </c>
      <c r="C3735" t="s">
        <v>7613</v>
      </c>
      <c r="D3735" s="940" t="s">
        <v>7614</v>
      </c>
      <c r="E3735" t="s">
        <v>109</v>
      </c>
    </row>
    <row r="3736" spans="1:5" x14ac:dyDescent="0.2">
      <c r="A3736" s="940">
        <v>3107</v>
      </c>
      <c r="B3736" s="940">
        <v>20</v>
      </c>
      <c r="C3736" t="s">
        <v>11267</v>
      </c>
      <c r="D3736" s="940" t="s">
        <v>3639</v>
      </c>
      <c r="E3736" t="s">
        <v>1214</v>
      </c>
    </row>
    <row r="3737" spans="1:5" x14ac:dyDescent="0.2">
      <c r="A3737" s="940">
        <v>1206</v>
      </c>
      <c r="B3737" s="940">
        <v>207</v>
      </c>
      <c r="C3737" t="s">
        <v>406</v>
      </c>
      <c r="D3737" s="940" t="s">
        <v>7615</v>
      </c>
      <c r="E3737" t="s">
        <v>106</v>
      </c>
    </row>
    <row r="3738" spans="1:5" x14ac:dyDescent="0.2">
      <c r="A3738" s="940">
        <v>2668</v>
      </c>
      <c r="B3738" s="940">
        <v>38</v>
      </c>
      <c r="C3738" t="s">
        <v>7616</v>
      </c>
      <c r="D3738" s="940" t="s">
        <v>7617</v>
      </c>
      <c r="E3738" t="s">
        <v>1460</v>
      </c>
    </row>
    <row r="3739" spans="1:5" x14ac:dyDescent="0.2">
      <c r="A3739" s="940">
        <v>368</v>
      </c>
      <c r="B3739" s="940">
        <v>675</v>
      </c>
      <c r="C3739" t="s">
        <v>7618</v>
      </c>
      <c r="D3739" s="940" t="s">
        <v>4826</v>
      </c>
      <c r="E3739" t="s">
        <v>99</v>
      </c>
    </row>
    <row r="3740" spans="1:5" x14ac:dyDescent="0.2">
      <c r="A3740" s="940">
        <v>1345</v>
      </c>
      <c r="B3740" s="940">
        <v>172</v>
      </c>
      <c r="C3740" t="s">
        <v>2531</v>
      </c>
      <c r="D3740" s="940" t="s">
        <v>2714</v>
      </c>
      <c r="E3740" t="s">
        <v>105</v>
      </c>
    </row>
    <row r="3741" spans="1:5" x14ac:dyDescent="0.2">
      <c r="A3741" s="940">
        <v>3358</v>
      </c>
      <c r="B3741" s="940">
        <v>13</v>
      </c>
      <c r="C3741" t="s">
        <v>7620</v>
      </c>
      <c r="D3741" s="940" t="s">
        <v>3173</v>
      </c>
      <c r="E3741" t="s">
        <v>1379</v>
      </c>
    </row>
    <row r="3742" spans="1:5" x14ac:dyDescent="0.2">
      <c r="A3742" s="940">
        <v>913</v>
      </c>
      <c r="B3742" s="940">
        <v>311</v>
      </c>
      <c r="C3742" t="s">
        <v>7621</v>
      </c>
      <c r="D3742" s="940" t="s">
        <v>7622</v>
      </c>
      <c r="E3742" t="s">
        <v>105</v>
      </c>
    </row>
    <row r="3743" spans="1:5" x14ac:dyDescent="0.2">
      <c r="A3743" s="940">
        <v>3732</v>
      </c>
      <c r="B3743" s="940">
        <v>6</v>
      </c>
      <c r="C3743" t="s">
        <v>7623</v>
      </c>
      <c r="D3743" s="940" t="s">
        <v>4568</v>
      </c>
      <c r="E3743" t="s">
        <v>105</v>
      </c>
    </row>
    <row r="3744" spans="1:5" x14ac:dyDescent="0.2">
      <c r="A3744" s="940">
        <v>4294</v>
      </c>
      <c r="B3744" s="940">
        <v>0</v>
      </c>
      <c r="C3744" t="s">
        <v>7625</v>
      </c>
      <c r="D3744" s="940" t="s">
        <v>7626</v>
      </c>
      <c r="E3744" t="s">
        <v>120</v>
      </c>
    </row>
    <row r="3745" spans="1:5" x14ac:dyDescent="0.2">
      <c r="A3745" s="940">
        <v>1613</v>
      </c>
      <c r="B3745" s="940">
        <v>126</v>
      </c>
      <c r="C3745" t="s">
        <v>7627</v>
      </c>
      <c r="D3745" s="940" t="s">
        <v>7628</v>
      </c>
      <c r="E3745" t="s">
        <v>1526</v>
      </c>
    </row>
    <row r="3746" spans="1:5" x14ac:dyDescent="0.2">
      <c r="A3746" s="940">
        <v>803</v>
      </c>
      <c r="B3746" s="940">
        <v>357</v>
      </c>
      <c r="C3746" t="s">
        <v>2132</v>
      </c>
      <c r="D3746" s="940" t="s">
        <v>7629</v>
      </c>
      <c r="E3746" t="s">
        <v>1171</v>
      </c>
    </row>
    <row r="3747" spans="1:5" x14ac:dyDescent="0.2">
      <c r="A3747" s="940">
        <v>1594</v>
      </c>
      <c r="B3747" s="940">
        <v>129</v>
      </c>
      <c r="C3747" t="s">
        <v>7630</v>
      </c>
      <c r="D3747" s="940" t="s">
        <v>7631</v>
      </c>
      <c r="E3747" t="s">
        <v>1171</v>
      </c>
    </row>
    <row r="3748" spans="1:5" x14ac:dyDescent="0.2">
      <c r="A3748" s="940">
        <v>1912</v>
      </c>
      <c r="B3748" s="940">
        <v>94</v>
      </c>
      <c r="C3748" t="s">
        <v>11268</v>
      </c>
      <c r="D3748" s="940" t="s">
        <v>4302</v>
      </c>
      <c r="E3748" t="s">
        <v>377</v>
      </c>
    </row>
    <row r="3749" spans="1:5" x14ac:dyDescent="0.2">
      <c r="A3749" s="940">
        <v>4294</v>
      </c>
      <c r="B3749" s="940">
        <v>0</v>
      </c>
      <c r="C3749" t="s">
        <v>7632</v>
      </c>
      <c r="D3749" s="940" t="s">
        <v>6499</v>
      </c>
      <c r="E3749" t="s">
        <v>120</v>
      </c>
    </row>
    <row r="3750" spans="1:5" x14ac:dyDescent="0.2">
      <c r="A3750" s="940">
        <v>643</v>
      </c>
      <c r="B3750" s="940">
        <v>436</v>
      </c>
      <c r="C3750" t="s">
        <v>7633</v>
      </c>
      <c r="D3750" s="940" t="s">
        <v>5843</v>
      </c>
      <c r="E3750" t="s">
        <v>3098</v>
      </c>
    </row>
    <row r="3751" spans="1:5" x14ac:dyDescent="0.2">
      <c r="A3751" s="940">
        <v>1289</v>
      </c>
      <c r="B3751" s="940">
        <v>187</v>
      </c>
      <c r="C3751" t="s">
        <v>7634</v>
      </c>
      <c r="D3751" s="940" t="s">
        <v>7635</v>
      </c>
      <c r="E3751" t="s">
        <v>4735</v>
      </c>
    </row>
    <row r="3752" spans="1:5" x14ac:dyDescent="0.2">
      <c r="A3752" s="940">
        <v>111</v>
      </c>
      <c r="B3752" s="940">
        <v>1087</v>
      </c>
      <c r="C3752" t="s">
        <v>7637</v>
      </c>
      <c r="D3752" s="940" t="s">
        <v>7638</v>
      </c>
      <c r="E3752" t="s">
        <v>138</v>
      </c>
    </row>
    <row r="3753" spans="1:5" x14ac:dyDescent="0.2">
      <c r="A3753" s="940">
        <v>2649</v>
      </c>
      <c r="B3753" s="940">
        <v>39</v>
      </c>
      <c r="C3753" t="s">
        <v>7640</v>
      </c>
      <c r="D3753" s="940" t="s">
        <v>6053</v>
      </c>
      <c r="E3753" t="s">
        <v>120</v>
      </c>
    </row>
    <row r="3754" spans="1:5" x14ac:dyDescent="0.2">
      <c r="A3754" s="940">
        <v>3008</v>
      </c>
      <c r="B3754" s="940">
        <v>23</v>
      </c>
      <c r="C3754" t="s">
        <v>7641</v>
      </c>
      <c r="D3754" s="940" t="s">
        <v>7642</v>
      </c>
      <c r="E3754" t="s">
        <v>120</v>
      </c>
    </row>
    <row r="3755" spans="1:5" x14ac:dyDescent="0.2">
      <c r="A3755" s="940">
        <v>3402</v>
      </c>
      <c r="B3755" s="940">
        <v>12</v>
      </c>
      <c r="C3755" t="s">
        <v>7645</v>
      </c>
      <c r="D3755" s="940" t="s">
        <v>7510</v>
      </c>
      <c r="E3755" t="s">
        <v>105</v>
      </c>
    </row>
    <row r="3756" spans="1:5" x14ac:dyDescent="0.2">
      <c r="A3756" s="940">
        <v>282</v>
      </c>
      <c r="B3756" s="940">
        <v>804</v>
      </c>
      <c r="C3756" t="s">
        <v>7646</v>
      </c>
      <c r="D3756" s="940" t="s">
        <v>7647</v>
      </c>
      <c r="E3756" t="s">
        <v>163</v>
      </c>
    </row>
    <row r="3757" spans="1:5" x14ac:dyDescent="0.2">
      <c r="A3757" s="940">
        <v>846</v>
      </c>
      <c r="B3757" s="940">
        <v>337</v>
      </c>
      <c r="C3757" t="s">
        <v>7646</v>
      </c>
      <c r="D3757" s="940" t="s">
        <v>7648</v>
      </c>
      <c r="E3757" t="s">
        <v>227</v>
      </c>
    </row>
    <row r="3758" spans="1:5" x14ac:dyDescent="0.2">
      <c r="A3758" s="940">
        <v>3174</v>
      </c>
      <c r="B3758" s="940">
        <v>18</v>
      </c>
      <c r="C3758" t="s">
        <v>11269</v>
      </c>
      <c r="D3758" s="940" t="s">
        <v>11270</v>
      </c>
      <c r="E3758" t="s">
        <v>83</v>
      </c>
    </row>
    <row r="3759" spans="1:5" x14ac:dyDescent="0.2">
      <c r="A3759" s="940">
        <v>3602</v>
      </c>
      <c r="B3759" s="940">
        <v>8</v>
      </c>
      <c r="C3759" t="s">
        <v>11269</v>
      </c>
      <c r="D3759" s="940" t="s">
        <v>9867</v>
      </c>
      <c r="E3759" t="s">
        <v>129</v>
      </c>
    </row>
    <row r="3760" spans="1:5" x14ac:dyDescent="0.2">
      <c r="A3760" s="940">
        <v>1345</v>
      </c>
      <c r="B3760" s="940">
        <v>172</v>
      </c>
      <c r="C3760" t="s">
        <v>2135</v>
      </c>
      <c r="D3760" s="940" t="s">
        <v>10504</v>
      </c>
      <c r="E3760" t="s">
        <v>1372</v>
      </c>
    </row>
    <row r="3761" spans="1:5" x14ac:dyDescent="0.2">
      <c r="A3761" s="940">
        <v>3323</v>
      </c>
      <c r="B3761" s="940">
        <v>14</v>
      </c>
      <c r="C3761" t="s">
        <v>7649</v>
      </c>
      <c r="D3761" s="940" t="s">
        <v>7650</v>
      </c>
      <c r="E3761" t="s">
        <v>73</v>
      </c>
    </row>
    <row r="3762" spans="1:5" x14ac:dyDescent="0.2">
      <c r="A3762" s="940">
        <v>2423</v>
      </c>
      <c r="B3762" s="940">
        <v>53</v>
      </c>
      <c r="C3762" t="s">
        <v>11271</v>
      </c>
      <c r="D3762" s="940" t="s">
        <v>11272</v>
      </c>
      <c r="E3762" t="s">
        <v>120</v>
      </c>
    </row>
    <row r="3763" spans="1:5" x14ac:dyDescent="0.2">
      <c r="A3763" s="940">
        <v>1161</v>
      </c>
      <c r="B3763" s="940">
        <v>222</v>
      </c>
      <c r="C3763" t="s">
        <v>7651</v>
      </c>
      <c r="D3763" s="940" t="s">
        <v>3921</v>
      </c>
      <c r="E3763" t="s">
        <v>173</v>
      </c>
    </row>
    <row r="3764" spans="1:5" x14ac:dyDescent="0.2">
      <c r="A3764" s="940">
        <v>3972</v>
      </c>
      <c r="B3764" s="940">
        <v>3</v>
      </c>
      <c r="C3764" t="s">
        <v>11273</v>
      </c>
      <c r="D3764" s="940" t="s">
        <v>5179</v>
      </c>
      <c r="E3764" t="s">
        <v>120</v>
      </c>
    </row>
    <row r="3765" spans="1:5" x14ac:dyDescent="0.2">
      <c r="A3765" s="940">
        <v>4181</v>
      </c>
      <c r="B3765" s="940">
        <v>1</v>
      </c>
      <c r="C3765" t="s">
        <v>11274</v>
      </c>
      <c r="D3765" s="940" t="s">
        <v>6035</v>
      </c>
      <c r="E3765" t="s">
        <v>99</v>
      </c>
    </row>
    <row r="3766" spans="1:5" x14ac:dyDescent="0.2">
      <c r="A3766" s="940">
        <v>993</v>
      </c>
      <c r="B3766" s="940">
        <v>281</v>
      </c>
      <c r="C3766" t="s">
        <v>7653</v>
      </c>
      <c r="D3766" s="940" t="s">
        <v>7654</v>
      </c>
      <c r="E3766" t="s">
        <v>1251</v>
      </c>
    </row>
    <row r="3767" spans="1:5" x14ac:dyDescent="0.2">
      <c r="A3767" s="940">
        <v>3107</v>
      </c>
      <c r="B3767" s="940">
        <v>20</v>
      </c>
      <c r="C3767" t="s">
        <v>7655</v>
      </c>
      <c r="D3767" s="940" t="s">
        <v>5135</v>
      </c>
      <c r="E3767" t="s">
        <v>251</v>
      </c>
    </row>
    <row r="3768" spans="1:5" x14ac:dyDescent="0.2">
      <c r="A3768" s="940">
        <v>451</v>
      </c>
      <c r="B3768" s="940">
        <v>593</v>
      </c>
      <c r="C3768" t="s">
        <v>7656</v>
      </c>
      <c r="D3768" s="940" t="s">
        <v>7657</v>
      </c>
      <c r="E3768" t="s">
        <v>1311</v>
      </c>
    </row>
    <row r="3769" spans="1:5" x14ac:dyDescent="0.2">
      <c r="A3769" s="940">
        <v>2819</v>
      </c>
      <c r="B3769" s="940">
        <v>32</v>
      </c>
      <c r="C3769" t="s">
        <v>7658</v>
      </c>
      <c r="D3769" s="940" t="s">
        <v>7659</v>
      </c>
      <c r="E3769" t="s">
        <v>130</v>
      </c>
    </row>
    <row r="3770" spans="1:5" x14ac:dyDescent="0.2">
      <c r="A3770" s="940">
        <v>1511</v>
      </c>
      <c r="B3770" s="940">
        <v>143</v>
      </c>
      <c r="C3770" t="s">
        <v>7660</v>
      </c>
      <c r="D3770" s="940" t="s">
        <v>5186</v>
      </c>
      <c r="E3770" t="s">
        <v>227</v>
      </c>
    </row>
    <row r="3771" spans="1:5" x14ac:dyDescent="0.2">
      <c r="A3771" s="940">
        <v>4294</v>
      </c>
      <c r="B3771" s="940">
        <v>0</v>
      </c>
      <c r="C3771" t="s">
        <v>11275</v>
      </c>
      <c r="D3771" s="940" t="s">
        <v>7842</v>
      </c>
      <c r="E3771" t="s">
        <v>139</v>
      </c>
    </row>
    <row r="3772" spans="1:5" x14ac:dyDescent="0.2">
      <c r="A3772" s="940">
        <v>4081</v>
      </c>
      <c r="B3772" s="940">
        <v>2</v>
      </c>
      <c r="C3772" t="s">
        <v>7661</v>
      </c>
      <c r="D3772" s="940" t="s">
        <v>4611</v>
      </c>
      <c r="E3772" t="s">
        <v>105</v>
      </c>
    </row>
    <row r="3773" spans="1:5" x14ac:dyDescent="0.2">
      <c r="A3773" s="940">
        <v>4294</v>
      </c>
      <c r="B3773" s="940">
        <v>0</v>
      </c>
      <c r="C3773" t="s">
        <v>7662</v>
      </c>
      <c r="D3773" s="940" t="s">
        <v>2888</v>
      </c>
      <c r="E3773" t="s">
        <v>1493</v>
      </c>
    </row>
    <row r="3774" spans="1:5" x14ac:dyDescent="0.2">
      <c r="A3774" s="940">
        <v>936</v>
      </c>
      <c r="B3774" s="940">
        <v>303</v>
      </c>
      <c r="C3774" t="s">
        <v>7663</v>
      </c>
      <c r="D3774" s="940" t="s">
        <v>8279</v>
      </c>
      <c r="E3774" t="s">
        <v>4679</v>
      </c>
    </row>
    <row r="3775" spans="1:5" x14ac:dyDescent="0.2">
      <c r="A3775" s="940">
        <v>2138</v>
      </c>
      <c r="B3775" s="940">
        <v>74</v>
      </c>
      <c r="C3775" t="s">
        <v>7666</v>
      </c>
      <c r="D3775" s="940" t="s">
        <v>7667</v>
      </c>
      <c r="E3775" t="s">
        <v>108</v>
      </c>
    </row>
    <row r="3776" spans="1:5" x14ac:dyDescent="0.2">
      <c r="A3776" s="940">
        <v>3483</v>
      </c>
      <c r="B3776" s="940">
        <v>10</v>
      </c>
      <c r="C3776" t="s">
        <v>11276</v>
      </c>
      <c r="D3776" s="940" t="s">
        <v>4211</v>
      </c>
      <c r="E3776" t="s">
        <v>1182</v>
      </c>
    </row>
    <row r="3777" spans="1:5" x14ac:dyDescent="0.2">
      <c r="A3777" s="940">
        <v>2329</v>
      </c>
      <c r="B3777" s="940">
        <v>60</v>
      </c>
      <c r="C3777" t="s">
        <v>11277</v>
      </c>
      <c r="D3777" s="940" t="s">
        <v>7140</v>
      </c>
      <c r="E3777" t="s">
        <v>120</v>
      </c>
    </row>
    <row r="3778" spans="1:5" x14ac:dyDescent="0.2">
      <c r="A3778" s="940">
        <v>105</v>
      </c>
      <c r="B3778" s="940">
        <v>1103</v>
      </c>
      <c r="C3778" t="s">
        <v>11278</v>
      </c>
      <c r="D3778" s="940" t="s">
        <v>5492</v>
      </c>
      <c r="E3778" t="s">
        <v>147</v>
      </c>
    </row>
    <row r="3779" spans="1:5" x14ac:dyDescent="0.2">
      <c r="A3779" s="940">
        <v>3655</v>
      </c>
      <c r="B3779" s="940">
        <v>7</v>
      </c>
      <c r="C3779" t="s">
        <v>7668</v>
      </c>
      <c r="D3779" s="940" t="s">
        <v>7669</v>
      </c>
      <c r="E3779" t="s">
        <v>1286</v>
      </c>
    </row>
    <row r="3780" spans="1:5" x14ac:dyDescent="0.2">
      <c r="A3780" s="940">
        <v>1113</v>
      </c>
      <c r="B3780" s="940">
        <v>236</v>
      </c>
      <c r="C3780" t="s">
        <v>733</v>
      </c>
      <c r="D3780" s="940" t="s">
        <v>5854</v>
      </c>
      <c r="E3780" t="s">
        <v>104</v>
      </c>
    </row>
    <row r="3781" spans="1:5" x14ac:dyDescent="0.2">
      <c r="A3781" s="940">
        <v>3048</v>
      </c>
      <c r="B3781" s="940">
        <v>22</v>
      </c>
      <c r="C3781" t="s">
        <v>7670</v>
      </c>
      <c r="D3781" s="940" t="s">
        <v>7671</v>
      </c>
      <c r="E3781" t="s">
        <v>1211</v>
      </c>
    </row>
    <row r="3782" spans="1:5" x14ac:dyDescent="0.2">
      <c r="A3782" s="940">
        <v>2668</v>
      </c>
      <c r="B3782" s="940">
        <v>38</v>
      </c>
      <c r="C3782" t="s">
        <v>11279</v>
      </c>
      <c r="D3782" s="940" t="s">
        <v>11280</v>
      </c>
      <c r="E3782" t="s">
        <v>11281</v>
      </c>
    </row>
    <row r="3783" spans="1:5" x14ac:dyDescent="0.2">
      <c r="A3783" s="940">
        <v>49</v>
      </c>
      <c r="B3783" s="940">
        <v>1295</v>
      </c>
      <c r="C3783" t="s">
        <v>11282</v>
      </c>
      <c r="D3783" s="940" t="s">
        <v>11283</v>
      </c>
      <c r="E3783" t="s">
        <v>105</v>
      </c>
    </row>
    <row r="3784" spans="1:5" x14ac:dyDescent="0.2">
      <c r="A3784" s="940">
        <v>2725</v>
      </c>
      <c r="B3784" s="940">
        <v>36</v>
      </c>
      <c r="C3784" t="s">
        <v>7672</v>
      </c>
      <c r="D3784" s="940" t="s">
        <v>7673</v>
      </c>
      <c r="E3784" t="s">
        <v>127</v>
      </c>
    </row>
    <row r="3785" spans="1:5" x14ac:dyDescent="0.2">
      <c r="A3785" s="940">
        <v>1015</v>
      </c>
      <c r="B3785" s="940">
        <v>273</v>
      </c>
      <c r="C3785" t="s">
        <v>7674</v>
      </c>
      <c r="D3785" s="940" t="s">
        <v>7675</v>
      </c>
      <c r="E3785" t="s">
        <v>99</v>
      </c>
    </row>
    <row r="3786" spans="1:5" x14ac:dyDescent="0.2">
      <c r="A3786" s="940">
        <v>3602</v>
      </c>
      <c r="B3786" s="940">
        <v>8</v>
      </c>
      <c r="C3786" t="s">
        <v>7678</v>
      </c>
      <c r="D3786" s="940" t="s">
        <v>5981</v>
      </c>
      <c r="E3786" t="s">
        <v>1609</v>
      </c>
    </row>
    <row r="3787" spans="1:5" x14ac:dyDescent="0.2">
      <c r="A3787" s="940">
        <v>3174</v>
      </c>
      <c r="B3787" s="940">
        <v>18</v>
      </c>
      <c r="C3787" t="s">
        <v>7679</v>
      </c>
      <c r="D3787" s="940" t="s">
        <v>7680</v>
      </c>
      <c r="E3787" t="s">
        <v>1340</v>
      </c>
    </row>
    <row r="3788" spans="1:5" x14ac:dyDescent="0.2">
      <c r="A3788" s="940">
        <v>4294</v>
      </c>
      <c r="B3788" s="940">
        <v>0</v>
      </c>
      <c r="C3788" t="s">
        <v>11284</v>
      </c>
      <c r="D3788" s="940" t="s">
        <v>6046</v>
      </c>
      <c r="E3788" t="s">
        <v>110</v>
      </c>
    </row>
    <row r="3789" spans="1:5" x14ac:dyDescent="0.2">
      <c r="A3789" s="940">
        <v>188</v>
      </c>
      <c r="B3789" s="940">
        <v>932</v>
      </c>
      <c r="C3789" t="s">
        <v>7681</v>
      </c>
      <c r="D3789" s="940" t="s">
        <v>7682</v>
      </c>
      <c r="E3789" t="s">
        <v>7683</v>
      </c>
    </row>
    <row r="3790" spans="1:5" x14ac:dyDescent="0.2">
      <c r="A3790" s="940">
        <v>4294</v>
      </c>
      <c r="B3790" s="940">
        <v>0</v>
      </c>
      <c r="C3790" t="s">
        <v>11285</v>
      </c>
      <c r="D3790" s="940" t="s">
        <v>4121</v>
      </c>
      <c r="E3790" t="s">
        <v>213</v>
      </c>
    </row>
    <row r="3791" spans="1:5" x14ac:dyDescent="0.2">
      <c r="A3791" s="940">
        <v>2894</v>
      </c>
      <c r="B3791" s="940">
        <v>28</v>
      </c>
      <c r="C3791" t="s">
        <v>7688</v>
      </c>
      <c r="D3791" s="940" t="s">
        <v>7689</v>
      </c>
      <c r="E3791" t="s">
        <v>120</v>
      </c>
    </row>
    <row r="3792" spans="1:5" x14ac:dyDescent="0.2">
      <c r="A3792" s="940">
        <v>2270</v>
      </c>
      <c r="B3792" s="940">
        <v>64</v>
      </c>
      <c r="C3792" t="s">
        <v>2139</v>
      </c>
      <c r="D3792" s="940" t="s">
        <v>3566</v>
      </c>
      <c r="E3792" t="s">
        <v>139</v>
      </c>
    </row>
    <row r="3793" spans="1:5" x14ac:dyDescent="0.2">
      <c r="A3793" s="940">
        <v>2180</v>
      </c>
      <c r="B3793" s="940">
        <v>71</v>
      </c>
      <c r="C3793" t="s">
        <v>2140</v>
      </c>
      <c r="D3793" s="940" t="s">
        <v>7690</v>
      </c>
      <c r="E3793" t="s">
        <v>1705</v>
      </c>
    </row>
    <row r="3794" spans="1:5" x14ac:dyDescent="0.2">
      <c r="A3794" s="940">
        <v>368</v>
      </c>
      <c r="B3794" s="940">
        <v>675</v>
      </c>
      <c r="C3794" t="s">
        <v>7691</v>
      </c>
      <c r="D3794" s="940" t="s">
        <v>7692</v>
      </c>
      <c r="E3794" t="s">
        <v>120</v>
      </c>
    </row>
    <row r="3795" spans="1:5" x14ac:dyDescent="0.2">
      <c r="A3795" s="940">
        <v>2434</v>
      </c>
      <c r="B3795" s="940">
        <v>52</v>
      </c>
      <c r="C3795" t="s">
        <v>11286</v>
      </c>
      <c r="D3795" s="940" t="s">
        <v>11287</v>
      </c>
      <c r="E3795" t="s">
        <v>6255</v>
      </c>
    </row>
    <row r="3796" spans="1:5" x14ac:dyDescent="0.2">
      <c r="A3796" s="940">
        <v>4294</v>
      </c>
      <c r="B3796" s="940">
        <v>0</v>
      </c>
      <c r="C3796" t="s">
        <v>11288</v>
      </c>
      <c r="D3796" s="940" t="s">
        <v>11289</v>
      </c>
      <c r="E3796" t="s">
        <v>105</v>
      </c>
    </row>
    <row r="3797" spans="1:5" x14ac:dyDescent="0.2">
      <c r="A3797" s="940">
        <v>3602</v>
      </c>
      <c r="B3797" s="940">
        <v>8</v>
      </c>
      <c r="C3797" t="s">
        <v>7693</v>
      </c>
      <c r="D3797" s="940" t="s">
        <v>7694</v>
      </c>
      <c r="E3797" t="s">
        <v>170</v>
      </c>
    </row>
    <row r="3798" spans="1:5" x14ac:dyDescent="0.2">
      <c r="A3798" s="940">
        <v>2938</v>
      </c>
      <c r="B3798" s="940">
        <v>26</v>
      </c>
      <c r="C3798" t="s">
        <v>11290</v>
      </c>
      <c r="D3798" s="940" t="s">
        <v>10577</v>
      </c>
      <c r="E3798" t="s">
        <v>208</v>
      </c>
    </row>
    <row r="3799" spans="1:5" x14ac:dyDescent="0.2">
      <c r="A3799" s="940">
        <v>3048</v>
      </c>
      <c r="B3799" s="940">
        <v>22</v>
      </c>
      <c r="C3799" t="s">
        <v>7696</v>
      </c>
      <c r="D3799" s="940" t="s">
        <v>7697</v>
      </c>
      <c r="E3799" t="s">
        <v>130</v>
      </c>
    </row>
    <row r="3800" spans="1:5" x14ac:dyDescent="0.2">
      <c r="A3800" s="940">
        <v>408</v>
      </c>
      <c r="B3800" s="940">
        <v>635</v>
      </c>
      <c r="C3800" t="s">
        <v>11291</v>
      </c>
      <c r="D3800" s="940" t="s">
        <v>11292</v>
      </c>
      <c r="E3800" t="s">
        <v>251</v>
      </c>
    </row>
    <row r="3801" spans="1:5" x14ac:dyDescent="0.2">
      <c r="A3801" s="940">
        <v>2462</v>
      </c>
      <c r="B3801" s="940">
        <v>50</v>
      </c>
      <c r="C3801" t="s">
        <v>7698</v>
      </c>
      <c r="D3801" s="940" t="s">
        <v>3724</v>
      </c>
      <c r="E3801" t="s">
        <v>111</v>
      </c>
    </row>
    <row r="3802" spans="1:5" x14ac:dyDescent="0.2">
      <c r="A3802" s="940">
        <v>285</v>
      </c>
      <c r="B3802" s="940">
        <v>798</v>
      </c>
      <c r="C3802" t="s">
        <v>7699</v>
      </c>
      <c r="D3802" s="940" t="s">
        <v>7700</v>
      </c>
      <c r="E3802" t="s">
        <v>74</v>
      </c>
    </row>
    <row r="3803" spans="1:5" x14ac:dyDescent="0.2">
      <c r="A3803" s="940">
        <v>4294</v>
      </c>
      <c r="B3803" s="940">
        <v>0</v>
      </c>
      <c r="C3803" t="s">
        <v>7702</v>
      </c>
      <c r="D3803" s="940" t="s">
        <v>3210</v>
      </c>
      <c r="E3803" t="s">
        <v>110</v>
      </c>
    </row>
    <row r="3804" spans="1:5" x14ac:dyDescent="0.2">
      <c r="A3804" s="940">
        <v>4294</v>
      </c>
      <c r="B3804" s="940">
        <v>0</v>
      </c>
      <c r="C3804" t="s">
        <v>7702</v>
      </c>
      <c r="D3804" s="940" t="s">
        <v>7327</v>
      </c>
      <c r="E3804" t="s">
        <v>11293</v>
      </c>
    </row>
    <row r="3805" spans="1:5" x14ac:dyDescent="0.2">
      <c r="A3805" s="940">
        <v>3222</v>
      </c>
      <c r="B3805" s="940">
        <v>17</v>
      </c>
      <c r="C3805" t="s">
        <v>7703</v>
      </c>
      <c r="D3805" s="940" t="s">
        <v>6271</v>
      </c>
      <c r="E3805" t="s">
        <v>4574</v>
      </c>
    </row>
    <row r="3806" spans="1:5" x14ac:dyDescent="0.2">
      <c r="A3806" s="940">
        <v>4294</v>
      </c>
      <c r="B3806" s="940">
        <v>0</v>
      </c>
      <c r="C3806" t="s">
        <v>7704</v>
      </c>
      <c r="D3806" s="940" t="s">
        <v>4039</v>
      </c>
      <c r="E3806" t="s">
        <v>74</v>
      </c>
    </row>
    <row r="3807" spans="1:5" x14ac:dyDescent="0.2">
      <c r="A3807" s="940">
        <v>4294</v>
      </c>
      <c r="B3807" s="940">
        <v>0</v>
      </c>
      <c r="C3807" t="s">
        <v>7705</v>
      </c>
      <c r="D3807" s="940" t="s">
        <v>7706</v>
      </c>
      <c r="E3807" t="s">
        <v>110</v>
      </c>
    </row>
    <row r="3808" spans="1:5" x14ac:dyDescent="0.2">
      <c r="A3808" s="940">
        <v>1774</v>
      </c>
      <c r="B3808" s="940">
        <v>108</v>
      </c>
      <c r="C3808" t="s">
        <v>7707</v>
      </c>
      <c r="D3808" s="940" t="s">
        <v>5983</v>
      </c>
      <c r="E3808" t="s">
        <v>120</v>
      </c>
    </row>
    <row r="3809" spans="1:5" x14ac:dyDescent="0.2">
      <c r="A3809" s="940">
        <v>1826</v>
      </c>
      <c r="B3809" s="940">
        <v>102</v>
      </c>
      <c r="C3809" t="s">
        <v>7708</v>
      </c>
      <c r="D3809" s="940" t="s">
        <v>7709</v>
      </c>
      <c r="E3809" t="s">
        <v>3140</v>
      </c>
    </row>
    <row r="3810" spans="1:5" x14ac:dyDescent="0.2">
      <c r="A3810" s="940">
        <v>875</v>
      </c>
      <c r="B3810" s="940">
        <v>327</v>
      </c>
      <c r="C3810" t="s">
        <v>7710</v>
      </c>
      <c r="D3810" s="940" t="s">
        <v>5091</v>
      </c>
      <c r="E3810" t="s">
        <v>147</v>
      </c>
    </row>
    <row r="3811" spans="1:5" x14ac:dyDescent="0.2">
      <c r="A3811" s="940">
        <v>3732</v>
      </c>
      <c r="B3811" s="940">
        <v>6</v>
      </c>
      <c r="C3811" t="s">
        <v>11294</v>
      </c>
      <c r="D3811" s="940" t="s">
        <v>11295</v>
      </c>
      <c r="E3811" t="s">
        <v>5136</v>
      </c>
    </row>
    <row r="3812" spans="1:5" x14ac:dyDescent="0.2">
      <c r="A3812" s="940">
        <v>2552</v>
      </c>
      <c r="B3812" s="940">
        <v>44</v>
      </c>
      <c r="C3812" t="s">
        <v>7711</v>
      </c>
      <c r="D3812" s="940" t="s">
        <v>6591</v>
      </c>
      <c r="E3812" t="s">
        <v>170</v>
      </c>
    </row>
    <row r="3813" spans="1:5" x14ac:dyDescent="0.2">
      <c r="A3813" s="940">
        <v>3732</v>
      </c>
      <c r="B3813" s="940">
        <v>6</v>
      </c>
      <c r="C3813" t="s">
        <v>7716</v>
      </c>
      <c r="D3813" s="940" t="s">
        <v>5186</v>
      </c>
      <c r="E3813" t="s">
        <v>213</v>
      </c>
    </row>
    <row r="3814" spans="1:5" x14ac:dyDescent="0.2">
      <c r="A3814" s="940">
        <v>2649</v>
      </c>
      <c r="B3814" s="940">
        <v>39</v>
      </c>
      <c r="C3814" t="s">
        <v>7717</v>
      </c>
      <c r="D3814" s="940" t="s">
        <v>3202</v>
      </c>
      <c r="E3814" t="s">
        <v>105</v>
      </c>
    </row>
    <row r="3815" spans="1:5" x14ac:dyDescent="0.2">
      <c r="A3815" s="940">
        <v>4081</v>
      </c>
      <c r="B3815" s="940">
        <v>2</v>
      </c>
      <c r="C3815" t="s">
        <v>7718</v>
      </c>
      <c r="D3815" s="940" t="s">
        <v>3202</v>
      </c>
      <c r="E3815" t="s">
        <v>105</v>
      </c>
    </row>
    <row r="3816" spans="1:5" x14ac:dyDescent="0.2">
      <c r="A3816" s="940">
        <v>528</v>
      </c>
      <c r="B3816" s="940">
        <v>520</v>
      </c>
      <c r="C3816" t="s">
        <v>2574</v>
      </c>
      <c r="D3816" s="940" t="s">
        <v>4218</v>
      </c>
      <c r="E3816" t="s">
        <v>99</v>
      </c>
    </row>
    <row r="3817" spans="1:5" x14ac:dyDescent="0.2">
      <c r="A3817" s="940">
        <v>55</v>
      </c>
      <c r="B3817" s="940">
        <v>1269</v>
      </c>
      <c r="C3817" t="s">
        <v>11296</v>
      </c>
      <c r="D3817" s="940" t="s">
        <v>11297</v>
      </c>
      <c r="E3817" t="s">
        <v>76</v>
      </c>
    </row>
    <row r="3818" spans="1:5" x14ac:dyDescent="0.2">
      <c r="A3818" s="940">
        <v>2649</v>
      </c>
      <c r="B3818" s="940">
        <v>39</v>
      </c>
      <c r="C3818" t="s">
        <v>7719</v>
      </c>
      <c r="D3818" s="940" t="s">
        <v>7720</v>
      </c>
      <c r="E3818" t="s">
        <v>3383</v>
      </c>
    </row>
    <row r="3819" spans="1:5" x14ac:dyDescent="0.2">
      <c r="A3819" s="940">
        <v>1746</v>
      </c>
      <c r="B3819" s="940">
        <v>111</v>
      </c>
      <c r="C3819" t="s">
        <v>7721</v>
      </c>
      <c r="D3819" s="940" t="s">
        <v>7722</v>
      </c>
      <c r="E3819" t="s">
        <v>2916</v>
      </c>
    </row>
    <row r="3820" spans="1:5" x14ac:dyDescent="0.2">
      <c r="A3820" s="940">
        <v>1676</v>
      </c>
      <c r="B3820" s="940">
        <v>120</v>
      </c>
      <c r="C3820" t="s">
        <v>7723</v>
      </c>
      <c r="D3820" s="940" t="s">
        <v>4453</v>
      </c>
      <c r="E3820" t="s">
        <v>132</v>
      </c>
    </row>
    <row r="3821" spans="1:5" x14ac:dyDescent="0.2">
      <c r="A3821" s="940">
        <v>4294</v>
      </c>
      <c r="B3821" s="940">
        <v>0</v>
      </c>
      <c r="C3821" t="s">
        <v>11298</v>
      </c>
      <c r="D3821" s="940" t="s">
        <v>11130</v>
      </c>
      <c r="E3821" t="s">
        <v>1590</v>
      </c>
    </row>
    <row r="3822" spans="1:5" x14ac:dyDescent="0.2">
      <c r="A3822" s="940">
        <v>3732</v>
      </c>
      <c r="B3822" s="940">
        <v>6</v>
      </c>
      <c r="C3822" t="s">
        <v>11299</v>
      </c>
      <c r="D3822" s="940" t="s">
        <v>7794</v>
      </c>
      <c r="E3822" t="s">
        <v>99</v>
      </c>
    </row>
    <row r="3823" spans="1:5" x14ac:dyDescent="0.2">
      <c r="A3823" s="940">
        <v>628</v>
      </c>
      <c r="B3823" s="940">
        <v>447</v>
      </c>
      <c r="C3823" t="s">
        <v>11300</v>
      </c>
      <c r="D3823" s="940" t="s">
        <v>10794</v>
      </c>
      <c r="E3823" t="s">
        <v>175</v>
      </c>
    </row>
    <row r="3824" spans="1:5" x14ac:dyDescent="0.2">
      <c r="A3824" s="940">
        <v>4081</v>
      </c>
      <c r="B3824" s="940">
        <v>2</v>
      </c>
      <c r="C3824" t="s">
        <v>11301</v>
      </c>
      <c r="D3824" s="940" t="s">
        <v>10692</v>
      </c>
      <c r="E3824" t="s">
        <v>120</v>
      </c>
    </row>
    <row r="3825" spans="1:5" x14ac:dyDescent="0.2">
      <c r="A3825" s="940">
        <v>4294</v>
      </c>
      <c r="B3825" s="940">
        <v>0</v>
      </c>
      <c r="C3825" t="s">
        <v>7728</v>
      </c>
      <c r="D3825" s="940" t="s">
        <v>7729</v>
      </c>
      <c r="E3825" t="s">
        <v>120</v>
      </c>
    </row>
    <row r="3826" spans="1:5" x14ac:dyDescent="0.2">
      <c r="A3826" s="940">
        <v>2860</v>
      </c>
      <c r="B3826" s="940">
        <v>30</v>
      </c>
      <c r="C3826" t="s">
        <v>7734</v>
      </c>
      <c r="D3826" s="940" t="s">
        <v>7735</v>
      </c>
      <c r="E3826" t="s">
        <v>84</v>
      </c>
    </row>
    <row r="3827" spans="1:5" x14ac:dyDescent="0.2">
      <c r="A3827" s="940">
        <v>690</v>
      </c>
      <c r="B3827" s="940">
        <v>408</v>
      </c>
      <c r="C3827" t="s">
        <v>7736</v>
      </c>
      <c r="D3827" s="940" t="s">
        <v>7737</v>
      </c>
      <c r="E3827" t="s">
        <v>1493</v>
      </c>
    </row>
    <row r="3828" spans="1:5" x14ac:dyDescent="0.2">
      <c r="A3828" s="940">
        <v>939</v>
      </c>
      <c r="B3828" s="940">
        <v>302</v>
      </c>
      <c r="C3828" t="s">
        <v>315</v>
      </c>
      <c r="D3828" s="940" t="s">
        <v>7738</v>
      </c>
      <c r="E3828" t="s">
        <v>1236</v>
      </c>
    </row>
    <row r="3829" spans="1:5" x14ac:dyDescent="0.2">
      <c r="A3829" s="940">
        <v>1431</v>
      </c>
      <c r="B3829" s="940">
        <v>158</v>
      </c>
      <c r="C3829" t="s">
        <v>734</v>
      </c>
      <c r="D3829" s="940" t="s">
        <v>3384</v>
      </c>
      <c r="E3829" t="s">
        <v>180</v>
      </c>
    </row>
    <row r="3830" spans="1:5" x14ac:dyDescent="0.2">
      <c r="A3830" s="940">
        <v>4294</v>
      </c>
      <c r="B3830" s="940">
        <v>0</v>
      </c>
      <c r="C3830" t="s">
        <v>11302</v>
      </c>
      <c r="D3830" s="940" t="s">
        <v>11303</v>
      </c>
      <c r="E3830" t="s">
        <v>3137</v>
      </c>
    </row>
    <row r="3831" spans="1:5" x14ac:dyDescent="0.2">
      <c r="A3831" s="940">
        <v>1274</v>
      </c>
      <c r="B3831" s="940">
        <v>190</v>
      </c>
      <c r="C3831" t="s">
        <v>7739</v>
      </c>
      <c r="D3831" s="940" t="s">
        <v>4537</v>
      </c>
      <c r="E3831" t="s">
        <v>1286</v>
      </c>
    </row>
    <row r="3832" spans="1:5" x14ac:dyDescent="0.2">
      <c r="A3832" s="940">
        <v>1268</v>
      </c>
      <c r="B3832" s="940">
        <v>191</v>
      </c>
      <c r="C3832" t="s">
        <v>11304</v>
      </c>
      <c r="D3832" s="940" t="s">
        <v>11305</v>
      </c>
      <c r="E3832" t="s">
        <v>120</v>
      </c>
    </row>
    <row r="3833" spans="1:5" x14ac:dyDescent="0.2">
      <c r="A3833" s="940">
        <v>1063</v>
      </c>
      <c r="B3833" s="940">
        <v>253</v>
      </c>
      <c r="C3833" t="s">
        <v>578</v>
      </c>
      <c r="D3833" s="940" t="s">
        <v>7740</v>
      </c>
      <c r="E3833" t="s">
        <v>128</v>
      </c>
    </row>
    <row r="3834" spans="1:5" x14ac:dyDescent="0.2">
      <c r="A3834" s="940">
        <v>1152</v>
      </c>
      <c r="B3834" s="940">
        <v>224</v>
      </c>
      <c r="C3834" t="s">
        <v>857</v>
      </c>
      <c r="D3834" s="940" t="s">
        <v>11306</v>
      </c>
      <c r="E3834" t="s">
        <v>120</v>
      </c>
    </row>
    <row r="3835" spans="1:5" x14ac:dyDescent="0.2">
      <c r="A3835" s="940">
        <v>2353</v>
      </c>
      <c r="B3835" s="940">
        <v>58</v>
      </c>
      <c r="C3835" t="s">
        <v>11307</v>
      </c>
      <c r="D3835" s="940" t="s">
        <v>5263</v>
      </c>
      <c r="E3835" t="s">
        <v>170</v>
      </c>
    </row>
    <row r="3836" spans="1:5" x14ac:dyDescent="0.2">
      <c r="A3836" s="940">
        <v>359</v>
      </c>
      <c r="B3836" s="940">
        <v>683</v>
      </c>
      <c r="C3836" t="s">
        <v>7741</v>
      </c>
      <c r="D3836" s="940" t="s">
        <v>7742</v>
      </c>
      <c r="E3836" t="s">
        <v>7743</v>
      </c>
    </row>
    <row r="3837" spans="1:5" x14ac:dyDescent="0.2">
      <c r="A3837" s="940">
        <v>3358</v>
      </c>
      <c r="B3837" s="940">
        <v>13</v>
      </c>
      <c r="C3837" t="s">
        <v>11308</v>
      </c>
      <c r="D3837" s="940" t="s">
        <v>9961</v>
      </c>
      <c r="E3837" t="s">
        <v>1460</v>
      </c>
    </row>
    <row r="3838" spans="1:5" x14ac:dyDescent="0.2">
      <c r="A3838" s="940">
        <v>447</v>
      </c>
      <c r="B3838" s="940">
        <v>596</v>
      </c>
      <c r="C3838" t="s">
        <v>316</v>
      </c>
      <c r="D3838" s="940" t="s">
        <v>7744</v>
      </c>
      <c r="E3838" t="s">
        <v>74</v>
      </c>
    </row>
    <row r="3839" spans="1:5" x14ac:dyDescent="0.2">
      <c r="A3839" s="940">
        <v>1133</v>
      </c>
      <c r="B3839" s="940">
        <v>228</v>
      </c>
      <c r="C3839" t="s">
        <v>11309</v>
      </c>
      <c r="D3839" s="940" t="s">
        <v>11310</v>
      </c>
      <c r="E3839" t="s">
        <v>1457</v>
      </c>
    </row>
    <row r="3840" spans="1:5" x14ac:dyDescent="0.2">
      <c r="A3840" s="940">
        <v>4294</v>
      </c>
      <c r="B3840" s="940">
        <v>0</v>
      </c>
      <c r="C3840" t="s">
        <v>7746</v>
      </c>
      <c r="D3840" s="940" t="s">
        <v>3661</v>
      </c>
      <c r="E3840" t="s">
        <v>74</v>
      </c>
    </row>
    <row r="3841" spans="1:5" x14ac:dyDescent="0.2">
      <c r="A3841" s="940">
        <v>1861</v>
      </c>
      <c r="B3841" s="940">
        <v>99</v>
      </c>
      <c r="C3841" t="s">
        <v>7747</v>
      </c>
      <c r="D3841" s="940" t="s">
        <v>7748</v>
      </c>
      <c r="E3841" t="s">
        <v>128</v>
      </c>
    </row>
    <row r="3842" spans="1:5" x14ac:dyDescent="0.2">
      <c r="A3842" s="940">
        <v>190</v>
      </c>
      <c r="B3842" s="940">
        <v>927</v>
      </c>
      <c r="C3842" t="s">
        <v>7749</v>
      </c>
      <c r="D3842" s="940" t="s">
        <v>7750</v>
      </c>
      <c r="E3842" t="s">
        <v>120</v>
      </c>
    </row>
    <row r="3843" spans="1:5" x14ac:dyDescent="0.2">
      <c r="A3843" s="940">
        <v>887</v>
      </c>
      <c r="B3843" s="940">
        <v>324</v>
      </c>
      <c r="C3843" t="s">
        <v>2149</v>
      </c>
      <c r="D3843" s="940" t="s">
        <v>3630</v>
      </c>
      <c r="E3843" t="s">
        <v>105</v>
      </c>
    </row>
    <row r="3844" spans="1:5" x14ac:dyDescent="0.2">
      <c r="A3844" s="940">
        <v>2218</v>
      </c>
      <c r="B3844" s="940">
        <v>68</v>
      </c>
      <c r="C3844" t="s">
        <v>2149</v>
      </c>
      <c r="D3844" s="940" t="s">
        <v>4603</v>
      </c>
      <c r="E3844" t="s">
        <v>213</v>
      </c>
    </row>
    <row r="3845" spans="1:5" x14ac:dyDescent="0.2">
      <c r="A3845" s="940">
        <v>1868</v>
      </c>
      <c r="B3845" s="940">
        <v>98</v>
      </c>
      <c r="C3845" t="s">
        <v>7752</v>
      </c>
      <c r="D3845" s="940" t="s">
        <v>7753</v>
      </c>
      <c r="E3845" t="s">
        <v>132</v>
      </c>
    </row>
    <row r="3846" spans="1:5" x14ac:dyDescent="0.2">
      <c r="A3846" s="940">
        <v>4294</v>
      </c>
      <c r="B3846" s="940">
        <v>0</v>
      </c>
      <c r="C3846" t="s">
        <v>7754</v>
      </c>
      <c r="D3846" s="940" t="s">
        <v>7755</v>
      </c>
      <c r="E3846" t="s">
        <v>120</v>
      </c>
    </row>
    <row r="3847" spans="1:5" x14ac:dyDescent="0.2">
      <c r="A3847" s="940">
        <v>558</v>
      </c>
      <c r="B3847" s="940">
        <v>499</v>
      </c>
      <c r="C3847" t="s">
        <v>11311</v>
      </c>
      <c r="D3847" s="940" t="s">
        <v>11312</v>
      </c>
      <c r="E3847" t="s">
        <v>103</v>
      </c>
    </row>
    <row r="3848" spans="1:5" x14ac:dyDescent="0.2">
      <c r="A3848" s="940">
        <v>3290</v>
      </c>
      <c r="B3848" s="940">
        <v>15</v>
      </c>
      <c r="C3848" t="s">
        <v>11313</v>
      </c>
      <c r="D3848" s="940" t="s">
        <v>10483</v>
      </c>
      <c r="E3848" t="s">
        <v>3128</v>
      </c>
    </row>
    <row r="3849" spans="1:5" x14ac:dyDescent="0.2">
      <c r="A3849" s="940">
        <v>1133</v>
      </c>
      <c r="B3849" s="940">
        <v>228</v>
      </c>
      <c r="C3849" t="s">
        <v>2151</v>
      </c>
      <c r="D3849" s="940" t="s">
        <v>7756</v>
      </c>
      <c r="E3849" t="s">
        <v>105</v>
      </c>
    </row>
    <row r="3850" spans="1:5" x14ac:dyDescent="0.2">
      <c r="A3850" s="940">
        <v>4081</v>
      </c>
      <c r="B3850" s="940">
        <v>2</v>
      </c>
      <c r="C3850" t="s">
        <v>11314</v>
      </c>
      <c r="D3850" s="940" t="s">
        <v>3609</v>
      </c>
      <c r="E3850" t="s">
        <v>120</v>
      </c>
    </row>
    <row r="3851" spans="1:5" x14ac:dyDescent="0.2">
      <c r="A3851" s="940">
        <v>143</v>
      </c>
      <c r="B3851" s="940">
        <v>1015</v>
      </c>
      <c r="C3851" t="s">
        <v>7757</v>
      </c>
      <c r="D3851" s="940" t="s">
        <v>7758</v>
      </c>
      <c r="E3851" t="s">
        <v>120</v>
      </c>
    </row>
    <row r="3852" spans="1:5" x14ac:dyDescent="0.2">
      <c r="A3852" s="940">
        <v>1236</v>
      </c>
      <c r="B3852" s="940">
        <v>198</v>
      </c>
      <c r="C3852" t="s">
        <v>11315</v>
      </c>
      <c r="D3852" s="940" t="s">
        <v>11316</v>
      </c>
      <c r="E3852" t="s">
        <v>2720</v>
      </c>
    </row>
    <row r="3853" spans="1:5" x14ac:dyDescent="0.2">
      <c r="A3853" s="940">
        <v>3545</v>
      </c>
      <c r="B3853" s="940">
        <v>9</v>
      </c>
      <c r="C3853" t="s">
        <v>11317</v>
      </c>
      <c r="D3853" s="940" t="s">
        <v>8767</v>
      </c>
      <c r="E3853" t="s">
        <v>1222</v>
      </c>
    </row>
    <row r="3854" spans="1:5" x14ac:dyDescent="0.2">
      <c r="A3854" s="940">
        <v>2218</v>
      </c>
      <c r="B3854" s="940">
        <v>68</v>
      </c>
      <c r="C3854" t="s">
        <v>7759</v>
      </c>
      <c r="D3854" s="940" t="s">
        <v>7760</v>
      </c>
      <c r="E3854" t="s">
        <v>139</v>
      </c>
    </row>
    <row r="3855" spans="1:5" x14ac:dyDescent="0.2">
      <c r="A3855" s="940">
        <v>1651</v>
      </c>
      <c r="B3855" s="940">
        <v>122</v>
      </c>
      <c r="C3855" t="s">
        <v>11318</v>
      </c>
      <c r="D3855" s="940" t="s">
        <v>11319</v>
      </c>
      <c r="E3855" t="s">
        <v>132</v>
      </c>
    </row>
    <row r="3856" spans="1:5" x14ac:dyDescent="0.2">
      <c r="A3856" s="940">
        <v>1133</v>
      </c>
      <c r="B3856" s="940">
        <v>228</v>
      </c>
      <c r="C3856" t="s">
        <v>579</v>
      </c>
      <c r="D3856" s="940" t="s">
        <v>7761</v>
      </c>
      <c r="E3856" t="s">
        <v>127</v>
      </c>
    </row>
    <row r="3857" spans="1:5" x14ac:dyDescent="0.2">
      <c r="A3857" s="940">
        <v>136</v>
      </c>
      <c r="B3857" s="940">
        <v>1019</v>
      </c>
      <c r="C3857" t="s">
        <v>7762</v>
      </c>
      <c r="D3857" s="940" t="s">
        <v>7763</v>
      </c>
      <c r="E3857" t="s">
        <v>105</v>
      </c>
    </row>
    <row r="3858" spans="1:5" x14ac:dyDescent="0.2">
      <c r="A3858" s="940">
        <v>123</v>
      </c>
      <c r="B3858" s="940">
        <v>1059</v>
      </c>
      <c r="C3858" t="s">
        <v>7764</v>
      </c>
      <c r="D3858" s="940" t="s">
        <v>7765</v>
      </c>
      <c r="E3858" t="s">
        <v>120</v>
      </c>
    </row>
    <row r="3859" spans="1:5" x14ac:dyDescent="0.2">
      <c r="A3859" s="940">
        <v>4294</v>
      </c>
      <c r="B3859" s="940">
        <v>0</v>
      </c>
      <c r="C3859" t="s">
        <v>11320</v>
      </c>
      <c r="D3859" s="940" t="s">
        <v>10188</v>
      </c>
      <c r="E3859" t="s">
        <v>144</v>
      </c>
    </row>
    <row r="3860" spans="1:5" x14ac:dyDescent="0.2">
      <c r="A3860" s="940">
        <v>2938</v>
      </c>
      <c r="B3860" s="940">
        <v>26</v>
      </c>
      <c r="C3860" t="s">
        <v>7766</v>
      </c>
      <c r="D3860" s="940" t="s">
        <v>5561</v>
      </c>
      <c r="E3860" t="s">
        <v>105</v>
      </c>
    </row>
    <row r="3861" spans="1:5" x14ac:dyDescent="0.2">
      <c r="A3861" s="940">
        <v>2233</v>
      </c>
      <c r="B3861" s="940">
        <v>67</v>
      </c>
      <c r="C3861" t="s">
        <v>2155</v>
      </c>
      <c r="D3861" s="940" t="s">
        <v>7767</v>
      </c>
      <c r="E3861" t="s">
        <v>105</v>
      </c>
    </row>
    <row r="3862" spans="1:5" x14ac:dyDescent="0.2">
      <c r="A3862" s="940">
        <v>4294</v>
      </c>
      <c r="B3862" s="940">
        <v>0</v>
      </c>
      <c r="C3862" t="s">
        <v>11321</v>
      </c>
      <c r="D3862" s="940" t="s">
        <v>11322</v>
      </c>
      <c r="E3862" t="s">
        <v>208</v>
      </c>
    </row>
    <row r="3863" spans="1:5" x14ac:dyDescent="0.2">
      <c r="A3863" s="940">
        <v>1345</v>
      </c>
      <c r="B3863" s="940">
        <v>172</v>
      </c>
      <c r="C3863" t="s">
        <v>11323</v>
      </c>
      <c r="D3863" s="940" t="s">
        <v>11324</v>
      </c>
      <c r="E3863" t="s">
        <v>7933</v>
      </c>
    </row>
    <row r="3864" spans="1:5" x14ac:dyDescent="0.2">
      <c r="A3864" s="940">
        <v>3655</v>
      </c>
      <c r="B3864" s="940">
        <v>7</v>
      </c>
      <c r="C3864" t="s">
        <v>11323</v>
      </c>
      <c r="D3864" s="940" t="s">
        <v>6849</v>
      </c>
      <c r="E3864" t="s">
        <v>2913</v>
      </c>
    </row>
    <row r="3865" spans="1:5" x14ac:dyDescent="0.2">
      <c r="A3865" s="940">
        <v>3250</v>
      </c>
      <c r="B3865" s="940">
        <v>16</v>
      </c>
      <c r="C3865" t="s">
        <v>11325</v>
      </c>
      <c r="D3865" s="940" t="s">
        <v>11326</v>
      </c>
      <c r="E3865" t="s">
        <v>163</v>
      </c>
    </row>
    <row r="3866" spans="1:5" x14ac:dyDescent="0.2">
      <c r="A3866" s="940">
        <v>2938</v>
      </c>
      <c r="B3866" s="940">
        <v>26</v>
      </c>
      <c r="C3866" t="s">
        <v>11327</v>
      </c>
      <c r="D3866" s="940" t="s">
        <v>3368</v>
      </c>
      <c r="E3866" t="s">
        <v>2979</v>
      </c>
    </row>
    <row r="3867" spans="1:5" x14ac:dyDescent="0.2">
      <c r="A3867" s="940">
        <v>4294</v>
      </c>
      <c r="B3867" s="940">
        <v>0</v>
      </c>
      <c r="C3867" t="s">
        <v>7769</v>
      </c>
      <c r="D3867" s="940" t="s">
        <v>3818</v>
      </c>
      <c r="E3867" t="s">
        <v>661</v>
      </c>
    </row>
    <row r="3868" spans="1:5" x14ac:dyDescent="0.2">
      <c r="A3868" s="940">
        <v>2794</v>
      </c>
      <c r="B3868" s="940">
        <v>33</v>
      </c>
      <c r="C3868" t="s">
        <v>11328</v>
      </c>
      <c r="D3868" s="940" t="s">
        <v>11329</v>
      </c>
      <c r="E3868" t="s">
        <v>1214</v>
      </c>
    </row>
    <row r="3869" spans="1:5" x14ac:dyDescent="0.2">
      <c r="A3869" s="940">
        <v>840</v>
      </c>
      <c r="B3869" s="940">
        <v>343</v>
      </c>
      <c r="C3869" t="s">
        <v>11330</v>
      </c>
      <c r="D3869" s="940" t="s">
        <v>11331</v>
      </c>
      <c r="E3869" t="s">
        <v>113</v>
      </c>
    </row>
    <row r="3870" spans="1:5" x14ac:dyDescent="0.2">
      <c r="A3870" s="940">
        <v>4294</v>
      </c>
      <c r="B3870" s="940">
        <v>0</v>
      </c>
      <c r="C3870" t="s">
        <v>7770</v>
      </c>
      <c r="D3870" s="940" t="s">
        <v>7771</v>
      </c>
      <c r="E3870" t="s">
        <v>74</v>
      </c>
    </row>
    <row r="3871" spans="1:5" x14ac:dyDescent="0.2">
      <c r="A3871" s="940">
        <v>3048</v>
      </c>
      <c r="B3871" s="940">
        <v>22</v>
      </c>
      <c r="C3871" t="s">
        <v>7775</v>
      </c>
      <c r="D3871" s="940" t="s">
        <v>4215</v>
      </c>
      <c r="E3871" t="s">
        <v>105</v>
      </c>
    </row>
    <row r="3872" spans="1:5" x14ac:dyDescent="0.2">
      <c r="A3872" s="940">
        <v>3250</v>
      </c>
      <c r="B3872" s="940">
        <v>16</v>
      </c>
      <c r="C3872" t="s">
        <v>7776</v>
      </c>
      <c r="D3872" s="940" t="s">
        <v>7777</v>
      </c>
      <c r="E3872" t="s">
        <v>126</v>
      </c>
    </row>
    <row r="3873" spans="1:5" x14ac:dyDescent="0.2">
      <c r="A3873" s="940">
        <v>4294</v>
      </c>
      <c r="B3873" s="940">
        <v>0</v>
      </c>
      <c r="C3873" t="s">
        <v>7778</v>
      </c>
      <c r="D3873" s="940" t="s">
        <v>3045</v>
      </c>
      <c r="E3873" t="s">
        <v>7474</v>
      </c>
    </row>
    <row r="3874" spans="1:5" x14ac:dyDescent="0.2">
      <c r="A3874" s="940">
        <v>1604</v>
      </c>
      <c r="B3874" s="940">
        <v>128</v>
      </c>
      <c r="C3874" t="s">
        <v>11332</v>
      </c>
      <c r="D3874" s="940" t="s">
        <v>10565</v>
      </c>
      <c r="E3874" t="s">
        <v>5506</v>
      </c>
    </row>
    <row r="3875" spans="1:5" x14ac:dyDescent="0.2">
      <c r="A3875" s="940">
        <v>4294</v>
      </c>
      <c r="B3875" s="940">
        <v>0</v>
      </c>
      <c r="C3875" t="s">
        <v>7779</v>
      </c>
      <c r="D3875" s="940" t="s">
        <v>7780</v>
      </c>
      <c r="E3875" t="s">
        <v>251</v>
      </c>
    </row>
    <row r="3876" spans="1:5" x14ac:dyDescent="0.2">
      <c r="A3876" s="940">
        <v>3083</v>
      </c>
      <c r="B3876" s="940">
        <v>21</v>
      </c>
      <c r="C3876" t="s">
        <v>11333</v>
      </c>
      <c r="D3876" s="940" t="s">
        <v>4891</v>
      </c>
      <c r="E3876" t="s">
        <v>164</v>
      </c>
    </row>
    <row r="3877" spans="1:5" x14ac:dyDescent="0.2">
      <c r="A3877" s="940">
        <v>789</v>
      </c>
      <c r="B3877" s="940">
        <v>365</v>
      </c>
      <c r="C3877" t="s">
        <v>11334</v>
      </c>
      <c r="D3877" s="940" t="s">
        <v>11335</v>
      </c>
      <c r="E3877" t="s">
        <v>3487</v>
      </c>
    </row>
    <row r="3878" spans="1:5" x14ac:dyDescent="0.2">
      <c r="A3878" s="940">
        <v>3174</v>
      </c>
      <c r="B3878" s="940">
        <v>18</v>
      </c>
      <c r="C3878" t="s">
        <v>7781</v>
      </c>
      <c r="D3878" s="940" t="s">
        <v>7782</v>
      </c>
      <c r="E3878" t="s">
        <v>2660</v>
      </c>
    </row>
    <row r="3879" spans="1:5" x14ac:dyDescent="0.2">
      <c r="A3879" s="940">
        <v>2833</v>
      </c>
      <c r="B3879" s="940">
        <v>31</v>
      </c>
      <c r="C3879" t="s">
        <v>7783</v>
      </c>
      <c r="D3879" s="940" t="s">
        <v>7784</v>
      </c>
      <c r="E3879" t="s">
        <v>179</v>
      </c>
    </row>
    <row r="3880" spans="1:5" x14ac:dyDescent="0.2">
      <c r="A3880" s="940">
        <v>2745</v>
      </c>
      <c r="B3880" s="940">
        <v>35</v>
      </c>
      <c r="C3880" t="s">
        <v>11336</v>
      </c>
      <c r="D3880" s="940" t="s">
        <v>5762</v>
      </c>
      <c r="E3880" t="s">
        <v>1507</v>
      </c>
    </row>
    <row r="3881" spans="1:5" x14ac:dyDescent="0.2">
      <c r="A3881" s="940">
        <v>2533</v>
      </c>
      <c r="B3881" s="940">
        <v>45</v>
      </c>
      <c r="C3881" t="s">
        <v>7787</v>
      </c>
      <c r="D3881" s="940" t="s">
        <v>4545</v>
      </c>
      <c r="E3881" t="s">
        <v>4667</v>
      </c>
    </row>
    <row r="3882" spans="1:5" x14ac:dyDescent="0.2">
      <c r="A3882" s="940">
        <v>805</v>
      </c>
      <c r="B3882" s="940">
        <v>356</v>
      </c>
      <c r="C3882" t="s">
        <v>11337</v>
      </c>
      <c r="D3882" s="940" t="s">
        <v>9714</v>
      </c>
      <c r="E3882" t="s">
        <v>120</v>
      </c>
    </row>
    <row r="3883" spans="1:5" x14ac:dyDescent="0.2">
      <c r="A3883" s="940">
        <v>3732</v>
      </c>
      <c r="B3883" s="940">
        <v>6</v>
      </c>
      <c r="C3883" t="s">
        <v>7788</v>
      </c>
      <c r="D3883" s="940" t="s">
        <v>3640</v>
      </c>
      <c r="E3883" t="s">
        <v>1198</v>
      </c>
    </row>
    <row r="3884" spans="1:5" x14ac:dyDescent="0.2">
      <c r="A3884" s="940">
        <v>4081</v>
      </c>
      <c r="B3884" s="940">
        <v>2</v>
      </c>
      <c r="C3884" t="s">
        <v>7789</v>
      </c>
      <c r="D3884" s="940" t="s">
        <v>7790</v>
      </c>
      <c r="E3884" t="s">
        <v>120</v>
      </c>
    </row>
    <row r="3885" spans="1:5" x14ac:dyDescent="0.2">
      <c r="A3885" s="940">
        <v>4081</v>
      </c>
      <c r="B3885" s="940">
        <v>2</v>
      </c>
      <c r="C3885" t="s">
        <v>11338</v>
      </c>
      <c r="D3885" s="940" t="s">
        <v>4788</v>
      </c>
      <c r="E3885" t="s">
        <v>2979</v>
      </c>
    </row>
    <row r="3886" spans="1:5" x14ac:dyDescent="0.2">
      <c r="A3886" s="940">
        <v>3250</v>
      </c>
      <c r="B3886" s="940">
        <v>16</v>
      </c>
      <c r="C3886" t="s">
        <v>11339</v>
      </c>
      <c r="D3886" s="940" t="s">
        <v>3957</v>
      </c>
      <c r="E3886" t="s">
        <v>1204</v>
      </c>
    </row>
    <row r="3887" spans="1:5" x14ac:dyDescent="0.2">
      <c r="A3887" s="940">
        <v>4294</v>
      </c>
      <c r="B3887" s="940">
        <v>0</v>
      </c>
      <c r="C3887" t="s">
        <v>7792</v>
      </c>
      <c r="D3887" s="940" t="s">
        <v>2763</v>
      </c>
      <c r="E3887" t="s">
        <v>74</v>
      </c>
    </row>
    <row r="3888" spans="1:5" x14ac:dyDescent="0.2">
      <c r="A3888" s="940">
        <v>3545</v>
      </c>
      <c r="B3888" s="940">
        <v>9</v>
      </c>
      <c r="C3888" t="s">
        <v>7793</v>
      </c>
      <c r="D3888" s="940" t="s">
        <v>7794</v>
      </c>
      <c r="E3888" t="s">
        <v>122</v>
      </c>
    </row>
    <row r="3889" spans="1:5" x14ac:dyDescent="0.2">
      <c r="A3889" s="940">
        <v>891</v>
      </c>
      <c r="B3889" s="940">
        <v>321</v>
      </c>
      <c r="C3889" t="s">
        <v>7795</v>
      </c>
      <c r="D3889" s="940" t="s">
        <v>7796</v>
      </c>
      <c r="E3889" t="s">
        <v>7797</v>
      </c>
    </row>
    <row r="3890" spans="1:5" x14ac:dyDescent="0.2">
      <c r="A3890" s="940">
        <v>4294</v>
      </c>
      <c r="B3890" s="940">
        <v>0</v>
      </c>
      <c r="C3890" t="s">
        <v>7798</v>
      </c>
      <c r="D3890" s="940" t="s">
        <v>3656</v>
      </c>
      <c r="E3890" t="s">
        <v>130</v>
      </c>
    </row>
    <row r="3891" spans="1:5" x14ac:dyDescent="0.2">
      <c r="A3891" s="940">
        <v>1085</v>
      </c>
      <c r="B3891" s="940">
        <v>247</v>
      </c>
      <c r="C3891" t="s">
        <v>7799</v>
      </c>
      <c r="D3891" s="940" t="s">
        <v>7800</v>
      </c>
      <c r="E3891" t="s">
        <v>2672</v>
      </c>
    </row>
    <row r="3892" spans="1:5" x14ac:dyDescent="0.2">
      <c r="A3892" s="940">
        <v>3972</v>
      </c>
      <c r="B3892" s="940">
        <v>3</v>
      </c>
      <c r="C3892" t="s">
        <v>7801</v>
      </c>
      <c r="D3892" s="940" t="s">
        <v>7802</v>
      </c>
      <c r="E3892" t="s">
        <v>99</v>
      </c>
    </row>
    <row r="3893" spans="1:5" x14ac:dyDescent="0.2">
      <c r="A3893" s="940">
        <v>795</v>
      </c>
      <c r="B3893" s="940">
        <v>361</v>
      </c>
      <c r="C3893" t="s">
        <v>11340</v>
      </c>
      <c r="D3893" s="940" t="s">
        <v>11341</v>
      </c>
      <c r="E3893" t="s">
        <v>1343</v>
      </c>
    </row>
    <row r="3894" spans="1:5" x14ac:dyDescent="0.2">
      <c r="A3894" s="940">
        <v>4081</v>
      </c>
      <c r="B3894" s="940">
        <v>2</v>
      </c>
      <c r="C3894" t="s">
        <v>11342</v>
      </c>
      <c r="D3894" s="940" t="s">
        <v>11343</v>
      </c>
      <c r="E3894" t="s">
        <v>2846</v>
      </c>
    </row>
    <row r="3895" spans="1:5" x14ac:dyDescent="0.2">
      <c r="A3895" s="940">
        <v>1758</v>
      </c>
      <c r="B3895" s="940">
        <v>110</v>
      </c>
      <c r="C3895" t="s">
        <v>7805</v>
      </c>
      <c r="D3895" s="940" t="s">
        <v>3189</v>
      </c>
      <c r="E3895" t="s">
        <v>3383</v>
      </c>
    </row>
    <row r="3896" spans="1:5" x14ac:dyDescent="0.2">
      <c r="A3896" s="940">
        <v>3402</v>
      </c>
      <c r="B3896" s="940">
        <v>12</v>
      </c>
      <c r="C3896" t="s">
        <v>7806</v>
      </c>
      <c r="D3896" s="940" t="s">
        <v>6670</v>
      </c>
      <c r="E3896" t="s">
        <v>120</v>
      </c>
    </row>
    <row r="3897" spans="1:5" x14ac:dyDescent="0.2">
      <c r="A3897" s="940">
        <v>870</v>
      </c>
      <c r="B3897" s="940">
        <v>328</v>
      </c>
      <c r="C3897" t="s">
        <v>11344</v>
      </c>
      <c r="D3897" s="940" t="s">
        <v>11345</v>
      </c>
      <c r="E3897" t="s">
        <v>1379</v>
      </c>
    </row>
    <row r="3898" spans="1:5" x14ac:dyDescent="0.2">
      <c r="A3898" s="940">
        <v>690</v>
      </c>
      <c r="B3898" s="940">
        <v>408</v>
      </c>
      <c r="C3898" t="s">
        <v>7811</v>
      </c>
      <c r="D3898" s="940" t="s">
        <v>7563</v>
      </c>
      <c r="E3898" t="s">
        <v>80</v>
      </c>
    </row>
    <row r="3899" spans="1:5" x14ac:dyDescent="0.2">
      <c r="A3899" s="940">
        <v>3323</v>
      </c>
      <c r="B3899" s="940">
        <v>14</v>
      </c>
      <c r="C3899" t="s">
        <v>11346</v>
      </c>
      <c r="D3899" s="940" t="s">
        <v>5416</v>
      </c>
      <c r="E3899" t="s">
        <v>74</v>
      </c>
    </row>
    <row r="3900" spans="1:5" x14ac:dyDescent="0.2">
      <c r="A3900" s="940">
        <v>4294</v>
      </c>
      <c r="B3900" s="940">
        <v>0</v>
      </c>
      <c r="C3900" t="s">
        <v>7814</v>
      </c>
      <c r="D3900" s="940" t="s">
        <v>3808</v>
      </c>
      <c r="E3900" t="s">
        <v>74</v>
      </c>
    </row>
    <row r="3901" spans="1:5" x14ac:dyDescent="0.2">
      <c r="A3901" s="940">
        <v>1518</v>
      </c>
      <c r="B3901" s="940">
        <v>142</v>
      </c>
      <c r="C3901" t="s">
        <v>2160</v>
      </c>
      <c r="D3901" s="940" t="s">
        <v>11347</v>
      </c>
      <c r="E3901" t="s">
        <v>105</v>
      </c>
    </row>
    <row r="3902" spans="1:5" x14ac:dyDescent="0.2">
      <c r="A3902" s="940">
        <v>86</v>
      </c>
      <c r="B3902" s="940">
        <v>1158</v>
      </c>
      <c r="C3902" t="s">
        <v>7819</v>
      </c>
      <c r="D3902" s="940" t="s">
        <v>7820</v>
      </c>
      <c r="E3902" t="s">
        <v>138</v>
      </c>
    </row>
    <row r="3903" spans="1:5" x14ac:dyDescent="0.2">
      <c r="A3903" s="940">
        <v>4294</v>
      </c>
      <c r="B3903" s="940">
        <v>0</v>
      </c>
      <c r="C3903" t="s">
        <v>11348</v>
      </c>
      <c r="D3903" s="940" t="s">
        <v>11349</v>
      </c>
      <c r="E3903" t="s">
        <v>1271</v>
      </c>
    </row>
    <row r="3904" spans="1:5" x14ac:dyDescent="0.2">
      <c r="A3904" s="940">
        <v>4294</v>
      </c>
      <c r="B3904" s="940">
        <v>0</v>
      </c>
      <c r="C3904" t="s">
        <v>11350</v>
      </c>
      <c r="D3904" s="940" t="s">
        <v>4666</v>
      </c>
      <c r="E3904" t="s">
        <v>6758</v>
      </c>
    </row>
    <row r="3905" spans="1:5" x14ac:dyDescent="0.2">
      <c r="A3905" s="940">
        <v>1057</v>
      </c>
      <c r="B3905" s="940">
        <v>255</v>
      </c>
      <c r="C3905" t="s">
        <v>11351</v>
      </c>
      <c r="D3905" s="940" t="s">
        <v>11352</v>
      </c>
      <c r="E3905" t="s">
        <v>111</v>
      </c>
    </row>
    <row r="3906" spans="1:5" x14ac:dyDescent="0.2">
      <c r="A3906" s="940">
        <v>4294</v>
      </c>
      <c r="B3906" s="940">
        <v>0</v>
      </c>
      <c r="C3906" t="s">
        <v>11353</v>
      </c>
      <c r="D3906" s="940" t="s">
        <v>6359</v>
      </c>
      <c r="E3906" t="s">
        <v>110</v>
      </c>
    </row>
    <row r="3907" spans="1:5" x14ac:dyDescent="0.2">
      <c r="A3907" s="940">
        <v>2434</v>
      </c>
      <c r="B3907" s="940">
        <v>52</v>
      </c>
      <c r="C3907" t="s">
        <v>7824</v>
      </c>
      <c r="D3907" s="940" t="s">
        <v>5850</v>
      </c>
      <c r="E3907" t="s">
        <v>1156</v>
      </c>
    </row>
    <row r="3908" spans="1:5" x14ac:dyDescent="0.2">
      <c r="A3908" s="940">
        <v>3483</v>
      </c>
      <c r="B3908" s="940">
        <v>10</v>
      </c>
      <c r="C3908" t="s">
        <v>7824</v>
      </c>
      <c r="D3908" s="940" t="s">
        <v>3501</v>
      </c>
      <c r="E3908" t="s">
        <v>105</v>
      </c>
    </row>
    <row r="3909" spans="1:5" x14ac:dyDescent="0.2">
      <c r="A3909" s="940">
        <v>4294</v>
      </c>
      <c r="B3909" s="940">
        <v>0</v>
      </c>
      <c r="C3909" t="s">
        <v>7824</v>
      </c>
      <c r="D3909" s="940" t="s">
        <v>7790</v>
      </c>
      <c r="E3909" t="s">
        <v>1171</v>
      </c>
    </row>
    <row r="3910" spans="1:5" x14ac:dyDescent="0.2">
      <c r="A3910" s="940">
        <v>4294</v>
      </c>
      <c r="B3910" s="940">
        <v>0</v>
      </c>
      <c r="C3910" t="s">
        <v>7825</v>
      </c>
      <c r="D3910" s="940" t="s">
        <v>7826</v>
      </c>
      <c r="E3910" t="s">
        <v>105</v>
      </c>
    </row>
    <row r="3911" spans="1:5" x14ac:dyDescent="0.2">
      <c r="A3911" s="940">
        <v>319</v>
      </c>
      <c r="B3911" s="940">
        <v>743</v>
      </c>
      <c r="C3911" t="s">
        <v>7829</v>
      </c>
      <c r="D3911" s="940" t="s">
        <v>7830</v>
      </c>
      <c r="E3911" t="s">
        <v>120</v>
      </c>
    </row>
    <row r="3912" spans="1:5" x14ac:dyDescent="0.2">
      <c r="A3912" s="940">
        <v>2</v>
      </c>
      <c r="B3912" s="940">
        <v>1677</v>
      </c>
      <c r="C3912" t="s">
        <v>7831</v>
      </c>
      <c r="D3912" s="940" t="s">
        <v>7832</v>
      </c>
      <c r="E3912" t="s">
        <v>1427</v>
      </c>
    </row>
    <row r="3913" spans="1:5" x14ac:dyDescent="0.2">
      <c r="A3913" s="940">
        <v>119</v>
      </c>
      <c r="B3913" s="940">
        <v>1064</v>
      </c>
      <c r="C3913" t="s">
        <v>7833</v>
      </c>
      <c r="D3913" s="940" t="s">
        <v>7834</v>
      </c>
      <c r="E3913" t="s">
        <v>74</v>
      </c>
    </row>
    <row r="3914" spans="1:5" x14ac:dyDescent="0.2">
      <c r="A3914" s="940">
        <v>4294</v>
      </c>
      <c r="B3914" s="940">
        <v>0</v>
      </c>
      <c r="C3914" t="s">
        <v>7835</v>
      </c>
      <c r="D3914" s="940" t="s">
        <v>3764</v>
      </c>
      <c r="E3914" t="s">
        <v>120</v>
      </c>
    </row>
    <row r="3915" spans="1:5" x14ac:dyDescent="0.2">
      <c r="A3915" s="940">
        <v>4181</v>
      </c>
      <c r="B3915" s="940">
        <v>1</v>
      </c>
      <c r="C3915" t="s">
        <v>11354</v>
      </c>
      <c r="D3915" s="940" t="s">
        <v>9890</v>
      </c>
      <c r="E3915" t="s">
        <v>10128</v>
      </c>
    </row>
    <row r="3916" spans="1:5" x14ac:dyDescent="0.2">
      <c r="A3916" s="940">
        <v>1806</v>
      </c>
      <c r="B3916" s="940">
        <v>104</v>
      </c>
      <c r="C3916" t="s">
        <v>7836</v>
      </c>
      <c r="D3916" s="940" t="s">
        <v>3307</v>
      </c>
      <c r="E3916" t="s">
        <v>120</v>
      </c>
    </row>
    <row r="3917" spans="1:5" x14ac:dyDescent="0.2">
      <c r="A3917" s="940">
        <v>1720</v>
      </c>
      <c r="B3917" s="940">
        <v>115</v>
      </c>
      <c r="C3917" t="s">
        <v>2165</v>
      </c>
      <c r="D3917" s="940" t="s">
        <v>11355</v>
      </c>
      <c r="E3917" t="s">
        <v>1243</v>
      </c>
    </row>
    <row r="3918" spans="1:5" x14ac:dyDescent="0.2">
      <c r="A3918" s="940">
        <v>2218</v>
      </c>
      <c r="B3918" s="940">
        <v>68</v>
      </c>
      <c r="C3918" t="s">
        <v>7837</v>
      </c>
      <c r="D3918" s="940" t="s">
        <v>4302</v>
      </c>
      <c r="E3918" t="s">
        <v>1507</v>
      </c>
    </row>
    <row r="3919" spans="1:5" x14ac:dyDescent="0.2">
      <c r="A3919" s="940">
        <v>4294</v>
      </c>
      <c r="B3919" s="940">
        <v>0</v>
      </c>
      <c r="C3919" t="s">
        <v>7838</v>
      </c>
      <c r="D3919" s="940" t="s">
        <v>3686</v>
      </c>
      <c r="E3919" t="s">
        <v>105</v>
      </c>
    </row>
    <row r="3920" spans="1:5" x14ac:dyDescent="0.2">
      <c r="A3920" s="940">
        <v>4294</v>
      </c>
      <c r="B3920" s="940">
        <v>0</v>
      </c>
      <c r="C3920" t="s">
        <v>11356</v>
      </c>
      <c r="D3920" s="940" t="s">
        <v>11357</v>
      </c>
      <c r="E3920" t="s">
        <v>105</v>
      </c>
    </row>
    <row r="3921" spans="1:5" x14ac:dyDescent="0.2">
      <c r="A3921" s="940">
        <v>4294</v>
      </c>
      <c r="B3921" s="940">
        <v>0</v>
      </c>
      <c r="C3921" t="s">
        <v>11358</v>
      </c>
      <c r="D3921" s="940" t="s">
        <v>11359</v>
      </c>
      <c r="E3921" t="s">
        <v>1243</v>
      </c>
    </row>
    <row r="3922" spans="1:5" x14ac:dyDescent="0.2">
      <c r="A3922" s="940">
        <v>558</v>
      </c>
      <c r="B3922" s="940">
        <v>499</v>
      </c>
      <c r="C3922" t="s">
        <v>581</v>
      </c>
      <c r="D3922" s="940" t="s">
        <v>3151</v>
      </c>
      <c r="E3922" t="s">
        <v>103</v>
      </c>
    </row>
    <row r="3923" spans="1:5" x14ac:dyDescent="0.2">
      <c r="A3923" s="940">
        <v>618</v>
      </c>
      <c r="B3923" s="940">
        <v>455</v>
      </c>
      <c r="C3923" t="s">
        <v>7839</v>
      </c>
      <c r="D3923" s="940" t="s">
        <v>7840</v>
      </c>
      <c r="E3923" t="s">
        <v>1311</v>
      </c>
    </row>
    <row r="3924" spans="1:5" x14ac:dyDescent="0.2">
      <c r="A3924" s="940">
        <v>203</v>
      </c>
      <c r="B3924" s="940">
        <v>910</v>
      </c>
      <c r="C3924" t="s">
        <v>7844</v>
      </c>
      <c r="D3924" s="940" t="s">
        <v>7845</v>
      </c>
      <c r="E3924" t="s">
        <v>105</v>
      </c>
    </row>
    <row r="3925" spans="1:5" x14ac:dyDescent="0.2">
      <c r="A3925" s="940">
        <v>1378</v>
      </c>
      <c r="B3925" s="940">
        <v>167</v>
      </c>
      <c r="C3925" t="s">
        <v>11360</v>
      </c>
      <c r="D3925" s="940" t="s">
        <v>5904</v>
      </c>
      <c r="E3925" t="s">
        <v>4722</v>
      </c>
    </row>
    <row r="3926" spans="1:5" x14ac:dyDescent="0.2">
      <c r="A3926" s="940">
        <v>2725</v>
      </c>
      <c r="B3926" s="940">
        <v>36</v>
      </c>
      <c r="C3926" t="s">
        <v>7846</v>
      </c>
      <c r="D3926" s="940" t="s">
        <v>7063</v>
      </c>
      <c r="E3926" t="s">
        <v>1275</v>
      </c>
    </row>
    <row r="3927" spans="1:5" x14ac:dyDescent="0.2">
      <c r="A3927" s="940">
        <v>3972</v>
      </c>
      <c r="B3927" s="940">
        <v>3</v>
      </c>
      <c r="C3927" t="s">
        <v>11361</v>
      </c>
      <c r="D3927" s="940" t="s">
        <v>8026</v>
      </c>
      <c r="E3927" t="s">
        <v>171</v>
      </c>
    </row>
    <row r="3928" spans="1:5" x14ac:dyDescent="0.2">
      <c r="A3928" s="940">
        <v>3174</v>
      </c>
      <c r="B3928" s="940">
        <v>18</v>
      </c>
      <c r="C3928" t="s">
        <v>11362</v>
      </c>
      <c r="D3928" s="940" t="s">
        <v>5414</v>
      </c>
      <c r="E3928" t="s">
        <v>72</v>
      </c>
    </row>
    <row r="3929" spans="1:5" x14ac:dyDescent="0.2">
      <c r="A3929" s="940">
        <v>3290</v>
      </c>
      <c r="B3929" s="940">
        <v>15</v>
      </c>
      <c r="C3929" t="s">
        <v>7852</v>
      </c>
      <c r="D3929" s="940" t="s">
        <v>7853</v>
      </c>
      <c r="E3929" t="s">
        <v>105</v>
      </c>
    </row>
    <row r="3930" spans="1:5" x14ac:dyDescent="0.2">
      <c r="A3930" s="940">
        <v>4294</v>
      </c>
      <c r="B3930" s="940">
        <v>0</v>
      </c>
      <c r="C3930" t="s">
        <v>7858</v>
      </c>
      <c r="D3930" s="940" t="s">
        <v>2848</v>
      </c>
      <c r="E3930" t="s">
        <v>1590</v>
      </c>
    </row>
    <row r="3931" spans="1:5" x14ac:dyDescent="0.2">
      <c r="A3931" s="940">
        <v>4294</v>
      </c>
      <c r="B3931" s="940">
        <v>0</v>
      </c>
      <c r="C3931" t="s">
        <v>7859</v>
      </c>
      <c r="D3931" s="940" t="s">
        <v>2753</v>
      </c>
      <c r="E3931" t="s">
        <v>120</v>
      </c>
    </row>
    <row r="3932" spans="1:5" x14ac:dyDescent="0.2">
      <c r="A3932" s="940">
        <v>3083</v>
      </c>
      <c r="B3932" s="940">
        <v>21</v>
      </c>
      <c r="C3932" t="s">
        <v>7860</v>
      </c>
      <c r="D3932" s="940" t="s">
        <v>4780</v>
      </c>
      <c r="E3932" t="s">
        <v>6003</v>
      </c>
    </row>
    <row r="3933" spans="1:5" x14ac:dyDescent="0.2">
      <c r="A3933" s="940">
        <v>221</v>
      </c>
      <c r="B3933" s="940">
        <v>879</v>
      </c>
      <c r="C3933" t="s">
        <v>7861</v>
      </c>
      <c r="D3933" s="940" t="s">
        <v>7862</v>
      </c>
      <c r="E3933" t="s">
        <v>1286</v>
      </c>
    </row>
    <row r="3934" spans="1:5" x14ac:dyDescent="0.2">
      <c r="A3934" s="940">
        <v>2938</v>
      </c>
      <c r="B3934" s="940">
        <v>26</v>
      </c>
      <c r="C3934" t="s">
        <v>7863</v>
      </c>
      <c r="D3934" s="940" t="s">
        <v>4830</v>
      </c>
      <c r="E3934" t="s">
        <v>138</v>
      </c>
    </row>
    <row r="3935" spans="1:5" x14ac:dyDescent="0.2">
      <c r="A3935" s="940">
        <v>3796</v>
      </c>
      <c r="B3935" s="940">
        <v>5</v>
      </c>
      <c r="C3935" t="s">
        <v>11363</v>
      </c>
      <c r="D3935" s="940" t="s">
        <v>8073</v>
      </c>
      <c r="E3935" t="s">
        <v>11364</v>
      </c>
    </row>
    <row r="3936" spans="1:5" x14ac:dyDescent="0.2">
      <c r="A3936" s="940">
        <v>3290</v>
      </c>
      <c r="B3936" s="940">
        <v>15</v>
      </c>
      <c r="C3936" t="s">
        <v>7864</v>
      </c>
      <c r="D3936" s="940" t="s">
        <v>7865</v>
      </c>
      <c r="E3936" t="s">
        <v>130</v>
      </c>
    </row>
    <row r="3937" spans="1:5" x14ac:dyDescent="0.2">
      <c r="A3937" s="940">
        <v>1609</v>
      </c>
      <c r="B3937" s="940">
        <v>127</v>
      </c>
      <c r="C3937" t="s">
        <v>7866</v>
      </c>
      <c r="D3937" s="940" t="s">
        <v>5118</v>
      </c>
      <c r="E3937" t="s">
        <v>105</v>
      </c>
    </row>
    <row r="3938" spans="1:5" x14ac:dyDescent="0.2">
      <c r="A3938" s="940">
        <v>4294</v>
      </c>
      <c r="B3938" s="940">
        <v>0</v>
      </c>
      <c r="C3938" t="s">
        <v>7867</v>
      </c>
      <c r="D3938" s="940" t="s">
        <v>5317</v>
      </c>
      <c r="E3938" t="s">
        <v>2970</v>
      </c>
    </row>
    <row r="3939" spans="1:5" x14ac:dyDescent="0.2">
      <c r="A3939" s="940">
        <v>1120</v>
      </c>
      <c r="B3939" s="940">
        <v>233</v>
      </c>
      <c r="C3939" t="s">
        <v>7868</v>
      </c>
      <c r="D3939" s="940" t="s">
        <v>7869</v>
      </c>
      <c r="E3939" t="s">
        <v>75</v>
      </c>
    </row>
    <row r="3940" spans="1:5" x14ac:dyDescent="0.2">
      <c r="A3940" s="940">
        <v>915</v>
      </c>
      <c r="B3940" s="940">
        <v>309</v>
      </c>
      <c r="C3940" t="s">
        <v>7870</v>
      </c>
      <c r="D3940" s="940" t="s">
        <v>7871</v>
      </c>
      <c r="E3940" t="s">
        <v>4667</v>
      </c>
    </row>
    <row r="3941" spans="1:5" x14ac:dyDescent="0.2">
      <c r="A3941" s="940">
        <v>3402</v>
      </c>
      <c r="B3941" s="940">
        <v>12</v>
      </c>
      <c r="C3941" t="s">
        <v>11365</v>
      </c>
      <c r="D3941" s="940" t="s">
        <v>8940</v>
      </c>
      <c r="E3941" t="s">
        <v>10807</v>
      </c>
    </row>
    <row r="3942" spans="1:5" x14ac:dyDescent="0.2">
      <c r="A3942" s="940">
        <v>3250</v>
      </c>
      <c r="B3942" s="940">
        <v>16</v>
      </c>
      <c r="C3942" t="s">
        <v>11366</v>
      </c>
      <c r="D3942" s="940" t="s">
        <v>3226</v>
      </c>
      <c r="E3942" t="s">
        <v>74</v>
      </c>
    </row>
    <row r="3943" spans="1:5" x14ac:dyDescent="0.2">
      <c r="A3943" s="940">
        <v>4294</v>
      </c>
      <c r="B3943" s="940">
        <v>0</v>
      </c>
      <c r="C3943" t="s">
        <v>7872</v>
      </c>
      <c r="D3943" s="940" t="s">
        <v>7873</v>
      </c>
      <c r="E3943" t="s">
        <v>128</v>
      </c>
    </row>
    <row r="3944" spans="1:5" x14ac:dyDescent="0.2">
      <c r="A3944" s="940">
        <v>3008</v>
      </c>
      <c r="B3944" s="940">
        <v>23</v>
      </c>
      <c r="C3944" t="s">
        <v>7874</v>
      </c>
      <c r="D3944" s="940" t="s">
        <v>2835</v>
      </c>
      <c r="E3944" t="s">
        <v>74</v>
      </c>
    </row>
    <row r="3945" spans="1:5" x14ac:dyDescent="0.2">
      <c r="A3945" s="940">
        <v>526</v>
      </c>
      <c r="B3945" s="940">
        <v>521</v>
      </c>
      <c r="C3945" t="s">
        <v>7875</v>
      </c>
      <c r="D3945" s="940" t="s">
        <v>7876</v>
      </c>
      <c r="E3945" t="s">
        <v>163</v>
      </c>
    </row>
    <row r="3946" spans="1:5" x14ac:dyDescent="0.2">
      <c r="A3946" s="940">
        <v>4294</v>
      </c>
      <c r="B3946" s="940">
        <v>0</v>
      </c>
      <c r="C3946" t="s">
        <v>11367</v>
      </c>
      <c r="D3946" s="940" t="s">
        <v>11368</v>
      </c>
      <c r="E3946" t="s">
        <v>163</v>
      </c>
    </row>
    <row r="3947" spans="1:5" x14ac:dyDescent="0.2">
      <c r="A3947" s="940">
        <v>4181</v>
      </c>
      <c r="B3947" s="940">
        <v>1</v>
      </c>
      <c r="C3947" t="s">
        <v>7877</v>
      </c>
      <c r="D3947" s="940" t="s">
        <v>7878</v>
      </c>
      <c r="E3947" t="s">
        <v>74</v>
      </c>
    </row>
    <row r="3948" spans="1:5" x14ac:dyDescent="0.2">
      <c r="A3948" s="940">
        <v>4294</v>
      </c>
      <c r="B3948" s="940">
        <v>0</v>
      </c>
      <c r="C3948" t="s">
        <v>7879</v>
      </c>
      <c r="D3948" s="940" t="s">
        <v>4426</v>
      </c>
      <c r="E3948" t="s">
        <v>74</v>
      </c>
    </row>
    <row r="3949" spans="1:5" x14ac:dyDescent="0.2">
      <c r="A3949" s="940">
        <v>3545</v>
      </c>
      <c r="B3949" s="940">
        <v>9</v>
      </c>
      <c r="C3949" t="s">
        <v>11369</v>
      </c>
      <c r="D3949" s="940" t="s">
        <v>11370</v>
      </c>
      <c r="E3949" t="s">
        <v>113</v>
      </c>
    </row>
    <row r="3950" spans="1:5" x14ac:dyDescent="0.2">
      <c r="A3950" s="940">
        <v>4294</v>
      </c>
      <c r="B3950" s="940">
        <v>0</v>
      </c>
      <c r="C3950" t="s">
        <v>7882</v>
      </c>
      <c r="D3950" s="940" t="s">
        <v>4599</v>
      </c>
      <c r="E3950" t="s">
        <v>1156</v>
      </c>
    </row>
    <row r="3951" spans="1:5" x14ac:dyDescent="0.2">
      <c r="A3951" s="940">
        <v>3323</v>
      </c>
      <c r="B3951" s="940">
        <v>14</v>
      </c>
      <c r="C3951" t="s">
        <v>7883</v>
      </c>
      <c r="D3951" s="940" t="s">
        <v>4997</v>
      </c>
      <c r="E3951" t="s">
        <v>118</v>
      </c>
    </row>
    <row r="3952" spans="1:5" x14ac:dyDescent="0.2">
      <c r="A3952" s="940">
        <v>2614</v>
      </c>
      <c r="B3952" s="940">
        <v>41</v>
      </c>
      <c r="C3952" t="s">
        <v>11371</v>
      </c>
      <c r="D3952" s="940" t="s">
        <v>4666</v>
      </c>
      <c r="E3952" t="s">
        <v>11293</v>
      </c>
    </row>
    <row r="3953" spans="1:5" x14ac:dyDescent="0.2">
      <c r="A3953" s="940">
        <v>3250</v>
      </c>
      <c r="B3953" s="940">
        <v>16</v>
      </c>
      <c r="C3953" t="s">
        <v>11372</v>
      </c>
      <c r="D3953" s="940" t="s">
        <v>11373</v>
      </c>
      <c r="E3953" t="s">
        <v>1258</v>
      </c>
    </row>
    <row r="3954" spans="1:5" x14ac:dyDescent="0.2">
      <c r="A3954" s="940">
        <v>3446</v>
      </c>
      <c r="B3954" s="940">
        <v>11</v>
      </c>
      <c r="C3954" t="s">
        <v>11374</v>
      </c>
      <c r="D3954" s="940" t="s">
        <v>3004</v>
      </c>
      <c r="E3954" t="s">
        <v>614</v>
      </c>
    </row>
    <row r="3955" spans="1:5" x14ac:dyDescent="0.2">
      <c r="A3955" s="940">
        <v>737</v>
      </c>
      <c r="B3955" s="940">
        <v>388</v>
      </c>
      <c r="C3955" t="s">
        <v>2170</v>
      </c>
      <c r="D3955" s="940" t="s">
        <v>7884</v>
      </c>
      <c r="E3955" t="s">
        <v>83</v>
      </c>
    </row>
    <row r="3956" spans="1:5" x14ac:dyDescent="0.2">
      <c r="A3956" s="940">
        <v>4294</v>
      </c>
      <c r="B3956" s="940">
        <v>0</v>
      </c>
      <c r="C3956" t="s">
        <v>11375</v>
      </c>
      <c r="D3956" s="940" t="s">
        <v>6749</v>
      </c>
      <c r="E3956" t="s">
        <v>1171</v>
      </c>
    </row>
    <row r="3957" spans="1:5" x14ac:dyDescent="0.2">
      <c r="A3957" s="940">
        <v>4181</v>
      </c>
      <c r="B3957" s="940">
        <v>1</v>
      </c>
      <c r="C3957" t="s">
        <v>7885</v>
      </c>
      <c r="D3957" s="940" t="s">
        <v>6473</v>
      </c>
      <c r="E3957" t="s">
        <v>186</v>
      </c>
    </row>
    <row r="3958" spans="1:5" x14ac:dyDescent="0.2">
      <c r="A3958" s="940">
        <v>1696</v>
      </c>
      <c r="B3958" s="940">
        <v>118</v>
      </c>
      <c r="C3958" t="s">
        <v>2171</v>
      </c>
      <c r="D3958" s="940" t="s">
        <v>9191</v>
      </c>
      <c r="E3958" t="s">
        <v>111</v>
      </c>
    </row>
    <row r="3959" spans="1:5" x14ac:dyDescent="0.2">
      <c r="A3959" s="940">
        <v>2270</v>
      </c>
      <c r="B3959" s="940">
        <v>64</v>
      </c>
      <c r="C3959" t="s">
        <v>11376</v>
      </c>
      <c r="D3959" s="940" t="s">
        <v>11377</v>
      </c>
      <c r="E3959" t="s">
        <v>113</v>
      </c>
    </row>
    <row r="3960" spans="1:5" x14ac:dyDescent="0.2">
      <c r="A3960" s="940">
        <v>1621</v>
      </c>
      <c r="B3960" s="940">
        <v>125</v>
      </c>
      <c r="C3960" t="s">
        <v>319</v>
      </c>
      <c r="D3960" s="940" t="s">
        <v>7887</v>
      </c>
      <c r="E3960" t="s">
        <v>105</v>
      </c>
    </row>
    <row r="3961" spans="1:5" x14ac:dyDescent="0.2">
      <c r="A3961" s="940">
        <v>923</v>
      </c>
      <c r="B3961" s="940">
        <v>307</v>
      </c>
      <c r="C3961" t="s">
        <v>11378</v>
      </c>
      <c r="D3961" s="940" t="s">
        <v>6337</v>
      </c>
      <c r="E3961" t="s">
        <v>427</v>
      </c>
    </row>
    <row r="3962" spans="1:5" x14ac:dyDescent="0.2">
      <c r="A3962" s="940">
        <v>509</v>
      </c>
      <c r="B3962" s="940">
        <v>539</v>
      </c>
      <c r="C3962" t="s">
        <v>11379</v>
      </c>
      <c r="D3962" s="940" t="s">
        <v>2995</v>
      </c>
      <c r="E3962" t="s">
        <v>103</v>
      </c>
    </row>
    <row r="3963" spans="1:5" x14ac:dyDescent="0.2">
      <c r="A3963" s="940">
        <v>3655</v>
      </c>
      <c r="B3963" s="940">
        <v>7</v>
      </c>
      <c r="C3963" t="s">
        <v>11380</v>
      </c>
      <c r="D3963" s="940" t="s">
        <v>7386</v>
      </c>
      <c r="E3963" t="s">
        <v>120</v>
      </c>
    </row>
    <row r="3964" spans="1:5" x14ac:dyDescent="0.2">
      <c r="A3964" s="940">
        <v>3545</v>
      </c>
      <c r="B3964" s="940">
        <v>9</v>
      </c>
      <c r="C3964" t="s">
        <v>7896</v>
      </c>
      <c r="D3964" s="940" t="s">
        <v>4091</v>
      </c>
      <c r="E3964" t="s">
        <v>1211</v>
      </c>
    </row>
    <row r="3965" spans="1:5" x14ac:dyDescent="0.2">
      <c r="A3965" s="940">
        <v>3358</v>
      </c>
      <c r="B3965" s="940">
        <v>13</v>
      </c>
      <c r="C3965" t="s">
        <v>7897</v>
      </c>
      <c r="D3965" s="940" t="s">
        <v>7898</v>
      </c>
      <c r="E3965" t="s">
        <v>6864</v>
      </c>
    </row>
    <row r="3966" spans="1:5" x14ac:dyDescent="0.2">
      <c r="A3966" s="940">
        <v>2367</v>
      </c>
      <c r="B3966" s="940">
        <v>57</v>
      </c>
      <c r="C3966" t="s">
        <v>7899</v>
      </c>
      <c r="D3966" s="940" t="s">
        <v>7900</v>
      </c>
      <c r="E3966" t="s">
        <v>105</v>
      </c>
    </row>
    <row r="3967" spans="1:5" x14ac:dyDescent="0.2">
      <c r="A3967" s="940">
        <v>949</v>
      </c>
      <c r="B3967" s="940">
        <v>297</v>
      </c>
      <c r="C3967" t="s">
        <v>7901</v>
      </c>
      <c r="D3967" s="940" t="s">
        <v>7902</v>
      </c>
      <c r="E3967" t="s">
        <v>2735</v>
      </c>
    </row>
    <row r="3968" spans="1:5" x14ac:dyDescent="0.2">
      <c r="A3968" s="940">
        <v>1946</v>
      </c>
      <c r="B3968" s="940">
        <v>91</v>
      </c>
      <c r="C3968" t="s">
        <v>7903</v>
      </c>
      <c r="D3968" s="940" t="s">
        <v>3617</v>
      </c>
      <c r="E3968" t="s">
        <v>165</v>
      </c>
    </row>
    <row r="3969" spans="1:5" x14ac:dyDescent="0.2">
      <c r="A3969" s="940">
        <v>532</v>
      </c>
      <c r="B3969" s="940">
        <v>518</v>
      </c>
      <c r="C3969" t="s">
        <v>7904</v>
      </c>
      <c r="D3969" s="940" t="s">
        <v>7905</v>
      </c>
      <c r="E3969" t="s">
        <v>2525</v>
      </c>
    </row>
    <row r="3970" spans="1:5" x14ac:dyDescent="0.2">
      <c r="A3970" s="940">
        <v>4294</v>
      </c>
      <c r="B3970" s="940">
        <v>0</v>
      </c>
      <c r="C3970" t="s">
        <v>7906</v>
      </c>
      <c r="D3970" s="940" t="s">
        <v>6585</v>
      </c>
      <c r="E3970" t="s">
        <v>72</v>
      </c>
    </row>
    <row r="3971" spans="1:5" x14ac:dyDescent="0.2">
      <c r="A3971" s="940">
        <v>2207</v>
      </c>
      <c r="B3971" s="940">
        <v>69</v>
      </c>
      <c r="C3971" t="s">
        <v>11381</v>
      </c>
      <c r="D3971" s="940" t="s">
        <v>8274</v>
      </c>
      <c r="E3971" t="s">
        <v>11382</v>
      </c>
    </row>
    <row r="3972" spans="1:5" x14ac:dyDescent="0.2">
      <c r="A3972" s="940">
        <v>1133</v>
      </c>
      <c r="B3972" s="940">
        <v>228</v>
      </c>
      <c r="C3972" t="s">
        <v>2177</v>
      </c>
      <c r="D3972" s="940" t="s">
        <v>7907</v>
      </c>
      <c r="E3972" t="s">
        <v>1493</v>
      </c>
    </row>
    <row r="3973" spans="1:5" x14ac:dyDescent="0.2">
      <c r="A3973" s="940">
        <v>2571</v>
      </c>
      <c r="B3973" s="940">
        <v>43</v>
      </c>
      <c r="C3973" t="s">
        <v>11383</v>
      </c>
      <c r="D3973" s="940" t="s">
        <v>6359</v>
      </c>
      <c r="E3973" t="s">
        <v>1332</v>
      </c>
    </row>
    <row r="3974" spans="1:5" x14ac:dyDescent="0.2">
      <c r="A3974" s="940">
        <v>1125</v>
      </c>
      <c r="B3974" s="940">
        <v>232</v>
      </c>
      <c r="C3974" t="s">
        <v>2178</v>
      </c>
      <c r="D3974" s="940" t="s">
        <v>7738</v>
      </c>
      <c r="E3974" t="s">
        <v>1491</v>
      </c>
    </row>
    <row r="3975" spans="1:5" x14ac:dyDescent="0.2">
      <c r="A3975" s="940">
        <v>4294</v>
      </c>
      <c r="B3975" s="940">
        <v>0</v>
      </c>
      <c r="C3975" t="s">
        <v>7914</v>
      </c>
      <c r="D3975" s="940" t="s">
        <v>7915</v>
      </c>
      <c r="E3975" t="s">
        <v>105</v>
      </c>
    </row>
    <row r="3976" spans="1:5" x14ac:dyDescent="0.2">
      <c r="A3976" s="940">
        <v>1641</v>
      </c>
      <c r="B3976" s="940">
        <v>123</v>
      </c>
      <c r="C3976" t="s">
        <v>11384</v>
      </c>
      <c r="D3976" s="940" t="s">
        <v>11385</v>
      </c>
      <c r="E3976" t="s">
        <v>11008</v>
      </c>
    </row>
    <row r="3977" spans="1:5" x14ac:dyDescent="0.2">
      <c r="A3977" s="940">
        <v>4294</v>
      </c>
      <c r="B3977" s="940">
        <v>0</v>
      </c>
      <c r="C3977" t="s">
        <v>11386</v>
      </c>
      <c r="D3977" s="940" t="s">
        <v>5894</v>
      </c>
      <c r="E3977" t="s">
        <v>10004</v>
      </c>
    </row>
    <row r="3978" spans="1:5" x14ac:dyDescent="0.2">
      <c r="A3978" s="940">
        <v>875</v>
      </c>
      <c r="B3978" s="940">
        <v>327</v>
      </c>
      <c r="C3978" t="s">
        <v>11387</v>
      </c>
      <c r="D3978" s="940" t="s">
        <v>11388</v>
      </c>
      <c r="E3978" t="s">
        <v>1156</v>
      </c>
    </row>
    <row r="3979" spans="1:5" x14ac:dyDescent="0.2">
      <c r="A3979" s="940">
        <v>1226</v>
      </c>
      <c r="B3979" s="940">
        <v>200</v>
      </c>
      <c r="C3979" t="s">
        <v>7917</v>
      </c>
      <c r="D3979" s="940" t="s">
        <v>7918</v>
      </c>
      <c r="E3979" t="s">
        <v>2928</v>
      </c>
    </row>
    <row r="3980" spans="1:5" x14ac:dyDescent="0.2">
      <c r="A3980" s="940">
        <v>4294</v>
      </c>
      <c r="B3980" s="940">
        <v>0</v>
      </c>
      <c r="C3980" t="s">
        <v>7919</v>
      </c>
      <c r="D3980" s="940" t="s">
        <v>5317</v>
      </c>
      <c r="E3980" t="s">
        <v>2720</v>
      </c>
    </row>
    <row r="3981" spans="1:5" x14ac:dyDescent="0.2">
      <c r="A3981" s="940">
        <v>575</v>
      </c>
      <c r="B3981" s="940">
        <v>488</v>
      </c>
      <c r="C3981" t="s">
        <v>7923</v>
      </c>
      <c r="D3981" s="940" t="s">
        <v>7924</v>
      </c>
      <c r="E3981" t="s">
        <v>1267</v>
      </c>
    </row>
    <row r="3982" spans="1:5" x14ac:dyDescent="0.2">
      <c r="A3982" s="940">
        <v>1826</v>
      </c>
      <c r="B3982" s="940">
        <v>102</v>
      </c>
      <c r="C3982" t="s">
        <v>7925</v>
      </c>
      <c r="D3982" s="940" t="s">
        <v>7479</v>
      </c>
      <c r="E3982" t="s">
        <v>120</v>
      </c>
    </row>
    <row r="3983" spans="1:5" x14ac:dyDescent="0.2">
      <c r="A3983" s="940">
        <v>3250</v>
      </c>
      <c r="B3983" s="940">
        <v>16</v>
      </c>
      <c r="C3983" t="s">
        <v>7925</v>
      </c>
      <c r="D3983" s="940" t="s">
        <v>3466</v>
      </c>
      <c r="E3983" t="s">
        <v>83</v>
      </c>
    </row>
    <row r="3984" spans="1:5" x14ac:dyDescent="0.2">
      <c r="A3984" s="940">
        <v>65</v>
      </c>
      <c r="B3984" s="940">
        <v>1228</v>
      </c>
      <c r="C3984" t="s">
        <v>7926</v>
      </c>
      <c r="D3984" s="940" t="s">
        <v>7927</v>
      </c>
      <c r="E3984" t="s">
        <v>113</v>
      </c>
    </row>
    <row r="3985" spans="1:5" x14ac:dyDescent="0.2">
      <c r="A3985" s="940">
        <v>2691</v>
      </c>
      <c r="B3985" s="940">
        <v>37</v>
      </c>
      <c r="C3985" t="s">
        <v>11389</v>
      </c>
      <c r="D3985" s="940" t="s">
        <v>6150</v>
      </c>
      <c r="E3985" t="s">
        <v>120</v>
      </c>
    </row>
    <row r="3986" spans="1:5" x14ac:dyDescent="0.2">
      <c r="A3986" s="940">
        <v>2254</v>
      </c>
      <c r="B3986" s="940">
        <v>65</v>
      </c>
      <c r="C3986" t="s">
        <v>11390</v>
      </c>
      <c r="D3986" s="940" t="s">
        <v>5018</v>
      </c>
      <c r="E3986" t="s">
        <v>120</v>
      </c>
    </row>
    <row r="3987" spans="1:5" x14ac:dyDescent="0.2">
      <c r="A3987" s="940">
        <v>1880</v>
      </c>
      <c r="B3987" s="940">
        <v>97</v>
      </c>
      <c r="C3987" t="s">
        <v>2180</v>
      </c>
      <c r="D3987" s="940" t="s">
        <v>7169</v>
      </c>
      <c r="E3987" t="s">
        <v>120</v>
      </c>
    </row>
    <row r="3988" spans="1:5" x14ac:dyDescent="0.2">
      <c r="A3988" s="940">
        <v>3250</v>
      </c>
      <c r="B3988" s="940">
        <v>16</v>
      </c>
      <c r="C3988" t="s">
        <v>2180</v>
      </c>
      <c r="D3988" s="940" t="s">
        <v>8980</v>
      </c>
      <c r="E3988" t="s">
        <v>119</v>
      </c>
    </row>
    <row r="3989" spans="1:5" x14ac:dyDescent="0.2">
      <c r="A3989" s="940">
        <v>3008</v>
      </c>
      <c r="B3989" s="940">
        <v>23</v>
      </c>
      <c r="C3989" t="s">
        <v>11391</v>
      </c>
      <c r="D3989" s="940" t="s">
        <v>11392</v>
      </c>
      <c r="E3989" t="s">
        <v>120</v>
      </c>
    </row>
    <row r="3990" spans="1:5" x14ac:dyDescent="0.2">
      <c r="A3990" s="940">
        <v>1868</v>
      </c>
      <c r="B3990" s="940">
        <v>98</v>
      </c>
      <c r="C3990" t="s">
        <v>861</v>
      </c>
      <c r="D3990" s="940" t="s">
        <v>7501</v>
      </c>
      <c r="E3990" t="s">
        <v>73</v>
      </c>
    </row>
    <row r="3991" spans="1:5" x14ac:dyDescent="0.2">
      <c r="A3991" s="940">
        <v>1063</v>
      </c>
      <c r="B3991" s="940">
        <v>253</v>
      </c>
      <c r="C3991" t="s">
        <v>320</v>
      </c>
      <c r="D3991" s="940" t="s">
        <v>7929</v>
      </c>
      <c r="E3991" t="s">
        <v>321</v>
      </c>
    </row>
    <row r="3992" spans="1:5" x14ac:dyDescent="0.2">
      <c r="A3992" s="940">
        <v>546</v>
      </c>
      <c r="B3992" s="940">
        <v>510</v>
      </c>
      <c r="C3992" t="s">
        <v>7930</v>
      </c>
      <c r="D3992" s="940" t="s">
        <v>7931</v>
      </c>
      <c r="E3992" t="s">
        <v>76</v>
      </c>
    </row>
    <row r="3993" spans="1:5" x14ac:dyDescent="0.2">
      <c r="A3993" s="940">
        <v>2649</v>
      </c>
      <c r="B3993" s="940">
        <v>39</v>
      </c>
      <c r="C3993" t="s">
        <v>7930</v>
      </c>
      <c r="D3993" s="940" t="s">
        <v>11393</v>
      </c>
      <c r="E3993" t="s">
        <v>72</v>
      </c>
    </row>
    <row r="3994" spans="1:5" x14ac:dyDescent="0.2">
      <c r="A3994" s="940">
        <v>3222</v>
      </c>
      <c r="B3994" s="940">
        <v>17</v>
      </c>
      <c r="C3994" t="s">
        <v>7934</v>
      </c>
      <c r="D3994" s="940" t="s">
        <v>10159</v>
      </c>
      <c r="E3994" t="s">
        <v>1741</v>
      </c>
    </row>
    <row r="3995" spans="1:5" x14ac:dyDescent="0.2">
      <c r="A3995" s="940">
        <v>4081</v>
      </c>
      <c r="B3995" s="940">
        <v>2</v>
      </c>
      <c r="C3995" t="s">
        <v>7934</v>
      </c>
      <c r="D3995" s="940" t="s">
        <v>7935</v>
      </c>
      <c r="E3995" t="s">
        <v>1460</v>
      </c>
    </row>
    <row r="3996" spans="1:5" x14ac:dyDescent="0.2">
      <c r="A3996" s="940">
        <v>1152</v>
      </c>
      <c r="B3996" s="940">
        <v>224</v>
      </c>
      <c r="C3996" t="s">
        <v>7936</v>
      </c>
      <c r="D3996" s="940" t="s">
        <v>3940</v>
      </c>
      <c r="E3996" t="s">
        <v>136</v>
      </c>
    </row>
    <row r="3997" spans="1:5" x14ac:dyDescent="0.2">
      <c r="A3997" s="940">
        <v>1285</v>
      </c>
      <c r="B3997" s="940">
        <v>188</v>
      </c>
      <c r="C3997" t="s">
        <v>11394</v>
      </c>
      <c r="D3997" s="940" t="s">
        <v>7931</v>
      </c>
      <c r="E3997" t="s">
        <v>119</v>
      </c>
    </row>
    <row r="3998" spans="1:5" x14ac:dyDescent="0.2">
      <c r="A3998" s="940">
        <v>236</v>
      </c>
      <c r="B3998" s="940">
        <v>856</v>
      </c>
      <c r="C3998" t="s">
        <v>7937</v>
      </c>
      <c r="D3998" s="940" t="s">
        <v>7938</v>
      </c>
      <c r="E3998" t="s">
        <v>83</v>
      </c>
    </row>
    <row r="3999" spans="1:5" x14ac:dyDescent="0.2">
      <c r="A3999" s="940">
        <v>241</v>
      </c>
      <c r="B3999" s="940">
        <v>849</v>
      </c>
      <c r="C3999" t="s">
        <v>322</v>
      </c>
      <c r="D3999" s="940" t="s">
        <v>7939</v>
      </c>
      <c r="E3999" t="s">
        <v>163</v>
      </c>
    </row>
    <row r="4000" spans="1:5" x14ac:dyDescent="0.2">
      <c r="A4000" s="940">
        <v>99</v>
      </c>
      <c r="B4000" s="940">
        <v>1133</v>
      </c>
      <c r="C4000" t="s">
        <v>7944</v>
      </c>
      <c r="D4000" s="940" t="s">
        <v>7945</v>
      </c>
      <c r="E4000" t="s">
        <v>83</v>
      </c>
    </row>
    <row r="4001" spans="1:5" x14ac:dyDescent="0.2">
      <c r="A4001" s="940">
        <v>1495</v>
      </c>
      <c r="B4001" s="940">
        <v>145</v>
      </c>
      <c r="C4001" t="s">
        <v>11395</v>
      </c>
      <c r="D4001" s="940" t="s">
        <v>8806</v>
      </c>
      <c r="E4001" t="s">
        <v>105</v>
      </c>
    </row>
    <row r="4002" spans="1:5" x14ac:dyDescent="0.2">
      <c r="A4002" s="940">
        <v>965</v>
      </c>
      <c r="B4002" s="940">
        <v>291</v>
      </c>
      <c r="C4002" t="s">
        <v>7946</v>
      </c>
      <c r="D4002" s="940" t="s">
        <v>5861</v>
      </c>
      <c r="E4002" t="s">
        <v>1435</v>
      </c>
    </row>
    <row r="4003" spans="1:5" x14ac:dyDescent="0.2">
      <c r="A4003" s="940">
        <v>3174</v>
      </c>
      <c r="B4003" s="940">
        <v>18</v>
      </c>
      <c r="C4003" t="s">
        <v>7947</v>
      </c>
      <c r="D4003" s="940" t="s">
        <v>4925</v>
      </c>
      <c r="E4003" t="s">
        <v>117</v>
      </c>
    </row>
    <row r="4004" spans="1:5" x14ac:dyDescent="0.2">
      <c r="A4004" s="940">
        <v>1790</v>
      </c>
      <c r="B4004" s="940">
        <v>106</v>
      </c>
      <c r="C4004" t="s">
        <v>11396</v>
      </c>
      <c r="D4004" s="940" t="s">
        <v>9834</v>
      </c>
      <c r="E4004" t="s">
        <v>9835</v>
      </c>
    </row>
    <row r="4005" spans="1:5" x14ac:dyDescent="0.2">
      <c r="A4005" s="940">
        <v>2339</v>
      </c>
      <c r="B4005" s="940">
        <v>59</v>
      </c>
      <c r="C4005" t="s">
        <v>11397</v>
      </c>
      <c r="D4005" s="940" t="s">
        <v>11398</v>
      </c>
      <c r="E4005" t="s">
        <v>11399</v>
      </c>
    </row>
    <row r="4006" spans="1:5" x14ac:dyDescent="0.2">
      <c r="A4006" s="940">
        <v>3250</v>
      </c>
      <c r="B4006" s="940">
        <v>16</v>
      </c>
      <c r="C4006" t="s">
        <v>7948</v>
      </c>
      <c r="D4006" s="940" t="s">
        <v>7949</v>
      </c>
      <c r="E4006" t="s">
        <v>1211</v>
      </c>
    </row>
    <row r="4007" spans="1:5" x14ac:dyDescent="0.2">
      <c r="A4007" s="940">
        <v>3136</v>
      </c>
      <c r="B4007" s="940">
        <v>19</v>
      </c>
      <c r="C4007" t="s">
        <v>7952</v>
      </c>
      <c r="D4007" s="940" t="s">
        <v>7953</v>
      </c>
      <c r="E4007" t="s">
        <v>4470</v>
      </c>
    </row>
    <row r="4008" spans="1:5" x14ac:dyDescent="0.2">
      <c r="A4008" s="940">
        <v>2339</v>
      </c>
      <c r="B4008" s="940">
        <v>59</v>
      </c>
      <c r="C4008" t="s">
        <v>11400</v>
      </c>
      <c r="D4008" s="940" t="s">
        <v>2669</v>
      </c>
      <c r="E4008" t="s">
        <v>1182</v>
      </c>
    </row>
    <row r="4009" spans="1:5" x14ac:dyDescent="0.2">
      <c r="A4009" s="940">
        <v>4294</v>
      </c>
      <c r="B4009" s="940">
        <v>0</v>
      </c>
      <c r="C4009" t="s">
        <v>7954</v>
      </c>
      <c r="D4009" s="940" t="s">
        <v>3484</v>
      </c>
      <c r="E4009" t="s">
        <v>186</v>
      </c>
    </row>
    <row r="4010" spans="1:5" x14ac:dyDescent="0.2">
      <c r="A4010" s="940">
        <v>3402</v>
      </c>
      <c r="B4010" s="940">
        <v>12</v>
      </c>
      <c r="C4010" t="s">
        <v>7955</v>
      </c>
      <c r="D4010" s="940" t="s">
        <v>4007</v>
      </c>
      <c r="E4010" t="s">
        <v>1214</v>
      </c>
    </row>
    <row r="4011" spans="1:5" x14ac:dyDescent="0.2">
      <c r="A4011" s="940">
        <v>2794</v>
      </c>
      <c r="B4011" s="940">
        <v>33</v>
      </c>
      <c r="C4011" t="s">
        <v>11401</v>
      </c>
      <c r="D4011" s="940" t="s">
        <v>2632</v>
      </c>
      <c r="E4011" t="s">
        <v>11402</v>
      </c>
    </row>
    <row r="4012" spans="1:5" x14ac:dyDescent="0.2">
      <c r="A4012" s="940">
        <v>3323</v>
      </c>
      <c r="B4012" s="940">
        <v>14</v>
      </c>
      <c r="C4012" t="s">
        <v>11403</v>
      </c>
      <c r="D4012" s="940" t="s">
        <v>6359</v>
      </c>
      <c r="E4012" t="s">
        <v>2054</v>
      </c>
    </row>
    <row r="4013" spans="1:5" x14ac:dyDescent="0.2">
      <c r="A4013" s="940">
        <v>1334</v>
      </c>
      <c r="B4013" s="940">
        <v>174</v>
      </c>
      <c r="C4013" t="s">
        <v>323</v>
      </c>
      <c r="D4013" s="940" t="s">
        <v>6560</v>
      </c>
      <c r="E4013" t="s">
        <v>105</v>
      </c>
    </row>
    <row r="4014" spans="1:5" x14ac:dyDescent="0.2">
      <c r="A4014" s="940">
        <v>3358</v>
      </c>
      <c r="B4014" s="940">
        <v>13</v>
      </c>
      <c r="C4014" t="s">
        <v>323</v>
      </c>
      <c r="D4014" s="940" t="s">
        <v>7956</v>
      </c>
      <c r="E4014" t="s">
        <v>1171</v>
      </c>
    </row>
    <row r="4015" spans="1:5" x14ac:dyDescent="0.2">
      <c r="A4015" s="940">
        <v>640</v>
      </c>
      <c r="B4015" s="940">
        <v>438</v>
      </c>
      <c r="C4015" t="s">
        <v>11404</v>
      </c>
      <c r="D4015" s="940" t="s">
        <v>11405</v>
      </c>
      <c r="E4015" t="s">
        <v>120</v>
      </c>
    </row>
    <row r="4016" spans="1:5" x14ac:dyDescent="0.2">
      <c r="A4016" s="940">
        <v>1342</v>
      </c>
      <c r="B4016" s="940">
        <v>173</v>
      </c>
      <c r="C4016" t="s">
        <v>7959</v>
      </c>
      <c r="D4016" s="940" t="s">
        <v>7960</v>
      </c>
      <c r="E4016" t="s">
        <v>7961</v>
      </c>
    </row>
    <row r="4017" spans="1:5" x14ac:dyDescent="0.2">
      <c r="A4017" s="940">
        <v>4294</v>
      </c>
      <c r="B4017" s="940">
        <v>0</v>
      </c>
      <c r="C4017" t="s">
        <v>7962</v>
      </c>
      <c r="D4017" s="940" t="s">
        <v>7963</v>
      </c>
      <c r="E4017" t="s">
        <v>99</v>
      </c>
    </row>
    <row r="4018" spans="1:5" x14ac:dyDescent="0.2">
      <c r="A4018" s="940">
        <v>4294</v>
      </c>
      <c r="B4018" s="940">
        <v>0</v>
      </c>
      <c r="C4018" t="s">
        <v>7964</v>
      </c>
      <c r="D4018" s="940" t="s">
        <v>7965</v>
      </c>
      <c r="E4018" t="s">
        <v>1236</v>
      </c>
    </row>
    <row r="4019" spans="1:5" x14ac:dyDescent="0.2">
      <c r="A4019" s="940">
        <v>1050</v>
      </c>
      <c r="B4019" s="940">
        <v>258</v>
      </c>
      <c r="C4019" t="s">
        <v>7966</v>
      </c>
      <c r="D4019" s="940" t="s">
        <v>5581</v>
      </c>
      <c r="E4019" t="s">
        <v>140</v>
      </c>
    </row>
    <row r="4020" spans="1:5" x14ac:dyDescent="0.2">
      <c r="A4020" s="940">
        <v>2242</v>
      </c>
      <c r="B4020" s="940">
        <v>66</v>
      </c>
      <c r="C4020" t="s">
        <v>7967</v>
      </c>
      <c r="D4020" s="940" t="s">
        <v>7968</v>
      </c>
      <c r="E4020" t="s">
        <v>1493</v>
      </c>
    </row>
    <row r="4021" spans="1:5" x14ac:dyDescent="0.2">
      <c r="A4021" s="940">
        <v>4294</v>
      </c>
      <c r="B4021" s="940">
        <v>0</v>
      </c>
      <c r="C4021" t="s">
        <v>7969</v>
      </c>
      <c r="D4021" s="940" t="s">
        <v>7970</v>
      </c>
      <c r="E4021" t="s">
        <v>165</v>
      </c>
    </row>
    <row r="4022" spans="1:5" x14ac:dyDescent="0.2">
      <c r="A4022" s="940">
        <v>4294</v>
      </c>
      <c r="B4022" s="940">
        <v>0</v>
      </c>
      <c r="C4022" t="s">
        <v>7971</v>
      </c>
      <c r="D4022" s="940" t="s">
        <v>5554</v>
      </c>
      <c r="E4022" t="s">
        <v>165</v>
      </c>
    </row>
    <row r="4023" spans="1:5" x14ac:dyDescent="0.2">
      <c r="A4023" s="940">
        <v>2138</v>
      </c>
      <c r="B4023" s="940">
        <v>74</v>
      </c>
      <c r="C4023" t="s">
        <v>11406</v>
      </c>
      <c r="D4023" s="940" t="s">
        <v>7887</v>
      </c>
      <c r="E4023" t="s">
        <v>120</v>
      </c>
    </row>
    <row r="4024" spans="1:5" x14ac:dyDescent="0.2">
      <c r="A4024" s="940">
        <v>634</v>
      </c>
      <c r="B4024" s="940">
        <v>442</v>
      </c>
      <c r="C4024" t="s">
        <v>11407</v>
      </c>
      <c r="D4024" s="940" t="s">
        <v>11408</v>
      </c>
      <c r="E4024" t="s">
        <v>83</v>
      </c>
    </row>
    <row r="4025" spans="1:5" x14ac:dyDescent="0.2">
      <c r="A4025" s="940">
        <v>3008</v>
      </c>
      <c r="B4025" s="940">
        <v>23</v>
      </c>
      <c r="C4025" t="s">
        <v>7972</v>
      </c>
      <c r="D4025" s="940" t="s">
        <v>7973</v>
      </c>
      <c r="E4025" t="s">
        <v>129</v>
      </c>
    </row>
    <row r="4026" spans="1:5" x14ac:dyDescent="0.2">
      <c r="A4026" s="940">
        <v>3796</v>
      </c>
      <c r="B4026" s="940">
        <v>5</v>
      </c>
      <c r="C4026" t="s">
        <v>7974</v>
      </c>
      <c r="D4026" s="940" t="s">
        <v>2886</v>
      </c>
      <c r="E4026" t="s">
        <v>170</v>
      </c>
    </row>
    <row r="4027" spans="1:5" x14ac:dyDescent="0.2">
      <c r="A4027" s="940">
        <v>3796</v>
      </c>
      <c r="B4027" s="940">
        <v>5</v>
      </c>
      <c r="C4027" t="s">
        <v>7975</v>
      </c>
      <c r="D4027" s="940" t="s">
        <v>7976</v>
      </c>
      <c r="E4027" t="s">
        <v>115</v>
      </c>
    </row>
    <row r="4028" spans="1:5" x14ac:dyDescent="0.2">
      <c r="A4028" s="940">
        <v>3882</v>
      </c>
      <c r="B4028" s="940">
        <v>4</v>
      </c>
      <c r="C4028" t="s">
        <v>11409</v>
      </c>
      <c r="D4028" s="940" t="s">
        <v>9933</v>
      </c>
      <c r="E4028" t="s">
        <v>109</v>
      </c>
    </row>
    <row r="4029" spans="1:5" x14ac:dyDescent="0.2">
      <c r="A4029" s="940">
        <v>3402</v>
      </c>
      <c r="B4029" s="940">
        <v>12</v>
      </c>
      <c r="C4029" t="s">
        <v>11410</v>
      </c>
      <c r="D4029" s="940" t="s">
        <v>4453</v>
      </c>
      <c r="E4029" t="s">
        <v>74</v>
      </c>
    </row>
    <row r="4030" spans="1:5" x14ac:dyDescent="0.2">
      <c r="A4030" s="940">
        <v>3545</v>
      </c>
      <c r="B4030" s="940">
        <v>9</v>
      </c>
      <c r="C4030" t="s">
        <v>7977</v>
      </c>
      <c r="D4030" s="940" t="s">
        <v>7978</v>
      </c>
      <c r="E4030" t="s">
        <v>99</v>
      </c>
    </row>
    <row r="4031" spans="1:5" x14ac:dyDescent="0.2">
      <c r="A4031" s="940">
        <v>1279</v>
      </c>
      <c r="B4031" s="940">
        <v>189</v>
      </c>
      <c r="C4031" t="s">
        <v>11411</v>
      </c>
      <c r="D4031" s="940" t="s">
        <v>11412</v>
      </c>
      <c r="E4031" t="s">
        <v>105</v>
      </c>
    </row>
    <row r="4032" spans="1:5" x14ac:dyDescent="0.2">
      <c r="A4032" s="940">
        <v>591</v>
      </c>
      <c r="B4032" s="940">
        <v>478</v>
      </c>
      <c r="C4032" t="s">
        <v>7979</v>
      </c>
      <c r="D4032" s="940" t="s">
        <v>7980</v>
      </c>
      <c r="E4032" t="s">
        <v>165</v>
      </c>
    </row>
    <row r="4033" spans="1:5" x14ac:dyDescent="0.2">
      <c r="A4033" s="940">
        <v>421</v>
      </c>
      <c r="B4033" s="940">
        <v>624</v>
      </c>
      <c r="C4033" t="s">
        <v>7981</v>
      </c>
      <c r="D4033" s="940" t="s">
        <v>7982</v>
      </c>
      <c r="E4033" t="s">
        <v>121</v>
      </c>
    </row>
    <row r="4034" spans="1:5" x14ac:dyDescent="0.2">
      <c r="A4034" s="940">
        <v>363</v>
      </c>
      <c r="B4034" s="940">
        <v>678</v>
      </c>
      <c r="C4034" t="s">
        <v>7983</v>
      </c>
      <c r="D4034" s="940" t="s">
        <v>7984</v>
      </c>
      <c r="E4034" t="s">
        <v>105</v>
      </c>
    </row>
    <row r="4035" spans="1:5" x14ac:dyDescent="0.2">
      <c r="A4035" s="940">
        <v>2630</v>
      </c>
      <c r="B4035" s="940">
        <v>40</v>
      </c>
      <c r="C4035" t="s">
        <v>11413</v>
      </c>
      <c r="D4035" s="940" t="s">
        <v>9991</v>
      </c>
      <c r="E4035" t="s">
        <v>136</v>
      </c>
    </row>
    <row r="4036" spans="1:5" x14ac:dyDescent="0.2">
      <c r="A4036" s="940">
        <v>3290</v>
      </c>
      <c r="B4036" s="940">
        <v>15</v>
      </c>
      <c r="C4036" t="s">
        <v>7986</v>
      </c>
      <c r="D4036" s="940" t="s">
        <v>7098</v>
      </c>
      <c r="E4036" t="s">
        <v>469</v>
      </c>
    </row>
    <row r="4037" spans="1:5" x14ac:dyDescent="0.2">
      <c r="A4037" s="940">
        <v>4294</v>
      </c>
      <c r="B4037" s="940">
        <v>0</v>
      </c>
      <c r="C4037" t="s">
        <v>7987</v>
      </c>
      <c r="D4037" s="940" t="s">
        <v>4558</v>
      </c>
      <c r="E4037" t="s">
        <v>1460</v>
      </c>
    </row>
    <row r="4038" spans="1:5" x14ac:dyDescent="0.2">
      <c r="A4038" s="940">
        <v>102</v>
      </c>
      <c r="B4038" s="940">
        <v>1121</v>
      </c>
      <c r="C4038" t="s">
        <v>2186</v>
      </c>
      <c r="D4038" s="940" t="s">
        <v>7988</v>
      </c>
      <c r="E4038" t="s">
        <v>120</v>
      </c>
    </row>
    <row r="4039" spans="1:5" x14ac:dyDescent="0.2">
      <c r="A4039" s="940">
        <v>3174</v>
      </c>
      <c r="B4039" s="940">
        <v>18</v>
      </c>
      <c r="C4039" t="s">
        <v>11414</v>
      </c>
      <c r="D4039" s="940" t="s">
        <v>9475</v>
      </c>
      <c r="E4039" t="s">
        <v>3218</v>
      </c>
    </row>
    <row r="4040" spans="1:5" x14ac:dyDescent="0.2">
      <c r="A4040" s="940">
        <v>1720</v>
      </c>
      <c r="B4040" s="940">
        <v>115</v>
      </c>
      <c r="C4040" t="s">
        <v>7990</v>
      </c>
      <c r="D4040" s="940" t="s">
        <v>7991</v>
      </c>
      <c r="E4040" t="s">
        <v>112</v>
      </c>
    </row>
    <row r="4041" spans="1:5" x14ac:dyDescent="0.2">
      <c r="A4041" s="940">
        <v>1366</v>
      </c>
      <c r="B4041" s="940">
        <v>169</v>
      </c>
      <c r="C4041" t="s">
        <v>2576</v>
      </c>
      <c r="D4041" s="940" t="s">
        <v>3974</v>
      </c>
      <c r="E4041" t="s">
        <v>2558</v>
      </c>
    </row>
    <row r="4042" spans="1:5" x14ac:dyDescent="0.2">
      <c r="A4042" s="940">
        <v>4181</v>
      </c>
      <c r="B4042" s="940">
        <v>1</v>
      </c>
      <c r="C4042" t="s">
        <v>7992</v>
      </c>
      <c r="D4042" s="940" t="s">
        <v>7993</v>
      </c>
      <c r="E4042" t="s">
        <v>111</v>
      </c>
    </row>
    <row r="4043" spans="1:5" x14ac:dyDescent="0.2">
      <c r="A4043" s="940">
        <v>3796</v>
      </c>
      <c r="B4043" s="940">
        <v>5</v>
      </c>
      <c r="C4043" t="s">
        <v>7994</v>
      </c>
      <c r="D4043" s="940" t="s">
        <v>7995</v>
      </c>
      <c r="E4043" t="s">
        <v>99</v>
      </c>
    </row>
    <row r="4044" spans="1:5" x14ac:dyDescent="0.2">
      <c r="A4044" s="940">
        <v>2894</v>
      </c>
      <c r="B4044" s="940">
        <v>28</v>
      </c>
      <c r="C4044" t="s">
        <v>11415</v>
      </c>
      <c r="D4044" s="940" t="s">
        <v>11416</v>
      </c>
      <c r="E4044" t="s">
        <v>83</v>
      </c>
    </row>
    <row r="4045" spans="1:5" x14ac:dyDescent="0.2">
      <c r="A4045" s="940">
        <v>3655</v>
      </c>
      <c r="B4045" s="940">
        <v>7</v>
      </c>
      <c r="C4045" t="s">
        <v>2187</v>
      </c>
      <c r="D4045" s="940" t="s">
        <v>11417</v>
      </c>
      <c r="E4045" t="s">
        <v>105</v>
      </c>
    </row>
    <row r="4046" spans="1:5" x14ac:dyDescent="0.2">
      <c r="A4046" s="940">
        <v>2254</v>
      </c>
      <c r="B4046" s="940">
        <v>65</v>
      </c>
      <c r="C4046" t="s">
        <v>7996</v>
      </c>
      <c r="D4046" s="940" t="s">
        <v>4647</v>
      </c>
      <c r="E4046" t="s">
        <v>83</v>
      </c>
    </row>
    <row r="4047" spans="1:5" x14ac:dyDescent="0.2">
      <c r="A4047" s="940">
        <v>2938</v>
      </c>
      <c r="B4047" s="940">
        <v>26</v>
      </c>
      <c r="C4047" t="s">
        <v>7997</v>
      </c>
      <c r="D4047" s="940" t="s">
        <v>4039</v>
      </c>
      <c r="E4047" t="s">
        <v>1286</v>
      </c>
    </row>
    <row r="4048" spans="1:5" x14ac:dyDescent="0.2">
      <c r="A4048" s="940">
        <v>4081</v>
      </c>
      <c r="B4048" s="940">
        <v>2</v>
      </c>
      <c r="C4048" t="s">
        <v>7997</v>
      </c>
      <c r="D4048" s="940" t="s">
        <v>7595</v>
      </c>
      <c r="E4048" t="s">
        <v>1460</v>
      </c>
    </row>
    <row r="4049" spans="1:5" x14ac:dyDescent="0.2">
      <c r="A4049" s="940">
        <v>3008</v>
      </c>
      <c r="B4049" s="940">
        <v>23</v>
      </c>
      <c r="C4049" t="s">
        <v>8000</v>
      </c>
      <c r="D4049" s="940" t="s">
        <v>3882</v>
      </c>
      <c r="E4049" t="s">
        <v>1341</v>
      </c>
    </row>
    <row r="4050" spans="1:5" x14ac:dyDescent="0.2">
      <c r="A4050" s="940">
        <v>2367</v>
      </c>
      <c r="B4050" s="940">
        <v>57</v>
      </c>
      <c r="C4050" t="s">
        <v>8001</v>
      </c>
      <c r="D4050" s="940" t="s">
        <v>8002</v>
      </c>
      <c r="E4050" t="s">
        <v>105</v>
      </c>
    </row>
    <row r="4051" spans="1:5" x14ac:dyDescent="0.2">
      <c r="A4051" s="940">
        <v>3972</v>
      </c>
      <c r="B4051" s="940">
        <v>3</v>
      </c>
      <c r="C4051" t="s">
        <v>8003</v>
      </c>
      <c r="D4051" s="940" t="s">
        <v>8004</v>
      </c>
      <c r="E4051" t="s">
        <v>74</v>
      </c>
    </row>
    <row r="4052" spans="1:5" x14ac:dyDescent="0.2">
      <c r="A4052" s="940">
        <v>2938</v>
      </c>
      <c r="B4052" s="940">
        <v>26</v>
      </c>
      <c r="C4052" t="s">
        <v>8005</v>
      </c>
      <c r="D4052" s="940" t="s">
        <v>8006</v>
      </c>
      <c r="E4052" t="s">
        <v>120</v>
      </c>
    </row>
    <row r="4053" spans="1:5" x14ac:dyDescent="0.2">
      <c r="A4053" s="940">
        <v>3655</v>
      </c>
      <c r="B4053" s="940">
        <v>7</v>
      </c>
      <c r="C4053" t="s">
        <v>8007</v>
      </c>
      <c r="D4053" s="940" t="s">
        <v>8008</v>
      </c>
      <c r="E4053" t="s">
        <v>163</v>
      </c>
    </row>
    <row r="4054" spans="1:5" x14ac:dyDescent="0.2">
      <c r="A4054" s="940">
        <v>3972</v>
      </c>
      <c r="B4054" s="940">
        <v>3</v>
      </c>
      <c r="C4054" t="s">
        <v>8009</v>
      </c>
      <c r="D4054" s="940" t="s">
        <v>6526</v>
      </c>
      <c r="E4054" t="s">
        <v>163</v>
      </c>
    </row>
    <row r="4055" spans="1:5" x14ac:dyDescent="0.2">
      <c r="A4055" s="940">
        <v>1676</v>
      </c>
      <c r="B4055" s="940">
        <v>120</v>
      </c>
      <c r="C4055" t="s">
        <v>11418</v>
      </c>
      <c r="D4055" s="940" t="s">
        <v>5607</v>
      </c>
      <c r="E4055" t="s">
        <v>132</v>
      </c>
    </row>
    <row r="4056" spans="1:5" x14ac:dyDescent="0.2">
      <c r="A4056" s="940">
        <v>4294</v>
      </c>
      <c r="B4056" s="940">
        <v>0</v>
      </c>
      <c r="C4056" t="s">
        <v>8010</v>
      </c>
      <c r="D4056" s="940" t="s">
        <v>8011</v>
      </c>
      <c r="E4056" t="s">
        <v>111</v>
      </c>
    </row>
    <row r="4057" spans="1:5" x14ac:dyDescent="0.2">
      <c r="A4057" s="940">
        <v>2218</v>
      </c>
      <c r="B4057" s="940">
        <v>68</v>
      </c>
      <c r="C4057" t="s">
        <v>8012</v>
      </c>
      <c r="D4057" s="940" t="s">
        <v>8013</v>
      </c>
      <c r="E4057" t="s">
        <v>171</v>
      </c>
    </row>
    <row r="4058" spans="1:5" x14ac:dyDescent="0.2">
      <c r="A4058" s="940">
        <v>3483</v>
      </c>
      <c r="B4058" s="940">
        <v>10</v>
      </c>
      <c r="C4058" t="s">
        <v>8014</v>
      </c>
      <c r="D4058" s="940" t="s">
        <v>3170</v>
      </c>
      <c r="E4058" t="s">
        <v>105</v>
      </c>
    </row>
    <row r="4059" spans="1:5" x14ac:dyDescent="0.2">
      <c r="A4059" s="940">
        <v>4294</v>
      </c>
      <c r="B4059" s="940">
        <v>0</v>
      </c>
      <c r="C4059" t="s">
        <v>11419</v>
      </c>
      <c r="D4059" s="940" t="s">
        <v>10143</v>
      </c>
      <c r="E4059" t="s">
        <v>164</v>
      </c>
    </row>
    <row r="4060" spans="1:5" x14ac:dyDescent="0.2">
      <c r="A4060" s="940">
        <v>4294</v>
      </c>
      <c r="B4060" s="940">
        <v>0</v>
      </c>
      <c r="C4060" t="s">
        <v>11420</v>
      </c>
      <c r="D4060" s="940" t="s">
        <v>5615</v>
      </c>
      <c r="E4060" t="s">
        <v>105</v>
      </c>
    </row>
    <row r="4061" spans="1:5" x14ac:dyDescent="0.2">
      <c r="A4061" s="940">
        <v>2860</v>
      </c>
      <c r="B4061" s="940">
        <v>30</v>
      </c>
      <c r="C4061" t="s">
        <v>11421</v>
      </c>
      <c r="D4061" s="940" t="s">
        <v>8166</v>
      </c>
      <c r="E4061" t="s">
        <v>83</v>
      </c>
    </row>
    <row r="4062" spans="1:5" x14ac:dyDescent="0.2">
      <c r="A4062" s="940">
        <v>1714</v>
      </c>
      <c r="B4062" s="940">
        <v>116</v>
      </c>
      <c r="C4062" t="s">
        <v>329</v>
      </c>
      <c r="D4062" s="940" t="s">
        <v>8017</v>
      </c>
      <c r="E4062" t="s">
        <v>1332</v>
      </c>
    </row>
    <row r="4063" spans="1:5" x14ac:dyDescent="0.2">
      <c r="A4063" s="940">
        <v>598</v>
      </c>
      <c r="B4063" s="940">
        <v>473</v>
      </c>
      <c r="C4063" t="s">
        <v>8018</v>
      </c>
      <c r="D4063" s="940" t="s">
        <v>8019</v>
      </c>
      <c r="E4063" t="s">
        <v>1248</v>
      </c>
    </row>
    <row r="4064" spans="1:5" x14ac:dyDescent="0.2">
      <c r="A4064" s="940">
        <v>805</v>
      </c>
      <c r="B4064" s="940">
        <v>356</v>
      </c>
      <c r="C4064" t="s">
        <v>2193</v>
      </c>
      <c r="D4064" s="940" t="s">
        <v>8020</v>
      </c>
      <c r="E4064" t="s">
        <v>1267</v>
      </c>
    </row>
    <row r="4065" spans="1:5" x14ac:dyDescent="0.2">
      <c r="A4065" s="940">
        <v>426</v>
      </c>
      <c r="B4065" s="940">
        <v>617</v>
      </c>
      <c r="C4065" t="s">
        <v>8021</v>
      </c>
      <c r="D4065" s="940" t="s">
        <v>2862</v>
      </c>
      <c r="E4065" t="s">
        <v>130</v>
      </c>
    </row>
    <row r="4066" spans="1:5" x14ac:dyDescent="0.2">
      <c r="A4066" s="940">
        <v>4294</v>
      </c>
      <c r="B4066" s="940">
        <v>0</v>
      </c>
      <c r="C4066" t="s">
        <v>8024</v>
      </c>
      <c r="D4066" s="940" t="s">
        <v>4440</v>
      </c>
      <c r="E4066" t="s">
        <v>4572</v>
      </c>
    </row>
    <row r="4067" spans="1:5" x14ac:dyDescent="0.2">
      <c r="A4067" s="940">
        <v>2552</v>
      </c>
      <c r="B4067" s="940">
        <v>44</v>
      </c>
      <c r="C4067" t="s">
        <v>8025</v>
      </c>
      <c r="D4067" s="940" t="s">
        <v>8026</v>
      </c>
      <c r="E4067" t="s">
        <v>105</v>
      </c>
    </row>
    <row r="4068" spans="1:5" x14ac:dyDescent="0.2">
      <c r="A4068" s="940">
        <v>2056</v>
      </c>
      <c r="B4068" s="940">
        <v>81</v>
      </c>
      <c r="C4068" t="s">
        <v>8027</v>
      </c>
      <c r="D4068" s="940" t="s">
        <v>8028</v>
      </c>
      <c r="E4068" t="s">
        <v>1171</v>
      </c>
    </row>
    <row r="4069" spans="1:5" x14ac:dyDescent="0.2">
      <c r="A4069" s="940">
        <v>414</v>
      </c>
      <c r="B4069" s="940">
        <v>628</v>
      </c>
      <c r="C4069" t="s">
        <v>8029</v>
      </c>
      <c r="D4069" s="940" t="s">
        <v>2664</v>
      </c>
      <c r="E4069" t="s">
        <v>99</v>
      </c>
    </row>
    <row r="4070" spans="1:5" x14ac:dyDescent="0.2">
      <c r="A4070" s="940">
        <v>4081</v>
      </c>
      <c r="B4070" s="940">
        <v>2</v>
      </c>
      <c r="C4070" t="s">
        <v>8030</v>
      </c>
      <c r="D4070" s="940" t="s">
        <v>4877</v>
      </c>
      <c r="E4070" t="s">
        <v>2561</v>
      </c>
    </row>
    <row r="4071" spans="1:5" x14ac:dyDescent="0.2">
      <c r="A4071" s="940">
        <v>147</v>
      </c>
      <c r="B4071" s="940">
        <v>1007</v>
      </c>
      <c r="C4071" t="s">
        <v>8031</v>
      </c>
      <c r="D4071" s="940" t="s">
        <v>8032</v>
      </c>
      <c r="E4071" t="s">
        <v>120</v>
      </c>
    </row>
    <row r="4072" spans="1:5" x14ac:dyDescent="0.2">
      <c r="A4072" s="940">
        <v>292</v>
      </c>
      <c r="B4072" s="940">
        <v>781</v>
      </c>
      <c r="C4072" t="s">
        <v>11422</v>
      </c>
      <c r="D4072" s="940" t="s">
        <v>11423</v>
      </c>
      <c r="E4072" t="s">
        <v>136</v>
      </c>
    </row>
    <row r="4073" spans="1:5" x14ac:dyDescent="0.2">
      <c r="A4073" s="940">
        <v>3250</v>
      </c>
      <c r="B4073" s="940">
        <v>16</v>
      </c>
      <c r="C4073" t="s">
        <v>8033</v>
      </c>
      <c r="D4073" s="940" t="s">
        <v>8034</v>
      </c>
      <c r="E4073" t="s">
        <v>1170</v>
      </c>
    </row>
    <row r="4074" spans="1:5" x14ac:dyDescent="0.2">
      <c r="A4074" s="940">
        <v>4294</v>
      </c>
      <c r="B4074" s="940">
        <v>0</v>
      </c>
      <c r="C4074" t="s">
        <v>11424</v>
      </c>
      <c r="D4074" s="940" t="s">
        <v>11425</v>
      </c>
      <c r="E4074" t="s">
        <v>120</v>
      </c>
    </row>
    <row r="4075" spans="1:5" x14ac:dyDescent="0.2">
      <c r="A4075" s="940">
        <v>1964</v>
      </c>
      <c r="B4075" s="940">
        <v>89</v>
      </c>
      <c r="C4075" t="s">
        <v>330</v>
      </c>
      <c r="D4075" s="940" t="s">
        <v>4195</v>
      </c>
      <c r="E4075" t="s">
        <v>117</v>
      </c>
    </row>
    <row r="4076" spans="1:5" x14ac:dyDescent="0.2">
      <c r="A4076" s="940">
        <v>3483</v>
      </c>
      <c r="B4076" s="940">
        <v>10</v>
      </c>
      <c r="C4076" t="s">
        <v>11426</v>
      </c>
      <c r="D4076" s="940" t="s">
        <v>11427</v>
      </c>
      <c r="E4076" t="s">
        <v>1584</v>
      </c>
    </row>
    <row r="4077" spans="1:5" x14ac:dyDescent="0.2">
      <c r="A4077" s="940">
        <v>717</v>
      </c>
      <c r="B4077" s="940">
        <v>396</v>
      </c>
      <c r="C4077" t="s">
        <v>742</v>
      </c>
      <c r="D4077" s="940" t="s">
        <v>5617</v>
      </c>
      <c r="E4077" t="s">
        <v>99</v>
      </c>
    </row>
    <row r="4078" spans="1:5" x14ac:dyDescent="0.2">
      <c r="A4078" s="940">
        <v>2138</v>
      </c>
      <c r="B4078" s="940">
        <v>74</v>
      </c>
      <c r="C4078" t="s">
        <v>8035</v>
      </c>
      <c r="D4078" s="940" t="s">
        <v>3667</v>
      </c>
      <c r="E4078" t="s">
        <v>1493</v>
      </c>
    </row>
    <row r="4079" spans="1:5" x14ac:dyDescent="0.2">
      <c r="A4079" s="940">
        <v>361</v>
      </c>
      <c r="B4079" s="940">
        <v>680</v>
      </c>
      <c r="C4079" t="s">
        <v>11428</v>
      </c>
      <c r="D4079" s="940" t="s">
        <v>11429</v>
      </c>
      <c r="E4079" t="s">
        <v>103</v>
      </c>
    </row>
    <row r="4080" spans="1:5" x14ac:dyDescent="0.2">
      <c r="A4080" s="940">
        <v>2668</v>
      </c>
      <c r="B4080" s="940">
        <v>38</v>
      </c>
      <c r="C4080" t="s">
        <v>11430</v>
      </c>
      <c r="D4080" s="940" t="s">
        <v>11431</v>
      </c>
      <c r="E4080" t="s">
        <v>1315</v>
      </c>
    </row>
    <row r="4081" spans="1:5" x14ac:dyDescent="0.2">
      <c r="A4081" s="940">
        <v>793</v>
      </c>
      <c r="B4081" s="940">
        <v>362</v>
      </c>
      <c r="C4081" t="s">
        <v>8038</v>
      </c>
      <c r="D4081" s="940" t="s">
        <v>8039</v>
      </c>
      <c r="E4081" t="s">
        <v>661</v>
      </c>
    </row>
    <row r="4082" spans="1:5" x14ac:dyDescent="0.2">
      <c r="A4082" s="940">
        <v>4294</v>
      </c>
      <c r="B4082" s="940">
        <v>0</v>
      </c>
      <c r="C4082" t="s">
        <v>11432</v>
      </c>
      <c r="D4082" s="940" t="s">
        <v>3741</v>
      </c>
      <c r="E4082" t="s">
        <v>6361</v>
      </c>
    </row>
    <row r="4083" spans="1:5" x14ac:dyDescent="0.2">
      <c r="A4083" s="940">
        <v>4294</v>
      </c>
      <c r="B4083" s="940">
        <v>0</v>
      </c>
      <c r="C4083" t="s">
        <v>11433</v>
      </c>
      <c r="D4083" s="940" t="s">
        <v>4229</v>
      </c>
      <c r="E4083" t="s">
        <v>105</v>
      </c>
    </row>
    <row r="4084" spans="1:5" x14ac:dyDescent="0.2">
      <c r="A4084" s="940">
        <v>3008</v>
      </c>
      <c r="B4084" s="940">
        <v>23</v>
      </c>
      <c r="C4084" t="s">
        <v>8040</v>
      </c>
      <c r="D4084" s="940" t="s">
        <v>6135</v>
      </c>
      <c r="E4084" t="s">
        <v>1156</v>
      </c>
    </row>
    <row r="4085" spans="1:5" x14ac:dyDescent="0.2">
      <c r="A4085" s="940">
        <v>3483</v>
      </c>
      <c r="B4085" s="940">
        <v>10</v>
      </c>
      <c r="C4085" t="s">
        <v>8041</v>
      </c>
      <c r="D4085" s="940" t="s">
        <v>5793</v>
      </c>
      <c r="E4085" t="s">
        <v>99</v>
      </c>
    </row>
    <row r="4086" spans="1:5" x14ac:dyDescent="0.2">
      <c r="A4086" s="940">
        <v>1826</v>
      </c>
      <c r="B4086" s="940">
        <v>102</v>
      </c>
      <c r="C4086" t="s">
        <v>8042</v>
      </c>
      <c r="D4086" s="940" t="s">
        <v>5613</v>
      </c>
      <c r="E4086" t="s">
        <v>1906</v>
      </c>
    </row>
    <row r="4087" spans="1:5" x14ac:dyDescent="0.2">
      <c r="A4087" s="940">
        <v>4294</v>
      </c>
      <c r="B4087" s="940">
        <v>0</v>
      </c>
      <c r="C4087" t="s">
        <v>8043</v>
      </c>
      <c r="D4087" s="940" t="s">
        <v>6097</v>
      </c>
      <c r="E4087" t="s">
        <v>117</v>
      </c>
    </row>
    <row r="4088" spans="1:5" x14ac:dyDescent="0.2">
      <c r="A4088" s="940">
        <v>986</v>
      </c>
      <c r="B4088" s="940">
        <v>284</v>
      </c>
      <c r="C4088" t="s">
        <v>2198</v>
      </c>
      <c r="D4088" s="940" t="s">
        <v>8044</v>
      </c>
      <c r="E4088" t="s">
        <v>1171</v>
      </c>
    </row>
    <row r="4089" spans="1:5" x14ac:dyDescent="0.2">
      <c r="A4089" s="940">
        <v>228</v>
      </c>
      <c r="B4089" s="940">
        <v>871</v>
      </c>
      <c r="C4089" t="s">
        <v>8045</v>
      </c>
      <c r="D4089" s="940" t="s">
        <v>3334</v>
      </c>
      <c r="E4089" t="s">
        <v>147</v>
      </c>
    </row>
    <row r="4090" spans="1:5" x14ac:dyDescent="0.2">
      <c r="A4090" s="940">
        <v>208</v>
      </c>
      <c r="B4090" s="940">
        <v>902</v>
      </c>
      <c r="C4090" t="s">
        <v>11434</v>
      </c>
      <c r="D4090" s="940" t="s">
        <v>11435</v>
      </c>
      <c r="E4090" t="s">
        <v>4373</v>
      </c>
    </row>
    <row r="4091" spans="1:5" x14ac:dyDescent="0.2">
      <c r="A4091" s="940">
        <v>7</v>
      </c>
      <c r="B4091" s="940">
        <v>1603</v>
      </c>
      <c r="C4091" t="s">
        <v>8048</v>
      </c>
      <c r="D4091" s="940" t="s">
        <v>8049</v>
      </c>
      <c r="E4091" t="s">
        <v>130</v>
      </c>
    </row>
    <row r="4092" spans="1:5" x14ac:dyDescent="0.2">
      <c r="A4092" s="940">
        <v>1233</v>
      </c>
      <c r="B4092" s="940">
        <v>199</v>
      </c>
      <c r="C4092" t="s">
        <v>2199</v>
      </c>
      <c r="D4092" s="940" t="s">
        <v>8050</v>
      </c>
      <c r="E4092" t="s">
        <v>136</v>
      </c>
    </row>
    <row r="4093" spans="1:5" x14ac:dyDescent="0.2">
      <c r="A4093" s="940">
        <v>3972</v>
      </c>
      <c r="B4093" s="940">
        <v>3</v>
      </c>
      <c r="C4093" t="s">
        <v>8051</v>
      </c>
      <c r="D4093" s="940" t="s">
        <v>4054</v>
      </c>
      <c r="E4093" t="s">
        <v>74</v>
      </c>
    </row>
    <row r="4094" spans="1:5" x14ac:dyDescent="0.2">
      <c r="A4094" s="940">
        <v>4181</v>
      </c>
      <c r="B4094" s="940">
        <v>1</v>
      </c>
      <c r="C4094" t="s">
        <v>11436</v>
      </c>
      <c r="D4094" s="940" t="s">
        <v>2785</v>
      </c>
      <c r="E4094" t="s">
        <v>4470</v>
      </c>
    </row>
    <row r="4095" spans="1:5" x14ac:dyDescent="0.2">
      <c r="A4095" s="940">
        <v>2630</v>
      </c>
      <c r="B4095" s="940">
        <v>40</v>
      </c>
      <c r="C4095" t="s">
        <v>11437</v>
      </c>
      <c r="D4095" s="940" t="s">
        <v>3721</v>
      </c>
      <c r="E4095" t="s">
        <v>128</v>
      </c>
    </row>
    <row r="4096" spans="1:5" x14ac:dyDescent="0.2">
      <c r="A4096" s="940">
        <v>3250</v>
      </c>
      <c r="B4096" s="940">
        <v>16</v>
      </c>
      <c r="C4096" t="s">
        <v>11438</v>
      </c>
      <c r="D4096" s="940" t="s">
        <v>4860</v>
      </c>
      <c r="E4096" t="s">
        <v>614</v>
      </c>
    </row>
    <row r="4097" spans="1:5" x14ac:dyDescent="0.2">
      <c r="A4097" s="940">
        <v>2367</v>
      </c>
      <c r="B4097" s="940">
        <v>57</v>
      </c>
      <c r="C4097" t="s">
        <v>8054</v>
      </c>
      <c r="D4097" s="940" t="s">
        <v>8055</v>
      </c>
      <c r="E4097" t="s">
        <v>107</v>
      </c>
    </row>
    <row r="4098" spans="1:5" x14ac:dyDescent="0.2">
      <c r="A4098" s="940">
        <v>706</v>
      </c>
      <c r="B4098" s="940">
        <v>400</v>
      </c>
      <c r="C4098" t="s">
        <v>8056</v>
      </c>
      <c r="D4098" s="940" t="s">
        <v>8057</v>
      </c>
      <c r="E4098" t="s">
        <v>112</v>
      </c>
    </row>
    <row r="4099" spans="1:5" x14ac:dyDescent="0.2">
      <c r="A4099" s="940">
        <v>4294</v>
      </c>
      <c r="B4099" s="940">
        <v>0</v>
      </c>
      <c r="C4099" t="s">
        <v>8058</v>
      </c>
      <c r="D4099" s="940" t="s">
        <v>7346</v>
      </c>
      <c r="E4099" t="s">
        <v>1236</v>
      </c>
    </row>
    <row r="4100" spans="1:5" x14ac:dyDescent="0.2">
      <c r="A4100" s="940">
        <v>4294</v>
      </c>
      <c r="B4100" s="940">
        <v>0</v>
      </c>
      <c r="C4100" t="s">
        <v>8061</v>
      </c>
      <c r="D4100" s="940" t="s">
        <v>4997</v>
      </c>
      <c r="E4100" t="s">
        <v>251</v>
      </c>
    </row>
    <row r="4101" spans="1:5" x14ac:dyDescent="0.2">
      <c r="A4101" s="940">
        <v>3323</v>
      </c>
      <c r="B4101" s="940">
        <v>14</v>
      </c>
      <c r="C4101" t="s">
        <v>8062</v>
      </c>
      <c r="D4101" s="940" t="s">
        <v>3501</v>
      </c>
      <c r="E4101" t="s">
        <v>1236</v>
      </c>
    </row>
    <row r="4102" spans="1:5" x14ac:dyDescent="0.2">
      <c r="A4102" s="940">
        <v>4294</v>
      </c>
      <c r="B4102" s="940">
        <v>0</v>
      </c>
      <c r="C4102" t="s">
        <v>8063</v>
      </c>
      <c r="D4102" s="940" t="s">
        <v>4925</v>
      </c>
      <c r="E4102" t="s">
        <v>1236</v>
      </c>
    </row>
    <row r="4103" spans="1:5" x14ac:dyDescent="0.2">
      <c r="A4103" s="940">
        <v>307</v>
      </c>
      <c r="B4103" s="940">
        <v>761</v>
      </c>
      <c r="C4103" t="s">
        <v>11439</v>
      </c>
      <c r="D4103" s="940" t="s">
        <v>11440</v>
      </c>
      <c r="E4103" t="s">
        <v>4679</v>
      </c>
    </row>
    <row r="4104" spans="1:5" x14ac:dyDescent="0.2">
      <c r="A4104" s="940">
        <v>1651</v>
      </c>
      <c r="B4104" s="940">
        <v>122</v>
      </c>
      <c r="C4104" t="s">
        <v>2202</v>
      </c>
      <c r="D4104" s="940" t="s">
        <v>10042</v>
      </c>
      <c r="E4104" t="s">
        <v>120</v>
      </c>
    </row>
    <row r="4105" spans="1:5" x14ac:dyDescent="0.2">
      <c r="A4105" s="940">
        <v>2367</v>
      </c>
      <c r="B4105" s="940">
        <v>57</v>
      </c>
      <c r="C4105" t="s">
        <v>11441</v>
      </c>
      <c r="D4105" s="940" t="s">
        <v>10483</v>
      </c>
      <c r="E4105" t="s">
        <v>11442</v>
      </c>
    </row>
    <row r="4106" spans="1:5" x14ac:dyDescent="0.2">
      <c r="A4106" s="940">
        <v>2745</v>
      </c>
      <c r="B4106" s="940">
        <v>35</v>
      </c>
      <c r="C4106" t="s">
        <v>8065</v>
      </c>
      <c r="D4106" s="940" t="s">
        <v>6284</v>
      </c>
      <c r="E4106" t="s">
        <v>8066</v>
      </c>
    </row>
    <row r="4107" spans="1:5" x14ac:dyDescent="0.2">
      <c r="A4107" s="940">
        <v>2270</v>
      </c>
      <c r="B4107" s="940">
        <v>64</v>
      </c>
      <c r="C4107" t="s">
        <v>8067</v>
      </c>
      <c r="D4107" s="940" t="s">
        <v>2632</v>
      </c>
      <c r="E4107" t="s">
        <v>105</v>
      </c>
    </row>
    <row r="4108" spans="1:5" x14ac:dyDescent="0.2">
      <c r="A4108" s="940">
        <v>3008</v>
      </c>
      <c r="B4108" s="940">
        <v>23</v>
      </c>
      <c r="C4108" t="s">
        <v>8068</v>
      </c>
      <c r="D4108" s="940" t="s">
        <v>7360</v>
      </c>
      <c r="E4108" t="s">
        <v>3986</v>
      </c>
    </row>
    <row r="4109" spans="1:5" x14ac:dyDescent="0.2">
      <c r="A4109" s="940">
        <v>258</v>
      </c>
      <c r="B4109" s="940">
        <v>828</v>
      </c>
      <c r="C4109" t="s">
        <v>8069</v>
      </c>
      <c r="D4109" s="940" t="s">
        <v>8070</v>
      </c>
      <c r="E4109" t="s">
        <v>3090</v>
      </c>
    </row>
    <row r="4110" spans="1:5" x14ac:dyDescent="0.2">
      <c r="A4110" s="940">
        <v>1268</v>
      </c>
      <c r="B4110" s="940">
        <v>191</v>
      </c>
      <c r="C4110" t="s">
        <v>2203</v>
      </c>
      <c r="D4110" s="940" t="s">
        <v>8071</v>
      </c>
      <c r="E4110" t="s">
        <v>1232</v>
      </c>
    </row>
    <row r="4111" spans="1:5" x14ac:dyDescent="0.2">
      <c r="A4111" s="940">
        <v>2014</v>
      </c>
      <c r="B4111" s="940">
        <v>84</v>
      </c>
      <c r="C4111" t="s">
        <v>8072</v>
      </c>
      <c r="D4111" s="940" t="s">
        <v>8073</v>
      </c>
      <c r="E4111" t="s">
        <v>105</v>
      </c>
    </row>
    <row r="4112" spans="1:5" x14ac:dyDescent="0.2">
      <c r="A4112" s="940">
        <v>3323</v>
      </c>
      <c r="B4112" s="940">
        <v>14</v>
      </c>
      <c r="C4112" t="s">
        <v>8074</v>
      </c>
      <c r="D4112" s="940" t="s">
        <v>2653</v>
      </c>
      <c r="E4112" t="s">
        <v>99</v>
      </c>
    </row>
    <row r="4113" spans="1:5" x14ac:dyDescent="0.2">
      <c r="A4113" s="940">
        <v>1993</v>
      </c>
      <c r="B4113" s="940">
        <v>86</v>
      </c>
      <c r="C4113" t="s">
        <v>8078</v>
      </c>
      <c r="D4113" s="940" t="s">
        <v>8079</v>
      </c>
      <c r="E4113" t="s">
        <v>3098</v>
      </c>
    </row>
    <row r="4114" spans="1:5" x14ac:dyDescent="0.2">
      <c r="A4114" s="940">
        <v>1806</v>
      </c>
      <c r="B4114" s="940">
        <v>104</v>
      </c>
      <c r="C4114" t="s">
        <v>8080</v>
      </c>
      <c r="D4114" s="940" t="s">
        <v>8081</v>
      </c>
      <c r="E4114" t="s">
        <v>120</v>
      </c>
    </row>
    <row r="4115" spans="1:5" x14ac:dyDescent="0.2">
      <c r="A4115" s="940">
        <v>3732</v>
      </c>
      <c r="B4115" s="940">
        <v>6</v>
      </c>
      <c r="C4115" t="s">
        <v>8082</v>
      </c>
      <c r="D4115" s="940" t="s">
        <v>8083</v>
      </c>
      <c r="E4115" t="s">
        <v>3487</v>
      </c>
    </row>
    <row r="4116" spans="1:5" x14ac:dyDescent="0.2">
      <c r="A4116" s="940">
        <v>631</v>
      </c>
      <c r="B4116" s="940">
        <v>444</v>
      </c>
      <c r="C4116" t="s">
        <v>8085</v>
      </c>
      <c r="D4116" s="940" t="s">
        <v>8086</v>
      </c>
      <c r="E4116" t="s">
        <v>3098</v>
      </c>
    </row>
    <row r="4117" spans="1:5" x14ac:dyDescent="0.2">
      <c r="A4117" s="940">
        <v>512</v>
      </c>
      <c r="B4117" s="940">
        <v>535</v>
      </c>
      <c r="C4117" t="s">
        <v>11443</v>
      </c>
      <c r="D4117" s="940" t="s">
        <v>11444</v>
      </c>
      <c r="E4117" t="s">
        <v>1609</v>
      </c>
    </row>
    <row r="4118" spans="1:5" x14ac:dyDescent="0.2">
      <c r="A4118" s="940">
        <v>4294</v>
      </c>
      <c r="B4118" s="940">
        <v>0</v>
      </c>
      <c r="C4118" t="s">
        <v>11445</v>
      </c>
      <c r="D4118" s="940" t="s">
        <v>4527</v>
      </c>
      <c r="E4118" t="s">
        <v>6430</v>
      </c>
    </row>
    <row r="4119" spans="1:5" x14ac:dyDescent="0.2">
      <c r="A4119" s="940">
        <v>1904</v>
      </c>
      <c r="B4119" s="940">
        <v>95</v>
      </c>
      <c r="C4119" t="s">
        <v>8089</v>
      </c>
      <c r="D4119" s="940" t="s">
        <v>8090</v>
      </c>
      <c r="E4119" t="s">
        <v>120</v>
      </c>
    </row>
    <row r="4120" spans="1:5" x14ac:dyDescent="0.2">
      <c r="A4120" s="940">
        <v>4294</v>
      </c>
      <c r="B4120" s="940">
        <v>0</v>
      </c>
      <c r="C4120" t="s">
        <v>11446</v>
      </c>
      <c r="D4120" s="940" t="s">
        <v>8308</v>
      </c>
      <c r="E4120" t="s">
        <v>105</v>
      </c>
    </row>
    <row r="4121" spans="1:5" x14ac:dyDescent="0.2">
      <c r="A4121" s="940">
        <v>4181</v>
      </c>
      <c r="B4121" s="940">
        <v>1</v>
      </c>
      <c r="C4121" t="s">
        <v>8091</v>
      </c>
      <c r="D4121" s="940" t="s">
        <v>3659</v>
      </c>
      <c r="E4121" t="s">
        <v>1236</v>
      </c>
    </row>
    <row r="4122" spans="1:5" x14ac:dyDescent="0.2">
      <c r="A4122" s="940">
        <v>4294</v>
      </c>
      <c r="B4122" s="940">
        <v>0</v>
      </c>
      <c r="C4122" t="s">
        <v>11447</v>
      </c>
      <c r="D4122" s="940" t="s">
        <v>11448</v>
      </c>
      <c r="E4122" t="s">
        <v>120</v>
      </c>
    </row>
    <row r="4123" spans="1:5" x14ac:dyDescent="0.2">
      <c r="A4123" s="940">
        <v>1075</v>
      </c>
      <c r="B4123" s="940">
        <v>251</v>
      </c>
      <c r="C4123" t="s">
        <v>2205</v>
      </c>
      <c r="D4123" s="940" t="s">
        <v>8092</v>
      </c>
      <c r="E4123" t="s">
        <v>120</v>
      </c>
    </row>
    <row r="4124" spans="1:5" x14ac:dyDescent="0.2">
      <c r="A4124" s="940">
        <v>8</v>
      </c>
      <c r="B4124" s="940">
        <v>1598</v>
      </c>
      <c r="C4124" t="s">
        <v>8094</v>
      </c>
      <c r="D4124" s="940" t="s">
        <v>8095</v>
      </c>
      <c r="E4124" t="s">
        <v>130</v>
      </c>
    </row>
    <row r="4125" spans="1:5" x14ac:dyDescent="0.2">
      <c r="A4125" s="940">
        <v>624</v>
      </c>
      <c r="B4125" s="940">
        <v>451</v>
      </c>
      <c r="C4125" t="s">
        <v>8094</v>
      </c>
      <c r="D4125" s="940" t="s">
        <v>8096</v>
      </c>
      <c r="E4125" t="s">
        <v>122</v>
      </c>
    </row>
    <row r="4126" spans="1:5" x14ac:dyDescent="0.2">
      <c r="A4126" s="940">
        <v>485</v>
      </c>
      <c r="B4126" s="940">
        <v>568</v>
      </c>
      <c r="C4126" t="s">
        <v>2206</v>
      </c>
      <c r="D4126" s="940" t="s">
        <v>4512</v>
      </c>
      <c r="E4126" t="s">
        <v>110</v>
      </c>
    </row>
    <row r="4127" spans="1:5" x14ac:dyDescent="0.2">
      <c r="A4127" s="940">
        <v>4181</v>
      </c>
      <c r="B4127" s="940">
        <v>1</v>
      </c>
      <c r="C4127" t="s">
        <v>11449</v>
      </c>
      <c r="D4127" s="940" t="s">
        <v>6693</v>
      </c>
      <c r="E4127" t="s">
        <v>111</v>
      </c>
    </row>
    <row r="4128" spans="1:5" x14ac:dyDescent="0.2">
      <c r="A4128" s="940">
        <v>1758</v>
      </c>
      <c r="B4128" s="940">
        <v>110</v>
      </c>
      <c r="C4128" t="s">
        <v>8098</v>
      </c>
      <c r="D4128" s="940" t="s">
        <v>7191</v>
      </c>
      <c r="E4128" t="s">
        <v>1162</v>
      </c>
    </row>
    <row r="4129" spans="1:5" x14ac:dyDescent="0.2">
      <c r="A4129" s="940">
        <v>3008</v>
      </c>
      <c r="B4129" s="940">
        <v>23</v>
      </c>
      <c r="C4129" t="s">
        <v>11450</v>
      </c>
      <c r="D4129" s="940" t="s">
        <v>2690</v>
      </c>
      <c r="E4129" t="s">
        <v>136</v>
      </c>
    </row>
    <row r="4130" spans="1:5" x14ac:dyDescent="0.2">
      <c r="A4130" s="940">
        <v>883</v>
      </c>
      <c r="B4130" s="940">
        <v>325</v>
      </c>
      <c r="C4130" t="s">
        <v>2207</v>
      </c>
      <c r="D4130" s="940" t="s">
        <v>11451</v>
      </c>
      <c r="E4130" t="s">
        <v>1271</v>
      </c>
    </row>
    <row r="4131" spans="1:5" x14ac:dyDescent="0.2">
      <c r="A4131" s="940">
        <v>2774</v>
      </c>
      <c r="B4131" s="940">
        <v>34</v>
      </c>
      <c r="C4131" t="s">
        <v>2207</v>
      </c>
      <c r="D4131" s="940" t="s">
        <v>5044</v>
      </c>
      <c r="E4131" t="s">
        <v>110</v>
      </c>
    </row>
    <row r="4132" spans="1:5" x14ac:dyDescent="0.2">
      <c r="A4132" s="940">
        <v>2894</v>
      </c>
      <c r="B4132" s="940">
        <v>28</v>
      </c>
      <c r="C4132" t="s">
        <v>8099</v>
      </c>
      <c r="D4132" s="940" t="s">
        <v>8100</v>
      </c>
      <c r="E4132" t="s">
        <v>106</v>
      </c>
    </row>
    <row r="4133" spans="1:5" x14ac:dyDescent="0.2">
      <c r="A4133" s="940">
        <v>4294</v>
      </c>
      <c r="B4133" s="940">
        <v>0</v>
      </c>
      <c r="C4133" t="s">
        <v>11452</v>
      </c>
      <c r="D4133" s="940" t="s">
        <v>4233</v>
      </c>
      <c r="E4133" t="s">
        <v>126</v>
      </c>
    </row>
    <row r="4134" spans="1:5" x14ac:dyDescent="0.2">
      <c r="A4134" s="940">
        <v>2486</v>
      </c>
      <c r="B4134" s="940">
        <v>48</v>
      </c>
      <c r="C4134" t="s">
        <v>8102</v>
      </c>
      <c r="D4134" s="940" t="s">
        <v>8103</v>
      </c>
      <c r="E4134" t="s">
        <v>1211</v>
      </c>
    </row>
    <row r="4135" spans="1:5" x14ac:dyDescent="0.2">
      <c r="A4135" s="940">
        <v>2367</v>
      </c>
      <c r="B4135" s="940">
        <v>57</v>
      </c>
      <c r="C4135" t="s">
        <v>8104</v>
      </c>
      <c r="D4135" s="940" t="s">
        <v>8105</v>
      </c>
      <c r="E4135" t="s">
        <v>1330</v>
      </c>
    </row>
    <row r="4136" spans="1:5" x14ac:dyDescent="0.2">
      <c r="A4136" s="940">
        <v>4294</v>
      </c>
      <c r="B4136" s="940">
        <v>0</v>
      </c>
      <c r="C4136" t="s">
        <v>8106</v>
      </c>
      <c r="D4136" s="940" t="s">
        <v>8107</v>
      </c>
      <c r="E4136" t="s">
        <v>1423</v>
      </c>
    </row>
    <row r="4137" spans="1:5" x14ac:dyDescent="0.2">
      <c r="A4137" s="940">
        <v>786</v>
      </c>
      <c r="B4137" s="940">
        <v>367</v>
      </c>
      <c r="C4137" t="s">
        <v>409</v>
      </c>
      <c r="D4137" s="940" t="s">
        <v>8108</v>
      </c>
      <c r="E4137" t="s">
        <v>1286</v>
      </c>
    </row>
    <row r="4138" spans="1:5" x14ac:dyDescent="0.2">
      <c r="A4138" s="940">
        <v>1144</v>
      </c>
      <c r="B4138" s="940">
        <v>226</v>
      </c>
      <c r="C4138" t="s">
        <v>409</v>
      </c>
      <c r="D4138" s="940" t="s">
        <v>8109</v>
      </c>
      <c r="E4138" t="s">
        <v>120</v>
      </c>
    </row>
    <row r="4139" spans="1:5" x14ac:dyDescent="0.2">
      <c r="A4139" s="940">
        <v>734</v>
      </c>
      <c r="B4139" s="940">
        <v>390</v>
      </c>
      <c r="C4139" t="s">
        <v>8110</v>
      </c>
      <c r="D4139" s="940" t="s">
        <v>8111</v>
      </c>
      <c r="E4139" t="s">
        <v>2735</v>
      </c>
    </row>
    <row r="4140" spans="1:5" x14ac:dyDescent="0.2">
      <c r="A4140" s="940">
        <v>2379</v>
      </c>
      <c r="B4140" s="940">
        <v>56</v>
      </c>
      <c r="C4140" t="s">
        <v>8110</v>
      </c>
      <c r="D4140" s="940" t="s">
        <v>3215</v>
      </c>
      <c r="E4140" t="s">
        <v>109</v>
      </c>
    </row>
    <row r="4141" spans="1:5" x14ac:dyDescent="0.2">
      <c r="A4141" s="940">
        <v>66</v>
      </c>
      <c r="B4141" s="940">
        <v>1227</v>
      </c>
      <c r="C4141" t="s">
        <v>2577</v>
      </c>
      <c r="D4141" s="940" t="s">
        <v>11453</v>
      </c>
      <c r="E4141" t="s">
        <v>105</v>
      </c>
    </row>
    <row r="4142" spans="1:5" x14ac:dyDescent="0.2">
      <c r="A4142" s="940">
        <v>800</v>
      </c>
      <c r="B4142" s="940">
        <v>358</v>
      </c>
      <c r="C4142" t="s">
        <v>2577</v>
      </c>
      <c r="D4142" s="940" t="s">
        <v>8112</v>
      </c>
      <c r="E4142" t="s">
        <v>1286</v>
      </c>
    </row>
    <row r="4143" spans="1:5" x14ac:dyDescent="0.2">
      <c r="A4143" s="940">
        <v>2571</v>
      </c>
      <c r="B4143" s="940">
        <v>43</v>
      </c>
      <c r="C4143" t="s">
        <v>2577</v>
      </c>
      <c r="D4143" s="940" t="s">
        <v>4728</v>
      </c>
      <c r="E4143" t="s">
        <v>661</v>
      </c>
    </row>
    <row r="4144" spans="1:5" x14ac:dyDescent="0.2">
      <c r="A4144" s="940">
        <v>3972</v>
      </c>
      <c r="B4144" s="940">
        <v>3</v>
      </c>
      <c r="C4144" t="s">
        <v>8113</v>
      </c>
      <c r="D4144" s="940" t="s">
        <v>3592</v>
      </c>
      <c r="E4144" t="s">
        <v>160</v>
      </c>
    </row>
    <row r="4145" spans="1:5" x14ac:dyDescent="0.2">
      <c r="A4145" s="940">
        <v>2668</v>
      </c>
      <c r="B4145" s="940">
        <v>38</v>
      </c>
      <c r="C4145" t="s">
        <v>2208</v>
      </c>
      <c r="D4145" s="940" t="s">
        <v>8114</v>
      </c>
      <c r="E4145" t="s">
        <v>120</v>
      </c>
    </row>
    <row r="4146" spans="1:5" x14ac:dyDescent="0.2">
      <c r="A4146" s="940">
        <v>1120</v>
      </c>
      <c r="B4146" s="940">
        <v>233</v>
      </c>
      <c r="C4146" t="s">
        <v>8115</v>
      </c>
      <c r="D4146" s="940" t="s">
        <v>8116</v>
      </c>
      <c r="E4146" t="s">
        <v>111</v>
      </c>
    </row>
    <row r="4147" spans="1:5" x14ac:dyDescent="0.2">
      <c r="A4147" s="940">
        <v>1936</v>
      </c>
      <c r="B4147" s="940">
        <v>92</v>
      </c>
      <c r="C4147" t="s">
        <v>11454</v>
      </c>
      <c r="D4147" s="940" t="s">
        <v>11455</v>
      </c>
      <c r="E4147" t="s">
        <v>103</v>
      </c>
    </row>
    <row r="4148" spans="1:5" x14ac:dyDescent="0.2">
      <c r="A4148" s="940">
        <v>583</v>
      </c>
      <c r="B4148" s="940">
        <v>485</v>
      </c>
      <c r="C4148" t="s">
        <v>11456</v>
      </c>
      <c r="D4148" s="940" t="s">
        <v>11457</v>
      </c>
      <c r="E4148" t="s">
        <v>1236</v>
      </c>
    </row>
    <row r="4149" spans="1:5" x14ac:dyDescent="0.2">
      <c r="A4149" s="940">
        <v>4181</v>
      </c>
      <c r="B4149" s="940">
        <v>1</v>
      </c>
      <c r="C4149" t="s">
        <v>8119</v>
      </c>
      <c r="D4149" s="940" t="s">
        <v>4543</v>
      </c>
      <c r="E4149" t="s">
        <v>74</v>
      </c>
    </row>
    <row r="4150" spans="1:5" x14ac:dyDescent="0.2">
      <c r="A4150" s="940">
        <v>3446</v>
      </c>
      <c r="B4150" s="940">
        <v>11</v>
      </c>
      <c r="C4150" t="s">
        <v>11458</v>
      </c>
      <c r="D4150" s="940" t="s">
        <v>11459</v>
      </c>
      <c r="E4150" t="s">
        <v>105</v>
      </c>
    </row>
    <row r="4151" spans="1:5" x14ac:dyDescent="0.2">
      <c r="A4151" s="940">
        <v>2218</v>
      </c>
      <c r="B4151" s="940">
        <v>68</v>
      </c>
      <c r="C4151" t="s">
        <v>11460</v>
      </c>
      <c r="D4151" s="940" t="s">
        <v>5671</v>
      </c>
      <c r="E4151" t="s">
        <v>72</v>
      </c>
    </row>
    <row r="4152" spans="1:5" x14ac:dyDescent="0.2">
      <c r="A4152" s="940">
        <v>4294</v>
      </c>
      <c r="B4152" s="940">
        <v>0</v>
      </c>
      <c r="C4152" t="s">
        <v>8120</v>
      </c>
      <c r="D4152" s="940" t="s">
        <v>3210</v>
      </c>
      <c r="E4152" t="s">
        <v>105</v>
      </c>
    </row>
    <row r="4153" spans="1:5" x14ac:dyDescent="0.2">
      <c r="A4153" s="940">
        <v>615</v>
      </c>
      <c r="B4153" s="940">
        <v>457</v>
      </c>
      <c r="C4153" t="s">
        <v>8121</v>
      </c>
      <c r="D4153" s="940" t="s">
        <v>8122</v>
      </c>
      <c r="E4153" t="s">
        <v>175</v>
      </c>
    </row>
    <row r="4154" spans="1:5" x14ac:dyDescent="0.2">
      <c r="A4154" s="940">
        <v>752</v>
      </c>
      <c r="B4154" s="940">
        <v>381</v>
      </c>
      <c r="C4154" t="s">
        <v>8123</v>
      </c>
      <c r="D4154" s="940" t="s">
        <v>11461</v>
      </c>
      <c r="E4154" t="s">
        <v>2880</v>
      </c>
    </row>
    <row r="4155" spans="1:5" x14ac:dyDescent="0.2">
      <c r="A4155" s="940">
        <v>2242</v>
      </c>
      <c r="B4155" s="940">
        <v>66</v>
      </c>
      <c r="C4155" t="s">
        <v>11462</v>
      </c>
      <c r="D4155" s="940" t="s">
        <v>11068</v>
      </c>
      <c r="E4155" t="s">
        <v>117</v>
      </c>
    </row>
    <row r="4156" spans="1:5" x14ac:dyDescent="0.2">
      <c r="A4156" s="940">
        <v>3250</v>
      </c>
      <c r="B4156" s="940">
        <v>16</v>
      </c>
      <c r="C4156" t="s">
        <v>11463</v>
      </c>
      <c r="D4156" s="940" t="s">
        <v>4879</v>
      </c>
      <c r="E4156" t="s">
        <v>141</v>
      </c>
    </row>
    <row r="4157" spans="1:5" x14ac:dyDescent="0.2">
      <c r="A4157" s="940">
        <v>2745</v>
      </c>
      <c r="B4157" s="940">
        <v>35</v>
      </c>
      <c r="C4157" t="s">
        <v>8126</v>
      </c>
      <c r="D4157" s="940" t="s">
        <v>6524</v>
      </c>
      <c r="E4157" t="s">
        <v>105</v>
      </c>
    </row>
    <row r="4158" spans="1:5" x14ac:dyDescent="0.2">
      <c r="A4158" s="940">
        <v>2168</v>
      </c>
      <c r="B4158" s="940">
        <v>72</v>
      </c>
      <c r="C4158" t="s">
        <v>8127</v>
      </c>
      <c r="D4158" s="940" t="s">
        <v>11464</v>
      </c>
      <c r="E4158" t="s">
        <v>863</v>
      </c>
    </row>
    <row r="4159" spans="1:5" x14ac:dyDescent="0.2">
      <c r="A4159" s="940">
        <v>4181</v>
      </c>
      <c r="B4159" s="940">
        <v>1</v>
      </c>
      <c r="C4159" t="s">
        <v>8129</v>
      </c>
      <c r="D4159" s="940" t="s">
        <v>6429</v>
      </c>
      <c r="E4159" t="s">
        <v>1236</v>
      </c>
    </row>
    <row r="4160" spans="1:5" x14ac:dyDescent="0.2">
      <c r="A4160" s="940">
        <v>3048</v>
      </c>
      <c r="B4160" s="940">
        <v>22</v>
      </c>
      <c r="C4160" t="s">
        <v>11465</v>
      </c>
      <c r="D4160" s="940" t="s">
        <v>7374</v>
      </c>
      <c r="E4160" t="s">
        <v>122</v>
      </c>
    </row>
    <row r="4161" spans="1:5" x14ac:dyDescent="0.2">
      <c r="A4161" s="940">
        <v>648</v>
      </c>
      <c r="B4161" s="940">
        <v>434</v>
      </c>
      <c r="C4161" t="s">
        <v>11466</v>
      </c>
      <c r="D4161" s="940" t="s">
        <v>5085</v>
      </c>
      <c r="E4161" t="s">
        <v>1590</v>
      </c>
    </row>
    <row r="4162" spans="1:5" x14ac:dyDescent="0.2">
      <c r="A4162" s="940">
        <v>2630</v>
      </c>
      <c r="B4162" s="940">
        <v>40</v>
      </c>
      <c r="C4162" t="s">
        <v>8130</v>
      </c>
      <c r="D4162" s="940" t="s">
        <v>8131</v>
      </c>
      <c r="E4162" t="s">
        <v>74</v>
      </c>
    </row>
    <row r="4163" spans="1:5" x14ac:dyDescent="0.2">
      <c r="A4163" s="940">
        <v>948</v>
      </c>
      <c r="B4163" s="940">
        <v>298</v>
      </c>
      <c r="C4163" t="s">
        <v>8132</v>
      </c>
      <c r="D4163" s="940" t="s">
        <v>2615</v>
      </c>
      <c r="E4163" t="s">
        <v>105</v>
      </c>
    </row>
    <row r="4164" spans="1:5" x14ac:dyDescent="0.2">
      <c r="A4164" s="940">
        <v>4294</v>
      </c>
      <c r="B4164" s="940">
        <v>0</v>
      </c>
      <c r="C4164" t="s">
        <v>8133</v>
      </c>
      <c r="D4164" s="940" t="s">
        <v>8134</v>
      </c>
      <c r="E4164" t="s">
        <v>164</v>
      </c>
    </row>
    <row r="4165" spans="1:5" x14ac:dyDescent="0.2">
      <c r="A4165" s="940">
        <v>1868</v>
      </c>
      <c r="B4165" s="940">
        <v>98</v>
      </c>
      <c r="C4165" t="s">
        <v>8135</v>
      </c>
      <c r="D4165" s="940" t="s">
        <v>8136</v>
      </c>
      <c r="E4165" t="s">
        <v>3597</v>
      </c>
    </row>
    <row r="4166" spans="1:5" x14ac:dyDescent="0.2">
      <c r="A4166" s="940">
        <v>4181</v>
      </c>
      <c r="B4166" s="940">
        <v>1</v>
      </c>
      <c r="C4166" t="s">
        <v>8138</v>
      </c>
      <c r="D4166" s="940" t="s">
        <v>3047</v>
      </c>
      <c r="E4166" t="s">
        <v>1675</v>
      </c>
    </row>
    <row r="4167" spans="1:5" x14ac:dyDescent="0.2">
      <c r="A4167" s="940">
        <v>4081</v>
      </c>
      <c r="B4167" s="940">
        <v>2</v>
      </c>
      <c r="C4167" t="s">
        <v>11467</v>
      </c>
      <c r="D4167" s="940" t="s">
        <v>10097</v>
      </c>
      <c r="E4167" t="s">
        <v>3114</v>
      </c>
    </row>
    <row r="4168" spans="1:5" x14ac:dyDescent="0.2">
      <c r="A4168" s="940">
        <v>1226</v>
      </c>
      <c r="B4168" s="940">
        <v>200</v>
      </c>
      <c r="C4168" t="s">
        <v>331</v>
      </c>
      <c r="D4168" s="940" t="s">
        <v>11468</v>
      </c>
      <c r="E4168" t="s">
        <v>208</v>
      </c>
    </row>
    <row r="4169" spans="1:5" x14ac:dyDescent="0.2">
      <c r="A4169" s="940">
        <v>2101</v>
      </c>
      <c r="B4169" s="940">
        <v>77</v>
      </c>
      <c r="C4169" t="s">
        <v>2213</v>
      </c>
      <c r="D4169" s="940" t="s">
        <v>8140</v>
      </c>
      <c r="E4169" t="s">
        <v>1372</v>
      </c>
    </row>
    <row r="4170" spans="1:5" x14ac:dyDescent="0.2">
      <c r="A4170" s="940">
        <v>1511</v>
      </c>
      <c r="B4170" s="940">
        <v>143</v>
      </c>
      <c r="C4170" t="s">
        <v>8141</v>
      </c>
      <c r="D4170" s="940" t="s">
        <v>4275</v>
      </c>
      <c r="E4170" t="s">
        <v>2877</v>
      </c>
    </row>
    <row r="4171" spans="1:5" x14ac:dyDescent="0.2">
      <c r="A4171" s="940">
        <v>546</v>
      </c>
      <c r="B4171" s="940">
        <v>510</v>
      </c>
      <c r="C4171" t="s">
        <v>2215</v>
      </c>
      <c r="D4171" s="940" t="s">
        <v>4919</v>
      </c>
      <c r="E4171" t="s">
        <v>290</v>
      </c>
    </row>
    <row r="4172" spans="1:5" x14ac:dyDescent="0.2">
      <c r="A4172" s="940">
        <v>1439</v>
      </c>
      <c r="B4172" s="940">
        <v>156</v>
      </c>
      <c r="C4172" t="s">
        <v>332</v>
      </c>
      <c r="D4172" s="940" t="s">
        <v>11469</v>
      </c>
      <c r="E4172" t="s">
        <v>105</v>
      </c>
    </row>
    <row r="4173" spans="1:5" x14ac:dyDescent="0.2">
      <c r="A4173" s="940">
        <v>4081</v>
      </c>
      <c r="B4173" s="940">
        <v>2</v>
      </c>
      <c r="C4173" t="s">
        <v>332</v>
      </c>
      <c r="D4173" s="940" t="s">
        <v>3792</v>
      </c>
      <c r="E4173" t="s">
        <v>3098</v>
      </c>
    </row>
    <row r="4174" spans="1:5" x14ac:dyDescent="0.2">
      <c r="A4174" s="940">
        <v>4294</v>
      </c>
      <c r="B4174" s="940">
        <v>0</v>
      </c>
      <c r="C4174" t="s">
        <v>8142</v>
      </c>
      <c r="D4174" s="940" t="s">
        <v>2965</v>
      </c>
      <c r="E4174" t="s">
        <v>186</v>
      </c>
    </row>
    <row r="4175" spans="1:5" x14ac:dyDescent="0.2">
      <c r="A4175" s="940">
        <v>4294</v>
      </c>
      <c r="B4175" s="940">
        <v>0</v>
      </c>
      <c r="C4175" t="s">
        <v>8144</v>
      </c>
      <c r="D4175" s="940" t="s">
        <v>3808</v>
      </c>
      <c r="E4175" t="s">
        <v>144</v>
      </c>
    </row>
    <row r="4176" spans="1:5" x14ac:dyDescent="0.2">
      <c r="A4176" s="940">
        <v>1696</v>
      </c>
      <c r="B4176" s="940">
        <v>118</v>
      </c>
      <c r="C4176" t="s">
        <v>333</v>
      </c>
      <c r="D4176" s="940" t="s">
        <v>4784</v>
      </c>
      <c r="E4176" t="s">
        <v>110</v>
      </c>
    </row>
    <row r="4177" spans="1:5" x14ac:dyDescent="0.2">
      <c r="A4177" s="940">
        <v>402</v>
      </c>
      <c r="B4177" s="940">
        <v>642</v>
      </c>
      <c r="C4177" t="s">
        <v>11470</v>
      </c>
      <c r="D4177" s="940" t="s">
        <v>11471</v>
      </c>
      <c r="E4177" t="s">
        <v>119</v>
      </c>
    </row>
    <row r="4178" spans="1:5" x14ac:dyDescent="0.2">
      <c r="A4178" s="940">
        <v>462</v>
      </c>
      <c r="B4178" s="940">
        <v>582</v>
      </c>
      <c r="C4178" t="s">
        <v>8145</v>
      </c>
      <c r="D4178" s="940" t="s">
        <v>8146</v>
      </c>
      <c r="E4178" t="s">
        <v>110</v>
      </c>
    </row>
    <row r="4179" spans="1:5" x14ac:dyDescent="0.2">
      <c r="A4179" s="940">
        <v>3483</v>
      </c>
      <c r="B4179" s="940">
        <v>10</v>
      </c>
      <c r="C4179" t="s">
        <v>11472</v>
      </c>
      <c r="D4179" s="940" t="s">
        <v>11473</v>
      </c>
      <c r="E4179" t="s">
        <v>1372</v>
      </c>
    </row>
    <row r="4180" spans="1:5" x14ac:dyDescent="0.2">
      <c r="A4180" s="940">
        <v>284</v>
      </c>
      <c r="B4180" s="940">
        <v>800</v>
      </c>
      <c r="C4180" t="s">
        <v>11474</v>
      </c>
      <c r="D4180" s="940" t="s">
        <v>11475</v>
      </c>
      <c r="E4180" t="s">
        <v>1311</v>
      </c>
    </row>
    <row r="4181" spans="1:5" x14ac:dyDescent="0.2">
      <c r="A4181" s="940">
        <v>4294</v>
      </c>
      <c r="B4181" s="940">
        <v>0</v>
      </c>
      <c r="C4181" t="s">
        <v>11476</v>
      </c>
      <c r="D4181" s="940" t="s">
        <v>6071</v>
      </c>
      <c r="E4181" t="s">
        <v>128</v>
      </c>
    </row>
    <row r="4182" spans="1:5" x14ac:dyDescent="0.2">
      <c r="A4182" s="940">
        <v>2962</v>
      </c>
      <c r="B4182" s="940">
        <v>25</v>
      </c>
      <c r="C4182" t="s">
        <v>8150</v>
      </c>
      <c r="D4182" s="940" t="s">
        <v>4672</v>
      </c>
      <c r="E4182" t="s">
        <v>130</v>
      </c>
    </row>
    <row r="4183" spans="1:5" x14ac:dyDescent="0.2">
      <c r="A4183" s="940">
        <v>706</v>
      </c>
      <c r="B4183" s="940">
        <v>400</v>
      </c>
      <c r="C4183" t="s">
        <v>8151</v>
      </c>
      <c r="D4183" s="940" t="s">
        <v>8152</v>
      </c>
      <c r="E4183" t="s">
        <v>3098</v>
      </c>
    </row>
    <row r="4184" spans="1:5" x14ac:dyDescent="0.2">
      <c r="A4184" s="940">
        <v>830</v>
      </c>
      <c r="B4184" s="940">
        <v>349</v>
      </c>
      <c r="C4184" t="s">
        <v>2220</v>
      </c>
      <c r="D4184" s="940" t="s">
        <v>8153</v>
      </c>
      <c r="E4184" t="s">
        <v>290</v>
      </c>
    </row>
    <row r="4185" spans="1:5" x14ac:dyDescent="0.2">
      <c r="A4185" s="940">
        <v>2533</v>
      </c>
      <c r="B4185" s="940">
        <v>45</v>
      </c>
      <c r="C4185" t="s">
        <v>8154</v>
      </c>
      <c r="D4185" s="940" t="s">
        <v>8155</v>
      </c>
      <c r="E4185" t="s">
        <v>2613</v>
      </c>
    </row>
    <row r="4186" spans="1:5" x14ac:dyDescent="0.2">
      <c r="A4186" s="940">
        <v>2067</v>
      </c>
      <c r="B4186" s="940">
        <v>80</v>
      </c>
      <c r="C4186" t="s">
        <v>8156</v>
      </c>
      <c r="D4186" s="940" t="s">
        <v>3592</v>
      </c>
      <c r="E4186" t="s">
        <v>105</v>
      </c>
    </row>
    <row r="4187" spans="1:5" x14ac:dyDescent="0.2">
      <c r="A4187" s="940">
        <v>2242</v>
      </c>
      <c r="B4187" s="940">
        <v>66</v>
      </c>
      <c r="C4187" t="s">
        <v>8157</v>
      </c>
      <c r="D4187" s="940" t="s">
        <v>8158</v>
      </c>
      <c r="E4187" t="s">
        <v>1358</v>
      </c>
    </row>
    <row r="4188" spans="1:5" x14ac:dyDescent="0.2">
      <c r="A4188" s="940">
        <v>757</v>
      </c>
      <c r="B4188" s="940">
        <v>380</v>
      </c>
      <c r="C4188" t="s">
        <v>8161</v>
      </c>
      <c r="D4188" s="940" t="s">
        <v>8162</v>
      </c>
      <c r="E4188" t="s">
        <v>120</v>
      </c>
    </row>
    <row r="4189" spans="1:5" x14ac:dyDescent="0.2">
      <c r="A4189" s="940">
        <v>4294</v>
      </c>
      <c r="B4189" s="940">
        <v>0</v>
      </c>
      <c r="C4189" t="s">
        <v>11477</v>
      </c>
      <c r="D4189" s="940" t="s">
        <v>8596</v>
      </c>
      <c r="E4189" t="s">
        <v>142</v>
      </c>
    </row>
    <row r="4190" spans="1:5" x14ac:dyDescent="0.2">
      <c r="A4190" s="940">
        <v>3655</v>
      </c>
      <c r="B4190" s="940">
        <v>7</v>
      </c>
      <c r="C4190" t="s">
        <v>8163</v>
      </c>
      <c r="D4190" s="940" t="s">
        <v>3747</v>
      </c>
      <c r="E4190" t="s">
        <v>99</v>
      </c>
    </row>
    <row r="4191" spans="1:5" x14ac:dyDescent="0.2">
      <c r="A4191" s="940">
        <v>1359</v>
      </c>
      <c r="B4191" s="940">
        <v>170</v>
      </c>
      <c r="C4191" t="s">
        <v>591</v>
      </c>
      <c r="D4191" s="940" t="s">
        <v>8164</v>
      </c>
      <c r="E4191" t="s">
        <v>105</v>
      </c>
    </row>
    <row r="4192" spans="1:5" x14ac:dyDescent="0.2">
      <c r="A4192" s="940">
        <v>3796</v>
      </c>
      <c r="B4192" s="940">
        <v>5</v>
      </c>
      <c r="C4192" t="s">
        <v>8165</v>
      </c>
      <c r="D4192" s="940" t="s">
        <v>8166</v>
      </c>
      <c r="E4192" t="s">
        <v>1236</v>
      </c>
    </row>
    <row r="4193" spans="1:5" x14ac:dyDescent="0.2">
      <c r="A4193" s="940">
        <v>2514</v>
      </c>
      <c r="B4193" s="940">
        <v>46</v>
      </c>
      <c r="C4193" t="s">
        <v>11478</v>
      </c>
      <c r="D4193" s="940" t="s">
        <v>8669</v>
      </c>
      <c r="E4193" t="s">
        <v>1162</v>
      </c>
    </row>
    <row r="4194" spans="1:5" x14ac:dyDescent="0.2">
      <c r="A4194" s="940">
        <v>2614</v>
      </c>
      <c r="B4194" s="940">
        <v>41</v>
      </c>
      <c r="C4194" t="s">
        <v>8167</v>
      </c>
      <c r="D4194" s="940" t="s">
        <v>2678</v>
      </c>
      <c r="E4194" t="s">
        <v>1156</v>
      </c>
    </row>
    <row r="4195" spans="1:5" x14ac:dyDescent="0.2">
      <c r="A4195" s="940">
        <v>3972</v>
      </c>
      <c r="B4195" s="940">
        <v>3</v>
      </c>
      <c r="C4195" t="s">
        <v>11479</v>
      </c>
      <c r="D4195" s="940" t="s">
        <v>6953</v>
      </c>
      <c r="E4195" t="s">
        <v>130</v>
      </c>
    </row>
    <row r="4196" spans="1:5" x14ac:dyDescent="0.2">
      <c r="A4196" s="940">
        <v>557</v>
      </c>
      <c r="B4196" s="940">
        <v>500</v>
      </c>
      <c r="C4196" t="s">
        <v>11480</v>
      </c>
      <c r="D4196" s="940" t="s">
        <v>11481</v>
      </c>
      <c r="E4196" t="s">
        <v>1214</v>
      </c>
    </row>
    <row r="4197" spans="1:5" x14ac:dyDescent="0.2">
      <c r="A4197" s="940">
        <v>3083</v>
      </c>
      <c r="B4197" s="940">
        <v>21</v>
      </c>
      <c r="C4197" t="s">
        <v>8172</v>
      </c>
      <c r="D4197" s="940" t="s">
        <v>7046</v>
      </c>
      <c r="E4197" t="s">
        <v>122</v>
      </c>
    </row>
    <row r="4198" spans="1:5" x14ac:dyDescent="0.2">
      <c r="A4198" s="940">
        <v>3972</v>
      </c>
      <c r="B4198" s="940">
        <v>3</v>
      </c>
      <c r="C4198" t="s">
        <v>8173</v>
      </c>
      <c r="D4198" s="940" t="s">
        <v>8174</v>
      </c>
      <c r="E4198" t="s">
        <v>99</v>
      </c>
    </row>
    <row r="4199" spans="1:5" x14ac:dyDescent="0.2">
      <c r="A4199" s="940">
        <v>3882</v>
      </c>
      <c r="B4199" s="940">
        <v>4</v>
      </c>
      <c r="C4199" t="s">
        <v>8176</v>
      </c>
      <c r="D4199" s="940" t="s">
        <v>7650</v>
      </c>
      <c r="E4199" t="s">
        <v>1491</v>
      </c>
    </row>
    <row r="4200" spans="1:5" x14ac:dyDescent="0.2">
      <c r="A4200" s="940">
        <v>4294</v>
      </c>
      <c r="B4200" s="940">
        <v>0</v>
      </c>
      <c r="C4200" t="s">
        <v>11482</v>
      </c>
      <c r="D4200" s="940" t="s">
        <v>7152</v>
      </c>
      <c r="E4200" t="s">
        <v>1182</v>
      </c>
    </row>
    <row r="4201" spans="1:5" x14ac:dyDescent="0.2">
      <c r="A4201" s="940">
        <v>4081</v>
      </c>
      <c r="B4201" s="940">
        <v>2</v>
      </c>
      <c r="C4201" t="s">
        <v>11483</v>
      </c>
      <c r="D4201" s="940" t="s">
        <v>3838</v>
      </c>
      <c r="E4201" t="s">
        <v>120</v>
      </c>
    </row>
    <row r="4202" spans="1:5" x14ac:dyDescent="0.2">
      <c r="A4202" s="940">
        <v>2745</v>
      </c>
      <c r="B4202" s="940">
        <v>35</v>
      </c>
      <c r="C4202" t="s">
        <v>11484</v>
      </c>
      <c r="D4202" s="940" t="s">
        <v>11485</v>
      </c>
      <c r="E4202" t="s">
        <v>1372</v>
      </c>
    </row>
    <row r="4203" spans="1:5" x14ac:dyDescent="0.2">
      <c r="A4203" s="940">
        <v>135</v>
      </c>
      <c r="B4203" s="940">
        <v>1028</v>
      </c>
      <c r="C4203" t="s">
        <v>8181</v>
      </c>
      <c r="D4203" s="940" t="s">
        <v>8182</v>
      </c>
      <c r="E4203" t="s">
        <v>4679</v>
      </c>
    </row>
    <row r="4204" spans="1:5" x14ac:dyDescent="0.2">
      <c r="A4204" s="940">
        <v>2630</v>
      </c>
      <c r="B4204" s="940">
        <v>40</v>
      </c>
      <c r="C4204" t="s">
        <v>8184</v>
      </c>
      <c r="D4204" s="940" t="s">
        <v>5186</v>
      </c>
      <c r="E4204" t="s">
        <v>128</v>
      </c>
    </row>
    <row r="4205" spans="1:5" x14ac:dyDescent="0.2">
      <c r="A4205" s="940">
        <v>4294</v>
      </c>
      <c r="B4205" s="940">
        <v>0</v>
      </c>
      <c r="C4205" t="s">
        <v>11486</v>
      </c>
      <c r="D4205" s="940" t="s">
        <v>11487</v>
      </c>
      <c r="E4205" t="s">
        <v>1236</v>
      </c>
    </row>
    <row r="4206" spans="1:5" x14ac:dyDescent="0.2">
      <c r="A4206" s="940">
        <v>2353</v>
      </c>
      <c r="B4206" s="940">
        <v>58</v>
      </c>
      <c r="C4206" t="s">
        <v>11488</v>
      </c>
      <c r="D4206" s="940" t="s">
        <v>3164</v>
      </c>
      <c r="E4206" t="s">
        <v>163</v>
      </c>
    </row>
    <row r="4207" spans="1:5" x14ac:dyDescent="0.2">
      <c r="A4207" s="940">
        <v>3446</v>
      </c>
      <c r="B4207" s="940">
        <v>11</v>
      </c>
      <c r="C4207" t="s">
        <v>8185</v>
      </c>
      <c r="D4207" s="940" t="s">
        <v>7380</v>
      </c>
      <c r="E4207" t="s">
        <v>1248</v>
      </c>
    </row>
    <row r="4208" spans="1:5" x14ac:dyDescent="0.2">
      <c r="A4208" s="940">
        <v>3796</v>
      </c>
      <c r="B4208" s="940">
        <v>5</v>
      </c>
      <c r="C4208" t="s">
        <v>8185</v>
      </c>
      <c r="D4208" s="940" t="s">
        <v>3250</v>
      </c>
      <c r="E4208" t="s">
        <v>120</v>
      </c>
    </row>
    <row r="4209" spans="1:5" x14ac:dyDescent="0.2">
      <c r="A4209" s="940">
        <v>3796</v>
      </c>
      <c r="B4209" s="940">
        <v>5</v>
      </c>
      <c r="C4209" t="s">
        <v>8186</v>
      </c>
      <c r="D4209" s="940" t="s">
        <v>2888</v>
      </c>
      <c r="E4209" t="s">
        <v>1939</v>
      </c>
    </row>
    <row r="4210" spans="1:5" x14ac:dyDescent="0.2">
      <c r="A4210" s="940">
        <v>494</v>
      </c>
      <c r="B4210" s="940">
        <v>558</v>
      </c>
      <c r="C4210" t="s">
        <v>8187</v>
      </c>
      <c r="D4210" s="940" t="s">
        <v>8188</v>
      </c>
      <c r="E4210" t="s">
        <v>1232</v>
      </c>
    </row>
    <row r="4211" spans="1:5" x14ac:dyDescent="0.2">
      <c r="A4211" s="940">
        <v>3250</v>
      </c>
      <c r="B4211" s="940">
        <v>16</v>
      </c>
      <c r="C4211" t="s">
        <v>11489</v>
      </c>
      <c r="D4211" s="940" t="s">
        <v>10632</v>
      </c>
      <c r="E4211" t="s">
        <v>1856</v>
      </c>
    </row>
    <row r="4212" spans="1:5" x14ac:dyDescent="0.2">
      <c r="A4212" s="940">
        <v>429</v>
      </c>
      <c r="B4212" s="940">
        <v>614</v>
      </c>
      <c r="C4212" t="s">
        <v>11490</v>
      </c>
      <c r="D4212" s="940" t="s">
        <v>11491</v>
      </c>
      <c r="E4212" t="s">
        <v>11492</v>
      </c>
    </row>
    <row r="4213" spans="1:5" x14ac:dyDescent="0.2">
      <c r="A4213" s="940">
        <v>2915</v>
      </c>
      <c r="B4213" s="940">
        <v>27</v>
      </c>
      <c r="C4213" t="s">
        <v>8189</v>
      </c>
      <c r="D4213" s="940" t="s">
        <v>4633</v>
      </c>
      <c r="E4213" t="s">
        <v>1609</v>
      </c>
    </row>
    <row r="4214" spans="1:5" x14ac:dyDescent="0.2">
      <c r="A4214" s="940">
        <v>4294</v>
      </c>
      <c r="B4214" s="940">
        <v>0</v>
      </c>
      <c r="C4214" t="s">
        <v>8190</v>
      </c>
      <c r="D4214" s="940" t="s">
        <v>8191</v>
      </c>
      <c r="E4214" t="s">
        <v>1214</v>
      </c>
    </row>
    <row r="4215" spans="1:5" x14ac:dyDescent="0.2">
      <c r="A4215" s="940">
        <v>3972</v>
      </c>
      <c r="B4215" s="940">
        <v>3</v>
      </c>
      <c r="C4215" t="s">
        <v>8192</v>
      </c>
      <c r="D4215" s="940" t="s">
        <v>8193</v>
      </c>
      <c r="E4215" t="s">
        <v>1638</v>
      </c>
    </row>
    <row r="4216" spans="1:5" x14ac:dyDescent="0.2">
      <c r="A4216" s="940">
        <v>3655</v>
      </c>
      <c r="B4216" s="940">
        <v>7</v>
      </c>
      <c r="C4216" t="s">
        <v>8194</v>
      </c>
      <c r="D4216" s="940" t="s">
        <v>4091</v>
      </c>
      <c r="E4216" t="s">
        <v>120</v>
      </c>
    </row>
    <row r="4217" spans="1:5" x14ac:dyDescent="0.2">
      <c r="A4217" s="940">
        <v>2286</v>
      </c>
      <c r="B4217" s="940">
        <v>63</v>
      </c>
      <c r="C4217" t="s">
        <v>11493</v>
      </c>
      <c r="D4217" s="940" t="s">
        <v>11494</v>
      </c>
      <c r="E4217" t="s">
        <v>290</v>
      </c>
    </row>
    <row r="4218" spans="1:5" x14ac:dyDescent="0.2">
      <c r="A4218" s="940">
        <v>4294</v>
      </c>
      <c r="B4218" s="940">
        <v>0</v>
      </c>
      <c r="C4218" t="s">
        <v>11495</v>
      </c>
      <c r="D4218" s="940" t="s">
        <v>5857</v>
      </c>
      <c r="E4218" t="s">
        <v>1590</v>
      </c>
    </row>
    <row r="4219" spans="1:5" x14ac:dyDescent="0.2">
      <c r="A4219" s="940">
        <v>4294</v>
      </c>
      <c r="B4219" s="940">
        <v>0</v>
      </c>
      <c r="C4219" t="s">
        <v>8195</v>
      </c>
      <c r="D4219" s="940" t="s">
        <v>2753</v>
      </c>
      <c r="E4219" t="s">
        <v>2549</v>
      </c>
    </row>
    <row r="4220" spans="1:5" x14ac:dyDescent="0.2">
      <c r="A4220" s="940">
        <v>4294</v>
      </c>
      <c r="B4220" s="940">
        <v>0</v>
      </c>
      <c r="C4220" t="s">
        <v>11496</v>
      </c>
      <c r="D4220" s="940" t="s">
        <v>11497</v>
      </c>
      <c r="E4220" t="s">
        <v>2549</v>
      </c>
    </row>
    <row r="4221" spans="1:5" x14ac:dyDescent="0.2">
      <c r="A4221" s="940">
        <v>4294</v>
      </c>
      <c r="B4221" s="940">
        <v>0</v>
      </c>
      <c r="C4221" t="s">
        <v>11498</v>
      </c>
      <c r="D4221" s="940" t="s">
        <v>9594</v>
      </c>
      <c r="E4221" t="s">
        <v>120</v>
      </c>
    </row>
    <row r="4222" spans="1:5" x14ac:dyDescent="0.2">
      <c r="A4222" s="940">
        <v>1182</v>
      </c>
      <c r="B4222" s="940">
        <v>217</v>
      </c>
      <c r="C4222" t="s">
        <v>8196</v>
      </c>
      <c r="D4222" s="940" t="s">
        <v>8197</v>
      </c>
      <c r="E4222" t="s">
        <v>2525</v>
      </c>
    </row>
    <row r="4223" spans="1:5" x14ac:dyDescent="0.2">
      <c r="A4223" s="940">
        <v>4294</v>
      </c>
      <c r="B4223" s="940">
        <v>0</v>
      </c>
      <c r="C4223" t="s">
        <v>11499</v>
      </c>
      <c r="D4223" s="940" t="s">
        <v>5500</v>
      </c>
      <c r="E4223" t="s">
        <v>213</v>
      </c>
    </row>
    <row r="4224" spans="1:5" x14ac:dyDescent="0.2">
      <c r="A4224" s="940">
        <v>3048</v>
      </c>
      <c r="B4224" s="940">
        <v>22</v>
      </c>
      <c r="C4224" t="s">
        <v>8198</v>
      </c>
      <c r="D4224" s="940" t="s">
        <v>6621</v>
      </c>
      <c r="E4224" t="s">
        <v>111</v>
      </c>
    </row>
    <row r="4225" spans="1:5" x14ac:dyDescent="0.2">
      <c r="A4225" s="940">
        <v>4181</v>
      </c>
      <c r="B4225" s="940">
        <v>1</v>
      </c>
      <c r="C4225" t="s">
        <v>11500</v>
      </c>
      <c r="D4225" s="940" t="s">
        <v>10279</v>
      </c>
      <c r="E4225" t="s">
        <v>1491</v>
      </c>
    </row>
    <row r="4226" spans="1:5" x14ac:dyDescent="0.2">
      <c r="A4226" s="940">
        <v>4294</v>
      </c>
      <c r="B4226" s="940">
        <v>0</v>
      </c>
      <c r="C4226" t="s">
        <v>8199</v>
      </c>
      <c r="D4226" s="940" t="s">
        <v>3731</v>
      </c>
      <c r="E4226" t="s">
        <v>1491</v>
      </c>
    </row>
    <row r="4227" spans="1:5" x14ac:dyDescent="0.2">
      <c r="A4227" s="940">
        <v>714</v>
      </c>
      <c r="B4227" s="940">
        <v>399</v>
      </c>
      <c r="C4227" t="s">
        <v>11501</v>
      </c>
      <c r="D4227" s="940" t="s">
        <v>11502</v>
      </c>
      <c r="E4227" t="s">
        <v>83</v>
      </c>
    </row>
    <row r="4228" spans="1:5" x14ac:dyDescent="0.2">
      <c r="A4228" s="940">
        <v>3250</v>
      </c>
      <c r="B4228" s="940">
        <v>16</v>
      </c>
      <c r="C4228" t="s">
        <v>8200</v>
      </c>
      <c r="D4228" s="940" t="s">
        <v>3077</v>
      </c>
      <c r="E4228" t="s">
        <v>113</v>
      </c>
    </row>
    <row r="4229" spans="1:5" x14ac:dyDescent="0.2">
      <c r="A4229" s="940">
        <v>4081</v>
      </c>
      <c r="B4229" s="940">
        <v>2</v>
      </c>
      <c r="C4229" t="s">
        <v>8201</v>
      </c>
      <c r="D4229" s="940" t="s">
        <v>3043</v>
      </c>
      <c r="E4229" t="s">
        <v>4104</v>
      </c>
    </row>
    <row r="4230" spans="1:5" x14ac:dyDescent="0.2">
      <c r="A4230" s="940">
        <v>4294</v>
      </c>
      <c r="B4230" s="940">
        <v>0</v>
      </c>
      <c r="C4230" t="s">
        <v>11503</v>
      </c>
      <c r="D4230" s="940" t="s">
        <v>4870</v>
      </c>
      <c r="E4230" t="s">
        <v>4395</v>
      </c>
    </row>
    <row r="4231" spans="1:5" x14ac:dyDescent="0.2">
      <c r="A4231" s="940">
        <v>2915</v>
      </c>
      <c r="B4231" s="940">
        <v>27</v>
      </c>
      <c r="C4231" t="s">
        <v>2231</v>
      </c>
      <c r="D4231" s="940" t="s">
        <v>11504</v>
      </c>
      <c r="E4231" t="s">
        <v>117</v>
      </c>
    </row>
    <row r="4232" spans="1:5" x14ac:dyDescent="0.2">
      <c r="A4232" s="940">
        <v>2115</v>
      </c>
      <c r="B4232" s="940">
        <v>76</v>
      </c>
      <c r="C4232" t="s">
        <v>2234</v>
      </c>
      <c r="D4232" s="940" t="s">
        <v>8204</v>
      </c>
      <c r="E4232" t="s">
        <v>1200</v>
      </c>
    </row>
    <row r="4233" spans="1:5" x14ac:dyDescent="0.2">
      <c r="A4233" s="940">
        <v>2218</v>
      </c>
      <c r="B4233" s="940">
        <v>68</v>
      </c>
      <c r="C4233" t="s">
        <v>2235</v>
      </c>
      <c r="D4233" s="940" t="s">
        <v>8205</v>
      </c>
      <c r="E4233" t="s">
        <v>1214</v>
      </c>
    </row>
    <row r="4234" spans="1:5" x14ac:dyDescent="0.2">
      <c r="A4234" s="940">
        <v>2042</v>
      </c>
      <c r="B4234" s="940">
        <v>82</v>
      </c>
      <c r="C4234" t="s">
        <v>8206</v>
      </c>
      <c r="D4234" s="940" t="s">
        <v>8207</v>
      </c>
      <c r="E4234" t="s">
        <v>120</v>
      </c>
    </row>
    <row r="4235" spans="1:5" x14ac:dyDescent="0.2">
      <c r="A4235" s="940">
        <v>1100</v>
      </c>
      <c r="B4235" s="940">
        <v>241</v>
      </c>
      <c r="C4235" t="s">
        <v>11505</v>
      </c>
      <c r="D4235" s="940" t="s">
        <v>5352</v>
      </c>
      <c r="E4235" t="s">
        <v>72</v>
      </c>
    </row>
    <row r="4236" spans="1:5" x14ac:dyDescent="0.2">
      <c r="A4236" s="940">
        <v>3732</v>
      </c>
      <c r="B4236" s="940">
        <v>6</v>
      </c>
      <c r="C4236" t="s">
        <v>11506</v>
      </c>
      <c r="D4236" s="940" t="s">
        <v>11507</v>
      </c>
      <c r="E4236" t="s">
        <v>1232</v>
      </c>
    </row>
    <row r="4237" spans="1:5" x14ac:dyDescent="0.2">
      <c r="A4237" s="940">
        <v>3732</v>
      </c>
      <c r="B4237" s="940">
        <v>6</v>
      </c>
      <c r="C4237" t="s">
        <v>8208</v>
      </c>
      <c r="D4237" s="940" t="s">
        <v>3299</v>
      </c>
      <c r="E4237" t="s">
        <v>120</v>
      </c>
    </row>
    <row r="4238" spans="1:5" x14ac:dyDescent="0.2">
      <c r="A4238" s="940">
        <v>4294</v>
      </c>
      <c r="B4238" s="940">
        <v>0</v>
      </c>
      <c r="C4238" t="s">
        <v>8209</v>
      </c>
      <c r="D4238" s="940" t="s">
        <v>6429</v>
      </c>
      <c r="E4238" t="s">
        <v>103</v>
      </c>
    </row>
    <row r="4239" spans="1:5" x14ac:dyDescent="0.2">
      <c r="A4239" s="940">
        <v>2409</v>
      </c>
      <c r="B4239" s="940">
        <v>54</v>
      </c>
      <c r="C4239" t="s">
        <v>11508</v>
      </c>
      <c r="D4239" s="940" t="s">
        <v>11509</v>
      </c>
      <c r="E4239" t="s">
        <v>163</v>
      </c>
    </row>
    <row r="4240" spans="1:5" x14ac:dyDescent="0.2">
      <c r="A4240" s="940">
        <v>3796</v>
      </c>
      <c r="B4240" s="940">
        <v>5</v>
      </c>
      <c r="C4240" t="s">
        <v>8210</v>
      </c>
      <c r="D4240" s="940" t="s">
        <v>5302</v>
      </c>
      <c r="E4240" t="s">
        <v>1236</v>
      </c>
    </row>
    <row r="4241" spans="1:5" x14ac:dyDescent="0.2">
      <c r="A4241" s="940">
        <v>4294</v>
      </c>
      <c r="B4241" s="940">
        <v>0</v>
      </c>
      <c r="C4241" t="s">
        <v>8211</v>
      </c>
      <c r="D4241" s="940" t="s">
        <v>5248</v>
      </c>
      <c r="E4241" t="s">
        <v>1311</v>
      </c>
    </row>
    <row r="4242" spans="1:5" x14ac:dyDescent="0.2">
      <c r="A4242" s="940">
        <v>4294</v>
      </c>
      <c r="B4242" s="940">
        <v>0</v>
      </c>
      <c r="C4242" t="s">
        <v>11510</v>
      </c>
      <c r="D4242" s="940" t="s">
        <v>11511</v>
      </c>
      <c r="E4242" t="s">
        <v>6555</v>
      </c>
    </row>
    <row r="4243" spans="1:5" x14ac:dyDescent="0.2">
      <c r="A4243" s="940">
        <v>589</v>
      </c>
      <c r="B4243" s="940">
        <v>479</v>
      </c>
      <c r="C4243" t="s">
        <v>2236</v>
      </c>
      <c r="D4243" s="940" t="s">
        <v>8212</v>
      </c>
      <c r="E4243" t="s">
        <v>2237</v>
      </c>
    </row>
    <row r="4244" spans="1:5" x14ac:dyDescent="0.2">
      <c r="A4244" s="940">
        <v>2180</v>
      </c>
      <c r="B4244" s="940">
        <v>71</v>
      </c>
      <c r="C4244" t="s">
        <v>8213</v>
      </c>
      <c r="D4244" s="940" t="s">
        <v>8214</v>
      </c>
      <c r="E4244" t="s">
        <v>99</v>
      </c>
    </row>
    <row r="4245" spans="1:5" x14ac:dyDescent="0.2">
      <c r="A4245" s="940">
        <v>4294</v>
      </c>
      <c r="B4245" s="940">
        <v>0</v>
      </c>
      <c r="C4245" t="s">
        <v>8215</v>
      </c>
      <c r="D4245" s="940" t="s">
        <v>8216</v>
      </c>
      <c r="E4245" t="s">
        <v>8217</v>
      </c>
    </row>
    <row r="4246" spans="1:5" x14ac:dyDescent="0.2">
      <c r="A4246" s="940">
        <v>1252</v>
      </c>
      <c r="B4246" s="940">
        <v>193</v>
      </c>
      <c r="C4246" t="s">
        <v>2238</v>
      </c>
      <c r="D4246" s="940" t="s">
        <v>4068</v>
      </c>
      <c r="E4246" t="s">
        <v>113</v>
      </c>
    </row>
    <row r="4247" spans="1:5" x14ac:dyDescent="0.2">
      <c r="A4247" s="940">
        <v>243</v>
      </c>
      <c r="B4247" s="940">
        <v>846</v>
      </c>
      <c r="C4247" t="s">
        <v>8218</v>
      </c>
      <c r="D4247" s="940" t="s">
        <v>8219</v>
      </c>
      <c r="E4247" t="s">
        <v>113</v>
      </c>
    </row>
    <row r="4248" spans="1:5" x14ac:dyDescent="0.2">
      <c r="A4248" s="940">
        <v>3358</v>
      </c>
      <c r="B4248" s="940">
        <v>13</v>
      </c>
      <c r="C4248" t="s">
        <v>8220</v>
      </c>
      <c r="D4248" s="940" t="s">
        <v>5356</v>
      </c>
      <c r="E4248" t="s">
        <v>120</v>
      </c>
    </row>
    <row r="4249" spans="1:5" x14ac:dyDescent="0.2">
      <c r="A4249" s="940">
        <v>1359</v>
      </c>
      <c r="B4249" s="940">
        <v>170</v>
      </c>
      <c r="C4249" t="s">
        <v>337</v>
      </c>
      <c r="D4249" s="940" t="s">
        <v>4423</v>
      </c>
      <c r="E4249" t="s">
        <v>1214</v>
      </c>
    </row>
    <row r="4250" spans="1:5" x14ac:dyDescent="0.2">
      <c r="A4250" s="940">
        <v>352</v>
      </c>
      <c r="B4250" s="940">
        <v>696</v>
      </c>
      <c r="C4250" t="s">
        <v>11512</v>
      </c>
      <c r="D4250" s="940" t="s">
        <v>11513</v>
      </c>
      <c r="E4250" t="s">
        <v>1332</v>
      </c>
    </row>
    <row r="4251" spans="1:5" x14ac:dyDescent="0.2">
      <c r="A4251" s="940">
        <v>2475</v>
      </c>
      <c r="B4251" s="940">
        <v>49</v>
      </c>
      <c r="C4251" t="s">
        <v>746</v>
      </c>
      <c r="D4251" s="940" t="s">
        <v>8227</v>
      </c>
      <c r="E4251" t="s">
        <v>128</v>
      </c>
    </row>
    <row r="4252" spans="1:5" x14ac:dyDescent="0.2">
      <c r="A4252" s="940">
        <v>3402</v>
      </c>
      <c r="B4252" s="940">
        <v>12</v>
      </c>
      <c r="C4252" t="s">
        <v>8228</v>
      </c>
      <c r="D4252" s="940" t="s">
        <v>8081</v>
      </c>
      <c r="E4252" t="s">
        <v>103</v>
      </c>
    </row>
    <row r="4253" spans="1:5" x14ac:dyDescent="0.2">
      <c r="A4253" s="940">
        <v>4294</v>
      </c>
      <c r="B4253" s="940">
        <v>0</v>
      </c>
      <c r="C4253" t="s">
        <v>8229</v>
      </c>
      <c r="D4253" s="940" t="s">
        <v>3739</v>
      </c>
      <c r="E4253" t="s">
        <v>1236</v>
      </c>
    </row>
    <row r="4254" spans="1:5" x14ac:dyDescent="0.2">
      <c r="A4254" s="940">
        <v>2833</v>
      </c>
      <c r="B4254" s="940">
        <v>31</v>
      </c>
      <c r="C4254" t="s">
        <v>8230</v>
      </c>
      <c r="D4254" s="940" t="s">
        <v>2714</v>
      </c>
      <c r="E4254" t="s">
        <v>8231</v>
      </c>
    </row>
    <row r="4255" spans="1:5" x14ac:dyDescent="0.2">
      <c r="A4255" s="940">
        <v>825</v>
      </c>
      <c r="B4255" s="940">
        <v>350</v>
      </c>
      <c r="C4255" t="s">
        <v>8232</v>
      </c>
      <c r="D4255" s="940" t="s">
        <v>8233</v>
      </c>
      <c r="E4255" t="s">
        <v>105</v>
      </c>
    </row>
    <row r="4256" spans="1:5" x14ac:dyDescent="0.2">
      <c r="A4256" s="940">
        <v>4294</v>
      </c>
      <c r="B4256" s="940">
        <v>0</v>
      </c>
      <c r="C4256" t="s">
        <v>8234</v>
      </c>
      <c r="D4256" s="940" t="s">
        <v>5098</v>
      </c>
      <c r="E4256" t="s">
        <v>2846</v>
      </c>
    </row>
    <row r="4257" spans="1:5" x14ac:dyDescent="0.2">
      <c r="A4257" s="940">
        <v>1403</v>
      </c>
      <c r="B4257" s="940">
        <v>161</v>
      </c>
      <c r="C4257" t="s">
        <v>11514</v>
      </c>
      <c r="D4257" s="940" t="s">
        <v>9714</v>
      </c>
      <c r="E4257" t="s">
        <v>113</v>
      </c>
    </row>
    <row r="4258" spans="1:5" x14ac:dyDescent="0.2">
      <c r="A4258" s="940">
        <v>567</v>
      </c>
      <c r="B4258" s="940">
        <v>493</v>
      </c>
      <c r="C4258" t="s">
        <v>8237</v>
      </c>
      <c r="D4258" s="940" t="s">
        <v>8238</v>
      </c>
      <c r="E4258" t="s">
        <v>1524</v>
      </c>
    </row>
    <row r="4259" spans="1:5" x14ac:dyDescent="0.2">
      <c r="A4259" s="940">
        <v>815</v>
      </c>
      <c r="B4259" s="940">
        <v>354</v>
      </c>
      <c r="C4259" t="s">
        <v>11515</v>
      </c>
      <c r="D4259" s="940" t="s">
        <v>11516</v>
      </c>
      <c r="E4259" t="s">
        <v>290</v>
      </c>
    </row>
    <row r="4260" spans="1:5" x14ac:dyDescent="0.2">
      <c r="A4260" s="940">
        <v>683</v>
      </c>
      <c r="B4260" s="940">
        <v>413</v>
      </c>
      <c r="C4260" t="s">
        <v>8240</v>
      </c>
      <c r="D4260" s="940" t="s">
        <v>8241</v>
      </c>
      <c r="E4260" t="s">
        <v>142</v>
      </c>
    </row>
    <row r="4261" spans="1:5" x14ac:dyDescent="0.2">
      <c r="A4261" s="940">
        <v>3446</v>
      </c>
      <c r="B4261" s="940">
        <v>11</v>
      </c>
      <c r="C4261" t="s">
        <v>8240</v>
      </c>
      <c r="D4261" s="940" t="s">
        <v>5442</v>
      </c>
      <c r="E4261" t="s">
        <v>83</v>
      </c>
    </row>
    <row r="4262" spans="1:5" x14ac:dyDescent="0.2">
      <c r="A4262" s="940">
        <v>4081</v>
      </c>
      <c r="B4262" s="940">
        <v>2</v>
      </c>
      <c r="C4262" t="s">
        <v>11517</v>
      </c>
      <c r="D4262" s="940" t="s">
        <v>6499</v>
      </c>
      <c r="E4262" t="s">
        <v>110</v>
      </c>
    </row>
    <row r="4263" spans="1:5" x14ac:dyDescent="0.2">
      <c r="A4263" s="940">
        <v>4294</v>
      </c>
      <c r="B4263" s="940">
        <v>0</v>
      </c>
      <c r="C4263" t="s">
        <v>11518</v>
      </c>
      <c r="D4263" s="940" t="s">
        <v>4487</v>
      </c>
      <c r="E4263" t="s">
        <v>120</v>
      </c>
    </row>
    <row r="4264" spans="1:5" x14ac:dyDescent="0.2">
      <c r="A4264" s="940">
        <v>4294</v>
      </c>
      <c r="B4264" s="940">
        <v>0</v>
      </c>
      <c r="C4264" t="s">
        <v>8244</v>
      </c>
      <c r="D4264" s="940" t="s">
        <v>8245</v>
      </c>
      <c r="E4264" t="s">
        <v>105</v>
      </c>
    </row>
    <row r="4265" spans="1:5" x14ac:dyDescent="0.2">
      <c r="A4265" s="940">
        <v>196</v>
      </c>
      <c r="B4265" s="940">
        <v>921</v>
      </c>
      <c r="C4265" t="s">
        <v>8246</v>
      </c>
      <c r="D4265" s="940" t="s">
        <v>8247</v>
      </c>
      <c r="E4265" t="s">
        <v>74</v>
      </c>
    </row>
    <row r="4266" spans="1:5" x14ac:dyDescent="0.2">
      <c r="A4266" s="940">
        <v>3732</v>
      </c>
      <c r="B4266" s="940">
        <v>6</v>
      </c>
      <c r="C4266" t="s">
        <v>8246</v>
      </c>
      <c r="D4266" s="940" t="s">
        <v>11519</v>
      </c>
      <c r="E4266" t="s">
        <v>105</v>
      </c>
    </row>
    <row r="4267" spans="1:5" x14ac:dyDescent="0.2">
      <c r="A4267" s="940">
        <v>4294</v>
      </c>
      <c r="B4267" s="940">
        <v>0</v>
      </c>
      <c r="C4267" t="s">
        <v>11520</v>
      </c>
      <c r="D4267" s="940" t="s">
        <v>10815</v>
      </c>
      <c r="E4267" t="s">
        <v>104</v>
      </c>
    </row>
    <row r="4268" spans="1:5" x14ac:dyDescent="0.2">
      <c r="A4268" s="940">
        <v>2083</v>
      </c>
      <c r="B4268" s="940">
        <v>79</v>
      </c>
      <c r="C4268" t="s">
        <v>2241</v>
      </c>
      <c r="D4268" s="940" t="s">
        <v>3154</v>
      </c>
      <c r="E4268" t="s">
        <v>104</v>
      </c>
    </row>
    <row r="4269" spans="1:5" x14ac:dyDescent="0.2">
      <c r="A4269" s="940">
        <v>4294</v>
      </c>
      <c r="B4269" s="940">
        <v>0</v>
      </c>
      <c r="C4269" t="s">
        <v>2241</v>
      </c>
      <c r="D4269" s="940" t="s">
        <v>4046</v>
      </c>
      <c r="E4269" t="s">
        <v>105</v>
      </c>
    </row>
    <row r="4270" spans="1:5" x14ac:dyDescent="0.2">
      <c r="A4270" s="940">
        <v>2096</v>
      </c>
      <c r="B4270" s="940">
        <v>78</v>
      </c>
      <c r="C4270" t="s">
        <v>8250</v>
      </c>
      <c r="D4270" s="940" t="s">
        <v>8251</v>
      </c>
      <c r="E4270" t="s">
        <v>1248</v>
      </c>
    </row>
    <row r="4271" spans="1:5" x14ac:dyDescent="0.2">
      <c r="A4271" s="940">
        <v>4294</v>
      </c>
      <c r="B4271" s="940">
        <v>0</v>
      </c>
      <c r="C4271" t="s">
        <v>8252</v>
      </c>
      <c r="D4271" s="940" t="s">
        <v>8249</v>
      </c>
      <c r="E4271" t="s">
        <v>164</v>
      </c>
    </row>
    <row r="4272" spans="1:5" x14ac:dyDescent="0.2">
      <c r="A4272" s="940">
        <v>26</v>
      </c>
      <c r="B4272" s="940">
        <v>1435</v>
      </c>
      <c r="C4272" t="s">
        <v>8253</v>
      </c>
      <c r="D4272" s="940" t="s">
        <v>8254</v>
      </c>
      <c r="E4272" t="s">
        <v>120</v>
      </c>
    </row>
    <row r="4273" spans="1:5" x14ac:dyDescent="0.2">
      <c r="A4273" s="940">
        <v>4081</v>
      </c>
      <c r="B4273" s="940">
        <v>2</v>
      </c>
      <c r="C4273" t="s">
        <v>8255</v>
      </c>
      <c r="D4273" s="940" t="s">
        <v>8256</v>
      </c>
      <c r="E4273" t="s">
        <v>130</v>
      </c>
    </row>
    <row r="4274" spans="1:5" x14ac:dyDescent="0.2">
      <c r="A4274" s="940">
        <v>481</v>
      </c>
      <c r="B4274" s="940">
        <v>571</v>
      </c>
      <c r="C4274" t="s">
        <v>8257</v>
      </c>
      <c r="D4274" s="940" t="s">
        <v>8258</v>
      </c>
      <c r="E4274" t="s">
        <v>120</v>
      </c>
    </row>
    <row r="4275" spans="1:5" x14ac:dyDescent="0.2">
      <c r="A4275" s="940">
        <v>2691</v>
      </c>
      <c r="B4275" s="940">
        <v>37</v>
      </c>
      <c r="C4275" t="s">
        <v>11521</v>
      </c>
      <c r="D4275" s="940" t="s">
        <v>8290</v>
      </c>
      <c r="E4275" t="s">
        <v>163</v>
      </c>
    </row>
    <row r="4276" spans="1:5" x14ac:dyDescent="0.2">
      <c r="A4276" s="940">
        <v>1714</v>
      </c>
      <c r="B4276" s="940">
        <v>116</v>
      </c>
      <c r="C4276" t="s">
        <v>8261</v>
      </c>
      <c r="D4276" s="940" t="s">
        <v>8262</v>
      </c>
      <c r="E4276" t="s">
        <v>2880</v>
      </c>
    </row>
    <row r="4277" spans="1:5" x14ac:dyDescent="0.2">
      <c r="A4277" s="940">
        <v>2067</v>
      </c>
      <c r="B4277" s="940">
        <v>80</v>
      </c>
      <c r="C4277" t="s">
        <v>8263</v>
      </c>
      <c r="D4277" s="940" t="s">
        <v>5062</v>
      </c>
      <c r="E4277" t="s">
        <v>147</v>
      </c>
    </row>
    <row r="4278" spans="1:5" x14ac:dyDescent="0.2">
      <c r="A4278" s="940">
        <v>528</v>
      </c>
      <c r="B4278" s="940">
        <v>520</v>
      </c>
      <c r="C4278" t="s">
        <v>8264</v>
      </c>
      <c r="D4278" s="940" t="s">
        <v>8265</v>
      </c>
      <c r="E4278" t="s">
        <v>120</v>
      </c>
    </row>
    <row r="4279" spans="1:5" x14ac:dyDescent="0.2">
      <c r="A4279" s="940">
        <v>4081</v>
      </c>
      <c r="B4279" s="940">
        <v>2</v>
      </c>
      <c r="C4279" t="s">
        <v>8266</v>
      </c>
      <c r="D4279" s="940" t="s">
        <v>2837</v>
      </c>
      <c r="E4279" t="s">
        <v>1236</v>
      </c>
    </row>
    <row r="4280" spans="1:5" x14ac:dyDescent="0.2">
      <c r="A4280" s="940">
        <v>1766</v>
      </c>
      <c r="B4280" s="940">
        <v>109</v>
      </c>
      <c r="C4280" t="s">
        <v>2242</v>
      </c>
      <c r="D4280" s="940" t="s">
        <v>5859</v>
      </c>
      <c r="E4280" t="s">
        <v>1522</v>
      </c>
    </row>
    <row r="4281" spans="1:5" x14ac:dyDescent="0.2">
      <c r="A4281" s="940">
        <v>2745</v>
      </c>
      <c r="B4281" s="940">
        <v>35</v>
      </c>
      <c r="C4281" t="s">
        <v>2578</v>
      </c>
      <c r="D4281" s="940" t="s">
        <v>3882</v>
      </c>
      <c r="E4281" t="s">
        <v>1483</v>
      </c>
    </row>
    <row r="4282" spans="1:5" x14ac:dyDescent="0.2">
      <c r="A4282" s="940">
        <v>2794</v>
      </c>
      <c r="B4282" s="940">
        <v>33</v>
      </c>
      <c r="C4282" t="s">
        <v>8267</v>
      </c>
      <c r="D4282" s="940" t="s">
        <v>2906</v>
      </c>
      <c r="E4282" t="s">
        <v>4373</v>
      </c>
    </row>
    <row r="4283" spans="1:5" x14ac:dyDescent="0.2">
      <c r="A4283" s="940">
        <v>4294</v>
      </c>
      <c r="B4283" s="940">
        <v>0</v>
      </c>
      <c r="C4283" t="s">
        <v>8268</v>
      </c>
      <c r="D4283" s="940" t="s">
        <v>7995</v>
      </c>
      <c r="E4283" t="s">
        <v>74</v>
      </c>
    </row>
    <row r="4284" spans="1:5" x14ac:dyDescent="0.2">
      <c r="A4284" s="940">
        <v>2592</v>
      </c>
      <c r="B4284" s="940">
        <v>42</v>
      </c>
      <c r="C4284" t="s">
        <v>2579</v>
      </c>
      <c r="D4284" s="940" t="s">
        <v>8269</v>
      </c>
      <c r="E4284" t="s">
        <v>83</v>
      </c>
    </row>
    <row r="4285" spans="1:5" x14ac:dyDescent="0.2">
      <c r="A4285" s="940">
        <v>4294</v>
      </c>
      <c r="B4285" s="940">
        <v>0</v>
      </c>
      <c r="C4285" t="s">
        <v>8270</v>
      </c>
      <c r="D4285" s="940" t="s">
        <v>8271</v>
      </c>
      <c r="E4285" t="s">
        <v>160</v>
      </c>
    </row>
    <row r="4286" spans="1:5" x14ac:dyDescent="0.2">
      <c r="A4286" s="940">
        <v>836</v>
      </c>
      <c r="B4286" s="940">
        <v>347</v>
      </c>
      <c r="C4286" t="s">
        <v>8272</v>
      </c>
      <c r="D4286" s="940" t="s">
        <v>8273</v>
      </c>
      <c r="E4286" t="s">
        <v>122</v>
      </c>
    </row>
    <row r="4287" spans="1:5" x14ac:dyDescent="0.2">
      <c r="A4287" s="940">
        <v>2207</v>
      </c>
      <c r="B4287" s="940">
        <v>69</v>
      </c>
      <c r="C4287" t="s">
        <v>2245</v>
      </c>
      <c r="D4287" s="940" t="s">
        <v>8274</v>
      </c>
      <c r="E4287" t="s">
        <v>1214</v>
      </c>
    </row>
    <row r="4288" spans="1:5" x14ac:dyDescent="0.2">
      <c r="A4288" s="940">
        <v>1676</v>
      </c>
      <c r="B4288" s="940">
        <v>120</v>
      </c>
      <c r="C4288" t="s">
        <v>8275</v>
      </c>
      <c r="D4288" s="940" t="s">
        <v>2991</v>
      </c>
      <c r="E4288" t="s">
        <v>1156</v>
      </c>
    </row>
    <row r="4289" spans="1:5" x14ac:dyDescent="0.2">
      <c r="A4289" s="940">
        <v>33</v>
      </c>
      <c r="B4289" s="940">
        <v>1409</v>
      </c>
      <c r="C4289" t="s">
        <v>8276</v>
      </c>
      <c r="D4289" s="940" t="s">
        <v>8277</v>
      </c>
      <c r="E4289" t="s">
        <v>120</v>
      </c>
    </row>
    <row r="4290" spans="1:5" x14ac:dyDescent="0.2">
      <c r="A4290" s="940">
        <v>1621</v>
      </c>
      <c r="B4290" s="940">
        <v>125</v>
      </c>
      <c r="C4290" t="s">
        <v>8278</v>
      </c>
      <c r="D4290" s="940" t="s">
        <v>8279</v>
      </c>
      <c r="E4290" t="s">
        <v>8280</v>
      </c>
    </row>
    <row r="4291" spans="1:5" x14ac:dyDescent="0.2">
      <c r="A4291" s="940">
        <v>4294</v>
      </c>
      <c r="B4291" s="940">
        <v>0</v>
      </c>
      <c r="C4291" t="s">
        <v>11522</v>
      </c>
      <c r="D4291" s="940" t="s">
        <v>11523</v>
      </c>
      <c r="E4291" t="s">
        <v>2558</v>
      </c>
    </row>
    <row r="4292" spans="1:5" x14ac:dyDescent="0.2">
      <c r="A4292" s="940">
        <v>171</v>
      </c>
      <c r="B4292" s="940">
        <v>955</v>
      </c>
      <c r="C4292" t="s">
        <v>8281</v>
      </c>
      <c r="D4292" s="940" t="s">
        <v>11524</v>
      </c>
      <c r="E4292" t="s">
        <v>72</v>
      </c>
    </row>
    <row r="4293" spans="1:5" x14ac:dyDescent="0.2">
      <c r="A4293" s="940">
        <v>2980</v>
      </c>
      <c r="B4293" s="940">
        <v>24</v>
      </c>
      <c r="C4293" t="s">
        <v>8281</v>
      </c>
      <c r="D4293" s="940" t="s">
        <v>4494</v>
      </c>
      <c r="E4293" t="s">
        <v>2558</v>
      </c>
    </row>
    <row r="4294" spans="1:5" x14ac:dyDescent="0.2">
      <c r="A4294" s="940">
        <v>4294</v>
      </c>
      <c r="B4294" s="940">
        <v>0</v>
      </c>
      <c r="C4294" t="s">
        <v>8282</v>
      </c>
      <c r="D4294" s="940" t="s">
        <v>8283</v>
      </c>
      <c r="E4294" t="s">
        <v>72</v>
      </c>
    </row>
    <row r="4295" spans="1:5" x14ac:dyDescent="0.2">
      <c r="A4295" s="940">
        <v>3796</v>
      </c>
      <c r="B4295" s="940">
        <v>5</v>
      </c>
      <c r="C4295" t="s">
        <v>11525</v>
      </c>
      <c r="D4295" s="940" t="s">
        <v>10124</v>
      </c>
      <c r="E4295" t="s">
        <v>105</v>
      </c>
    </row>
    <row r="4296" spans="1:5" x14ac:dyDescent="0.2">
      <c r="A4296" s="940">
        <v>3732</v>
      </c>
      <c r="B4296" s="940">
        <v>6</v>
      </c>
      <c r="C4296" t="s">
        <v>8284</v>
      </c>
      <c r="D4296" s="940" t="s">
        <v>3258</v>
      </c>
      <c r="E4296" t="s">
        <v>74</v>
      </c>
    </row>
    <row r="4297" spans="1:5" x14ac:dyDescent="0.2">
      <c r="A4297" s="940">
        <v>1766</v>
      </c>
      <c r="B4297" s="940">
        <v>109</v>
      </c>
      <c r="C4297" t="s">
        <v>2249</v>
      </c>
      <c r="D4297" s="940" t="s">
        <v>5778</v>
      </c>
      <c r="E4297" t="s">
        <v>120</v>
      </c>
    </row>
    <row r="4298" spans="1:5" x14ac:dyDescent="0.2">
      <c r="A4298" s="940">
        <v>3250</v>
      </c>
      <c r="B4298" s="940">
        <v>16</v>
      </c>
      <c r="C4298" t="s">
        <v>2250</v>
      </c>
      <c r="D4298" s="940" t="s">
        <v>3289</v>
      </c>
      <c r="E4298" t="s">
        <v>126</v>
      </c>
    </row>
    <row r="4299" spans="1:5" x14ac:dyDescent="0.2">
      <c r="A4299" s="940">
        <v>760</v>
      </c>
      <c r="B4299" s="940">
        <v>379</v>
      </c>
      <c r="C4299" t="s">
        <v>8287</v>
      </c>
      <c r="D4299" s="940" t="s">
        <v>8288</v>
      </c>
      <c r="E4299" t="s">
        <v>1158</v>
      </c>
    </row>
    <row r="4300" spans="1:5" x14ac:dyDescent="0.2">
      <c r="A4300" s="940">
        <v>2794</v>
      </c>
      <c r="B4300" s="940">
        <v>33</v>
      </c>
      <c r="C4300" t="s">
        <v>8289</v>
      </c>
      <c r="D4300" s="940" t="s">
        <v>4353</v>
      </c>
      <c r="E4300" t="s">
        <v>1158</v>
      </c>
    </row>
    <row r="4301" spans="1:5" x14ac:dyDescent="0.2">
      <c r="A4301" s="940">
        <v>3323</v>
      </c>
      <c r="B4301" s="940">
        <v>14</v>
      </c>
      <c r="C4301" t="s">
        <v>11526</v>
      </c>
      <c r="D4301" s="940" t="s">
        <v>9697</v>
      </c>
      <c r="E4301" t="s">
        <v>4674</v>
      </c>
    </row>
    <row r="4302" spans="1:5" x14ac:dyDescent="0.2">
      <c r="A4302" s="940">
        <v>996</v>
      </c>
      <c r="B4302" s="940">
        <v>279</v>
      </c>
      <c r="C4302" t="s">
        <v>2254</v>
      </c>
      <c r="D4302" s="940" t="s">
        <v>8290</v>
      </c>
      <c r="E4302" t="s">
        <v>72</v>
      </c>
    </row>
    <row r="4303" spans="1:5" x14ac:dyDescent="0.2">
      <c r="A4303" s="940">
        <v>1077</v>
      </c>
      <c r="B4303" s="940">
        <v>250</v>
      </c>
      <c r="C4303" t="s">
        <v>2580</v>
      </c>
      <c r="D4303" s="940" t="s">
        <v>8291</v>
      </c>
      <c r="E4303" t="s">
        <v>2550</v>
      </c>
    </row>
    <row r="4304" spans="1:5" x14ac:dyDescent="0.2">
      <c r="A4304" s="940">
        <v>4294</v>
      </c>
      <c r="B4304" s="940">
        <v>0</v>
      </c>
      <c r="C4304" t="s">
        <v>8293</v>
      </c>
      <c r="D4304" s="940" t="s">
        <v>5431</v>
      </c>
      <c r="E4304" t="s">
        <v>128</v>
      </c>
    </row>
    <row r="4305" spans="1:5" x14ac:dyDescent="0.2">
      <c r="A4305" s="940">
        <v>1912</v>
      </c>
      <c r="B4305" s="940">
        <v>94</v>
      </c>
      <c r="C4305" t="s">
        <v>11527</v>
      </c>
      <c r="D4305" s="940" t="s">
        <v>11398</v>
      </c>
      <c r="E4305" t="s">
        <v>661</v>
      </c>
    </row>
    <row r="4306" spans="1:5" x14ac:dyDescent="0.2">
      <c r="A4306" s="940">
        <v>4294</v>
      </c>
      <c r="B4306" s="940">
        <v>0</v>
      </c>
      <c r="C4306" t="s">
        <v>11528</v>
      </c>
      <c r="D4306" s="940" t="s">
        <v>5074</v>
      </c>
      <c r="E4306" t="s">
        <v>120</v>
      </c>
    </row>
    <row r="4307" spans="1:5" x14ac:dyDescent="0.2">
      <c r="A4307" s="940">
        <v>476</v>
      </c>
      <c r="B4307" s="940">
        <v>573</v>
      </c>
      <c r="C4307" t="s">
        <v>8294</v>
      </c>
      <c r="D4307" s="940" t="s">
        <v>8295</v>
      </c>
      <c r="E4307" t="s">
        <v>105</v>
      </c>
    </row>
    <row r="4308" spans="1:5" x14ac:dyDescent="0.2">
      <c r="A4308" s="940">
        <v>1306</v>
      </c>
      <c r="B4308" s="940">
        <v>183</v>
      </c>
      <c r="C4308" t="s">
        <v>2259</v>
      </c>
      <c r="D4308" s="940" t="s">
        <v>4930</v>
      </c>
      <c r="E4308" t="s">
        <v>105</v>
      </c>
    </row>
    <row r="4309" spans="1:5" x14ac:dyDescent="0.2">
      <c r="A4309" s="940">
        <v>3358</v>
      </c>
      <c r="B4309" s="940">
        <v>13</v>
      </c>
      <c r="C4309" t="s">
        <v>8296</v>
      </c>
      <c r="D4309" s="940" t="s">
        <v>8297</v>
      </c>
      <c r="E4309" t="s">
        <v>128</v>
      </c>
    </row>
    <row r="4310" spans="1:5" x14ac:dyDescent="0.2">
      <c r="A4310" s="940">
        <v>2630</v>
      </c>
      <c r="B4310" s="940">
        <v>40</v>
      </c>
      <c r="C4310" t="s">
        <v>8298</v>
      </c>
      <c r="D4310" s="940" t="s">
        <v>4125</v>
      </c>
      <c r="E4310" t="s">
        <v>1939</v>
      </c>
    </row>
    <row r="4311" spans="1:5" x14ac:dyDescent="0.2">
      <c r="A4311" s="940">
        <v>4294</v>
      </c>
      <c r="B4311" s="940">
        <v>0</v>
      </c>
      <c r="C4311" t="s">
        <v>8299</v>
      </c>
      <c r="D4311" s="940" t="s">
        <v>3773</v>
      </c>
      <c r="E4311" t="s">
        <v>99</v>
      </c>
    </row>
    <row r="4312" spans="1:5" x14ac:dyDescent="0.2">
      <c r="A4312" s="940">
        <v>540</v>
      </c>
      <c r="B4312" s="940">
        <v>512</v>
      </c>
      <c r="C4312" t="s">
        <v>8300</v>
      </c>
      <c r="D4312" s="940" t="s">
        <v>8301</v>
      </c>
      <c r="E4312" t="s">
        <v>1236</v>
      </c>
    </row>
    <row r="4313" spans="1:5" x14ac:dyDescent="0.2">
      <c r="A4313" s="940">
        <v>4294</v>
      </c>
      <c r="B4313" s="940">
        <v>0</v>
      </c>
      <c r="C4313" t="s">
        <v>8302</v>
      </c>
      <c r="D4313" s="940" t="s">
        <v>3594</v>
      </c>
      <c r="E4313" t="s">
        <v>168</v>
      </c>
    </row>
    <row r="4314" spans="1:5" x14ac:dyDescent="0.2">
      <c r="A4314" s="940">
        <v>1330</v>
      </c>
      <c r="B4314" s="940">
        <v>175</v>
      </c>
      <c r="C4314" t="s">
        <v>8303</v>
      </c>
      <c r="D4314" s="940" t="s">
        <v>2780</v>
      </c>
      <c r="E4314" t="s">
        <v>1171</v>
      </c>
    </row>
    <row r="4315" spans="1:5" x14ac:dyDescent="0.2">
      <c r="A4315" s="940">
        <v>4294</v>
      </c>
      <c r="B4315" s="940">
        <v>0</v>
      </c>
      <c r="C4315" t="s">
        <v>8304</v>
      </c>
      <c r="D4315" s="940" t="s">
        <v>8305</v>
      </c>
      <c r="E4315" t="s">
        <v>103</v>
      </c>
    </row>
    <row r="4316" spans="1:5" x14ac:dyDescent="0.2">
      <c r="A4316" s="940">
        <v>1594</v>
      </c>
      <c r="B4316" s="940">
        <v>129</v>
      </c>
      <c r="C4316" t="s">
        <v>11529</v>
      </c>
      <c r="D4316" s="940" t="s">
        <v>11530</v>
      </c>
      <c r="E4316" t="s">
        <v>3597</v>
      </c>
    </row>
    <row r="4317" spans="1:5" x14ac:dyDescent="0.2">
      <c r="A4317" s="940">
        <v>4294</v>
      </c>
      <c r="B4317" s="940">
        <v>0</v>
      </c>
      <c r="C4317" t="s">
        <v>8306</v>
      </c>
      <c r="D4317" s="940" t="s">
        <v>2753</v>
      </c>
      <c r="E4317" t="s">
        <v>251</v>
      </c>
    </row>
    <row r="4318" spans="1:5" x14ac:dyDescent="0.2">
      <c r="A4318" s="940">
        <v>3174</v>
      </c>
      <c r="B4318" s="940">
        <v>18</v>
      </c>
      <c r="C4318" t="s">
        <v>11531</v>
      </c>
      <c r="D4318" s="940" t="s">
        <v>10094</v>
      </c>
      <c r="E4318" t="s">
        <v>1460</v>
      </c>
    </row>
    <row r="4319" spans="1:5" x14ac:dyDescent="0.2">
      <c r="A4319" s="940">
        <v>1259</v>
      </c>
      <c r="B4319" s="940">
        <v>192</v>
      </c>
      <c r="C4319" t="s">
        <v>8307</v>
      </c>
      <c r="D4319" s="940" t="s">
        <v>8308</v>
      </c>
      <c r="E4319" t="s">
        <v>3951</v>
      </c>
    </row>
    <row r="4320" spans="1:5" x14ac:dyDescent="0.2">
      <c r="A4320" s="940">
        <v>4294</v>
      </c>
      <c r="B4320" s="940">
        <v>0</v>
      </c>
      <c r="C4320" t="s">
        <v>8309</v>
      </c>
      <c r="D4320" s="940" t="s">
        <v>8310</v>
      </c>
      <c r="E4320" t="s">
        <v>99</v>
      </c>
    </row>
    <row r="4321" spans="1:5" x14ac:dyDescent="0.2">
      <c r="A4321" s="940">
        <v>4081</v>
      </c>
      <c r="B4321" s="940">
        <v>2</v>
      </c>
      <c r="C4321" t="s">
        <v>11532</v>
      </c>
      <c r="D4321" s="940" t="s">
        <v>6621</v>
      </c>
      <c r="E4321" t="s">
        <v>1590</v>
      </c>
    </row>
    <row r="4322" spans="1:5" x14ac:dyDescent="0.2">
      <c r="A4322" s="940">
        <v>3972</v>
      </c>
      <c r="B4322" s="940">
        <v>3</v>
      </c>
      <c r="C4322" t="s">
        <v>8311</v>
      </c>
      <c r="D4322" s="940" t="s">
        <v>5983</v>
      </c>
      <c r="E4322" t="s">
        <v>4572</v>
      </c>
    </row>
    <row r="4323" spans="1:5" x14ac:dyDescent="0.2">
      <c r="A4323" s="940">
        <v>3483</v>
      </c>
      <c r="B4323" s="940">
        <v>10</v>
      </c>
      <c r="C4323" t="s">
        <v>8312</v>
      </c>
      <c r="D4323" s="940" t="s">
        <v>8313</v>
      </c>
      <c r="E4323" t="s">
        <v>1844</v>
      </c>
    </row>
    <row r="4324" spans="1:5" x14ac:dyDescent="0.2">
      <c r="A4324" s="940">
        <v>4294</v>
      </c>
      <c r="B4324" s="940">
        <v>0</v>
      </c>
      <c r="C4324" t="s">
        <v>11533</v>
      </c>
      <c r="D4324" s="940" t="s">
        <v>7191</v>
      </c>
      <c r="E4324" t="s">
        <v>142</v>
      </c>
    </row>
    <row r="4325" spans="1:5" x14ac:dyDescent="0.2">
      <c r="A4325" s="940">
        <v>4294</v>
      </c>
      <c r="B4325" s="940">
        <v>0</v>
      </c>
      <c r="C4325" t="s">
        <v>8314</v>
      </c>
      <c r="D4325" s="940" t="s">
        <v>8315</v>
      </c>
      <c r="E4325" t="s">
        <v>3066</v>
      </c>
    </row>
    <row r="4326" spans="1:5" x14ac:dyDescent="0.2">
      <c r="A4326" s="940">
        <v>2379</v>
      </c>
      <c r="B4326" s="940">
        <v>56</v>
      </c>
      <c r="C4326" t="s">
        <v>8316</v>
      </c>
      <c r="D4326" s="940" t="s">
        <v>2908</v>
      </c>
      <c r="E4326" t="s">
        <v>105</v>
      </c>
    </row>
    <row r="4327" spans="1:5" x14ac:dyDescent="0.2">
      <c r="A4327" s="940">
        <v>2101</v>
      </c>
      <c r="B4327" s="940">
        <v>77</v>
      </c>
      <c r="C4327" t="s">
        <v>11534</v>
      </c>
      <c r="D4327" s="940" t="s">
        <v>11535</v>
      </c>
      <c r="E4327" t="s">
        <v>3140</v>
      </c>
    </row>
    <row r="4328" spans="1:5" x14ac:dyDescent="0.2">
      <c r="A4328" s="940">
        <v>2980</v>
      </c>
      <c r="B4328" s="940">
        <v>24</v>
      </c>
      <c r="C4328" t="s">
        <v>8317</v>
      </c>
      <c r="D4328" s="940" t="s">
        <v>8034</v>
      </c>
      <c r="E4328" t="s">
        <v>105</v>
      </c>
    </row>
    <row r="4329" spans="1:5" x14ac:dyDescent="0.2">
      <c r="A4329" s="940">
        <v>3323</v>
      </c>
      <c r="B4329" s="940">
        <v>14</v>
      </c>
      <c r="C4329" t="s">
        <v>8318</v>
      </c>
      <c r="D4329" s="940" t="s">
        <v>4555</v>
      </c>
      <c r="E4329" t="s">
        <v>75</v>
      </c>
    </row>
    <row r="4330" spans="1:5" x14ac:dyDescent="0.2">
      <c r="A4330" s="940">
        <v>1372</v>
      </c>
      <c r="B4330" s="940">
        <v>168</v>
      </c>
      <c r="C4330" t="s">
        <v>2262</v>
      </c>
      <c r="D4330" s="940" t="s">
        <v>11536</v>
      </c>
      <c r="E4330" t="s">
        <v>2263</v>
      </c>
    </row>
    <row r="4331" spans="1:5" x14ac:dyDescent="0.2">
      <c r="A4331" s="940">
        <v>2029</v>
      </c>
      <c r="B4331" s="940">
        <v>83</v>
      </c>
      <c r="C4331" t="s">
        <v>11537</v>
      </c>
      <c r="D4331" s="940" t="s">
        <v>7857</v>
      </c>
      <c r="E4331" t="s">
        <v>117</v>
      </c>
    </row>
    <row r="4332" spans="1:5" x14ac:dyDescent="0.2">
      <c r="A4332" s="940">
        <v>4294</v>
      </c>
      <c r="B4332" s="940">
        <v>0</v>
      </c>
      <c r="C4332" t="s">
        <v>8319</v>
      </c>
      <c r="D4332" s="940" t="s">
        <v>7828</v>
      </c>
      <c r="E4332" t="s">
        <v>133</v>
      </c>
    </row>
    <row r="4333" spans="1:5" x14ac:dyDescent="0.2">
      <c r="A4333" s="940">
        <v>1993</v>
      </c>
      <c r="B4333" s="940">
        <v>86</v>
      </c>
      <c r="C4333" t="s">
        <v>8320</v>
      </c>
      <c r="D4333" s="940" t="s">
        <v>6621</v>
      </c>
      <c r="E4333" t="s">
        <v>1182</v>
      </c>
    </row>
    <row r="4334" spans="1:5" x14ac:dyDescent="0.2">
      <c r="A4334" s="940">
        <v>1166</v>
      </c>
      <c r="B4334" s="940">
        <v>221</v>
      </c>
      <c r="C4334" t="s">
        <v>8324</v>
      </c>
      <c r="D4334" s="940" t="s">
        <v>8325</v>
      </c>
      <c r="E4334" t="s">
        <v>1507</v>
      </c>
    </row>
    <row r="4335" spans="1:5" x14ac:dyDescent="0.2">
      <c r="A4335" s="940">
        <v>1499</v>
      </c>
      <c r="B4335" s="940">
        <v>144</v>
      </c>
      <c r="C4335" t="s">
        <v>8326</v>
      </c>
      <c r="D4335" s="940" t="s">
        <v>8327</v>
      </c>
      <c r="E4335" t="s">
        <v>6361</v>
      </c>
    </row>
    <row r="4336" spans="1:5" x14ac:dyDescent="0.2">
      <c r="A4336" s="940">
        <v>3290</v>
      </c>
      <c r="B4336" s="940">
        <v>15</v>
      </c>
      <c r="C4336" t="s">
        <v>8328</v>
      </c>
      <c r="D4336" s="940" t="s">
        <v>3173</v>
      </c>
      <c r="E4336" t="s">
        <v>1158</v>
      </c>
    </row>
    <row r="4337" spans="1:5" x14ac:dyDescent="0.2">
      <c r="A4337" s="940">
        <v>2096</v>
      </c>
      <c r="B4337" s="940">
        <v>78</v>
      </c>
      <c r="C4337" t="s">
        <v>11538</v>
      </c>
      <c r="D4337" s="940" t="s">
        <v>8426</v>
      </c>
      <c r="E4337" t="s">
        <v>661</v>
      </c>
    </row>
    <row r="4338" spans="1:5" x14ac:dyDescent="0.2">
      <c r="A4338" s="940">
        <v>2029</v>
      </c>
      <c r="B4338" s="940">
        <v>83</v>
      </c>
      <c r="C4338" t="s">
        <v>11539</v>
      </c>
      <c r="D4338" s="940" t="s">
        <v>3974</v>
      </c>
      <c r="E4338" t="s">
        <v>661</v>
      </c>
    </row>
    <row r="4339" spans="1:5" x14ac:dyDescent="0.2">
      <c r="A4339" s="940">
        <v>148</v>
      </c>
      <c r="B4339" s="940">
        <v>1006</v>
      </c>
      <c r="C4339" t="s">
        <v>8329</v>
      </c>
      <c r="D4339" s="940" t="s">
        <v>8330</v>
      </c>
      <c r="E4339" t="s">
        <v>128</v>
      </c>
    </row>
    <row r="4340" spans="1:5" x14ac:dyDescent="0.2">
      <c r="A4340" s="940">
        <v>1495</v>
      </c>
      <c r="B4340" s="940">
        <v>145</v>
      </c>
      <c r="C4340" t="s">
        <v>11540</v>
      </c>
      <c r="D4340" s="940" t="s">
        <v>11541</v>
      </c>
      <c r="E4340" t="s">
        <v>83</v>
      </c>
    </row>
    <row r="4341" spans="1:5" x14ac:dyDescent="0.2">
      <c r="A4341" s="940">
        <v>425</v>
      </c>
      <c r="B4341" s="940">
        <v>620</v>
      </c>
      <c r="C4341" t="s">
        <v>11542</v>
      </c>
      <c r="D4341" s="940" t="s">
        <v>11543</v>
      </c>
      <c r="E4341" t="s">
        <v>121</v>
      </c>
    </row>
    <row r="4342" spans="1:5" x14ac:dyDescent="0.2">
      <c r="A4342" s="940">
        <v>3602</v>
      </c>
      <c r="B4342" s="940">
        <v>8</v>
      </c>
      <c r="C4342" t="s">
        <v>8331</v>
      </c>
      <c r="D4342" s="940" t="s">
        <v>6111</v>
      </c>
      <c r="E4342" t="s">
        <v>107</v>
      </c>
    </row>
    <row r="4343" spans="1:5" x14ac:dyDescent="0.2">
      <c r="A4343" s="940">
        <v>365</v>
      </c>
      <c r="B4343" s="940">
        <v>677</v>
      </c>
      <c r="C4343" t="s">
        <v>8332</v>
      </c>
      <c r="D4343" s="940" t="s">
        <v>8333</v>
      </c>
      <c r="E4343" t="s">
        <v>120</v>
      </c>
    </row>
    <row r="4344" spans="1:5" x14ac:dyDescent="0.2">
      <c r="A4344" s="940">
        <v>2794</v>
      </c>
      <c r="B4344" s="940">
        <v>33</v>
      </c>
      <c r="C4344" t="s">
        <v>8334</v>
      </c>
      <c r="D4344" s="940" t="s">
        <v>4477</v>
      </c>
      <c r="E4344" t="s">
        <v>4104</v>
      </c>
    </row>
    <row r="4345" spans="1:5" x14ac:dyDescent="0.2">
      <c r="A4345" s="940">
        <v>4294</v>
      </c>
      <c r="B4345" s="940">
        <v>0</v>
      </c>
      <c r="C4345" t="s">
        <v>8335</v>
      </c>
      <c r="D4345" s="940" t="s">
        <v>5698</v>
      </c>
      <c r="E4345" t="s">
        <v>113</v>
      </c>
    </row>
    <row r="4346" spans="1:5" x14ac:dyDescent="0.2">
      <c r="A4346" s="940">
        <v>4294</v>
      </c>
      <c r="B4346" s="940">
        <v>0</v>
      </c>
      <c r="C4346" t="s">
        <v>8336</v>
      </c>
      <c r="D4346" s="940" t="s">
        <v>8216</v>
      </c>
      <c r="E4346" t="s">
        <v>120</v>
      </c>
    </row>
    <row r="4347" spans="1:5" x14ac:dyDescent="0.2">
      <c r="A4347" s="940">
        <v>4081</v>
      </c>
      <c r="B4347" s="940">
        <v>2</v>
      </c>
      <c r="C4347" t="s">
        <v>8337</v>
      </c>
      <c r="D4347" s="940" t="s">
        <v>4348</v>
      </c>
      <c r="E4347" t="s">
        <v>5756</v>
      </c>
    </row>
    <row r="4348" spans="1:5" x14ac:dyDescent="0.2">
      <c r="A4348" s="940">
        <v>1738</v>
      </c>
      <c r="B4348" s="940">
        <v>112</v>
      </c>
      <c r="C4348" t="s">
        <v>8340</v>
      </c>
      <c r="D4348" s="940" t="s">
        <v>8341</v>
      </c>
      <c r="E4348" t="s">
        <v>1176</v>
      </c>
    </row>
    <row r="4349" spans="1:5" x14ac:dyDescent="0.2">
      <c r="A4349" s="940">
        <v>2067</v>
      </c>
      <c r="B4349" s="940">
        <v>80</v>
      </c>
      <c r="C4349" t="s">
        <v>11544</v>
      </c>
      <c r="D4349" s="940" t="s">
        <v>3204</v>
      </c>
      <c r="E4349" t="s">
        <v>9311</v>
      </c>
    </row>
    <row r="4350" spans="1:5" x14ac:dyDescent="0.2">
      <c r="A4350" s="940">
        <v>2980</v>
      </c>
      <c r="B4350" s="940">
        <v>24</v>
      </c>
      <c r="C4350" t="s">
        <v>8344</v>
      </c>
      <c r="D4350" s="940" t="s">
        <v>4316</v>
      </c>
      <c r="E4350" t="s">
        <v>1330</v>
      </c>
    </row>
    <row r="4351" spans="1:5" x14ac:dyDescent="0.2">
      <c r="A4351" s="940">
        <v>1921</v>
      </c>
      <c r="B4351" s="940">
        <v>93</v>
      </c>
      <c r="C4351" t="s">
        <v>868</v>
      </c>
      <c r="D4351" s="940" t="s">
        <v>8345</v>
      </c>
      <c r="E4351" t="s">
        <v>1204</v>
      </c>
    </row>
    <row r="4352" spans="1:5" x14ac:dyDescent="0.2">
      <c r="A4352" s="940">
        <v>4294</v>
      </c>
      <c r="B4352" s="940">
        <v>0</v>
      </c>
      <c r="C4352" t="s">
        <v>11545</v>
      </c>
      <c r="D4352" s="940" t="s">
        <v>4597</v>
      </c>
      <c r="E4352" t="s">
        <v>120</v>
      </c>
    </row>
    <row r="4353" spans="1:5" x14ac:dyDescent="0.2">
      <c r="A4353" s="940">
        <v>846</v>
      </c>
      <c r="B4353" s="940">
        <v>337</v>
      </c>
      <c r="C4353" t="s">
        <v>2269</v>
      </c>
      <c r="D4353" s="940" t="s">
        <v>8349</v>
      </c>
      <c r="E4353" t="s">
        <v>1493</v>
      </c>
    </row>
    <row r="4354" spans="1:5" x14ac:dyDescent="0.2">
      <c r="A4354" s="940">
        <v>3972</v>
      </c>
      <c r="B4354" s="940">
        <v>3</v>
      </c>
      <c r="C4354" t="s">
        <v>2269</v>
      </c>
      <c r="D4354" s="940" t="s">
        <v>3065</v>
      </c>
      <c r="E4354" t="s">
        <v>120</v>
      </c>
    </row>
    <row r="4355" spans="1:5" x14ac:dyDescent="0.2">
      <c r="A4355" s="940">
        <v>2193</v>
      </c>
      <c r="B4355" s="940">
        <v>70</v>
      </c>
      <c r="C4355" t="s">
        <v>8350</v>
      </c>
      <c r="D4355" s="940" t="s">
        <v>8308</v>
      </c>
      <c r="E4355" t="s">
        <v>1311</v>
      </c>
    </row>
    <row r="4356" spans="1:5" x14ac:dyDescent="0.2">
      <c r="A4356" s="940">
        <v>3972</v>
      </c>
      <c r="B4356" s="940">
        <v>3</v>
      </c>
      <c r="C4356" t="s">
        <v>8350</v>
      </c>
      <c r="D4356" s="940" t="s">
        <v>8351</v>
      </c>
      <c r="E4356" t="s">
        <v>176</v>
      </c>
    </row>
    <row r="4357" spans="1:5" x14ac:dyDescent="0.2">
      <c r="A4357" s="940">
        <v>3732</v>
      </c>
      <c r="B4357" s="940">
        <v>6</v>
      </c>
      <c r="C4357" t="s">
        <v>8352</v>
      </c>
      <c r="D4357" s="940" t="s">
        <v>5272</v>
      </c>
      <c r="E4357" t="s">
        <v>111</v>
      </c>
    </row>
    <row r="4358" spans="1:5" x14ac:dyDescent="0.2">
      <c r="A4358" s="940">
        <v>313</v>
      </c>
      <c r="B4358" s="940">
        <v>750</v>
      </c>
      <c r="C4358" t="s">
        <v>8353</v>
      </c>
      <c r="D4358" s="940" t="s">
        <v>8354</v>
      </c>
      <c r="E4358" t="s">
        <v>1179</v>
      </c>
    </row>
    <row r="4359" spans="1:5" x14ac:dyDescent="0.2">
      <c r="A4359" s="940">
        <v>1594</v>
      </c>
      <c r="B4359" s="940">
        <v>129</v>
      </c>
      <c r="C4359" t="s">
        <v>2270</v>
      </c>
      <c r="D4359" s="940" t="s">
        <v>3015</v>
      </c>
      <c r="E4359" t="s">
        <v>120</v>
      </c>
    </row>
    <row r="4360" spans="1:5" x14ac:dyDescent="0.2">
      <c r="A4360" s="940">
        <v>4294</v>
      </c>
      <c r="B4360" s="940">
        <v>0</v>
      </c>
      <c r="C4360" t="s">
        <v>11546</v>
      </c>
      <c r="D4360" s="940" t="s">
        <v>5200</v>
      </c>
      <c r="E4360" t="s">
        <v>1939</v>
      </c>
    </row>
    <row r="4361" spans="1:5" x14ac:dyDescent="0.2">
      <c r="A4361" s="940">
        <v>2353</v>
      </c>
      <c r="B4361" s="940">
        <v>58</v>
      </c>
      <c r="C4361" t="s">
        <v>8356</v>
      </c>
      <c r="D4361" s="940" t="s">
        <v>3873</v>
      </c>
      <c r="E4361" t="s">
        <v>130</v>
      </c>
    </row>
    <row r="4362" spans="1:5" x14ac:dyDescent="0.2">
      <c r="A4362" s="940">
        <v>391</v>
      </c>
      <c r="B4362" s="940">
        <v>648</v>
      </c>
      <c r="C4362" t="s">
        <v>8357</v>
      </c>
      <c r="D4362" s="940" t="s">
        <v>8358</v>
      </c>
      <c r="E4362" t="s">
        <v>105</v>
      </c>
    </row>
    <row r="4363" spans="1:5" x14ac:dyDescent="0.2">
      <c r="A4363" s="940">
        <v>146</v>
      </c>
      <c r="B4363" s="940">
        <v>1008</v>
      </c>
      <c r="C4363" t="s">
        <v>2272</v>
      </c>
      <c r="D4363" s="940" t="s">
        <v>4905</v>
      </c>
      <c r="E4363" t="s">
        <v>166</v>
      </c>
    </row>
    <row r="4364" spans="1:5" x14ac:dyDescent="0.2">
      <c r="A4364" s="940">
        <v>2254</v>
      </c>
      <c r="B4364" s="940">
        <v>65</v>
      </c>
      <c r="C4364" t="s">
        <v>869</v>
      </c>
      <c r="D4364" s="940" t="s">
        <v>8359</v>
      </c>
      <c r="E4364" t="s">
        <v>179</v>
      </c>
    </row>
    <row r="4365" spans="1:5" x14ac:dyDescent="0.2">
      <c r="A4365" s="940">
        <v>4294</v>
      </c>
      <c r="B4365" s="940">
        <v>0</v>
      </c>
      <c r="C4365" t="s">
        <v>11547</v>
      </c>
      <c r="D4365" s="940" t="s">
        <v>11548</v>
      </c>
      <c r="E4365" t="s">
        <v>11549</v>
      </c>
    </row>
    <row r="4366" spans="1:5" x14ac:dyDescent="0.2">
      <c r="A4366" s="940">
        <v>1420</v>
      </c>
      <c r="B4366" s="940">
        <v>159</v>
      </c>
      <c r="C4366" t="s">
        <v>8364</v>
      </c>
      <c r="D4366" s="940" t="s">
        <v>8214</v>
      </c>
      <c r="E4366" t="s">
        <v>132</v>
      </c>
    </row>
    <row r="4367" spans="1:5" x14ac:dyDescent="0.2">
      <c r="A4367" s="940">
        <v>4294</v>
      </c>
      <c r="B4367" s="940">
        <v>0</v>
      </c>
      <c r="C4367" t="s">
        <v>8365</v>
      </c>
      <c r="D4367" s="940" t="s">
        <v>6389</v>
      </c>
      <c r="E4367" t="s">
        <v>1182</v>
      </c>
    </row>
    <row r="4368" spans="1:5" x14ac:dyDescent="0.2">
      <c r="A4368" s="940">
        <v>3796</v>
      </c>
      <c r="B4368" s="940">
        <v>5</v>
      </c>
      <c r="C4368" t="s">
        <v>11550</v>
      </c>
      <c r="D4368" s="940" t="s">
        <v>2643</v>
      </c>
      <c r="E4368" t="s">
        <v>2793</v>
      </c>
    </row>
    <row r="4369" spans="1:5" x14ac:dyDescent="0.2">
      <c r="A4369" s="940">
        <v>2833</v>
      </c>
      <c r="B4369" s="940">
        <v>31</v>
      </c>
      <c r="C4369" t="s">
        <v>8366</v>
      </c>
      <c r="D4369" s="940" t="s">
        <v>4072</v>
      </c>
      <c r="E4369" t="s">
        <v>2558</v>
      </c>
    </row>
    <row r="4370" spans="1:5" x14ac:dyDescent="0.2">
      <c r="A4370" s="940">
        <v>83</v>
      </c>
      <c r="B4370" s="940">
        <v>1167</v>
      </c>
      <c r="C4370" t="s">
        <v>11551</v>
      </c>
      <c r="D4370" s="940" t="s">
        <v>11552</v>
      </c>
      <c r="E4370" t="s">
        <v>110</v>
      </c>
    </row>
    <row r="4371" spans="1:5" x14ac:dyDescent="0.2">
      <c r="A4371" s="940">
        <v>4294</v>
      </c>
      <c r="B4371" s="940">
        <v>0</v>
      </c>
      <c r="C4371" t="s">
        <v>11553</v>
      </c>
      <c r="D4371" s="940" t="s">
        <v>3935</v>
      </c>
      <c r="E4371" t="s">
        <v>120</v>
      </c>
    </row>
    <row r="4372" spans="1:5" x14ac:dyDescent="0.2">
      <c r="A4372" s="940">
        <v>4294</v>
      </c>
      <c r="B4372" s="940">
        <v>0</v>
      </c>
      <c r="C4372" t="s">
        <v>8367</v>
      </c>
      <c r="D4372" s="940" t="s">
        <v>3552</v>
      </c>
      <c r="E4372" t="s">
        <v>105</v>
      </c>
    </row>
    <row r="4373" spans="1:5" x14ac:dyDescent="0.2">
      <c r="A4373" s="940">
        <v>1002</v>
      </c>
      <c r="B4373" s="940">
        <v>276</v>
      </c>
      <c r="C4373" t="s">
        <v>8368</v>
      </c>
      <c r="D4373" s="940" t="s">
        <v>8369</v>
      </c>
      <c r="E4373" t="s">
        <v>1214</v>
      </c>
    </row>
    <row r="4374" spans="1:5" x14ac:dyDescent="0.2">
      <c r="A4374" s="940">
        <v>4294</v>
      </c>
      <c r="B4374" s="940">
        <v>0</v>
      </c>
      <c r="C4374" t="s">
        <v>11554</v>
      </c>
      <c r="D4374" s="940" t="s">
        <v>5822</v>
      </c>
      <c r="E4374" t="s">
        <v>251</v>
      </c>
    </row>
    <row r="4375" spans="1:5" x14ac:dyDescent="0.2">
      <c r="A4375" s="940">
        <v>1259</v>
      </c>
      <c r="B4375" s="940">
        <v>192</v>
      </c>
      <c r="C4375" t="s">
        <v>11555</v>
      </c>
      <c r="D4375" s="940" t="s">
        <v>11556</v>
      </c>
      <c r="E4375" t="s">
        <v>103</v>
      </c>
    </row>
    <row r="4376" spans="1:5" x14ac:dyDescent="0.2">
      <c r="A4376" s="940">
        <v>3972</v>
      </c>
      <c r="B4376" s="940">
        <v>3</v>
      </c>
      <c r="C4376" t="s">
        <v>11557</v>
      </c>
      <c r="D4376" s="940" t="s">
        <v>5325</v>
      </c>
      <c r="E4376" t="s">
        <v>1435</v>
      </c>
    </row>
    <row r="4377" spans="1:5" x14ac:dyDescent="0.2">
      <c r="A4377" s="940">
        <v>2168</v>
      </c>
      <c r="B4377" s="940">
        <v>72</v>
      </c>
      <c r="C4377" t="s">
        <v>8370</v>
      </c>
      <c r="D4377" s="940" t="s">
        <v>8371</v>
      </c>
      <c r="E4377" t="s">
        <v>120</v>
      </c>
    </row>
    <row r="4378" spans="1:5" x14ac:dyDescent="0.2">
      <c r="A4378" s="940">
        <v>1308</v>
      </c>
      <c r="B4378" s="940">
        <v>182</v>
      </c>
      <c r="C4378" t="s">
        <v>342</v>
      </c>
      <c r="D4378" s="940" t="s">
        <v>8372</v>
      </c>
      <c r="E4378" t="s">
        <v>1364</v>
      </c>
    </row>
    <row r="4379" spans="1:5" x14ac:dyDescent="0.2">
      <c r="A4379" s="940">
        <v>2915</v>
      </c>
      <c r="B4379" s="940">
        <v>27</v>
      </c>
      <c r="C4379" t="s">
        <v>8375</v>
      </c>
      <c r="D4379" s="940" t="s">
        <v>8233</v>
      </c>
      <c r="E4379" t="s">
        <v>72</v>
      </c>
    </row>
    <row r="4380" spans="1:5" x14ac:dyDescent="0.2">
      <c r="A4380" s="940">
        <v>3972</v>
      </c>
      <c r="B4380" s="940">
        <v>3</v>
      </c>
      <c r="C4380" t="s">
        <v>8376</v>
      </c>
      <c r="D4380" s="940" t="s">
        <v>3327</v>
      </c>
      <c r="E4380" t="s">
        <v>105</v>
      </c>
    </row>
    <row r="4381" spans="1:5" x14ac:dyDescent="0.2">
      <c r="A4381" s="940">
        <v>1936</v>
      </c>
      <c r="B4381" s="940">
        <v>92</v>
      </c>
      <c r="C4381" t="s">
        <v>2274</v>
      </c>
      <c r="D4381" s="940" t="s">
        <v>8377</v>
      </c>
      <c r="E4381" t="s">
        <v>120</v>
      </c>
    </row>
    <row r="4382" spans="1:5" x14ac:dyDescent="0.2">
      <c r="A4382" s="940">
        <v>844</v>
      </c>
      <c r="B4382" s="940">
        <v>340</v>
      </c>
      <c r="C4382" t="s">
        <v>594</v>
      </c>
      <c r="D4382" s="940" t="s">
        <v>4916</v>
      </c>
      <c r="E4382" t="s">
        <v>165</v>
      </c>
    </row>
    <row r="4383" spans="1:5" x14ac:dyDescent="0.2">
      <c r="A4383" s="940">
        <v>4294</v>
      </c>
      <c r="B4383" s="940">
        <v>0</v>
      </c>
      <c r="C4383" t="s">
        <v>8378</v>
      </c>
      <c r="D4383" s="940" t="s">
        <v>7318</v>
      </c>
      <c r="E4383" t="s">
        <v>165</v>
      </c>
    </row>
    <row r="4384" spans="1:5" x14ac:dyDescent="0.2">
      <c r="A4384" s="940">
        <v>532</v>
      </c>
      <c r="B4384" s="940">
        <v>518</v>
      </c>
      <c r="C4384" t="s">
        <v>11558</v>
      </c>
      <c r="D4384" s="940" t="s">
        <v>5027</v>
      </c>
      <c r="E4384" t="s">
        <v>165</v>
      </c>
    </row>
    <row r="4385" spans="1:5" x14ac:dyDescent="0.2">
      <c r="A4385" s="940">
        <v>3972</v>
      </c>
      <c r="B4385" s="940">
        <v>3</v>
      </c>
      <c r="C4385" t="s">
        <v>8379</v>
      </c>
      <c r="D4385" s="940" t="s">
        <v>6597</v>
      </c>
      <c r="E4385" t="s">
        <v>120</v>
      </c>
    </row>
    <row r="4386" spans="1:5" x14ac:dyDescent="0.2">
      <c r="A4386" s="940">
        <v>2298</v>
      </c>
      <c r="B4386" s="940">
        <v>62</v>
      </c>
      <c r="C4386" t="s">
        <v>8380</v>
      </c>
      <c r="D4386" s="940" t="s">
        <v>4489</v>
      </c>
      <c r="E4386" t="s">
        <v>120</v>
      </c>
    </row>
    <row r="4387" spans="1:5" x14ac:dyDescent="0.2">
      <c r="A4387" s="940">
        <v>3972</v>
      </c>
      <c r="B4387" s="940">
        <v>3</v>
      </c>
      <c r="C4387" t="s">
        <v>11559</v>
      </c>
      <c r="D4387" s="940" t="s">
        <v>10293</v>
      </c>
      <c r="E4387" t="s">
        <v>1340</v>
      </c>
    </row>
    <row r="4388" spans="1:5" x14ac:dyDescent="0.2">
      <c r="A4388" s="940">
        <v>2450</v>
      </c>
      <c r="B4388" s="940">
        <v>51</v>
      </c>
      <c r="C4388" t="s">
        <v>8381</v>
      </c>
      <c r="D4388" s="940" t="s">
        <v>8382</v>
      </c>
      <c r="E4388" t="s">
        <v>1311</v>
      </c>
    </row>
    <row r="4389" spans="1:5" x14ac:dyDescent="0.2">
      <c r="A4389" s="940">
        <v>4294</v>
      </c>
      <c r="B4389" s="940">
        <v>0</v>
      </c>
      <c r="C4389" t="s">
        <v>8383</v>
      </c>
      <c r="D4389" s="940" t="s">
        <v>7218</v>
      </c>
      <c r="E4389" t="s">
        <v>133</v>
      </c>
    </row>
    <row r="4390" spans="1:5" x14ac:dyDescent="0.2">
      <c r="A4390" s="940">
        <v>3446</v>
      </c>
      <c r="B4390" s="940">
        <v>11</v>
      </c>
      <c r="C4390" t="s">
        <v>8384</v>
      </c>
      <c r="D4390" s="940" t="s">
        <v>5427</v>
      </c>
      <c r="E4390" t="s">
        <v>105</v>
      </c>
    </row>
    <row r="4391" spans="1:5" x14ac:dyDescent="0.2">
      <c r="A4391" s="940">
        <v>619</v>
      </c>
      <c r="B4391" s="940">
        <v>454</v>
      </c>
      <c r="C4391" t="s">
        <v>11560</v>
      </c>
      <c r="D4391" s="940" t="s">
        <v>11561</v>
      </c>
      <c r="E4391" t="s">
        <v>109</v>
      </c>
    </row>
    <row r="4392" spans="1:5" x14ac:dyDescent="0.2">
      <c r="A4392" s="940">
        <v>3545</v>
      </c>
      <c r="B4392" s="940">
        <v>9</v>
      </c>
      <c r="C4392" t="s">
        <v>8385</v>
      </c>
      <c r="D4392" s="940" t="s">
        <v>8386</v>
      </c>
      <c r="E4392" t="s">
        <v>1327</v>
      </c>
    </row>
    <row r="4393" spans="1:5" x14ac:dyDescent="0.2">
      <c r="A4393" s="940">
        <v>2980</v>
      </c>
      <c r="B4393" s="940">
        <v>24</v>
      </c>
      <c r="C4393" t="s">
        <v>8387</v>
      </c>
      <c r="D4393" s="940" t="s">
        <v>3462</v>
      </c>
      <c r="E4393" t="s">
        <v>122</v>
      </c>
    </row>
    <row r="4394" spans="1:5" x14ac:dyDescent="0.2">
      <c r="A4394" s="940">
        <v>1079</v>
      </c>
      <c r="B4394" s="940">
        <v>249</v>
      </c>
      <c r="C4394" t="s">
        <v>2276</v>
      </c>
      <c r="D4394" s="940" t="s">
        <v>8388</v>
      </c>
      <c r="E4394" t="s">
        <v>1939</v>
      </c>
    </row>
    <row r="4395" spans="1:5" x14ac:dyDescent="0.2">
      <c r="A4395" s="940">
        <v>749</v>
      </c>
      <c r="B4395" s="940">
        <v>382</v>
      </c>
      <c r="C4395" t="s">
        <v>11562</v>
      </c>
      <c r="D4395" s="940" t="s">
        <v>11563</v>
      </c>
      <c r="E4395" t="s">
        <v>120</v>
      </c>
    </row>
    <row r="4396" spans="1:5" x14ac:dyDescent="0.2">
      <c r="A4396" s="940">
        <v>1050</v>
      </c>
      <c r="B4396" s="940">
        <v>258</v>
      </c>
      <c r="C4396" t="s">
        <v>8390</v>
      </c>
      <c r="D4396" s="940" t="s">
        <v>8391</v>
      </c>
      <c r="E4396" t="s">
        <v>8392</v>
      </c>
    </row>
    <row r="4397" spans="1:5" x14ac:dyDescent="0.2">
      <c r="A4397" s="940">
        <v>1806</v>
      </c>
      <c r="B4397" s="940">
        <v>104</v>
      </c>
      <c r="C4397" t="s">
        <v>2532</v>
      </c>
      <c r="D4397" s="940" t="s">
        <v>8393</v>
      </c>
      <c r="E4397" t="s">
        <v>120</v>
      </c>
    </row>
    <row r="4398" spans="1:5" x14ac:dyDescent="0.2">
      <c r="A4398" s="940">
        <v>4294</v>
      </c>
      <c r="B4398" s="940">
        <v>0</v>
      </c>
      <c r="C4398" t="s">
        <v>8394</v>
      </c>
      <c r="D4398" s="940" t="s">
        <v>8395</v>
      </c>
      <c r="E4398" t="s">
        <v>74</v>
      </c>
    </row>
    <row r="4399" spans="1:5" x14ac:dyDescent="0.2">
      <c r="A4399" s="940">
        <v>3545</v>
      </c>
      <c r="B4399" s="940">
        <v>9</v>
      </c>
      <c r="C4399" t="s">
        <v>11564</v>
      </c>
      <c r="D4399" s="940" t="s">
        <v>9630</v>
      </c>
      <c r="E4399" t="s">
        <v>139</v>
      </c>
    </row>
    <row r="4400" spans="1:5" x14ac:dyDescent="0.2">
      <c r="A4400" s="940">
        <v>3008</v>
      </c>
      <c r="B4400" s="940">
        <v>23</v>
      </c>
      <c r="C4400" t="s">
        <v>11565</v>
      </c>
      <c r="D4400" s="940" t="s">
        <v>3931</v>
      </c>
      <c r="E4400" t="s">
        <v>120</v>
      </c>
    </row>
    <row r="4401" spans="1:5" x14ac:dyDescent="0.2">
      <c r="A4401" s="940">
        <v>1289</v>
      </c>
      <c r="B4401" s="940">
        <v>187</v>
      </c>
      <c r="C4401" t="s">
        <v>11566</v>
      </c>
      <c r="D4401" s="940" t="s">
        <v>11567</v>
      </c>
      <c r="E4401" t="s">
        <v>122</v>
      </c>
    </row>
    <row r="4402" spans="1:5" x14ac:dyDescent="0.2">
      <c r="A4402" s="940">
        <v>1389</v>
      </c>
      <c r="B4402" s="940">
        <v>164</v>
      </c>
      <c r="C4402" t="s">
        <v>11568</v>
      </c>
      <c r="D4402" s="940" t="s">
        <v>11569</v>
      </c>
      <c r="E4402" t="s">
        <v>113</v>
      </c>
    </row>
    <row r="4403" spans="1:5" x14ac:dyDescent="0.2">
      <c r="A4403" s="940">
        <v>1031</v>
      </c>
      <c r="B4403" s="940">
        <v>267</v>
      </c>
      <c r="C4403" t="s">
        <v>8396</v>
      </c>
      <c r="D4403" s="940" t="s">
        <v>8397</v>
      </c>
      <c r="E4403" t="s">
        <v>120</v>
      </c>
    </row>
    <row r="4404" spans="1:5" x14ac:dyDescent="0.2">
      <c r="A4404" s="940">
        <v>2877</v>
      </c>
      <c r="B4404" s="940">
        <v>29</v>
      </c>
      <c r="C4404" t="s">
        <v>11570</v>
      </c>
      <c r="D4404" s="940" t="s">
        <v>11571</v>
      </c>
      <c r="E4404" t="s">
        <v>1211</v>
      </c>
    </row>
    <row r="4405" spans="1:5" x14ac:dyDescent="0.2">
      <c r="A4405" s="940">
        <v>4294</v>
      </c>
      <c r="B4405" s="940">
        <v>0</v>
      </c>
      <c r="C4405" t="s">
        <v>8398</v>
      </c>
      <c r="D4405" s="940" t="s">
        <v>4456</v>
      </c>
      <c r="E4405" t="s">
        <v>5156</v>
      </c>
    </row>
    <row r="4406" spans="1:5" x14ac:dyDescent="0.2">
      <c r="A4406" s="940">
        <v>3655</v>
      </c>
      <c r="B4406" s="940">
        <v>7</v>
      </c>
      <c r="C4406" t="s">
        <v>11572</v>
      </c>
      <c r="D4406" s="940" t="s">
        <v>11573</v>
      </c>
      <c r="E4406" t="s">
        <v>1408</v>
      </c>
    </row>
    <row r="4407" spans="1:5" x14ac:dyDescent="0.2">
      <c r="A4407" s="940">
        <v>1005</v>
      </c>
      <c r="B4407" s="940">
        <v>275</v>
      </c>
      <c r="C4407" t="s">
        <v>2284</v>
      </c>
      <c r="D4407" s="940" t="s">
        <v>8401</v>
      </c>
      <c r="E4407" t="s">
        <v>74</v>
      </c>
    </row>
    <row r="4408" spans="1:5" x14ac:dyDescent="0.2">
      <c r="A4408" s="940">
        <v>423</v>
      </c>
      <c r="B4408" s="940">
        <v>622</v>
      </c>
      <c r="C4408" t="s">
        <v>11574</v>
      </c>
      <c r="D4408" s="940" t="s">
        <v>11575</v>
      </c>
      <c r="E4408" t="s">
        <v>122</v>
      </c>
    </row>
    <row r="4409" spans="1:5" x14ac:dyDescent="0.2">
      <c r="A4409" s="940">
        <v>140</v>
      </c>
      <c r="B4409" s="940">
        <v>1017</v>
      </c>
      <c r="C4409" t="s">
        <v>11576</v>
      </c>
      <c r="D4409" s="940" t="s">
        <v>11577</v>
      </c>
      <c r="E4409" t="s">
        <v>130</v>
      </c>
    </row>
    <row r="4410" spans="1:5" x14ac:dyDescent="0.2">
      <c r="A4410" s="940">
        <v>4294</v>
      </c>
      <c r="B4410" s="940">
        <v>0</v>
      </c>
      <c r="C4410" t="s">
        <v>11578</v>
      </c>
      <c r="D4410" s="940" t="s">
        <v>10229</v>
      </c>
      <c r="E4410" t="s">
        <v>183</v>
      </c>
    </row>
    <row r="4411" spans="1:5" x14ac:dyDescent="0.2">
      <c r="A4411" s="940">
        <v>1766</v>
      </c>
      <c r="B4411" s="940">
        <v>109</v>
      </c>
      <c r="C4411" t="s">
        <v>345</v>
      </c>
      <c r="D4411" s="940" t="s">
        <v>3657</v>
      </c>
      <c r="E4411" t="s">
        <v>213</v>
      </c>
    </row>
    <row r="4412" spans="1:5" x14ac:dyDescent="0.2">
      <c r="A4412" s="940">
        <v>4294</v>
      </c>
      <c r="B4412" s="940">
        <v>0</v>
      </c>
      <c r="C4412" t="s">
        <v>8402</v>
      </c>
      <c r="D4412" s="940" t="s">
        <v>2962</v>
      </c>
      <c r="E4412" t="s">
        <v>163</v>
      </c>
    </row>
    <row r="4413" spans="1:5" x14ac:dyDescent="0.2">
      <c r="A4413" s="940">
        <v>2980</v>
      </c>
      <c r="B4413" s="940">
        <v>24</v>
      </c>
      <c r="C4413" t="s">
        <v>8403</v>
      </c>
      <c r="D4413" s="940" t="s">
        <v>4288</v>
      </c>
      <c r="E4413" t="s">
        <v>147</v>
      </c>
    </row>
    <row r="4414" spans="1:5" x14ac:dyDescent="0.2">
      <c r="A4414" s="940">
        <v>4294</v>
      </c>
      <c r="B4414" s="940">
        <v>0</v>
      </c>
      <c r="C4414" t="s">
        <v>11579</v>
      </c>
      <c r="D4414" s="940" t="s">
        <v>11580</v>
      </c>
      <c r="E4414" t="s">
        <v>6555</v>
      </c>
    </row>
    <row r="4415" spans="1:5" x14ac:dyDescent="0.2">
      <c r="A4415" s="940">
        <v>686</v>
      </c>
      <c r="B4415" s="940">
        <v>410</v>
      </c>
      <c r="C4415" t="s">
        <v>870</v>
      </c>
      <c r="D4415" s="940" t="s">
        <v>3967</v>
      </c>
      <c r="E4415" t="s">
        <v>147</v>
      </c>
    </row>
    <row r="4416" spans="1:5" x14ac:dyDescent="0.2">
      <c r="A4416" s="940">
        <v>182</v>
      </c>
      <c r="B4416" s="940">
        <v>942</v>
      </c>
      <c r="C4416" t="s">
        <v>8405</v>
      </c>
      <c r="D4416" s="940" t="s">
        <v>8406</v>
      </c>
      <c r="E4416" t="s">
        <v>103</v>
      </c>
    </row>
    <row r="4417" spans="1:5" x14ac:dyDescent="0.2">
      <c r="A4417" s="940">
        <v>3358</v>
      </c>
      <c r="B4417" s="940">
        <v>13</v>
      </c>
      <c r="C4417" t="s">
        <v>8405</v>
      </c>
      <c r="D4417" s="940" t="s">
        <v>8407</v>
      </c>
      <c r="E4417" t="s">
        <v>73</v>
      </c>
    </row>
    <row r="4418" spans="1:5" x14ac:dyDescent="0.2">
      <c r="A4418" s="940">
        <v>2745</v>
      </c>
      <c r="B4418" s="940">
        <v>35</v>
      </c>
      <c r="C4418" t="s">
        <v>8408</v>
      </c>
      <c r="D4418" s="940" t="s">
        <v>8409</v>
      </c>
      <c r="E4418" t="s">
        <v>105</v>
      </c>
    </row>
    <row r="4419" spans="1:5" x14ac:dyDescent="0.2">
      <c r="A4419" s="940">
        <v>4294</v>
      </c>
      <c r="B4419" s="940">
        <v>0</v>
      </c>
      <c r="C4419" t="s">
        <v>8410</v>
      </c>
      <c r="D4419" s="940" t="s">
        <v>8411</v>
      </c>
      <c r="E4419" t="s">
        <v>1248</v>
      </c>
    </row>
    <row r="4420" spans="1:5" x14ac:dyDescent="0.2">
      <c r="A4420" s="940">
        <v>3545</v>
      </c>
      <c r="B4420" s="940">
        <v>9</v>
      </c>
      <c r="C4420" t="s">
        <v>8412</v>
      </c>
      <c r="D4420" s="940" t="s">
        <v>7794</v>
      </c>
      <c r="E4420" t="s">
        <v>1156</v>
      </c>
    </row>
    <row r="4421" spans="1:5" x14ac:dyDescent="0.2">
      <c r="A4421" s="940">
        <v>3174</v>
      </c>
      <c r="B4421" s="940">
        <v>18</v>
      </c>
      <c r="C4421" t="s">
        <v>8413</v>
      </c>
      <c r="D4421" s="940" t="s">
        <v>6111</v>
      </c>
      <c r="E4421" t="s">
        <v>1803</v>
      </c>
    </row>
    <row r="4422" spans="1:5" x14ac:dyDescent="0.2">
      <c r="A4422" s="940">
        <v>3972</v>
      </c>
      <c r="B4422" s="940">
        <v>3</v>
      </c>
      <c r="C4422" t="s">
        <v>8414</v>
      </c>
      <c r="D4422" s="940" t="s">
        <v>5503</v>
      </c>
      <c r="E4422" t="s">
        <v>1372</v>
      </c>
    </row>
    <row r="4423" spans="1:5" x14ac:dyDescent="0.2">
      <c r="A4423" s="940">
        <v>2745</v>
      </c>
      <c r="B4423" s="940">
        <v>35</v>
      </c>
      <c r="C4423" t="s">
        <v>8415</v>
      </c>
      <c r="D4423" s="940" t="s">
        <v>8416</v>
      </c>
      <c r="E4423" t="s">
        <v>3597</v>
      </c>
    </row>
    <row r="4424" spans="1:5" x14ac:dyDescent="0.2">
      <c r="A4424" s="940">
        <v>1993</v>
      </c>
      <c r="B4424" s="940">
        <v>86</v>
      </c>
      <c r="C4424" t="s">
        <v>8418</v>
      </c>
      <c r="D4424" s="940" t="s">
        <v>8419</v>
      </c>
      <c r="E4424" t="s">
        <v>1214</v>
      </c>
    </row>
    <row r="4425" spans="1:5" x14ac:dyDescent="0.2">
      <c r="A4425" s="940">
        <v>2504</v>
      </c>
      <c r="B4425" s="940">
        <v>47</v>
      </c>
      <c r="C4425" t="s">
        <v>11581</v>
      </c>
      <c r="D4425" s="940" t="s">
        <v>3017</v>
      </c>
      <c r="E4425" t="s">
        <v>140</v>
      </c>
    </row>
    <row r="4426" spans="1:5" x14ac:dyDescent="0.2">
      <c r="A4426" s="940">
        <v>288</v>
      </c>
      <c r="B4426" s="940">
        <v>787</v>
      </c>
      <c r="C4426" t="s">
        <v>11582</v>
      </c>
      <c r="D4426" s="940" t="s">
        <v>11583</v>
      </c>
      <c r="E4426" t="s">
        <v>109</v>
      </c>
    </row>
    <row r="4427" spans="1:5" x14ac:dyDescent="0.2">
      <c r="A4427" s="940">
        <v>2207</v>
      </c>
      <c r="B4427" s="940">
        <v>69</v>
      </c>
      <c r="C4427" t="s">
        <v>8422</v>
      </c>
      <c r="D4427" s="940" t="s">
        <v>3241</v>
      </c>
      <c r="E4427" t="s">
        <v>80</v>
      </c>
    </row>
    <row r="4428" spans="1:5" x14ac:dyDescent="0.2">
      <c r="A4428" s="940">
        <v>2504</v>
      </c>
      <c r="B4428" s="940">
        <v>47</v>
      </c>
      <c r="C4428" t="s">
        <v>8423</v>
      </c>
      <c r="D4428" s="940" t="s">
        <v>5040</v>
      </c>
      <c r="E4428" t="s">
        <v>105</v>
      </c>
    </row>
    <row r="4429" spans="1:5" x14ac:dyDescent="0.2">
      <c r="A4429" s="940">
        <v>261</v>
      </c>
      <c r="B4429" s="940">
        <v>822</v>
      </c>
      <c r="C4429" t="s">
        <v>346</v>
      </c>
      <c r="D4429" s="940" t="s">
        <v>8424</v>
      </c>
      <c r="E4429" t="s">
        <v>1171</v>
      </c>
    </row>
    <row r="4430" spans="1:5" x14ac:dyDescent="0.2">
      <c r="A4430" s="940">
        <v>2298</v>
      </c>
      <c r="B4430" s="940">
        <v>62</v>
      </c>
      <c r="C4430" t="s">
        <v>8427</v>
      </c>
      <c r="D4430" s="940" t="s">
        <v>2753</v>
      </c>
      <c r="E4430" t="s">
        <v>2880</v>
      </c>
    </row>
    <row r="4431" spans="1:5" x14ac:dyDescent="0.2">
      <c r="A4431" s="940">
        <v>706</v>
      </c>
      <c r="B4431" s="940">
        <v>400</v>
      </c>
      <c r="C4431" t="s">
        <v>11584</v>
      </c>
      <c r="D4431" s="940" t="s">
        <v>11585</v>
      </c>
      <c r="E4431" t="s">
        <v>120</v>
      </c>
    </row>
    <row r="4432" spans="1:5" x14ac:dyDescent="0.2">
      <c r="A4432" s="940">
        <v>615</v>
      </c>
      <c r="B4432" s="940">
        <v>457</v>
      </c>
      <c r="C4432" t="s">
        <v>11586</v>
      </c>
      <c r="D4432" s="940" t="s">
        <v>11587</v>
      </c>
      <c r="E4432" t="s">
        <v>144</v>
      </c>
    </row>
    <row r="4433" spans="1:5" x14ac:dyDescent="0.2">
      <c r="A4433" s="940">
        <v>1495</v>
      </c>
      <c r="B4433" s="940">
        <v>145</v>
      </c>
      <c r="C4433" t="s">
        <v>11588</v>
      </c>
      <c r="D4433" s="940" t="s">
        <v>10072</v>
      </c>
      <c r="E4433" t="s">
        <v>122</v>
      </c>
    </row>
    <row r="4434" spans="1:5" x14ac:dyDescent="0.2">
      <c r="A4434" s="940">
        <v>1806</v>
      </c>
      <c r="B4434" s="940">
        <v>104</v>
      </c>
      <c r="C4434" t="s">
        <v>8428</v>
      </c>
      <c r="D4434" s="940" t="s">
        <v>7329</v>
      </c>
      <c r="E4434" t="s">
        <v>122</v>
      </c>
    </row>
    <row r="4435" spans="1:5" x14ac:dyDescent="0.2">
      <c r="A4435" s="940">
        <v>276</v>
      </c>
      <c r="B4435" s="940">
        <v>808</v>
      </c>
      <c r="C4435" t="s">
        <v>347</v>
      </c>
      <c r="D4435" s="940" t="s">
        <v>8345</v>
      </c>
      <c r="E4435" t="s">
        <v>166</v>
      </c>
    </row>
    <row r="4436" spans="1:5" x14ac:dyDescent="0.2">
      <c r="A4436" s="940">
        <v>168</v>
      </c>
      <c r="B4436" s="940">
        <v>958</v>
      </c>
      <c r="C4436" t="s">
        <v>8429</v>
      </c>
      <c r="D4436" s="940" t="s">
        <v>8430</v>
      </c>
      <c r="E4436" t="s">
        <v>99</v>
      </c>
    </row>
    <row r="4437" spans="1:5" x14ac:dyDescent="0.2">
      <c r="A4437" s="940">
        <v>320</v>
      </c>
      <c r="B4437" s="940">
        <v>742</v>
      </c>
      <c r="C4437" t="s">
        <v>11589</v>
      </c>
      <c r="D4437" s="940" t="s">
        <v>11590</v>
      </c>
      <c r="E4437" t="s">
        <v>74</v>
      </c>
    </row>
    <row r="4438" spans="1:5" x14ac:dyDescent="0.2">
      <c r="A4438" s="940">
        <v>2571</v>
      </c>
      <c r="B4438" s="940">
        <v>43</v>
      </c>
      <c r="C4438" t="s">
        <v>8431</v>
      </c>
      <c r="D4438" s="940" t="s">
        <v>7782</v>
      </c>
      <c r="E4438" t="s">
        <v>142</v>
      </c>
    </row>
    <row r="4439" spans="1:5" x14ac:dyDescent="0.2">
      <c r="A4439" s="940">
        <v>1184</v>
      </c>
      <c r="B4439" s="940">
        <v>216</v>
      </c>
      <c r="C4439" t="s">
        <v>8432</v>
      </c>
      <c r="D4439" s="940" t="s">
        <v>8433</v>
      </c>
      <c r="E4439" t="s">
        <v>105</v>
      </c>
    </row>
    <row r="4440" spans="1:5" x14ac:dyDescent="0.2">
      <c r="A4440" s="940">
        <v>3483</v>
      </c>
      <c r="B4440" s="940">
        <v>10</v>
      </c>
      <c r="C4440" t="s">
        <v>8434</v>
      </c>
      <c r="D4440" s="940" t="s">
        <v>6048</v>
      </c>
      <c r="E4440" t="s">
        <v>175</v>
      </c>
    </row>
    <row r="4441" spans="1:5" x14ac:dyDescent="0.2">
      <c r="A4441" s="940">
        <v>2980</v>
      </c>
      <c r="B4441" s="940">
        <v>24</v>
      </c>
      <c r="C4441" t="s">
        <v>8435</v>
      </c>
      <c r="D4441" s="940" t="s">
        <v>4318</v>
      </c>
      <c r="E4441" t="s">
        <v>99</v>
      </c>
    </row>
    <row r="4442" spans="1:5" x14ac:dyDescent="0.2">
      <c r="A4442" s="940">
        <v>4294</v>
      </c>
      <c r="B4442" s="940">
        <v>0</v>
      </c>
      <c r="C4442" t="s">
        <v>11591</v>
      </c>
      <c r="D4442" s="940" t="s">
        <v>9413</v>
      </c>
      <c r="E4442" t="s">
        <v>122</v>
      </c>
    </row>
    <row r="4443" spans="1:5" x14ac:dyDescent="0.2">
      <c r="A4443" s="940">
        <v>2745</v>
      </c>
      <c r="B4443" s="940">
        <v>35</v>
      </c>
      <c r="C4443" t="s">
        <v>8436</v>
      </c>
      <c r="D4443" s="940" t="s">
        <v>3136</v>
      </c>
      <c r="E4443" t="s">
        <v>1897</v>
      </c>
    </row>
    <row r="4444" spans="1:5" x14ac:dyDescent="0.2">
      <c r="A4444" s="940">
        <v>4294</v>
      </c>
      <c r="B4444" s="940">
        <v>0</v>
      </c>
      <c r="C4444" t="s">
        <v>8437</v>
      </c>
      <c r="D4444" s="940" t="s">
        <v>5956</v>
      </c>
      <c r="E4444" t="s">
        <v>74</v>
      </c>
    </row>
    <row r="4445" spans="1:5" x14ac:dyDescent="0.2">
      <c r="A4445" s="940">
        <v>1604</v>
      </c>
      <c r="B4445" s="940">
        <v>128</v>
      </c>
      <c r="C4445" t="s">
        <v>8438</v>
      </c>
      <c r="D4445" s="940" t="s">
        <v>6307</v>
      </c>
      <c r="E4445" t="s">
        <v>128</v>
      </c>
    </row>
    <row r="4446" spans="1:5" x14ac:dyDescent="0.2">
      <c r="A4446" s="940">
        <v>4294</v>
      </c>
      <c r="B4446" s="940">
        <v>0</v>
      </c>
      <c r="C4446" t="s">
        <v>8439</v>
      </c>
      <c r="D4446" s="940" t="s">
        <v>5698</v>
      </c>
      <c r="E4446" t="s">
        <v>1182</v>
      </c>
    </row>
    <row r="4447" spans="1:5" x14ac:dyDescent="0.2">
      <c r="A4447" s="940">
        <v>4294</v>
      </c>
      <c r="B4447" s="940">
        <v>0</v>
      </c>
      <c r="C4447" t="s">
        <v>8440</v>
      </c>
      <c r="D4447" s="940" t="s">
        <v>7046</v>
      </c>
      <c r="E4447" t="s">
        <v>5555</v>
      </c>
    </row>
    <row r="4448" spans="1:5" x14ac:dyDescent="0.2">
      <c r="A4448" s="940">
        <v>4081</v>
      </c>
      <c r="B4448" s="940">
        <v>2</v>
      </c>
      <c r="C4448" t="s">
        <v>11592</v>
      </c>
      <c r="D4448" s="940" t="s">
        <v>6159</v>
      </c>
      <c r="E4448" t="s">
        <v>165</v>
      </c>
    </row>
    <row r="4449" spans="1:5" x14ac:dyDescent="0.2">
      <c r="A4449" s="940">
        <v>2056</v>
      </c>
      <c r="B4449" s="940">
        <v>81</v>
      </c>
      <c r="C4449" t="s">
        <v>11593</v>
      </c>
      <c r="D4449" s="940" t="s">
        <v>6889</v>
      </c>
      <c r="E4449" t="s">
        <v>120</v>
      </c>
    </row>
    <row r="4450" spans="1:5" x14ac:dyDescent="0.2">
      <c r="A4450" s="940">
        <v>3136</v>
      </c>
      <c r="B4450" s="940">
        <v>19</v>
      </c>
      <c r="C4450" t="s">
        <v>11594</v>
      </c>
      <c r="D4450" s="940" t="s">
        <v>5928</v>
      </c>
      <c r="E4450" t="s">
        <v>120</v>
      </c>
    </row>
    <row r="4451" spans="1:5" x14ac:dyDescent="0.2">
      <c r="A4451" s="940">
        <v>2396</v>
      </c>
      <c r="B4451" s="940">
        <v>55</v>
      </c>
      <c r="C4451" t="s">
        <v>8441</v>
      </c>
      <c r="D4451" s="940" t="s">
        <v>8442</v>
      </c>
      <c r="E4451" t="s">
        <v>2913</v>
      </c>
    </row>
    <row r="4452" spans="1:5" x14ac:dyDescent="0.2">
      <c r="A4452" s="940">
        <v>2218</v>
      </c>
      <c r="B4452" s="940">
        <v>68</v>
      </c>
      <c r="C4452" t="s">
        <v>8443</v>
      </c>
      <c r="D4452" s="940" t="s">
        <v>6083</v>
      </c>
      <c r="E4452" t="s">
        <v>1214</v>
      </c>
    </row>
    <row r="4453" spans="1:5" x14ac:dyDescent="0.2">
      <c r="A4453" s="940">
        <v>3483</v>
      </c>
      <c r="B4453" s="940">
        <v>10</v>
      </c>
      <c r="C4453" t="s">
        <v>8445</v>
      </c>
      <c r="D4453" s="940" t="s">
        <v>7240</v>
      </c>
      <c r="E4453" t="s">
        <v>112</v>
      </c>
    </row>
    <row r="4454" spans="1:5" x14ac:dyDescent="0.2">
      <c r="A4454" s="940">
        <v>1488</v>
      </c>
      <c r="B4454" s="940">
        <v>146</v>
      </c>
      <c r="C4454" t="s">
        <v>11595</v>
      </c>
      <c r="D4454" s="940" t="s">
        <v>11596</v>
      </c>
      <c r="E4454" t="s">
        <v>3140</v>
      </c>
    </row>
    <row r="4455" spans="1:5" x14ac:dyDescent="0.2">
      <c r="A4455" s="940">
        <v>1086</v>
      </c>
      <c r="B4455" s="940">
        <v>246</v>
      </c>
      <c r="C4455" t="s">
        <v>8446</v>
      </c>
      <c r="D4455" s="940" t="s">
        <v>6508</v>
      </c>
      <c r="E4455" t="s">
        <v>1236</v>
      </c>
    </row>
    <row r="4456" spans="1:5" x14ac:dyDescent="0.2">
      <c r="A4456" s="940">
        <v>4081</v>
      </c>
      <c r="B4456" s="940">
        <v>2</v>
      </c>
      <c r="C4456" t="s">
        <v>8446</v>
      </c>
      <c r="D4456" s="940" t="s">
        <v>6572</v>
      </c>
      <c r="E4456" t="s">
        <v>2660</v>
      </c>
    </row>
    <row r="4457" spans="1:5" x14ac:dyDescent="0.2">
      <c r="A4457" s="940">
        <v>2725</v>
      </c>
      <c r="B4457" s="940">
        <v>36</v>
      </c>
      <c r="C4457" t="s">
        <v>8447</v>
      </c>
      <c r="D4457" s="940" t="s">
        <v>2936</v>
      </c>
      <c r="E4457" t="s">
        <v>1236</v>
      </c>
    </row>
    <row r="4458" spans="1:5" x14ac:dyDescent="0.2">
      <c r="A4458" s="940">
        <v>2962</v>
      </c>
      <c r="B4458" s="940">
        <v>25</v>
      </c>
      <c r="C4458" t="s">
        <v>11597</v>
      </c>
      <c r="D4458" s="940" t="s">
        <v>4551</v>
      </c>
      <c r="E4458" t="s">
        <v>120</v>
      </c>
    </row>
    <row r="4459" spans="1:5" x14ac:dyDescent="0.2">
      <c r="A4459" s="940">
        <v>4294</v>
      </c>
      <c r="B4459" s="940">
        <v>0</v>
      </c>
      <c r="C4459" t="s">
        <v>8450</v>
      </c>
      <c r="D4459" s="940" t="s">
        <v>5973</v>
      </c>
      <c r="E4459" t="s">
        <v>1315</v>
      </c>
    </row>
    <row r="4460" spans="1:5" x14ac:dyDescent="0.2">
      <c r="A4460" s="940">
        <v>2938</v>
      </c>
      <c r="B4460" s="940">
        <v>26</v>
      </c>
      <c r="C4460" t="s">
        <v>8453</v>
      </c>
      <c r="D4460" s="940" t="s">
        <v>8454</v>
      </c>
      <c r="E4460" t="s">
        <v>1221</v>
      </c>
    </row>
    <row r="4461" spans="1:5" x14ac:dyDescent="0.2">
      <c r="A4461" s="940">
        <v>791</v>
      </c>
      <c r="B4461" s="940">
        <v>364</v>
      </c>
      <c r="C4461" t="s">
        <v>11598</v>
      </c>
      <c r="D4461" s="940" t="s">
        <v>4734</v>
      </c>
      <c r="E4461" t="s">
        <v>122</v>
      </c>
    </row>
    <row r="4462" spans="1:5" x14ac:dyDescent="0.2">
      <c r="A4462" s="940">
        <v>629</v>
      </c>
      <c r="B4462" s="940">
        <v>446</v>
      </c>
      <c r="C4462" t="s">
        <v>8455</v>
      </c>
      <c r="D4462" s="940" t="s">
        <v>8456</v>
      </c>
      <c r="E4462" t="s">
        <v>1311</v>
      </c>
    </row>
    <row r="4463" spans="1:5" x14ac:dyDescent="0.2">
      <c r="A4463" s="940">
        <v>996</v>
      </c>
      <c r="B4463" s="940">
        <v>279</v>
      </c>
      <c r="C4463" t="s">
        <v>11599</v>
      </c>
      <c r="D4463" s="940" t="s">
        <v>11600</v>
      </c>
      <c r="E4463" t="s">
        <v>105</v>
      </c>
    </row>
    <row r="4464" spans="1:5" x14ac:dyDescent="0.2">
      <c r="A4464" s="940">
        <v>2396</v>
      </c>
      <c r="B4464" s="940">
        <v>55</v>
      </c>
      <c r="C4464" t="s">
        <v>11601</v>
      </c>
      <c r="D4464" s="940" t="s">
        <v>11602</v>
      </c>
      <c r="E4464" t="s">
        <v>1311</v>
      </c>
    </row>
    <row r="4465" spans="1:5" x14ac:dyDescent="0.2">
      <c r="A4465" s="940">
        <v>3732</v>
      </c>
      <c r="B4465" s="940">
        <v>6</v>
      </c>
      <c r="C4465" t="s">
        <v>11603</v>
      </c>
      <c r="D4465" s="940" t="s">
        <v>5500</v>
      </c>
      <c r="E4465" t="s">
        <v>2672</v>
      </c>
    </row>
    <row r="4466" spans="1:5" x14ac:dyDescent="0.2">
      <c r="A4466" s="940">
        <v>981</v>
      </c>
      <c r="B4466" s="940">
        <v>286</v>
      </c>
      <c r="C4466" t="s">
        <v>8457</v>
      </c>
      <c r="D4466" s="940" t="s">
        <v>8458</v>
      </c>
      <c r="E4466" t="s">
        <v>105</v>
      </c>
    </row>
    <row r="4467" spans="1:5" x14ac:dyDescent="0.2">
      <c r="A4467" s="940">
        <v>2353</v>
      </c>
      <c r="B4467" s="940">
        <v>58</v>
      </c>
      <c r="C4467" t="s">
        <v>11604</v>
      </c>
      <c r="D4467" s="940" t="s">
        <v>9458</v>
      </c>
      <c r="E4467" t="s">
        <v>138</v>
      </c>
    </row>
    <row r="4468" spans="1:5" x14ac:dyDescent="0.2">
      <c r="A4468" s="940">
        <v>434</v>
      </c>
      <c r="B4468" s="940">
        <v>608</v>
      </c>
      <c r="C4468" t="s">
        <v>8460</v>
      </c>
      <c r="D4468" s="940" t="s">
        <v>8461</v>
      </c>
      <c r="E4468" t="s">
        <v>1286</v>
      </c>
    </row>
    <row r="4469" spans="1:5" x14ac:dyDescent="0.2">
      <c r="A4469" s="940">
        <v>4294</v>
      </c>
      <c r="B4469" s="940">
        <v>0</v>
      </c>
      <c r="C4469" t="s">
        <v>8462</v>
      </c>
      <c r="D4469" s="940" t="s">
        <v>6355</v>
      </c>
      <c r="E4469" t="s">
        <v>105</v>
      </c>
    </row>
    <row r="4470" spans="1:5" x14ac:dyDescent="0.2">
      <c r="A4470" s="940">
        <v>1445</v>
      </c>
      <c r="B4470" s="940">
        <v>155</v>
      </c>
      <c r="C4470" t="s">
        <v>8463</v>
      </c>
      <c r="D4470" s="940" t="s">
        <v>8464</v>
      </c>
      <c r="E4470" t="s">
        <v>138</v>
      </c>
    </row>
    <row r="4471" spans="1:5" x14ac:dyDescent="0.2">
      <c r="A4471" s="940">
        <v>3250</v>
      </c>
      <c r="B4471" s="940">
        <v>16</v>
      </c>
      <c r="C4471" t="s">
        <v>11605</v>
      </c>
      <c r="D4471" s="940" t="s">
        <v>9004</v>
      </c>
      <c r="E4471" t="s">
        <v>128</v>
      </c>
    </row>
    <row r="4472" spans="1:5" x14ac:dyDescent="0.2">
      <c r="A4472" s="940">
        <v>440</v>
      </c>
      <c r="B4472" s="940">
        <v>602</v>
      </c>
      <c r="C4472" t="s">
        <v>348</v>
      </c>
      <c r="D4472" s="940" t="s">
        <v>8465</v>
      </c>
      <c r="E4472" t="s">
        <v>1214</v>
      </c>
    </row>
    <row r="4473" spans="1:5" x14ac:dyDescent="0.2">
      <c r="A4473" s="940">
        <v>4294</v>
      </c>
      <c r="B4473" s="940">
        <v>0</v>
      </c>
      <c r="C4473" t="s">
        <v>8466</v>
      </c>
      <c r="D4473" s="940" t="s">
        <v>3496</v>
      </c>
      <c r="E4473" t="s">
        <v>99</v>
      </c>
    </row>
    <row r="4474" spans="1:5" x14ac:dyDescent="0.2">
      <c r="A4474" s="940">
        <v>4294</v>
      </c>
      <c r="B4474" s="940">
        <v>0</v>
      </c>
      <c r="C4474" t="s">
        <v>11606</v>
      </c>
      <c r="D4474" s="940" t="s">
        <v>5438</v>
      </c>
      <c r="E4474" t="s">
        <v>1221</v>
      </c>
    </row>
    <row r="4475" spans="1:5" x14ac:dyDescent="0.2">
      <c r="A4475" s="940">
        <v>356</v>
      </c>
      <c r="B4475" s="940">
        <v>691</v>
      </c>
      <c r="C4475" t="s">
        <v>8469</v>
      </c>
      <c r="D4475" s="940" t="s">
        <v>8470</v>
      </c>
      <c r="E4475" t="s">
        <v>105</v>
      </c>
    </row>
    <row r="4476" spans="1:5" x14ac:dyDescent="0.2">
      <c r="A4476" s="940">
        <v>531</v>
      </c>
      <c r="B4476" s="940">
        <v>519</v>
      </c>
      <c r="C4476" t="s">
        <v>8471</v>
      </c>
      <c r="D4476" s="940" t="s">
        <v>8472</v>
      </c>
      <c r="E4476" t="s">
        <v>1246</v>
      </c>
    </row>
    <row r="4477" spans="1:5" x14ac:dyDescent="0.2">
      <c r="A4477" s="940">
        <v>551</v>
      </c>
      <c r="B4477" s="940">
        <v>508</v>
      </c>
      <c r="C4477" t="s">
        <v>8473</v>
      </c>
      <c r="D4477" s="940" t="s">
        <v>8474</v>
      </c>
      <c r="E4477" t="s">
        <v>1182</v>
      </c>
    </row>
    <row r="4478" spans="1:5" x14ac:dyDescent="0.2">
      <c r="A4478" s="940">
        <v>2514</v>
      </c>
      <c r="B4478" s="940">
        <v>46</v>
      </c>
      <c r="C4478" t="s">
        <v>11607</v>
      </c>
      <c r="D4478" s="940" t="s">
        <v>11608</v>
      </c>
      <c r="E4478" t="s">
        <v>3687</v>
      </c>
    </row>
    <row r="4479" spans="1:5" x14ac:dyDescent="0.2">
      <c r="A4479" s="940">
        <v>56</v>
      </c>
      <c r="B4479" s="940">
        <v>1268</v>
      </c>
      <c r="C4479" t="s">
        <v>8476</v>
      </c>
      <c r="D4479" s="940" t="s">
        <v>8477</v>
      </c>
      <c r="E4479" t="s">
        <v>99</v>
      </c>
    </row>
    <row r="4480" spans="1:5" x14ac:dyDescent="0.2">
      <c r="A4480" s="940">
        <v>1604</v>
      </c>
      <c r="B4480" s="940">
        <v>128</v>
      </c>
      <c r="C4480" t="s">
        <v>2301</v>
      </c>
      <c r="D4480" s="940" t="s">
        <v>9398</v>
      </c>
      <c r="E4480" t="s">
        <v>105</v>
      </c>
    </row>
    <row r="4481" spans="1:5" x14ac:dyDescent="0.2">
      <c r="A4481" s="940">
        <v>1852</v>
      </c>
      <c r="B4481" s="940">
        <v>100</v>
      </c>
      <c r="C4481" t="s">
        <v>8478</v>
      </c>
      <c r="D4481" s="940" t="s">
        <v>4487</v>
      </c>
      <c r="E4481" t="s">
        <v>2237</v>
      </c>
    </row>
    <row r="4482" spans="1:5" x14ac:dyDescent="0.2">
      <c r="A4482" s="940">
        <v>868</v>
      </c>
      <c r="B4482" s="940">
        <v>329</v>
      </c>
      <c r="C4482" t="s">
        <v>11609</v>
      </c>
      <c r="D4482" s="940" t="s">
        <v>11610</v>
      </c>
      <c r="E4482" t="s">
        <v>1609</v>
      </c>
    </row>
    <row r="4483" spans="1:5" x14ac:dyDescent="0.2">
      <c r="A4483" s="940">
        <v>3602</v>
      </c>
      <c r="B4483" s="940">
        <v>8</v>
      </c>
      <c r="C4483" t="s">
        <v>8479</v>
      </c>
      <c r="D4483" s="940" t="s">
        <v>3981</v>
      </c>
      <c r="E4483" t="s">
        <v>1176</v>
      </c>
    </row>
    <row r="4484" spans="1:5" x14ac:dyDescent="0.2">
      <c r="A4484" s="940">
        <v>412</v>
      </c>
      <c r="B4484" s="940">
        <v>632</v>
      </c>
      <c r="C4484" t="s">
        <v>8480</v>
      </c>
      <c r="D4484" s="940" t="s">
        <v>8481</v>
      </c>
      <c r="E4484" t="s">
        <v>105</v>
      </c>
    </row>
    <row r="4485" spans="1:5" x14ac:dyDescent="0.2">
      <c r="A4485" s="940">
        <v>2745</v>
      </c>
      <c r="B4485" s="940">
        <v>35</v>
      </c>
      <c r="C4485" t="s">
        <v>8482</v>
      </c>
      <c r="D4485" s="940" t="s">
        <v>4376</v>
      </c>
      <c r="E4485" t="s">
        <v>109</v>
      </c>
    </row>
    <row r="4486" spans="1:5" x14ac:dyDescent="0.2">
      <c r="A4486" s="940">
        <v>4294</v>
      </c>
      <c r="B4486" s="940">
        <v>0</v>
      </c>
      <c r="C4486" t="s">
        <v>8483</v>
      </c>
      <c r="D4486" s="940" t="s">
        <v>2807</v>
      </c>
      <c r="E4486" t="s">
        <v>133</v>
      </c>
    </row>
    <row r="4487" spans="1:5" x14ac:dyDescent="0.2">
      <c r="A4487" s="940">
        <v>4294</v>
      </c>
      <c r="B4487" s="940">
        <v>0</v>
      </c>
      <c r="C4487" t="s">
        <v>11611</v>
      </c>
      <c r="D4487" s="940" t="s">
        <v>5200</v>
      </c>
      <c r="E4487" t="s">
        <v>133</v>
      </c>
    </row>
    <row r="4488" spans="1:5" x14ac:dyDescent="0.2">
      <c r="A4488" s="940">
        <v>4294</v>
      </c>
      <c r="B4488" s="940">
        <v>0</v>
      </c>
      <c r="C4488" t="s">
        <v>8484</v>
      </c>
      <c r="D4488" s="940" t="s">
        <v>8485</v>
      </c>
      <c r="E4488" t="s">
        <v>213</v>
      </c>
    </row>
    <row r="4489" spans="1:5" x14ac:dyDescent="0.2">
      <c r="A4489" s="940">
        <v>3008</v>
      </c>
      <c r="B4489" s="940">
        <v>23</v>
      </c>
      <c r="C4489" t="s">
        <v>8486</v>
      </c>
      <c r="D4489" s="940" t="s">
        <v>8487</v>
      </c>
      <c r="E4489" t="s">
        <v>1156</v>
      </c>
    </row>
    <row r="4490" spans="1:5" x14ac:dyDescent="0.2">
      <c r="A4490" s="940">
        <v>1594</v>
      </c>
      <c r="B4490" s="940">
        <v>129</v>
      </c>
      <c r="C4490" t="s">
        <v>8489</v>
      </c>
      <c r="D4490" s="940" t="s">
        <v>8490</v>
      </c>
      <c r="E4490" t="s">
        <v>3951</v>
      </c>
    </row>
    <row r="4491" spans="1:5" x14ac:dyDescent="0.2">
      <c r="A4491" s="940">
        <v>4294</v>
      </c>
      <c r="B4491" s="940">
        <v>0</v>
      </c>
      <c r="C4491" t="s">
        <v>11612</v>
      </c>
      <c r="D4491" s="940" t="s">
        <v>5889</v>
      </c>
      <c r="E4491" t="s">
        <v>1341</v>
      </c>
    </row>
    <row r="4492" spans="1:5" x14ac:dyDescent="0.2">
      <c r="A4492" s="940">
        <v>1191</v>
      </c>
      <c r="B4492" s="940">
        <v>214</v>
      </c>
      <c r="C4492" t="s">
        <v>8492</v>
      </c>
      <c r="D4492" s="940" t="s">
        <v>8493</v>
      </c>
      <c r="E4492" t="s">
        <v>3098</v>
      </c>
    </row>
    <row r="4493" spans="1:5" x14ac:dyDescent="0.2">
      <c r="A4493" s="940">
        <v>4294</v>
      </c>
      <c r="B4493" s="940">
        <v>0</v>
      </c>
      <c r="C4493" t="s">
        <v>11613</v>
      </c>
      <c r="D4493" s="940" t="s">
        <v>2630</v>
      </c>
      <c r="E4493" t="s">
        <v>1803</v>
      </c>
    </row>
    <row r="4494" spans="1:5" x14ac:dyDescent="0.2">
      <c r="A4494" s="940">
        <v>3107</v>
      </c>
      <c r="B4494" s="940">
        <v>20</v>
      </c>
      <c r="C4494" t="s">
        <v>2303</v>
      </c>
      <c r="D4494" s="940" t="s">
        <v>8494</v>
      </c>
      <c r="E4494" t="s">
        <v>1156</v>
      </c>
    </row>
    <row r="4495" spans="1:5" x14ac:dyDescent="0.2">
      <c r="A4495" s="940">
        <v>4181</v>
      </c>
      <c r="B4495" s="940">
        <v>1</v>
      </c>
      <c r="C4495" t="s">
        <v>8495</v>
      </c>
      <c r="D4495" s="940" t="s">
        <v>7881</v>
      </c>
      <c r="E4495" t="s">
        <v>74</v>
      </c>
    </row>
    <row r="4496" spans="1:5" x14ac:dyDescent="0.2">
      <c r="A4496" s="940">
        <v>3796</v>
      </c>
      <c r="B4496" s="940">
        <v>5</v>
      </c>
      <c r="C4496" t="s">
        <v>8496</v>
      </c>
      <c r="D4496" s="940" t="s">
        <v>8497</v>
      </c>
      <c r="E4496" t="s">
        <v>120</v>
      </c>
    </row>
    <row r="4497" spans="1:5" x14ac:dyDescent="0.2">
      <c r="A4497" s="940">
        <v>3107</v>
      </c>
      <c r="B4497" s="940">
        <v>20</v>
      </c>
      <c r="C4497" t="s">
        <v>8498</v>
      </c>
      <c r="D4497" s="940" t="s">
        <v>5118</v>
      </c>
      <c r="E4497" t="s">
        <v>74</v>
      </c>
    </row>
    <row r="4498" spans="1:5" x14ac:dyDescent="0.2">
      <c r="A4498" s="940">
        <v>2894</v>
      </c>
      <c r="B4498" s="940">
        <v>28</v>
      </c>
      <c r="C4498" t="s">
        <v>11614</v>
      </c>
      <c r="D4498" s="940" t="s">
        <v>11615</v>
      </c>
      <c r="E4498" t="s">
        <v>1214</v>
      </c>
    </row>
    <row r="4499" spans="1:5" x14ac:dyDescent="0.2">
      <c r="A4499" s="940">
        <v>3545</v>
      </c>
      <c r="B4499" s="940">
        <v>9</v>
      </c>
      <c r="C4499" t="s">
        <v>11616</v>
      </c>
      <c r="D4499" s="940" t="s">
        <v>8981</v>
      </c>
      <c r="E4499" t="s">
        <v>11617</v>
      </c>
    </row>
    <row r="4500" spans="1:5" x14ac:dyDescent="0.2">
      <c r="A4500" s="940">
        <v>4294</v>
      </c>
      <c r="B4500" s="940">
        <v>0</v>
      </c>
      <c r="C4500" t="s">
        <v>8499</v>
      </c>
      <c r="D4500" s="940" t="s">
        <v>5034</v>
      </c>
      <c r="E4500" t="s">
        <v>1171</v>
      </c>
    </row>
    <row r="4501" spans="1:5" x14ac:dyDescent="0.2">
      <c r="A4501" s="940">
        <v>4294</v>
      </c>
      <c r="B4501" s="940">
        <v>0</v>
      </c>
      <c r="C4501" t="s">
        <v>8500</v>
      </c>
      <c r="D4501" s="940" t="s">
        <v>8501</v>
      </c>
      <c r="E4501" t="s">
        <v>4461</v>
      </c>
    </row>
    <row r="4502" spans="1:5" x14ac:dyDescent="0.2">
      <c r="A4502" s="940">
        <v>3222</v>
      </c>
      <c r="B4502" s="940">
        <v>17</v>
      </c>
      <c r="C4502" t="s">
        <v>11618</v>
      </c>
      <c r="D4502" s="940" t="s">
        <v>10250</v>
      </c>
      <c r="E4502" t="s">
        <v>120</v>
      </c>
    </row>
    <row r="4503" spans="1:5" x14ac:dyDescent="0.2">
      <c r="A4503" s="940">
        <v>3008</v>
      </c>
      <c r="B4503" s="940">
        <v>23</v>
      </c>
      <c r="C4503" t="s">
        <v>11619</v>
      </c>
      <c r="D4503" s="940" t="s">
        <v>10092</v>
      </c>
      <c r="E4503" t="s">
        <v>1447</v>
      </c>
    </row>
    <row r="4504" spans="1:5" x14ac:dyDescent="0.2">
      <c r="A4504" s="940">
        <v>1157</v>
      </c>
      <c r="B4504" s="940">
        <v>223</v>
      </c>
      <c r="C4504" t="s">
        <v>2305</v>
      </c>
      <c r="D4504" s="940" t="s">
        <v>4121</v>
      </c>
      <c r="E4504" t="s">
        <v>99</v>
      </c>
    </row>
    <row r="4505" spans="1:5" x14ac:dyDescent="0.2">
      <c r="A4505" s="940">
        <v>3796</v>
      </c>
      <c r="B4505" s="940">
        <v>5</v>
      </c>
      <c r="C4505" t="s">
        <v>11620</v>
      </c>
      <c r="D4505" s="940" t="s">
        <v>5500</v>
      </c>
      <c r="E4505" t="s">
        <v>122</v>
      </c>
    </row>
    <row r="4506" spans="1:5" x14ac:dyDescent="0.2">
      <c r="A4506" s="940">
        <v>1956</v>
      </c>
      <c r="B4506" s="940">
        <v>90</v>
      </c>
      <c r="C4506" t="s">
        <v>11621</v>
      </c>
      <c r="D4506" s="940" t="s">
        <v>9105</v>
      </c>
      <c r="E4506" t="s">
        <v>1315</v>
      </c>
    </row>
    <row r="4507" spans="1:5" x14ac:dyDescent="0.2">
      <c r="A4507" s="940">
        <v>2254</v>
      </c>
      <c r="B4507" s="940">
        <v>65</v>
      </c>
      <c r="C4507" t="s">
        <v>8505</v>
      </c>
      <c r="D4507" s="940" t="s">
        <v>8506</v>
      </c>
      <c r="E4507" t="s">
        <v>103</v>
      </c>
    </row>
    <row r="4508" spans="1:5" x14ac:dyDescent="0.2">
      <c r="A4508" s="940">
        <v>932</v>
      </c>
      <c r="B4508" s="940">
        <v>305</v>
      </c>
      <c r="C4508" t="s">
        <v>8507</v>
      </c>
      <c r="D4508" s="940" t="s">
        <v>8508</v>
      </c>
      <c r="E4508" t="s">
        <v>120</v>
      </c>
    </row>
    <row r="4509" spans="1:5" x14ac:dyDescent="0.2">
      <c r="A4509" s="940">
        <v>4181</v>
      </c>
      <c r="B4509" s="940">
        <v>1</v>
      </c>
      <c r="C4509" t="s">
        <v>11622</v>
      </c>
      <c r="D4509" s="940" t="s">
        <v>6135</v>
      </c>
      <c r="E4509" t="s">
        <v>111</v>
      </c>
    </row>
    <row r="4510" spans="1:5" x14ac:dyDescent="0.2">
      <c r="A4510" s="940">
        <v>3250</v>
      </c>
      <c r="B4510" s="940">
        <v>16</v>
      </c>
      <c r="C4510" t="s">
        <v>8509</v>
      </c>
      <c r="D4510" s="940" t="s">
        <v>8510</v>
      </c>
      <c r="E4510" t="s">
        <v>2654</v>
      </c>
    </row>
    <row r="4511" spans="1:5" x14ac:dyDescent="0.2">
      <c r="A4511" s="940">
        <v>3290</v>
      </c>
      <c r="B4511" s="940">
        <v>15</v>
      </c>
      <c r="C4511" t="s">
        <v>8509</v>
      </c>
      <c r="D4511" s="940" t="s">
        <v>6135</v>
      </c>
      <c r="E4511" t="s">
        <v>111</v>
      </c>
    </row>
    <row r="4512" spans="1:5" x14ac:dyDescent="0.2">
      <c r="A4512" s="940">
        <v>4294</v>
      </c>
      <c r="B4512" s="940">
        <v>0</v>
      </c>
      <c r="C4512" t="s">
        <v>8511</v>
      </c>
      <c r="D4512" s="940" t="s">
        <v>3346</v>
      </c>
      <c r="E4512" t="s">
        <v>105</v>
      </c>
    </row>
    <row r="4513" spans="1:5" x14ac:dyDescent="0.2">
      <c r="A4513" s="940">
        <v>244</v>
      </c>
      <c r="B4513" s="940">
        <v>844</v>
      </c>
      <c r="C4513" t="s">
        <v>8512</v>
      </c>
      <c r="D4513" s="940" t="s">
        <v>3820</v>
      </c>
      <c r="E4513" t="s">
        <v>120</v>
      </c>
    </row>
    <row r="4514" spans="1:5" x14ac:dyDescent="0.2">
      <c r="A4514" s="940">
        <v>2042</v>
      </c>
      <c r="B4514" s="940">
        <v>82</v>
      </c>
      <c r="C4514" t="s">
        <v>2307</v>
      </c>
      <c r="D4514" s="940" t="s">
        <v>11623</v>
      </c>
      <c r="E4514" t="s">
        <v>1307</v>
      </c>
    </row>
    <row r="4515" spans="1:5" x14ac:dyDescent="0.2">
      <c r="A4515" s="940">
        <v>4294</v>
      </c>
      <c r="B4515" s="940">
        <v>0</v>
      </c>
      <c r="C4515" t="s">
        <v>11624</v>
      </c>
      <c r="D4515" s="940" t="s">
        <v>2630</v>
      </c>
      <c r="E4515" t="s">
        <v>1803</v>
      </c>
    </row>
    <row r="4516" spans="1:5" x14ac:dyDescent="0.2">
      <c r="A4516" s="940">
        <v>798</v>
      </c>
      <c r="B4516" s="940">
        <v>359</v>
      </c>
      <c r="C4516" t="s">
        <v>8513</v>
      </c>
      <c r="D4516" s="940" t="s">
        <v>5845</v>
      </c>
      <c r="E4516" t="s">
        <v>112</v>
      </c>
    </row>
    <row r="4517" spans="1:5" x14ac:dyDescent="0.2">
      <c r="A4517" s="940">
        <v>3545</v>
      </c>
      <c r="B4517" s="940">
        <v>9</v>
      </c>
      <c r="C4517" t="s">
        <v>11625</v>
      </c>
      <c r="D4517" s="940" t="s">
        <v>4155</v>
      </c>
      <c r="E4517" t="s">
        <v>105</v>
      </c>
    </row>
    <row r="4518" spans="1:5" x14ac:dyDescent="0.2">
      <c r="A4518" s="940">
        <v>1782</v>
      </c>
      <c r="B4518" s="940">
        <v>107</v>
      </c>
      <c r="C4518" t="s">
        <v>8517</v>
      </c>
      <c r="D4518" s="940" t="s">
        <v>8518</v>
      </c>
      <c r="E4518" t="s">
        <v>3863</v>
      </c>
    </row>
    <row r="4519" spans="1:5" x14ac:dyDescent="0.2">
      <c r="A4519" s="940">
        <v>1568</v>
      </c>
      <c r="B4519" s="940">
        <v>133</v>
      </c>
      <c r="C4519" t="s">
        <v>2308</v>
      </c>
      <c r="D4519" s="940" t="s">
        <v>11626</v>
      </c>
      <c r="E4519" t="s">
        <v>1285</v>
      </c>
    </row>
    <row r="4520" spans="1:5" x14ac:dyDescent="0.2">
      <c r="A4520" s="940">
        <v>1574</v>
      </c>
      <c r="B4520" s="940">
        <v>132</v>
      </c>
      <c r="C4520" t="s">
        <v>8519</v>
      </c>
      <c r="D4520" s="940" t="s">
        <v>7635</v>
      </c>
      <c r="E4520" t="s">
        <v>1507</v>
      </c>
    </row>
    <row r="4521" spans="1:5" x14ac:dyDescent="0.2">
      <c r="A4521" s="940">
        <v>1413</v>
      </c>
      <c r="B4521" s="940">
        <v>160</v>
      </c>
      <c r="C4521" t="s">
        <v>2309</v>
      </c>
      <c r="D4521" s="940" t="s">
        <v>7530</v>
      </c>
      <c r="E4521" t="s">
        <v>74</v>
      </c>
    </row>
    <row r="4522" spans="1:5" x14ac:dyDescent="0.2">
      <c r="A4522" s="940">
        <v>2379</v>
      </c>
      <c r="B4522" s="940">
        <v>56</v>
      </c>
      <c r="C4522" t="s">
        <v>8520</v>
      </c>
      <c r="D4522" s="940" t="s">
        <v>7426</v>
      </c>
      <c r="E4522" t="s">
        <v>74</v>
      </c>
    </row>
    <row r="4523" spans="1:5" x14ac:dyDescent="0.2">
      <c r="A4523" s="940">
        <v>2614</v>
      </c>
      <c r="B4523" s="940">
        <v>41</v>
      </c>
      <c r="C4523" t="s">
        <v>8521</v>
      </c>
      <c r="D4523" s="940" t="s">
        <v>3222</v>
      </c>
      <c r="E4523" t="s">
        <v>1246</v>
      </c>
    </row>
    <row r="4524" spans="1:5" x14ac:dyDescent="0.2">
      <c r="A4524" s="940">
        <v>4294</v>
      </c>
      <c r="B4524" s="940">
        <v>0</v>
      </c>
      <c r="C4524" t="s">
        <v>11627</v>
      </c>
      <c r="D4524" s="940" t="s">
        <v>5664</v>
      </c>
      <c r="E4524" t="s">
        <v>11628</v>
      </c>
    </row>
    <row r="4525" spans="1:5" x14ac:dyDescent="0.2">
      <c r="A4525" s="940">
        <v>4294</v>
      </c>
      <c r="B4525" s="940">
        <v>0</v>
      </c>
      <c r="C4525" t="s">
        <v>11629</v>
      </c>
      <c r="D4525" s="940" t="s">
        <v>11416</v>
      </c>
      <c r="E4525" t="s">
        <v>128</v>
      </c>
    </row>
    <row r="4526" spans="1:5" x14ac:dyDescent="0.2">
      <c r="A4526" s="940">
        <v>805</v>
      </c>
      <c r="B4526" s="940">
        <v>356</v>
      </c>
      <c r="C4526" t="s">
        <v>8523</v>
      </c>
      <c r="D4526" s="940" t="s">
        <v>8524</v>
      </c>
      <c r="E4526" t="s">
        <v>1332</v>
      </c>
    </row>
    <row r="4527" spans="1:5" x14ac:dyDescent="0.2">
      <c r="A4527" s="940">
        <v>2649</v>
      </c>
      <c r="B4527" s="940">
        <v>39</v>
      </c>
      <c r="C4527" t="s">
        <v>8525</v>
      </c>
      <c r="D4527" s="940" t="s">
        <v>8526</v>
      </c>
      <c r="E4527" t="s">
        <v>1158</v>
      </c>
    </row>
    <row r="4528" spans="1:5" x14ac:dyDescent="0.2">
      <c r="A4528" s="940">
        <v>3972</v>
      </c>
      <c r="B4528" s="940">
        <v>3</v>
      </c>
      <c r="C4528" t="s">
        <v>8529</v>
      </c>
      <c r="D4528" s="940" t="s">
        <v>8530</v>
      </c>
      <c r="E4528" t="s">
        <v>3597</v>
      </c>
    </row>
    <row r="4529" spans="1:5" x14ac:dyDescent="0.2">
      <c r="A4529" s="940">
        <v>995</v>
      </c>
      <c r="B4529" s="940">
        <v>280</v>
      </c>
      <c r="C4529" t="s">
        <v>11630</v>
      </c>
      <c r="D4529" s="940" t="s">
        <v>11631</v>
      </c>
      <c r="E4529" t="s">
        <v>83</v>
      </c>
    </row>
    <row r="4530" spans="1:5" x14ac:dyDescent="0.2">
      <c r="A4530" s="940">
        <v>2286</v>
      </c>
      <c r="B4530" s="940">
        <v>63</v>
      </c>
      <c r="C4530" t="s">
        <v>8533</v>
      </c>
      <c r="D4530" s="940" t="s">
        <v>8534</v>
      </c>
      <c r="E4530" t="s">
        <v>142</v>
      </c>
    </row>
    <row r="4531" spans="1:5" x14ac:dyDescent="0.2">
      <c r="A4531" s="940">
        <v>4294</v>
      </c>
      <c r="B4531" s="940">
        <v>0</v>
      </c>
      <c r="C4531" t="s">
        <v>8535</v>
      </c>
      <c r="D4531" s="940" t="s">
        <v>6777</v>
      </c>
      <c r="E4531" t="s">
        <v>1171</v>
      </c>
    </row>
    <row r="4532" spans="1:5" x14ac:dyDescent="0.2">
      <c r="A4532" s="940">
        <v>2180</v>
      </c>
      <c r="B4532" s="940">
        <v>71</v>
      </c>
      <c r="C4532" t="s">
        <v>11632</v>
      </c>
      <c r="D4532" s="940" t="s">
        <v>3630</v>
      </c>
      <c r="E4532" t="s">
        <v>1475</v>
      </c>
    </row>
    <row r="4533" spans="1:5" x14ac:dyDescent="0.2">
      <c r="A4533" s="940">
        <v>1536</v>
      </c>
      <c r="B4533" s="940">
        <v>139</v>
      </c>
      <c r="C4533" t="s">
        <v>8536</v>
      </c>
      <c r="D4533" s="940" t="s">
        <v>8537</v>
      </c>
      <c r="E4533" t="s">
        <v>103</v>
      </c>
    </row>
    <row r="4534" spans="1:5" x14ac:dyDescent="0.2">
      <c r="A4534" s="940">
        <v>4294</v>
      </c>
      <c r="B4534" s="940">
        <v>0</v>
      </c>
      <c r="C4534" t="s">
        <v>11633</v>
      </c>
      <c r="D4534" s="940" t="s">
        <v>10309</v>
      </c>
      <c r="E4534" t="s">
        <v>11549</v>
      </c>
    </row>
    <row r="4535" spans="1:5" x14ac:dyDescent="0.2">
      <c r="A4535" s="940">
        <v>2396</v>
      </c>
      <c r="B4535" s="940">
        <v>55</v>
      </c>
      <c r="C4535" t="s">
        <v>8538</v>
      </c>
      <c r="D4535" s="940" t="s">
        <v>2727</v>
      </c>
      <c r="E4535" t="s">
        <v>1214</v>
      </c>
    </row>
    <row r="4536" spans="1:5" x14ac:dyDescent="0.2">
      <c r="A4536" s="940">
        <v>4294</v>
      </c>
      <c r="B4536" s="940">
        <v>0</v>
      </c>
      <c r="C4536" t="s">
        <v>8539</v>
      </c>
      <c r="D4536" s="940" t="s">
        <v>8540</v>
      </c>
      <c r="E4536" t="s">
        <v>4381</v>
      </c>
    </row>
    <row r="4537" spans="1:5" x14ac:dyDescent="0.2">
      <c r="A4537" s="940">
        <v>4294</v>
      </c>
      <c r="B4537" s="940">
        <v>0</v>
      </c>
      <c r="C4537" t="s">
        <v>8541</v>
      </c>
      <c r="D4537" s="940" t="s">
        <v>4440</v>
      </c>
      <c r="E4537" t="s">
        <v>105</v>
      </c>
    </row>
    <row r="4538" spans="1:5" x14ac:dyDescent="0.2">
      <c r="A4538" s="940">
        <v>945</v>
      </c>
      <c r="B4538" s="940">
        <v>300</v>
      </c>
      <c r="C4538" t="s">
        <v>414</v>
      </c>
      <c r="D4538" s="940" t="s">
        <v>8542</v>
      </c>
      <c r="E4538" t="s">
        <v>1221</v>
      </c>
    </row>
    <row r="4539" spans="1:5" x14ac:dyDescent="0.2">
      <c r="A4539" s="940">
        <v>4294</v>
      </c>
      <c r="B4539" s="940">
        <v>0</v>
      </c>
      <c r="C4539" t="s">
        <v>414</v>
      </c>
      <c r="D4539" s="940" t="s">
        <v>4555</v>
      </c>
      <c r="E4539" t="s">
        <v>99</v>
      </c>
    </row>
    <row r="4540" spans="1:5" x14ac:dyDescent="0.2">
      <c r="A4540" s="940">
        <v>1604</v>
      </c>
      <c r="B4540" s="940">
        <v>128</v>
      </c>
      <c r="C4540" t="s">
        <v>8543</v>
      </c>
      <c r="D4540" s="940" t="s">
        <v>8544</v>
      </c>
      <c r="E4540" t="s">
        <v>99</v>
      </c>
    </row>
    <row r="4541" spans="1:5" x14ac:dyDescent="0.2">
      <c r="A4541" s="940">
        <v>133</v>
      </c>
      <c r="B4541" s="940">
        <v>1031</v>
      </c>
      <c r="C4541" t="s">
        <v>8545</v>
      </c>
      <c r="D4541" s="940" t="s">
        <v>8546</v>
      </c>
      <c r="E4541" t="s">
        <v>1171</v>
      </c>
    </row>
    <row r="4542" spans="1:5" x14ac:dyDescent="0.2">
      <c r="A4542" s="940">
        <v>2819</v>
      </c>
      <c r="B4542" s="940">
        <v>32</v>
      </c>
      <c r="C4542" t="s">
        <v>11634</v>
      </c>
      <c r="D4542" s="940" t="s">
        <v>9741</v>
      </c>
      <c r="E4542" t="s">
        <v>10328</v>
      </c>
    </row>
    <row r="4543" spans="1:5" x14ac:dyDescent="0.2">
      <c r="A4543" s="940">
        <v>4181</v>
      </c>
      <c r="B4543" s="940">
        <v>1</v>
      </c>
      <c r="C4543" t="s">
        <v>8547</v>
      </c>
      <c r="D4543" s="940" t="s">
        <v>4263</v>
      </c>
      <c r="E4543" t="s">
        <v>74</v>
      </c>
    </row>
    <row r="4544" spans="1:5" x14ac:dyDescent="0.2">
      <c r="A4544" s="940">
        <v>4181</v>
      </c>
      <c r="B4544" s="940">
        <v>1</v>
      </c>
      <c r="C4544" t="s">
        <v>8548</v>
      </c>
      <c r="D4544" s="940" t="s">
        <v>4263</v>
      </c>
      <c r="E4544" t="s">
        <v>74</v>
      </c>
    </row>
    <row r="4545" spans="1:5" x14ac:dyDescent="0.2">
      <c r="A4545" s="940">
        <v>1852</v>
      </c>
      <c r="B4545" s="940">
        <v>100</v>
      </c>
      <c r="C4545" t="s">
        <v>8549</v>
      </c>
      <c r="D4545" s="940" t="s">
        <v>8550</v>
      </c>
      <c r="E4545" t="s">
        <v>1493</v>
      </c>
    </row>
    <row r="4546" spans="1:5" x14ac:dyDescent="0.2">
      <c r="A4546" s="940">
        <v>4294</v>
      </c>
      <c r="B4546" s="940">
        <v>0</v>
      </c>
      <c r="C4546" t="s">
        <v>11635</v>
      </c>
      <c r="D4546" s="940" t="s">
        <v>10694</v>
      </c>
      <c r="E4546" t="s">
        <v>1460</v>
      </c>
    </row>
    <row r="4547" spans="1:5" x14ac:dyDescent="0.2">
      <c r="A4547" s="940">
        <v>1676</v>
      </c>
      <c r="B4547" s="940">
        <v>120</v>
      </c>
      <c r="C4547" t="s">
        <v>2315</v>
      </c>
      <c r="D4547" s="940" t="s">
        <v>6823</v>
      </c>
      <c r="E4547" t="s">
        <v>99</v>
      </c>
    </row>
    <row r="4548" spans="1:5" x14ac:dyDescent="0.2">
      <c r="A4548" s="940">
        <v>2014</v>
      </c>
      <c r="B4548" s="940">
        <v>84</v>
      </c>
      <c r="C4548" t="s">
        <v>8551</v>
      </c>
      <c r="D4548" s="940" t="s">
        <v>8552</v>
      </c>
      <c r="E4548" t="s">
        <v>1584</v>
      </c>
    </row>
    <row r="4549" spans="1:5" x14ac:dyDescent="0.2">
      <c r="A4549" s="940">
        <v>1826</v>
      </c>
      <c r="B4549" s="940">
        <v>102</v>
      </c>
      <c r="C4549" t="s">
        <v>11636</v>
      </c>
      <c r="D4549" s="940" t="s">
        <v>6249</v>
      </c>
      <c r="E4549" t="s">
        <v>1284</v>
      </c>
    </row>
    <row r="4550" spans="1:5" x14ac:dyDescent="0.2">
      <c r="A4550" s="940">
        <v>3732</v>
      </c>
      <c r="B4550" s="940">
        <v>6</v>
      </c>
      <c r="C4550" t="s">
        <v>8553</v>
      </c>
      <c r="D4550" s="940" t="s">
        <v>8554</v>
      </c>
      <c r="E4550" t="s">
        <v>1198</v>
      </c>
    </row>
    <row r="4551" spans="1:5" x14ac:dyDescent="0.2">
      <c r="A4551" s="940">
        <v>2819</v>
      </c>
      <c r="B4551" s="940">
        <v>32</v>
      </c>
      <c r="C4551" t="s">
        <v>11637</v>
      </c>
      <c r="D4551" s="940" t="s">
        <v>6305</v>
      </c>
      <c r="E4551" t="s">
        <v>1160</v>
      </c>
    </row>
    <row r="4552" spans="1:5" x14ac:dyDescent="0.2">
      <c r="A4552" s="940">
        <v>2101</v>
      </c>
      <c r="B4552" s="940">
        <v>77</v>
      </c>
      <c r="C4552" t="s">
        <v>8555</v>
      </c>
      <c r="D4552" s="940" t="s">
        <v>5297</v>
      </c>
      <c r="E4552" t="s">
        <v>1160</v>
      </c>
    </row>
    <row r="4553" spans="1:5" x14ac:dyDescent="0.2">
      <c r="A4553" s="940">
        <v>3107</v>
      </c>
      <c r="B4553" s="940">
        <v>20</v>
      </c>
      <c r="C4553" t="s">
        <v>8556</v>
      </c>
      <c r="D4553" s="940" t="s">
        <v>4062</v>
      </c>
      <c r="E4553" t="s">
        <v>141</v>
      </c>
    </row>
    <row r="4554" spans="1:5" x14ac:dyDescent="0.2">
      <c r="A4554" s="940">
        <v>3358</v>
      </c>
      <c r="B4554" s="940">
        <v>13</v>
      </c>
      <c r="C4554" t="s">
        <v>11638</v>
      </c>
      <c r="D4554" s="940" t="s">
        <v>7096</v>
      </c>
      <c r="E4554" t="s">
        <v>1246</v>
      </c>
    </row>
    <row r="4555" spans="1:5" x14ac:dyDescent="0.2">
      <c r="A4555" s="940">
        <v>435</v>
      </c>
      <c r="B4555" s="940">
        <v>606</v>
      </c>
      <c r="C4555" t="s">
        <v>8557</v>
      </c>
      <c r="D4555" s="940" t="s">
        <v>8558</v>
      </c>
      <c r="E4555" t="s">
        <v>1860</v>
      </c>
    </row>
    <row r="4556" spans="1:5" x14ac:dyDescent="0.2">
      <c r="A4556" s="940">
        <v>1556</v>
      </c>
      <c r="B4556" s="940">
        <v>135</v>
      </c>
      <c r="C4556" t="s">
        <v>8559</v>
      </c>
      <c r="D4556" s="940" t="s">
        <v>8560</v>
      </c>
      <c r="E4556" t="s">
        <v>141</v>
      </c>
    </row>
    <row r="4557" spans="1:5" x14ac:dyDescent="0.2">
      <c r="A4557" s="940">
        <v>715</v>
      </c>
      <c r="B4557" s="940">
        <v>398</v>
      </c>
      <c r="C4557" t="s">
        <v>11639</v>
      </c>
      <c r="D4557" s="940" t="s">
        <v>11640</v>
      </c>
      <c r="E4557" t="s">
        <v>7145</v>
      </c>
    </row>
    <row r="4558" spans="1:5" x14ac:dyDescent="0.2">
      <c r="A4558" s="940">
        <v>1499</v>
      </c>
      <c r="B4558" s="940">
        <v>144</v>
      </c>
      <c r="C4558" t="s">
        <v>8561</v>
      </c>
      <c r="D4558" s="940" t="s">
        <v>8562</v>
      </c>
      <c r="E4558" t="s">
        <v>7145</v>
      </c>
    </row>
    <row r="4559" spans="1:5" x14ac:dyDescent="0.2">
      <c r="A4559" s="940">
        <v>2042</v>
      </c>
      <c r="B4559" s="940">
        <v>82</v>
      </c>
      <c r="C4559" t="s">
        <v>11641</v>
      </c>
      <c r="D4559" s="940" t="s">
        <v>5465</v>
      </c>
      <c r="E4559" t="s">
        <v>251</v>
      </c>
    </row>
    <row r="4560" spans="1:5" x14ac:dyDescent="0.2">
      <c r="A4560" s="940">
        <v>1113</v>
      </c>
      <c r="B4560" s="940">
        <v>236</v>
      </c>
      <c r="C4560" t="s">
        <v>11642</v>
      </c>
      <c r="D4560" s="940" t="s">
        <v>11643</v>
      </c>
      <c r="E4560" t="s">
        <v>105</v>
      </c>
    </row>
    <row r="4561" spans="1:5" x14ac:dyDescent="0.2">
      <c r="A4561" s="940">
        <v>1244</v>
      </c>
      <c r="B4561" s="940">
        <v>196</v>
      </c>
      <c r="C4561" t="s">
        <v>8563</v>
      </c>
      <c r="D4561" s="940" t="s">
        <v>8564</v>
      </c>
      <c r="E4561" t="s">
        <v>2735</v>
      </c>
    </row>
    <row r="4562" spans="1:5" x14ac:dyDescent="0.2">
      <c r="A4562" s="940">
        <v>93</v>
      </c>
      <c r="B4562" s="940">
        <v>1148</v>
      </c>
      <c r="C4562" t="s">
        <v>8568</v>
      </c>
      <c r="D4562" s="940" t="s">
        <v>8569</v>
      </c>
      <c r="E4562" t="s">
        <v>4735</v>
      </c>
    </row>
    <row r="4563" spans="1:5" x14ac:dyDescent="0.2">
      <c r="A4563" s="940">
        <v>4294</v>
      </c>
      <c r="B4563" s="940">
        <v>0</v>
      </c>
      <c r="C4563" t="s">
        <v>8568</v>
      </c>
      <c r="D4563" s="940" t="s">
        <v>2834</v>
      </c>
      <c r="E4563" t="s">
        <v>105</v>
      </c>
    </row>
    <row r="4564" spans="1:5" x14ac:dyDescent="0.2">
      <c r="A4564" s="940">
        <v>4294</v>
      </c>
      <c r="B4564" s="940">
        <v>0</v>
      </c>
      <c r="C4564" t="s">
        <v>8570</v>
      </c>
      <c r="D4564" s="940" t="s">
        <v>8571</v>
      </c>
      <c r="E4564" t="s">
        <v>127</v>
      </c>
    </row>
    <row r="4565" spans="1:5" x14ac:dyDescent="0.2">
      <c r="A4565" s="940">
        <v>2462</v>
      </c>
      <c r="B4565" s="940">
        <v>50</v>
      </c>
      <c r="C4565" t="s">
        <v>2317</v>
      </c>
      <c r="D4565" s="940" t="s">
        <v>5987</v>
      </c>
      <c r="E4565" t="s">
        <v>1578</v>
      </c>
    </row>
    <row r="4566" spans="1:5" x14ac:dyDescent="0.2">
      <c r="A4566" s="940">
        <v>3174</v>
      </c>
      <c r="B4566" s="940">
        <v>18</v>
      </c>
      <c r="C4566" t="s">
        <v>8572</v>
      </c>
      <c r="D4566" s="940" t="s">
        <v>8573</v>
      </c>
      <c r="E4566" t="s">
        <v>1214</v>
      </c>
    </row>
    <row r="4567" spans="1:5" x14ac:dyDescent="0.2">
      <c r="A4567" s="940">
        <v>3446</v>
      </c>
      <c r="B4567" s="940">
        <v>11</v>
      </c>
      <c r="C4567" t="s">
        <v>8574</v>
      </c>
      <c r="D4567" s="940" t="s">
        <v>4463</v>
      </c>
      <c r="E4567" t="s">
        <v>1204</v>
      </c>
    </row>
    <row r="4568" spans="1:5" x14ac:dyDescent="0.2">
      <c r="A4568" s="940">
        <v>850</v>
      </c>
      <c r="B4568" s="940">
        <v>333</v>
      </c>
      <c r="C4568" t="s">
        <v>872</v>
      </c>
      <c r="D4568" s="940" t="s">
        <v>4859</v>
      </c>
      <c r="E4568" t="s">
        <v>109</v>
      </c>
    </row>
    <row r="4569" spans="1:5" x14ac:dyDescent="0.2">
      <c r="A4569" s="940">
        <v>3358</v>
      </c>
      <c r="B4569" s="940">
        <v>13</v>
      </c>
      <c r="C4569" t="s">
        <v>8577</v>
      </c>
      <c r="D4569" s="940" t="s">
        <v>8578</v>
      </c>
      <c r="E4569" t="s">
        <v>120</v>
      </c>
    </row>
    <row r="4570" spans="1:5" x14ac:dyDescent="0.2">
      <c r="A4570" s="940">
        <v>4294</v>
      </c>
      <c r="B4570" s="940">
        <v>0</v>
      </c>
      <c r="C4570" t="s">
        <v>8579</v>
      </c>
      <c r="D4570" s="940" t="s">
        <v>3697</v>
      </c>
      <c r="E4570" t="s">
        <v>105</v>
      </c>
    </row>
    <row r="4571" spans="1:5" x14ac:dyDescent="0.2">
      <c r="A4571" s="940">
        <v>4294</v>
      </c>
      <c r="B4571" s="940">
        <v>0</v>
      </c>
      <c r="C4571" t="s">
        <v>11644</v>
      </c>
      <c r="D4571" s="940" t="s">
        <v>8249</v>
      </c>
      <c r="E4571" t="s">
        <v>1214</v>
      </c>
    </row>
    <row r="4572" spans="1:5" x14ac:dyDescent="0.2">
      <c r="A4572" s="940">
        <v>381</v>
      </c>
      <c r="B4572" s="940">
        <v>656</v>
      </c>
      <c r="C4572" t="s">
        <v>8581</v>
      </c>
      <c r="D4572" s="940" t="s">
        <v>8582</v>
      </c>
      <c r="E4572" t="s">
        <v>165</v>
      </c>
    </row>
    <row r="4573" spans="1:5" x14ac:dyDescent="0.2">
      <c r="A4573" s="940">
        <v>4294</v>
      </c>
      <c r="B4573" s="940">
        <v>0</v>
      </c>
      <c r="C4573" t="s">
        <v>11645</v>
      </c>
      <c r="D4573" s="940" t="s">
        <v>4819</v>
      </c>
      <c r="E4573" t="s">
        <v>137</v>
      </c>
    </row>
    <row r="4574" spans="1:5" x14ac:dyDescent="0.2">
      <c r="A4574" s="940">
        <v>2312</v>
      </c>
      <c r="B4574" s="940">
        <v>61</v>
      </c>
      <c r="C4574" t="s">
        <v>8583</v>
      </c>
      <c r="D4574" s="940" t="s">
        <v>4819</v>
      </c>
      <c r="E4574" t="s">
        <v>163</v>
      </c>
    </row>
    <row r="4575" spans="1:5" x14ac:dyDescent="0.2">
      <c r="A4575" s="940">
        <v>1816</v>
      </c>
      <c r="B4575" s="940">
        <v>103</v>
      </c>
      <c r="C4575" t="s">
        <v>8584</v>
      </c>
      <c r="D4575" s="940" t="s">
        <v>8585</v>
      </c>
      <c r="E4575" t="s">
        <v>1170</v>
      </c>
    </row>
    <row r="4576" spans="1:5" x14ac:dyDescent="0.2">
      <c r="A4576" s="940">
        <v>330</v>
      </c>
      <c r="B4576" s="940">
        <v>722</v>
      </c>
      <c r="C4576" t="s">
        <v>11646</v>
      </c>
      <c r="D4576" s="940" t="s">
        <v>11647</v>
      </c>
      <c r="E4576" t="s">
        <v>105</v>
      </c>
    </row>
    <row r="4577" spans="1:5" x14ac:dyDescent="0.2">
      <c r="A4577" s="940">
        <v>256</v>
      </c>
      <c r="B4577" s="940">
        <v>831</v>
      </c>
      <c r="C4577" t="s">
        <v>8586</v>
      </c>
      <c r="D4577" s="940" t="s">
        <v>8587</v>
      </c>
      <c r="E4577" t="s">
        <v>132</v>
      </c>
    </row>
    <row r="4578" spans="1:5" x14ac:dyDescent="0.2">
      <c r="A4578" s="940">
        <v>3972</v>
      </c>
      <c r="B4578" s="940">
        <v>3</v>
      </c>
      <c r="C4578" t="s">
        <v>11648</v>
      </c>
      <c r="D4578" s="940" t="s">
        <v>11649</v>
      </c>
      <c r="E4578" t="s">
        <v>1384</v>
      </c>
    </row>
    <row r="4579" spans="1:5" x14ac:dyDescent="0.2">
      <c r="A4579" s="940">
        <v>4294</v>
      </c>
      <c r="B4579" s="940">
        <v>0</v>
      </c>
      <c r="C4579" t="s">
        <v>11650</v>
      </c>
      <c r="D4579" s="940" t="s">
        <v>4585</v>
      </c>
      <c r="E4579" t="s">
        <v>11651</v>
      </c>
    </row>
    <row r="4580" spans="1:5" x14ac:dyDescent="0.2">
      <c r="A4580" s="940">
        <v>1063</v>
      </c>
      <c r="B4580" s="940">
        <v>253</v>
      </c>
      <c r="C4580" t="s">
        <v>352</v>
      </c>
      <c r="D4580" s="940" t="s">
        <v>7565</v>
      </c>
      <c r="E4580" t="s">
        <v>165</v>
      </c>
    </row>
    <row r="4581" spans="1:5" x14ac:dyDescent="0.2">
      <c r="A4581" s="940">
        <v>4294</v>
      </c>
      <c r="B4581" s="940">
        <v>0</v>
      </c>
      <c r="C4581" t="s">
        <v>8592</v>
      </c>
      <c r="D4581" s="940" t="s">
        <v>8593</v>
      </c>
      <c r="E4581" t="s">
        <v>137</v>
      </c>
    </row>
    <row r="4582" spans="1:5" x14ac:dyDescent="0.2">
      <c r="A4582" s="940">
        <v>3083</v>
      </c>
      <c r="B4582" s="940">
        <v>21</v>
      </c>
      <c r="C4582" t="s">
        <v>8594</v>
      </c>
      <c r="D4582" s="940" t="s">
        <v>3391</v>
      </c>
      <c r="E4582" t="s">
        <v>130</v>
      </c>
    </row>
    <row r="4583" spans="1:5" x14ac:dyDescent="0.2">
      <c r="A4583" s="940">
        <v>4294</v>
      </c>
      <c r="B4583" s="940">
        <v>0</v>
      </c>
      <c r="C4583" t="s">
        <v>8595</v>
      </c>
      <c r="D4583" s="940" t="s">
        <v>8596</v>
      </c>
      <c r="E4583" t="s">
        <v>111</v>
      </c>
    </row>
    <row r="4584" spans="1:5" x14ac:dyDescent="0.2">
      <c r="A4584" s="940">
        <v>2124</v>
      </c>
      <c r="B4584" s="940">
        <v>75</v>
      </c>
      <c r="C4584" t="s">
        <v>8599</v>
      </c>
      <c r="D4584" s="940" t="s">
        <v>8554</v>
      </c>
      <c r="E4584" t="s">
        <v>1609</v>
      </c>
    </row>
    <row r="4585" spans="1:5" x14ac:dyDescent="0.2">
      <c r="A4585" s="940">
        <v>4294</v>
      </c>
      <c r="B4585" s="940">
        <v>0</v>
      </c>
      <c r="C4585" t="s">
        <v>8600</v>
      </c>
      <c r="D4585" s="940" t="s">
        <v>3136</v>
      </c>
    </row>
    <row r="4586" spans="1:5" x14ac:dyDescent="0.2">
      <c r="A4586" s="940">
        <v>2614</v>
      </c>
      <c r="B4586" s="940">
        <v>41</v>
      </c>
      <c r="C4586" t="s">
        <v>11652</v>
      </c>
      <c r="D4586" s="940" t="s">
        <v>11600</v>
      </c>
      <c r="E4586" t="s">
        <v>1860</v>
      </c>
    </row>
    <row r="4587" spans="1:5" x14ac:dyDescent="0.2">
      <c r="A4587" s="940">
        <v>2894</v>
      </c>
      <c r="B4587" s="940">
        <v>28</v>
      </c>
      <c r="C4587" t="s">
        <v>8601</v>
      </c>
      <c r="D4587" s="940" t="s">
        <v>4603</v>
      </c>
      <c r="E4587" t="s">
        <v>4470</v>
      </c>
    </row>
    <row r="4588" spans="1:5" x14ac:dyDescent="0.2">
      <c r="A4588" s="940">
        <v>4294</v>
      </c>
      <c r="B4588" s="940">
        <v>0</v>
      </c>
      <c r="C4588" t="s">
        <v>873</v>
      </c>
      <c r="D4588" s="940" t="s">
        <v>8602</v>
      </c>
      <c r="E4588" t="s">
        <v>74</v>
      </c>
    </row>
    <row r="4589" spans="1:5" x14ac:dyDescent="0.2">
      <c r="A4589" s="940">
        <v>3174</v>
      </c>
      <c r="B4589" s="940">
        <v>18</v>
      </c>
      <c r="C4589" t="s">
        <v>2321</v>
      </c>
      <c r="D4589" s="940" t="s">
        <v>8887</v>
      </c>
      <c r="E4589" t="s">
        <v>117</v>
      </c>
    </row>
    <row r="4590" spans="1:5" x14ac:dyDescent="0.2">
      <c r="A4590" s="940">
        <v>3174</v>
      </c>
      <c r="B4590" s="940">
        <v>18</v>
      </c>
      <c r="C4590" t="s">
        <v>8605</v>
      </c>
      <c r="D4590" s="940" t="s">
        <v>6621</v>
      </c>
      <c r="E4590" t="s">
        <v>243</v>
      </c>
    </row>
    <row r="4591" spans="1:5" x14ac:dyDescent="0.2">
      <c r="A4591" s="940">
        <v>3107</v>
      </c>
      <c r="B4591" s="940">
        <v>20</v>
      </c>
      <c r="C4591" t="s">
        <v>8606</v>
      </c>
      <c r="D4591" s="940" t="s">
        <v>8607</v>
      </c>
      <c r="E4591" t="s">
        <v>376</v>
      </c>
    </row>
    <row r="4592" spans="1:5" x14ac:dyDescent="0.2">
      <c r="A4592" s="940">
        <v>4294</v>
      </c>
      <c r="B4592" s="940">
        <v>0</v>
      </c>
      <c r="C4592" t="s">
        <v>11653</v>
      </c>
      <c r="D4592" s="940" t="s">
        <v>3166</v>
      </c>
      <c r="E4592" t="s">
        <v>1467</v>
      </c>
    </row>
    <row r="4593" spans="1:5" x14ac:dyDescent="0.2">
      <c r="A4593" s="940">
        <v>4294</v>
      </c>
      <c r="B4593" s="940">
        <v>0</v>
      </c>
      <c r="C4593" t="s">
        <v>8609</v>
      </c>
      <c r="D4593" s="940" t="s">
        <v>3001</v>
      </c>
      <c r="E4593" t="s">
        <v>3114</v>
      </c>
    </row>
    <row r="4594" spans="1:5" x14ac:dyDescent="0.2">
      <c r="A4594" s="940">
        <v>1107</v>
      </c>
      <c r="B4594" s="940">
        <v>237</v>
      </c>
      <c r="C4594" t="s">
        <v>11654</v>
      </c>
      <c r="D4594" s="940" t="s">
        <v>11655</v>
      </c>
      <c r="E4594" t="s">
        <v>1156</v>
      </c>
    </row>
    <row r="4595" spans="1:5" x14ac:dyDescent="0.2">
      <c r="A4595" s="940">
        <v>4181</v>
      </c>
      <c r="B4595" s="940">
        <v>1</v>
      </c>
      <c r="C4595" t="s">
        <v>8610</v>
      </c>
      <c r="D4595" s="940" t="s">
        <v>3480</v>
      </c>
      <c r="E4595" t="s">
        <v>1341</v>
      </c>
    </row>
    <row r="4596" spans="1:5" x14ac:dyDescent="0.2">
      <c r="A4596" s="940">
        <v>4294</v>
      </c>
      <c r="B4596" s="940">
        <v>0</v>
      </c>
      <c r="C4596" t="s">
        <v>11656</v>
      </c>
      <c r="D4596" s="940" t="s">
        <v>3157</v>
      </c>
      <c r="E4596" t="s">
        <v>120</v>
      </c>
    </row>
    <row r="4597" spans="1:5" x14ac:dyDescent="0.2">
      <c r="A4597" s="940">
        <v>1574</v>
      </c>
      <c r="B4597" s="940">
        <v>132</v>
      </c>
      <c r="C4597" t="s">
        <v>8611</v>
      </c>
      <c r="D4597" s="940" t="s">
        <v>4651</v>
      </c>
      <c r="E4597" t="s">
        <v>8612</v>
      </c>
    </row>
    <row r="4598" spans="1:5" x14ac:dyDescent="0.2">
      <c r="A4598" s="940">
        <v>4294</v>
      </c>
      <c r="B4598" s="940">
        <v>0</v>
      </c>
      <c r="C4598" t="s">
        <v>11657</v>
      </c>
      <c r="D4598" s="940" t="s">
        <v>8494</v>
      </c>
      <c r="E4598" t="s">
        <v>120</v>
      </c>
    </row>
    <row r="4599" spans="1:5" x14ac:dyDescent="0.2">
      <c r="A4599" s="940">
        <v>1738</v>
      </c>
      <c r="B4599" s="940">
        <v>112</v>
      </c>
      <c r="C4599" t="s">
        <v>2322</v>
      </c>
      <c r="D4599" s="940" t="s">
        <v>8613</v>
      </c>
      <c r="E4599" t="s">
        <v>122</v>
      </c>
    </row>
    <row r="4600" spans="1:5" x14ac:dyDescent="0.2">
      <c r="A4600" s="940">
        <v>3048</v>
      </c>
      <c r="B4600" s="940">
        <v>22</v>
      </c>
      <c r="C4600" t="s">
        <v>11658</v>
      </c>
      <c r="D4600" s="940" t="s">
        <v>6697</v>
      </c>
      <c r="E4600" t="s">
        <v>2624</v>
      </c>
    </row>
    <row r="4601" spans="1:5" x14ac:dyDescent="0.2">
      <c r="A4601" s="940">
        <v>3290</v>
      </c>
      <c r="B4601" s="940">
        <v>15</v>
      </c>
      <c r="C4601" t="s">
        <v>8614</v>
      </c>
      <c r="D4601" s="940" t="s">
        <v>8615</v>
      </c>
      <c r="E4601" t="s">
        <v>1171</v>
      </c>
    </row>
    <row r="4602" spans="1:5" x14ac:dyDescent="0.2">
      <c r="A4602" s="940">
        <v>1050</v>
      </c>
      <c r="B4602" s="940">
        <v>258</v>
      </c>
      <c r="C4602" t="s">
        <v>8616</v>
      </c>
      <c r="D4602" s="940" t="s">
        <v>8617</v>
      </c>
      <c r="E4602" t="s">
        <v>4574</v>
      </c>
    </row>
    <row r="4603" spans="1:5" x14ac:dyDescent="0.2">
      <c r="A4603" s="940">
        <v>4294</v>
      </c>
      <c r="B4603" s="940">
        <v>0</v>
      </c>
      <c r="C4603" t="s">
        <v>8623</v>
      </c>
      <c r="D4603" s="940" t="s">
        <v>8624</v>
      </c>
      <c r="E4603" t="s">
        <v>8625</v>
      </c>
    </row>
    <row r="4604" spans="1:5" x14ac:dyDescent="0.2">
      <c r="A4604" s="940">
        <v>3972</v>
      </c>
      <c r="B4604" s="940">
        <v>3</v>
      </c>
      <c r="C4604" t="s">
        <v>8626</v>
      </c>
      <c r="D4604" s="940" t="s">
        <v>3317</v>
      </c>
      <c r="E4604" t="s">
        <v>1803</v>
      </c>
    </row>
    <row r="4605" spans="1:5" x14ac:dyDescent="0.2">
      <c r="A4605" s="940">
        <v>3796</v>
      </c>
      <c r="B4605" s="940">
        <v>5</v>
      </c>
      <c r="C4605" t="s">
        <v>8627</v>
      </c>
      <c r="D4605" s="940" t="s">
        <v>4681</v>
      </c>
      <c r="E4605" t="s">
        <v>126</v>
      </c>
    </row>
    <row r="4606" spans="1:5" x14ac:dyDescent="0.2">
      <c r="A4606" s="940">
        <v>3972</v>
      </c>
      <c r="B4606" s="940">
        <v>3</v>
      </c>
      <c r="C4606" t="s">
        <v>8630</v>
      </c>
      <c r="D4606" s="940" t="s">
        <v>4054</v>
      </c>
      <c r="E4606" t="s">
        <v>8631</v>
      </c>
    </row>
    <row r="4607" spans="1:5" x14ac:dyDescent="0.2">
      <c r="A4607" s="940">
        <v>1556</v>
      </c>
      <c r="B4607" s="940">
        <v>135</v>
      </c>
      <c r="C4607" t="s">
        <v>11659</v>
      </c>
      <c r="D4607" s="940" t="s">
        <v>4367</v>
      </c>
      <c r="E4607" t="s">
        <v>74</v>
      </c>
    </row>
    <row r="4608" spans="1:5" x14ac:dyDescent="0.2">
      <c r="A4608" s="940">
        <v>3732</v>
      </c>
      <c r="B4608" s="940">
        <v>6</v>
      </c>
      <c r="C4608" t="s">
        <v>8633</v>
      </c>
      <c r="D4608" s="940" t="s">
        <v>8634</v>
      </c>
      <c r="E4608" t="s">
        <v>130</v>
      </c>
    </row>
    <row r="4609" spans="1:5" x14ac:dyDescent="0.2">
      <c r="A4609" s="940">
        <v>334</v>
      </c>
      <c r="B4609" s="940">
        <v>719</v>
      </c>
      <c r="C4609" t="s">
        <v>11660</v>
      </c>
      <c r="D4609" s="940" t="s">
        <v>11661</v>
      </c>
      <c r="E4609" t="s">
        <v>1251</v>
      </c>
    </row>
    <row r="4610" spans="1:5" x14ac:dyDescent="0.2">
      <c r="A4610" s="940">
        <v>4294</v>
      </c>
      <c r="B4610" s="940">
        <v>0</v>
      </c>
      <c r="C4610" t="s">
        <v>11662</v>
      </c>
      <c r="D4610" s="940" t="s">
        <v>2727</v>
      </c>
      <c r="E4610" t="s">
        <v>213</v>
      </c>
    </row>
    <row r="4611" spans="1:5" x14ac:dyDescent="0.2">
      <c r="A4611" s="940">
        <v>3972</v>
      </c>
      <c r="B4611" s="940">
        <v>3</v>
      </c>
      <c r="C4611" t="s">
        <v>8637</v>
      </c>
      <c r="D4611" s="940" t="s">
        <v>8638</v>
      </c>
      <c r="E4611" t="s">
        <v>1214</v>
      </c>
    </row>
    <row r="4612" spans="1:5" x14ac:dyDescent="0.2">
      <c r="A4612" s="940">
        <v>4294</v>
      </c>
      <c r="B4612" s="940">
        <v>0</v>
      </c>
      <c r="C4612" t="s">
        <v>11663</v>
      </c>
      <c r="D4612" s="940" t="s">
        <v>11507</v>
      </c>
      <c r="E4612" t="s">
        <v>208</v>
      </c>
    </row>
    <row r="4613" spans="1:5" x14ac:dyDescent="0.2">
      <c r="A4613" s="940">
        <v>4294</v>
      </c>
      <c r="B4613" s="940">
        <v>0</v>
      </c>
      <c r="C4613" t="s">
        <v>8641</v>
      </c>
      <c r="D4613" s="940" t="s">
        <v>2888</v>
      </c>
      <c r="E4613" t="s">
        <v>1311</v>
      </c>
    </row>
    <row r="4614" spans="1:5" x14ac:dyDescent="0.2">
      <c r="A4614" s="940">
        <v>4294</v>
      </c>
      <c r="B4614" s="940">
        <v>0</v>
      </c>
      <c r="C4614" t="s">
        <v>11664</v>
      </c>
      <c r="D4614" s="940" t="s">
        <v>6681</v>
      </c>
      <c r="E4614" t="s">
        <v>84</v>
      </c>
    </row>
    <row r="4615" spans="1:5" x14ac:dyDescent="0.2">
      <c r="A4615" s="940">
        <v>1141</v>
      </c>
      <c r="B4615" s="940">
        <v>227</v>
      </c>
      <c r="C4615" t="s">
        <v>11665</v>
      </c>
      <c r="D4615" s="940" t="s">
        <v>11666</v>
      </c>
      <c r="E4615" t="s">
        <v>83</v>
      </c>
    </row>
    <row r="4616" spans="1:5" x14ac:dyDescent="0.2">
      <c r="A4616" s="940">
        <v>660</v>
      </c>
      <c r="B4616" s="940">
        <v>428</v>
      </c>
      <c r="C4616" t="s">
        <v>354</v>
      </c>
      <c r="D4616" s="940" t="s">
        <v>8465</v>
      </c>
      <c r="E4616" t="s">
        <v>165</v>
      </c>
    </row>
    <row r="4617" spans="1:5" x14ac:dyDescent="0.2">
      <c r="A4617" s="940">
        <v>3732</v>
      </c>
      <c r="B4617" s="940">
        <v>6</v>
      </c>
      <c r="C4617" t="s">
        <v>8642</v>
      </c>
      <c r="D4617" s="940" t="s">
        <v>5554</v>
      </c>
      <c r="E4617" t="s">
        <v>105</v>
      </c>
    </row>
    <row r="4618" spans="1:5" x14ac:dyDescent="0.2">
      <c r="A4618" s="940">
        <v>977</v>
      </c>
      <c r="B4618" s="940">
        <v>287</v>
      </c>
      <c r="C4618" t="s">
        <v>8643</v>
      </c>
      <c r="D4618" s="940" t="s">
        <v>8238</v>
      </c>
      <c r="E4618" t="s">
        <v>1200</v>
      </c>
    </row>
    <row r="4619" spans="1:5" x14ac:dyDescent="0.2">
      <c r="A4619" s="940">
        <v>2180</v>
      </c>
      <c r="B4619" s="940">
        <v>71</v>
      </c>
      <c r="C4619" t="s">
        <v>8644</v>
      </c>
      <c r="D4619" s="940" t="s">
        <v>4182</v>
      </c>
      <c r="E4619" t="s">
        <v>2913</v>
      </c>
    </row>
    <row r="4620" spans="1:5" x14ac:dyDescent="0.2">
      <c r="A4620" s="940">
        <v>850</v>
      </c>
      <c r="B4620" s="940">
        <v>333</v>
      </c>
      <c r="C4620" t="s">
        <v>355</v>
      </c>
      <c r="D4620" s="940" t="s">
        <v>8645</v>
      </c>
      <c r="E4620" t="s">
        <v>222</v>
      </c>
    </row>
    <row r="4621" spans="1:5" x14ac:dyDescent="0.2">
      <c r="A4621" s="940">
        <v>805</v>
      </c>
      <c r="B4621" s="940">
        <v>356</v>
      </c>
      <c r="C4621" t="s">
        <v>8646</v>
      </c>
      <c r="D4621" s="940" t="s">
        <v>11667</v>
      </c>
      <c r="E4621" t="s">
        <v>1214</v>
      </c>
    </row>
    <row r="4622" spans="1:5" x14ac:dyDescent="0.2">
      <c r="A4622" s="940">
        <v>2894</v>
      </c>
      <c r="B4622" s="940">
        <v>28</v>
      </c>
      <c r="C4622" t="s">
        <v>8646</v>
      </c>
      <c r="D4622" s="940" t="s">
        <v>4242</v>
      </c>
      <c r="E4622" t="s">
        <v>120</v>
      </c>
    </row>
    <row r="4623" spans="1:5" x14ac:dyDescent="0.2">
      <c r="A4623" s="940">
        <v>2486</v>
      </c>
      <c r="B4623" s="940">
        <v>48</v>
      </c>
      <c r="C4623" t="s">
        <v>8647</v>
      </c>
      <c r="D4623" s="940" t="s">
        <v>2690</v>
      </c>
      <c r="E4623" t="s">
        <v>128</v>
      </c>
    </row>
    <row r="4624" spans="1:5" x14ac:dyDescent="0.2">
      <c r="A4624" s="940">
        <v>1198</v>
      </c>
      <c r="B4624" s="940">
        <v>212</v>
      </c>
      <c r="C4624" t="s">
        <v>8648</v>
      </c>
      <c r="D4624" s="940" t="s">
        <v>8649</v>
      </c>
      <c r="E4624" t="s">
        <v>105</v>
      </c>
    </row>
    <row r="4625" spans="1:5" x14ac:dyDescent="0.2">
      <c r="A4625" s="940">
        <v>4181</v>
      </c>
      <c r="B4625" s="940">
        <v>1</v>
      </c>
      <c r="C4625" t="s">
        <v>8648</v>
      </c>
      <c r="D4625" s="940" t="s">
        <v>7103</v>
      </c>
      <c r="E4625" t="s">
        <v>1363</v>
      </c>
    </row>
    <row r="4626" spans="1:5" x14ac:dyDescent="0.2">
      <c r="A4626" s="940">
        <v>1738</v>
      </c>
      <c r="B4626" s="940">
        <v>112</v>
      </c>
      <c r="C4626" t="s">
        <v>8650</v>
      </c>
      <c r="D4626" s="940" t="s">
        <v>7900</v>
      </c>
      <c r="E4626" t="s">
        <v>120</v>
      </c>
    </row>
    <row r="4627" spans="1:5" x14ac:dyDescent="0.2">
      <c r="A4627" s="940">
        <v>675</v>
      </c>
      <c r="B4627" s="940">
        <v>418</v>
      </c>
      <c r="C4627" t="s">
        <v>2328</v>
      </c>
      <c r="D4627" s="940" t="s">
        <v>7465</v>
      </c>
      <c r="E4627" t="s">
        <v>105</v>
      </c>
    </row>
    <row r="4628" spans="1:5" x14ac:dyDescent="0.2">
      <c r="A4628" s="940">
        <v>1445</v>
      </c>
      <c r="B4628" s="940">
        <v>155</v>
      </c>
      <c r="C4628" t="s">
        <v>11668</v>
      </c>
      <c r="D4628" s="940" t="s">
        <v>11669</v>
      </c>
      <c r="E4628" t="s">
        <v>120</v>
      </c>
    </row>
    <row r="4629" spans="1:5" x14ac:dyDescent="0.2">
      <c r="A4629" s="940">
        <v>2409</v>
      </c>
      <c r="B4629" s="940">
        <v>54</v>
      </c>
      <c r="C4629" t="s">
        <v>8651</v>
      </c>
      <c r="D4629" s="940" t="s">
        <v>8652</v>
      </c>
      <c r="E4629" t="s">
        <v>4699</v>
      </c>
    </row>
    <row r="4630" spans="1:5" x14ac:dyDescent="0.2">
      <c r="A4630" s="940">
        <v>3250</v>
      </c>
      <c r="B4630" s="940">
        <v>16</v>
      </c>
      <c r="C4630" t="s">
        <v>8651</v>
      </c>
      <c r="D4630" s="940" t="s">
        <v>7257</v>
      </c>
      <c r="E4630" t="s">
        <v>105</v>
      </c>
    </row>
    <row r="4631" spans="1:5" x14ac:dyDescent="0.2">
      <c r="A4631" s="940">
        <v>2150</v>
      </c>
      <c r="B4631" s="940">
        <v>73</v>
      </c>
      <c r="C4631" t="s">
        <v>8653</v>
      </c>
      <c r="D4631" s="940" t="s">
        <v>4778</v>
      </c>
      <c r="E4631" t="s">
        <v>469</v>
      </c>
    </row>
    <row r="4632" spans="1:5" x14ac:dyDescent="0.2">
      <c r="A4632" s="940">
        <v>4294</v>
      </c>
      <c r="B4632" s="940">
        <v>0</v>
      </c>
      <c r="C4632" t="s">
        <v>8653</v>
      </c>
      <c r="D4632" s="940" t="s">
        <v>3222</v>
      </c>
      <c r="E4632" t="s">
        <v>120</v>
      </c>
    </row>
    <row r="4633" spans="1:5" x14ac:dyDescent="0.2">
      <c r="A4633" s="940">
        <v>2396</v>
      </c>
      <c r="B4633" s="940">
        <v>55</v>
      </c>
      <c r="C4633" t="s">
        <v>8654</v>
      </c>
      <c r="D4633" s="940" t="s">
        <v>11670</v>
      </c>
      <c r="E4633" t="s">
        <v>208</v>
      </c>
    </row>
    <row r="4634" spans="1:5" x14ac:dyDescent="0.2">
      <c r="A4634" s="940">
        <v>3732</v>
      </c>
      <c r="B4634" s="940">
        <v>6</v>
      </c>
      <c r="C4634" t="s">
        <v>8654</v>
      </c>
      <c r="D4634" s="940" t="s">
        <v>3739</v>
      </c>
      <c r="E4634" t="s">
        <v>1286</v>
      </c>
    </row>
    <row r="4635" spans="1:5" x14ac:dyDescent="0.2">
      <c r="A4635" s="940">
        <v>3602</v>
      </c>
      <c r="B4635" s="940">
        <v>8</v>
      </c>
      <c r="C4635" t="s">
        <v>8655</v>
      </c>
      <c r="D4635" s="940" t="s">
        <v>8656</v>
      </c>
      <c r="E4635" t="s">
        <v>1198</v>
      </c>
    </row>
    <row r="4636" spans="1:5" x14ac:dyDescent="0.2">
      <c r="A4636" s="940">
        <v>3323</v>
      </c>
      <c r="B4636" s="940">
        <v>14</v>
      </c>
      <c r="C4636" t="s">
        <v>8657</v>
      </c>
      <c r="D4636" s="940" t="s">
        <v>8658</v>
      </c>
      <c r="E4636" t="s">
        <v>1214</v>
      </c>
    </row>
    <row r="4637" spans="1:5" x14ac:dyDescent="0.2">
      <c r="A4637" s="940">
        <v>2056</v>
      </c>
      <c r="B4637" s="940">
        <v>81</v>
      </c>
      <c r="C4637" t="s">
        <v>11671</v>
      </c>
      <c r="D4637" s="940" t="s">
        <v>11672</v>
      </c>
      <c r="E4637" t="s">
        <v>208</v>
      </c>
    </row>
    <row r="4638" spans="1:5" x14ac:dyDescent="0.2">
      <c r="A4638" s="940">
        <v>4294</v>
      </c>
      <c r="B4638" s="940">
        <v>0</v>
      </c>
      <c r="C4638" t="s">
        <v>8659</v>
      </c>
      <c r="D4638" s="940" t="s">
        <v>3739</v>
      </c>
      <c r="E4638" t="s">
        <v>120</v>
      </c>
    </row>
    <row r="4639" spans="1:5" x14ac:dyDescent="0.2">
      <c r="A4639" s="940">
        <v>1861</v>
      </c>
      <c r="B4639" s="940">
        <v>99</v>
      </c>
      <c r="C4639" t="s">
        <v>8660</v>
      </c>
      <c r="D4639" s="940" t="s">
        <v>2740</v>
      </c>
      <c r="E4639" t="s">
        <v>1493</v>
      </c>
    </row>
    <row r="4640" spans="1:5" x14ac:dyDescent="0.2">
      <c r="A4640" s="940">
        <v>1651</v>
      </c>
      <c r="B4640" s="940">
        <v>122</v>
      </c>
      <c r="C4640" t="s">
        <v>11673</v>
      </c>
      <c r="D4640" s="940" t="s">
        <v>5298</v>
      </c>
      <c r="E4640" t="s">
        <v>132</v>
      </c>
    </row>
    <row r="4641" spans="1:5" x14ac:dyDescent="0.2">
      <c r="A4641" s="940">
        <v>4294</v>
      </c>
      <c r="B4641" s="940">
        <v>0</v>
      </c>
      <c r="C4641" t="s">
        <v>8661</v>
      </c>
      <c r="D4641" s="940" t="s">
        <v>8662</v>
      </c>
      <c r="E4641" t="s">
        <v>74</v>
      </c>
    </row>
    <row r="4642" spans="1:5" x14ac:dyDescent="0.2">
      <c r="A4642" s="940">
        <v>4294</v>
      </c>
      <c r="B4642" s="940">
        <v>0</v>
      </c>
      <c r="C4642" t="s">
        <v>8663</v>
      </c>
      <c r="D4642" s="940" t="s">
        <v>5561</v>
      </c>
      <c r="E4642" t="s">
        <v>109</v>
      </c>
    </row>
    <row r="4643" spans="1:5" x14ac:dyDescent="0.2">
      <c r="A4643" s="940">
        <v>3323</v>
      </c>
      <c r="B4643" s="940">
        <v>14</v>
      </c>
      <c r="C4643" t="s">
        <v>11674</v>
      </c>
      <c r="D4643" s="940" t="s">
        <v>3955</v>
      </c>
      <c r="E4643" t="s">
        <v>103</v>
      </c>
    </row>
    <row r="4644" spans="1:5" x14ac:dyDescent="0.2">
      <c r="A4644" s="940">
        <v>1964</v>
      </c>
      <c r="B4644" s="940">
        <v>89</v>
      </c>
      <c r="C4644" t="s">
        <v>11675</v>
      </c>
      <c r="D4644" s="940" t="s">
        <v>10381</v>
      </c>
      <c r="E4644" t="s">
        <v>72</v>
      </c>
    </row>
    <row r="4645" spans="1:5" x14ac:dyDescent="0.2">
      <c r="A4645" s="940">
        <v>2691</v>
      </c>
      <c r="B4645" s="940">
        <v>37</v>
      </c>
      <c r="C4645" t="s">
        <v>8665</v>
      </c>
      <c r="D4645" s="940" t="s">
        <v>8666</v>
      </c>
      <c r="E4645" t="s">
        <v>117</v>
      </c>
    </row>
    <row r="4646" spans="1:5" x14ac:dyDescent="0.2">
      <c r="A4646" s="940">
        <v>971</v>
      </c>
      <c r="B4646" s="940">
        <v>290</v>
      </c>
      <c r="C4646" t="s">
        <v>8667</v>
      </c>
      <c r="D4646" s="940" t="s">
        <v>6326</v>
      </c>
      <c r="E4646" t="s">
        <v>120</v>
      </c>
    </row>
    <row r="4647" spans="1:5" x14ac:dyDescent="0.2">
      <c r="A4647" s="940">
        <v>2083</v>
      </c>
      <c r="B4647" s="940">
        <v>79</v>
      </c>
      <c r="C4647" t="s">
        <v>8668</v>
      </c>
      <c r="D4647" s="940" t="s">
        <v>8669</v>
      </c>
      <c r="E4647" t="s">
        <v>133</v>
      </c>
    </row>
    <row r="4648" spans="1:5" x14ac:dyDescent="0.2">
      <c r="A4648" s="940">
        <v>120</v>
      </c>
      <c r="B4648" s="940">
        <v>1063</v>
      </c>
      <c r="C4648" t="s">
        <v>8671</v>
      </c>
      <c r="D4648" s="940" t="s">
        <v>8672</v>
      </c>
      <c r="E4648" t="s">
        <v>120</v>
      </c>
    </row>
    <row r="4649" spans="1:5" x14ac:dyDescent="0.2">
      <c r="A4649" s="940">
        <v>2083</v>
      </c>
      <c r="B4649" s="940">
        <v>79</v>
      </c>
      <c r="C4649" t="s">
        <v>8673</v>
      </c>
      <c r="D4649" s="940" t="s">
        <v>4510</v>
      </c>
      <c r="E4649" t="s">
        <v>133</v>
      </c>
    </row>
    <row r="4650" spans="1:5" x14ac:dyDescent="0.2">
      <c r="A4650" s="940">
        <v>4294</v>
      </c>
      <c r="B4650" s="940">
        <v>0</v>
      </c>
      <c r="C4650" t="s">
        <v>8674</v>
      </c>
      <c r="D4650" s="940" t="s">
        <v>8675</v>
      </c>
      <c r="E4650" t="s">
        <v>170</v>
      </c>
    </row>
    <row r="4651" spans="1:5" x14ac:dyDescent="0.2">
      <c r="A4651" s="940">
        <v>371</v>
      </c>
      <c r="B4651" s="940">
        <v>673</v>
      </c>
      <c r="C4651" t="s">
        <v>8676</v>
      </c>
      <c r="D4651" s="940" t="s">
        <v>8677</v>
      </c>
      <c r="E4651" t="s">
        <v>122</v>
      </c>
    </row>
    <row r="4652" spans="1:5" x14ac:dyDescent="0.2">
      <c r="A4652" s="940">
        <v>3290</v>
      </c>
      <c r="B4652" s="940">
        <v>15</v>
      </c>
      <c r="C4652" t="s">
        <v>8678</v>
      </c>
      <c r="D4652" s="940" t="s">
        <v>6670</v>
      </c>
      <c r="E4652" t="s">
        <v>142</v>
      </c>
    </row>
    <row r="4653" spans="1:5" x14ac:dyDescent="0.2">
      <c r="A4653" s="940">
        <v>3483</v>
      </c>
      <c r="B4653" s="940">
        <v>10</v>
      </c>
      <c r="C4653" t="s">
        <v>11676</v>
      </c>
      <c r="D4653" s="940" t="s">
        <v>2960</v>
      </c>
      <c r="E4653" t="s">
        <v>2979</v>
      </c>
    </row>
    <row r="4654" spans="1:5" x14ac:dyDescent="0.2">
      <c r="A4654" s="940">
        <v>2533</v>
      </c>
      <c r="B4654" s="940">
        <v>45</v>
      </c>
      <c r="C4654" t="s">
        <v>8679</v>
      </c>
      <c r="D4654" s="940" t="s">
        <v>8680</v>
      </c>
      <c r="E4654" t="s">
        <v>109</v>
      </c>
    </row>
    <row r="4655" spans="1:5" x14ac:dyDescent="0.2">
      <c r="A4655" s="940">
        <v>3796</v>
      </c>
      <c r="B4655" s="940">
        <v>5</v>
      </c>
      <c r="C4655" t="s">
        <v>8681</v>
      </c>
      <c r="D4655" s="940" t="s">
        <v>2783</v>
      </c>
      <c r="E4655" t="s">
        <v>120</v>
      </c>
    </row>
    <row r="4656" spans="1:5" x14ac:dyDescent="0.2">
      <c r="A4656" s="940">
        <v>3545</v>
      </c>
      <c r="B4656" s="940">
        <v>9</v>
      </c>
      <c r="C4656" t="s">
        <v>11677</v>
      </c>
      <c r="D4656" s="940" t="s">
        <v>11678</v>
      </c>
      <c r="E4656" t="s">
        <v>130</v>
      </c>
    </row>
    <row r="4657" spans="1:5" x14ac:dyDescent="0.2">
      <c r="A4657" s="940">
        <v>1056</v>
      </c>
      <c r="B4657" s="940">
        <v>256</v>
      </c>
      <c r="C4657" t="s">
        <v>11679</v>
      </c>
      <c r="D4657" s="940" t="s">
        <v>11680</v>
      </c>
      <c r="E4657" t="s">
        <v>104</v>
      </c>
    </row>
    <row r="4658" spans="1:5" x14ac:dyDescent="0.2">
      <c r="A4658" s="940">
        <v>3972</v>
      </c>
      <c r="B4658" s="940">
        <v>3</v>
      </c>
      <c r="C4658" t="s">
        <v>8684</v>
      </c>
      <c r="D4658" s="940" t="s">
        <v>3537</v>
      </c>
      <c r="E4658" t="s">
        <v>105</v>
      </c>
    </row>
    <row r="4659" spans="1:5" x14ac:dyDescent="0.2">
      <c r="A4659" s="940">
        <v>3402</v>
      </c>
      <c r="B4659" s="940">
        <v>12</v>
      </c>
      <c r="C4659" t="s">
        <v>11681</v>
      </c>
      <c r="D4659" s="940" t="s">
        <v>10264</v>
      </c>
      <c r="E4659" t="s">
        <v>11682</v>
      </c>
    </row>
    <row r="4660" spans="1:5" x14ac:dyDescent="0.2">
      <c r="A4660" s="940">
        <v>4294</v>
      </c>
      <c r="B4660" s="940">
        <v>0</v>
      </c>
      <c r="C4660" t="s">
        <v>8685</v>
      </c>
      <c r="D4660" s="940" t="s">
        <v>8687</v>
      </c>
      <c r="E4660" t="s">
        <v>120</v>
      </c>
    </row>
    <row r="4661" spans="1:5" x14ac:dyDescent="0.2">
      <c r="A4661" s="940">
        <v>4294</v>
      </c>
      <c r="B4661" s="940">
        <v>0</v>
      </c>
      <c r="C4661" t="s">
        <v>8685</v>
      </c>
      <c r="D4661" s="940" t="s">
        <v>8686</v>
      </c>
      <c r="E4661" t="s">
        <v>120</v>
      </c>
    </row>
    <row r="4662" spans="1:5" x14ac:dyDescent="0.2">
      <c r="A4662" s="940">
        <v>39</v>
      </c>
      <c r="B4662" s="940">
        <v>1375</v>
      </c>
      <c r="C4662" t="s">
        <v>8688</v>
      </c>
      <c r="D4662" s="940" t="s">
        <v>8689</v>
      </c>
      <c r="E4662" t="s">
        <v>142</v>
      </c>
    </row>
    <row r="4663" spans="1:5" x14ac:dyDescent="0.2">
      <c r="A4663" s="940">
        <v>3882</v>
      </c>
      <c r="B4663" s="940">
        <v>4</v>
      </c>
      <c r="C4663" t="s">
        <v>11683</v>
      </c>
      <c r="D4663" s="940" t="s">
        <v>10057</v>
      </c>
      <c r="E4663" t="s">
        <v>105</v>
      </c>
    </row>
    <row r="4664" spans="1:5" x14ac:dyDescent="0.2">
      <c r="A4664" s="940">
        <v>3602</v>
      </c>
      <c r="B4664" s="940">
        <v>8</v>
      </c>
      <c r="C4664" t="s">
        <v>8690</v>
      </c>
      <c r="D4664" s="940" t="s">
        <v>6866</v>
      </c>
      <c r="E4664" t="s">
        <v>1315</v>
      </c>
    </row>
    <row r="4665" spans="1:5" x14ac:dyDescent="0.2">
      <c r="A4665" s="940">
        <v>694</v>
      </c>
      <c r="B4665" s="940">
        <v>407</v>
      </c>
      <c r="C4665" t="s">
        <v>356</v>
      </c>
      <c r="D4665" s="940" t="s">
        <v>8691</v>
      </c>
      <c r="E4665" t="s">
        <v>186</v>
      </c>
    </row>
    <row r="4666" spans="1:5" x14ac:dyDescent="0.2">
      <c r="A4666" s="940">
        <v>955</v>
      </c>
      <c r="B4666" s="940">
        <v>295</v>
      </c>
      <c r="C4666" t="s">
        <v>8692</v>
      </c>
      <c r="D4666" s="940" t="s">
        <v>8693</v>
      </c>
      <c r="E4666" t="s">
        <v>109</v>
      </c>
    </row>
    <row r="4667" spans="1:5" x14ac:dyDescent="0.2">
      <c r="A4667" s="940">
        <v>4294</v>
      </c>
      <c r="B4667" s="940">
        <v>0</v>
      </c>
      <c r="C4667" t="s">
        <v>8694</v>
      </c>
      <c r="D4667" s="940" t="s">
        <v>3478</v>
      </c>
      <c r="E4667" t="s">
        <v>1315</v>
      </c>
    </row>
    <row r="4668" spans="1:5" x14ac:dyDescent="0.2">
      <c r="A4668" s="940">
        <v>4294</v>
      </c>
      <c r="B4668" s="940">
        <v>0</v>
      </c>
      <c r="C4668" t="s">
        <v>11684</v>
      </c>
      <c r="D4668" s="940" t="s">
        <v>8669</v>
      </c>
      <c r="E4668" t="s">
        <v>1436</v>
      </c>
    </row>
    <row r="4669" spans="1:5" x14ac:dyDescent="0.2">
      <c r="A4669" s="940">
        <v>3972</v>
      </c>
      <c r="B4669" s="940">
        <v>3</v>
      </c>
      <c r="C4669" t="s">
        <v>11685</v>
      </c>
      <c r="D4669" s="940" t="s">
        <v>2884</v>
      </c>
      <c r="E4669" t="s">
        <v>3687</v>
      </c>
    </row>
    <row r="4670" spans="1:5" x14ac:dyDescent="0.2">
      <c r="A4670" s="940">
        <v>2894</v>
      </c>
      <c r="B4670" s="940">
        <v>28</v>
      </c>
      <c r="C4670" t="s">
        <v>8696</v>
      </c>
      <c r="D4670" s="940" t="s">
        <v>4456</v>
      </c>
      <c r="E4670" t="s">
        <v>104</v>
      </c>
    </row>
    <row r="4671" spans="1:5" x14ac:dyDescent="0.2">
      <c r="A4671" s="940">
        <v>219</v>
      </c>
      <c r="B4671" s="940">
        <v>882</v>
      </c>
      <c r="C4671" t="s">
        <v>357</v>
      </c>
      <c r="D4671" s="940" t="s">
        <v>4259</v>
      </c>
      <c r="E4671" t="s">
        <v>120</v>
      </c>
    </row>
    <row r="4672" spans="1:5" x14ac:dyDescent="0.2">
      <c r="A4672" s="940">
        <v>973</v>
      </c>
      <c r="B4672" s="940">
        <v>289</v>
      </c>
      <c r="C4672" t="s">
        <v>2333</v>
      </c>
      <c r="D4672" s="940" t="s">
        <v>8697</v>
      </c>
      <c r="E4672" t="s">
        <v>120</v>
      </c>
    </row>
    <row r="4673" spans="1:5" x14ac:dyDescent="0.2">
      <c r="A4673" s="940">
        <v>544</v>
      </c>
      <c r="B4673" s="940">
        <v>511</v>
      </c>
      <c r="C4673" t="s">
        <v>11686</v>
      </c>
      <c r="D4673" s="940" t="s">
        <v>11687</v>
      </c>
      <c r="E4673" t="s">
        <v>74</v>
      </c>
    </row>
    <row r="4674" spans="1:5" x14ac:dyDescent="0.2">
      <c r="A4674" s="940">
        <v>4294</v>
      </c>
      <c r="B4674" s="940">
        <v>0</v>
      </c>
      <c r="C4674" t="s">
        <v>11688</v>
      </c>
      <c r="D4674" s="940" t="s">
        <v>9122</v>
      </c>
      <c r="E4674" t="s">
        <v>105</v>
      </c>
    </row>
    <row r="4675" spans="1:5" x14ac:dyDescent="0.2">
      <c r="A4675" s="940">
        <v>3796</v>
      </c>
      <c r="B4675" s="940">
        <v>5</v>
      </c>
      <c r="C4675" t="s">
        <v>8698</v>
      </c>
      <c r="D4675" s="940" t="s">
        <v>3818</v>
      </c>
      <c r="E4675" t="s">
        <v>120</v>
      </c>
    </row>
    <row r="4676" spans="1:5" x14ac:dyDescent="0.2">
      <c r="A4676" s="940">
        <v>3323</v>
      </c>
      <c r="B4676" s="940">
        <v>14</v>
      </c>
      <c r="C4676" t="s">
        <v>8699</v>
      </c>
      <c r="D4676" s="940" t="s">
        <v>6054</v>
      </c>
      <c r="E4676" t="s">
        <v>99</v>
      </c>
    </row>
    <row r="4677" spans="1:5" x14ac:dyDescent="0.2">
      <c r="A4677" s="940">
        <v>3602</v>
      </c>
      <c r="B4677" s="940">
        <v>8</v>
      </c>
      <c r="C4677" t="s">
        <v>8699</v>
      </c>
      <c r="D4677" s="940" t="s">
        <v>8700</v>
      </c>
      <c r="E4677" t="s">
        <v>170</v>
      </c>
    </row>
    <row r="4678" spans="1:5" x14ac:dyDescent="0.2">
      <c r="A4678" s="940">
        <v>4081</v>
      </c>
      <c r="B4678" s="940">
        <v>2</v>
      </c>
      <c r="C4678" t="s">
        <v>8701</v>
      </c>
      <c r="D4678" s="940" t="s">
        <v>8702</v>
      </c>
      <c r="E4678" t="s">
        <v>120</v>
      </c>
    </row>
    <row r="4679" spans="1:5" x14ac:dyDescent="0.2">
      <c r="A4679" s="940">
        <v>2193</v>
      </c>
      <c r="B4679" s="940">
        <v>70</v>
      </c>
      <c r="C4679" t="s">
        <v>8703</v>
      </c>
      <c r="D4679" s="940" t="s">
        <v>8704</v>
      </c>
      <c r="E4679" t="s">
        <v>1214</v>
      </c>
    </row>
    <row r="4680" spans="1:5" x14ac:dyDescent="0.2">
      <c r="A4680" s="940">
        <v>100</v>
      </c>
      <c r="B4680" s="940">
        <v>1132</v>
      </c>
      <c r="C4680" t="s">
        <v>8705</v>
      </c>
      <c r="D4680" s="940" t="s">
        <v>8706</v>
      </c>
      <c r="E4680" t="s">
        <v>120</v>
      </c>
    </row>
    <row r="4681" spans="1:5" x14ac:dyDescent="0.2">
      <c r="A4681" s="940">
        <v>4294</v>
      </c>
      <c r="B4681" s="940">
        <v>0</v>
      </c>
      <c r="C4681" t="s">
        <v>11689</v>
      </c>
      <c r="D4681" s="940" t="s">
        <v>4804</v>
      </c>
      <c r="E4681" t="s">
        <v>163</v>
      </c>
    </row>
    <row r="4682" spans="1:5" x14ac:dyDescent="0.2">
      <c r="A4682" s="940">
        <v>2396</v>
      </c>
      <c r="B4682" s="940">
        <v>55</v>
      </c>
      <c r="C4682" t="s">
        <v>8707</v>
      </c>
      <c r="D4682" s="940" t="s">
        <v>2763</v>
      </c>
      <c r="E4682" t="s">
        <v>1311</v>
      </c>
    </row>
    <row r="4683" spans="1:5" x14ac:dyDescent="0.2">
      <c r="A4683" s="940">
        <v>1372</v>
      </c>
      <c r="B4683" s="940">
        <v>168</v>
      </c>
      <c r="C4683" t="s">
        <v>749</v>
      </c>
      <c r="D4683" s="940" t="s">
        <v>8709</v>
      </c>
      <c r="E4683" t="s">
        <v>120</v>
      </c>
    </row>
    <row r="4684" spans="1:5" x14ac:dyDescent="0.2">
      <c r="A4684" s="940">
        <v>64</v>
      </c>
      <c r="B4684" s="940">
        <v>1229</v>
      </c>
      <c r="C4684" t="s">
        <v>8710</v>
      </c>
      <c r="D4684" s="940" t="s">
        <v>8711</v>
      </c>
      <c r="E4684" t="s">
        <v>118</v>
      </c>
    </row>
    <row r="4685" spans="1:5" x14ac:dyDescent="0.2">
      <c r="A4685" s="940">
        <v>2298</v>
      </c>
      <c r="B4685" s="940">
        <v>62</v>
      </c>
      <c r="C4685" t="s">
        <v>8713</v>
      </c>
      <c r="D4685" s="940" t="s">
        <v>8714</v>
      </c>
      <c r="E4685" t="s">
        <v>105</v>
      </c>
    </row>
    <row r="4686" spans="1:5" x14ac:dyDescent="0.2">
      <c r="A4686" s="940">
        <v>4294</v>
      </c>
      <c r="B4686" s="940">
        <v>0</v>
      </c>
      <c r="C4686" t="s">
        <v>8715</v>
      </c>
      <c r="D4686" s="940" t="s">
        <v>3724</v>
      </c>
      <c r="E4686" t="s">
        <v>133</v>
      </c>
    </row>
    <row r="4687" spans="1:5" x14ac:dyDescent="0.2">
      <c r="A4687" s="940">
        <v>2168</v>
      </c>
      <c r="B4687" s="940">
        <v>72</v>
      </c>
      <c r="C4687" t="s">
        <v>8717</v>
      </c>
      <c r="D4687" s="940" t="s">
        <v>3170</v>
      </c>
      <c r="E4687" t="s">
        <v>147</v>
      </c>
    </row>
    <row r="4688" spans="1:5" x14ac:dyDescent="0.2">
      <c r="A4688" s="940">
        <v>479</v>
      </c>
      <c r="B4688" s="940">
        <v>572</v>
      </c>
      <c r="C4688" t="s">
        <v>8718</v>
      </c>
      <c r="D4688" s="940" t="s">
        <v>8719</v>
      </c>
      <c r="E4688" t="s">
        <v>1170</v>
      </c>
    </row>
    <row r="4689" spans="1:5" x14ac:dyDescent="0.2">
      <c r="A4689" s="940">
        <v>4294</v>
      </c>
      <c r="B4689" s="940">
        <v>0</v>
      </c>
      <c r="C4689" t="s">
        <v>11690</v>
      </c>
      <c r="D4689" s="940" t="s">
        <v>5569</v>
      </c>
      <c r="E4689" t="s">
        <v>72</v>
      </c>
    </row>
    <row r="4690" spans="1:5" x14ac:dyDescent="0.2">
      <c r="A4690" s="940">
        <v>3732</v>
      </c>
      <c r="B4690" s="940">
        <v>6</v>
      </c>
      <c r="C4690" t="s">
        <v>8720</v>
      </c>
      <c r="D4690" s="940" t="s">
        <v>8721</v>
      </c>
      <c r="E4690" t="s">
        <v>99</v>
      </c>
    </row>
    <row r="4691" spans="1:5" x14ac:dyDescent="0.2">
      <c r="A4691" s="940">
        <v>2915</v>
      </c>
      <c r="B4691" s="940">
        <v>27</v>
      </c>
      <c r="C4691" t="s">
        <v>11691</v>
      </c>
      <c r="D4691" s="940" t="s">
        <v>9741</v>
      </c>
      <c r="E4691" t="s">
        <v>1214</v>
      </c>
    </row>
    <row r="4692" spans="1:5" x14ac:dyDescent="0.2">
      <c r="A4692" s="940">
        <v>3290</v>
      </c>
      <c r="B4692" s="940">
        <v>15</v>
      </c>
      <c r="C4692" t="s">
        <v>2335</v>
      </c>
      <c r="D4692" s="940" t="s">
        <v>9182</v>
      </c>
      <c r="E4692" t="s">
        <v>1327</v>
      </c>
    </row>
    <row r="4693" spans="1:5" x14ac:dyDescent="0.2">
      <c r="A4693" s="940">
        <v>476</v>
      </c>
      <c r="B4693" s="940">
        <v>573</v>
      </c>
      <c r="C4693" t="s">
        <v>8722</v>
      </c>
      <c r="D4693" s="940" t="s">
        <v>8723</v>
      </c>
      <c r="E4693" t="s">
        <v>2735</v>
      </c>
    </row>
    <row r="4694" spans="1:5" x14ac:dyDescent="0.2">
      <c r="A4694" s="940">
        <v>749</v>
      </c>
      <c r="B4694" s="940">
        <v>382</v>
      </c>
      <c r="C4694" t="s">
        <v>2337</v>
      </c>
      <c r="D4694" s="940" t="s">
        <v>11692</v>
      </c>
      <c r="E4694" t="s">
        <v>1221</v>
      </c>
    </row>
    <row r="4695" spans="1:5" x14ac:dyDescent="0.2">
      <c r="A4695" s="940">
        <v>3655</v>
      </c>
      <c r="B4695" s="940">
        <v>7</v>
      </c>
      <c r="C4695" t="s">
        <v>11693</v>
      </c>
      <c r="D4695" s="940" t="s">
        <v>5044</v>
      </c>
      <c r="E4695" t="s">
        <v>104</v>
      </c>
    </row>
    <row r="4696" spans="1:5" x14ac:dyDescent="0.2">
      <c r="A4696" s="940">
        <v>923</v>
      </c>
      <c r="B4696" s="940">
        <v>307</v>
      </c>
      <c r="C4696" t="s">
        <v>8726</v>
      </c>
      <c r="D4696" s="940" t="s">
        <v>8727</v>
      </c>
      <c r="E4696" t="s">
        <v>3518</v>
      </c>
    </row>
    <row r="4697" spans="1:5" x14ac:dyDescent="0.2">
      <c r="A4697" s="940">
        <v>2691</v>
      </c>
      <c r="B4697" s="940">
        <v>37</v>
      </c>
      <c r="C4697" t="s">
        <v>8729</v>
      </c>
      <c r="D4697" s="940" t="s">
        <v>4797</v>
      </c>
      <c r="E4697" t="s">
        <v>73</v>
      </c>
    </row>
    <row r="4698" spans="1:5" x14ac:dyDescent="0.2">
      <c r="A4698" s="940">
        <v>3446</v>
      </c>
      <c r="B4698" s="940">
        <v>11</v>
      </c>
      <c r="C4698" t="s">
        <v>8730</v>
      </c>
      <c r="D4698" s="940" t="s">
        <v>4877</v>
      </c>
      <c r="E4698" t="s">
        <v>3137</v>
      </c>
    </row>
    <row r="4699" spans="1:5" x14ac:dyDescent="0.2">
      <c r="A4699" s="940">
        <v>792</v>
      </c>
      <c r="B4699" s="940">
        <v>363</v>
      </c>
      <c r="C4699" t="s">
        <v>11694</v>
      </c>
      <c r="D4699" s="940" t="s">
        <v>11695</v>
      </c>
      <c r="E4699" t="s">
        <v>1315</v>
      </c>
    </row>
    <row r="4700" spans="1:5" x14ac:dyDescent="0.2">
      <c r="A4700" s="940">
        <v>666</v>
      </c>
      <c r="B4700" s="940">
        <v>424</v>
      </c>
      <c r="C4700" t="s">
        <v>601</v>
      </c>
      <c r="D4700" s="940" t="s">
        <v>8731</v>
      </c>
      <c r="E4700" t="s">
        <v>74</v>
      </c>
    </row>
    <row r="4701" spans="1:5" x14ac:dyDescent="0.2">
      <c r="A4701" s="940">
        <v>379</v>
      </c>
      <c r="B4701" s="940">
        <v>658</v>
      </c>
      <c r="C4701" t="s">
        <v>8732</v>
      </c>
      <c r="D4701" s="940" t="s">
        <v>8733</v>
      </c>
      <c r="E4701" t="s">
        <v>1171</v>
      </c>
    </row>
    <row r="4702" spans="1:5" x14ac:dyDescent="0.2">
      <c r="A4702" s="940">
        <v>4181</v>
      </c>
      <c r="B4702" s="940">
        <v>1</v>
      </c>
      <c r="C4702" t="s">
        <v>11696</v>
      </c>
      <c r="D4702" s="940" t="s">
        <v>3761</v>
      </c>
      <c r="E4702" t="s">
        <v>3687</v>
      </c>
    </row>
    <row r="4703" spans="1:5" x14ac:dyDescent="0.2">
      <c r="A4703" s="940">
        <v>1495</v>
      </c>
      <c r="B4703" s="940">
        <v>145</v>
      </c>
      <c r="C4703" t="s">
        <v>8734</v>
      </c>
      <c r="D4703" s="940" t="s">
        <v>3279</v>
      </c>
      <c r="E4703" t="s">
        <v>83</v>
      </c>
    </row>
    <row r="4704" spans="1:5" x14ac:dyDescent="0.2">
      <c r="A4704" s="940">
        <v>4294</v>
      </c>
      <c r="B4704" s="940">
        <v>0</v>
      </c>
      <c r="C4704" t="s">
        <v>11697</v>
      </c>
      <c r="D4704" s="940" t="s">
        <v>6697</v>
      </c>
      <c r="E4704" t="s">
        <v>99</v>
      </c>
    </row>
    <row r="4705" spans="1:5" x14ac:dyDescent="0.2">
      <c r="A4705" s="940">
        <v>3483</v>
      </c>
      <c r="B4705" s="940">
        <v>10</v>
      </c>
      <c r="C4705" t="s">
        <v>8735</v>
      </c>
      <c r="D4705" s="940" t="s">
        <v>8736</v>
      </c>
      <c r="E4705" t="s">
        <v>170</v>
      </c>
    </row>
    <row r="4706" spans="1:5" x14ac:dyDescent="0.2">
      <c r="A4706" s="940">
        <v>495</v>
      </c>
      <c r="B4706" s="940">
        <v>557</v>
      </c>
      <c r="C4706" t="s">
        <v>11698</v>
      </c>
      <c r="D4706" s="940" t="s">
        <v>11699</v>
      </c>
      <c r="E4706" t="s">
        <v>1158</v>
      </c>
    </row>
    <row r="4707" spans="1:5" x14ac:dyDescent="0.2">
      <c r="A4707" s="940">
        <v>1452</v>
      </c>
      <c r="B4707" s="940">
        <v>154</v>
      </c>
      <c r="C4707" t="s">
        <v>8737</v>
      </c>
      <c r="D4707" s="940" t="s">
        <v>8738</v>
      </c>
      <c r="E4707" t="s">
        <v>120</v>
      </c>
    </row>
    <row r="4708" spans="1:5" x14ac:dyDescent="0.2">
      <c r="A4708" s="940">
        <v>383</v>
      </c>
      <c r="B4708" s="940">
        <v>655</v>
      </c>
      <c r="C4708" t="s">
        <v>11700</v>
      </c>
      <c r="D4708" s="940" t="s">
        <v>11701</v>
      </c>
      <c r="E4708" t="s">
        <v>105</v>
      </c>
    </row>
    <row r="4709" spans="1:5" x14ac:dyDescent="0.2">
      <c r="A4709" s="940">
        <v>2552</v>
      </c>
      <c r="B4709" s="940">
        <v>44</v>
      </c>
      <c r="C4709" t="s">
        <v>8739</v>
      </c>
      <c r="D4709" s="940" t="s">
        <v>8077</v>
      </c>
      <c r="E4709" t="s">
        <v>120</v>
      </c>
    </row>
    <row r="4710" spans="1:5" x14ac:dyDescent="0.2">
      <c r="A4710" s="940">
        <v>2533</v>
      </c>
      <c r="B4710" s="940">
        <v>45</v>
      </c>
      <c r="C4710" t="s">
        <v>8740</v>
      </c>
      <c r="D4710" s="940" t="s">
        <v>8691</v>
      </c>
      <c r="E4710" t="s">
        <v>84</v>
      </c>
    </row>
    <row r="4711" spans="1:5" x14ac:dyDescent="0.2">
      <c r="A4711" s="940">
        <v>4294</v>
      </c>
      <c r="B4711" s="940">
        <v>0</v>
      </c>
      <c r="C4711" t="s">
        <v>11702</v>
      </c>
      <c r="D4711" s="940" t="s">
        <v>6522</v>
      </c>
      <c r="E4711" t="s">
        <v>105</v>
      </c>
    </row>
    <row r="4712" spans="1:5" x14ac:dyDescent="0.2">
      <c r="A4712" s="940">
        <v>3323</v>
      </c>
      <c r="B4712" s="940">
        <v>14</v>
      </c>
      <c r="C4712" t="s">
        <v>8741</v>
      </c>
      <c r="D4712" s="940" t="s">
        <v>4864</v>
      </c>
      <c r="E4712" t="s">
        <v>74</v>
      </c>
    </row>
    <row r="4713" spans="1:5" x14ac:dyDescent="0.2">
      <c r="A4713" s="940">
        <v>4081</v>
      </c>
      <c r="B4713" s="940">
        <v>2</v>
      </c>
      <c r="C4713" t="s">
        <v>11703</v>
      </c>
      <c r="D4713" s="940" t="s">
        <v>11704</v>
      </c>
      <c r="E4713" t="s">
        <v>1419</v>
      </c>
    </row>
    <row r="4714" spans="1:5" x14ac:dyDescent="0.2">
      <c r="A4714" s="940">
        <v>4294</v>
      </c>
      <c r="B4714" s="940">
        <v>0</v>
      </c>
      <c r="C4714" t="s">
        <v>8742</v>
      </c>
      <c r="D4714" s="940" t="s">
        <v>8743</v>
      </c>
      <c r="E4714" t="s">
        <v>1590</v>
      </c>
    </row>
    <row r="4715" spans="1:5" x14ac:dyDescent="0.2">
      <c r="A4715" s="940">
        <v>3882</v>
      </c>
      <c r="B4715" s="940">
        <v>4</v>
      </c>
      <c r="C4715" t="s">
        <v>8744</v>
      </c>
      <c r="D4715" s="940" t="s">
        <v>6889</v>
      </c>
      <c r="E4715" t="s">
        <v>105</v>
      </c>
    </row>
    <row r="4716" spans="1:5" x14ac:dyDescent="0.2">
      <c r="A4716" s="940">
        <v>4294</v>
      </c>
      <c r="B4716" s="940">
        <v>0</v>
      </c>
      <c r="C4716" t="s">
        <v>8745</v>
      </c>
      <c r="D4716" s="940" t="s">
        <v>2682</v>
      </c>
      <c r="E4716" t="s">
        <v>469</v>
      </c>
    </row>
    <row r="4717" spans="1:5" x14ac:dyDescent="0.2">
      <c r="A4717" s="940">
        <v>4294</v>
      </c>
      <c r="B4717" s="940">
        <v>0</v>
      </c>
      <c r="C4717" t="s">
        <v>11705</v>
      </c>
      <c r="D4717" s="940" t="s">
        <v>4879</v>
      </c>
      <c r="E4717" t="s">
        <v>160</v>
      </c>
    </row>
    <row r="4718" spans="1:5" x14ac:dyDescent="0.2">
      <c r="A4718" s="940">
        <v>2691</v>
      </c>
      <c r="B4718" s="940">
        <v>37</v>
      </c>
      <c r="C4718" t="s">
        <v>8746</v>
      </c>
      <c r="D4718" s="940" t="s">
        <v>5325</v>
      </c>
      <c r="E4718" t="s">
        <v>74</v>
      </c>
    </row>
    <row r="4719" spans="1:5" x14ac:dyDescent="0.2">
      <c r="A4719" s="940">
        <v>2668</v>
      </c>
      <c r="B4719" s="940">
        <v>38</v>
      </c>
      <c r="C4719" t="s">
        <v>11706</v>
      </c>
      <c r="D4719" s="940" t="s">
        <v>8227</v>
      </c>
      <c r="E4719" t="s">
        <v>4674</v>
      </c>
    </row>
    <row r="4720" spans="1:5" x14ac:dyDescent="0.2">
      <c r="A4720" s="940">
        <v>3732</v>
      </c>
      <c r="B4720" s="940">
        <v>6</v>
      </c>
      <c r="C4720" t="s">
        <v>8749</v>
      </c>
      <c r="D4720" s="940" t="s">
        <v>3857</v>
      </c>
      <c r="E4720" t="s">
        <v>1170</v>
      </c>
    </row>
    <row r="4721" spans="1:5" x14ac:dyDescent="0.2">
      <c r="A4721" s="940">
        <v>2794</v>
      </c>
      <c r="B4721" s="940">
        <v>33</v>
      </c>
      <c r="C4721" t="s">
        <v>11707</v>
      </c>
      <c r="D4721" s="940" t="s">
        <v>5715</v>
      </c>
      <c r="E4721" t="s">
        <v>137</v>
      </c>
    </row>
    <row r="4722" spans="1:5" x14ac:dyDescent="0.2">
      <c r="A4722" s="940">
        <v>3483</v>
      </c>
      <c r="B4722" s="940">
        <v>10</v>
      </c>
      <c r="C4722" t="s">
        <v>11708</v>
      </c>
      <c r="D4722" s="940" t="s">
        <v>11709</v>
      </c>
      <c r="E4722" t="s">
        <v>11549</v>
      </c>
    </row>
    <row r="4723" spans="1:5" x14ac:dyDescent="0.2">
      <c r="A4723" s="940">
        <v>2067</v>
      </c>
      <c r="B4723" s="940">
        <v>80</v>
      </c>
      <c r="C4723" t="s">
        <v>8752</v>
      </c>
      <c r="D4723" s="940" t="s">
        <v>4504</v>
      </c>
      <c r="E4723" t="s">
        <v>74</v>
      </c>
    </row>
    <row r="4724" spans="1:5" x14ac:dyDescent="0.2">
      <c r="A4724" s="940">
        <v>2860</v>
      </c>
      <c r="B4724" s="940">
        <v>30</v>
      </c>
      <c r="C4724" t="s">
        <v>11710</v>
      </c>
      <c r="D4724" s="940" t="s">
        <v>5308</v>
      </c>
      <c r="E4724" t="s">
        <v>3986</v>
      </c>
    </row>
    <row r="4725" spans="1:5" x14ac:dyDescent="0.2">
      <c r="A4725" s="940">
        <v>4294</v>
      </c>
      <c r="B4725" s="940">
        <v>0</v>
      </c>
      <c r="C4725" t="s">
        <v>8754</v>
      </c>
      <c r="D4725" s="940" t="s">
        <v>8755</v>
      </c>
      <c r="E4725" t="s">
        <v>1171</v>
      </c>
    </row>
    <row r="4726" spans="1:5" x14ac:dyDescent="0.2">
      <c r="A4726" s="940">
        <v>2475</v>
      </c>
      <c r="B4726" s="940">
        <v>49</v>
      </c>
      <c r="C4726" t="s">
        <v>11711</v>
      </c>
      <c r="D4726" s="940" t="s">
        <v>8544</v>
      </c>
      <c r="E4726" t="s">
        <v>469</v>
      </c>
    </row>
    <row r="4727" spans="1:5" x14ac:dyDescent="0.2">
      <c r="A4727" s="940">
        <v>4294</v>
      </c>
      <c r="B4727" s="940">
        <v>0</v>
      </c>
      <c r="C4727" t="s">
        <v>11712</v>
      </c>
      <c r="D4727" s="940" t="s">
        <v>7385</v>
      </c>
      <c r="E4727" t="s">
        <v>74</v>
      </c>
    </row>
    <row r="4728" spans="1:5" x14ac:dyDescent="0.2">
      <c r="A4728" s="940">
        <v>3250</v>
      </c>
      <c r="B4728" s="940">
        <v>16</v>
      </c>
      <c r="C4728" t="s">
        <v>8756</v>
      </c>
      <c r="D4728" s="940" t="s">
        <v>7753</v>
      </c>
      <c r="E4728" t="s">
        <v>105</v>
      </c>
    </row>
    <row r="4729" spans="1:5" x14ac:dyDescent="0.2">
      <c r="A4729" s="940">
        <v>129</v>
      </c>
      <c r="B4729" s="940">
        <v>1042</v>
      </c>
      <c r="C4729" t="s">
        <v>8757</v>
      </c>
      <c r="D4729" s="940" t="s">
        <v>6373</v>
      </c>
      <c r="E4729" t="s">
        <v>74</v>
      </c>
    </row>
    <row r="4730" spans="1:5" x14ac:dyDescent="0.2">
      <c r="A4730" s="940">
        <v>1488</v>
      </c>
      <c r="B4730" s="940">
        <v>146</v>
      </c>
      <c r="C4730" t="s">
        <v>11713</v>
      </c>
      <c r="D4730" s="940" t="s">
        <v>9191</v>
      </c>
      <c r="E4730" t="s">
        <v>113</v>
      </c>
    </row>
    <row r="4731" spans="1:5" x14ac:dyDescent="0.2">
      <c r="A4731" s="940">
        <v>3655</v>
      </c>
      <c r="B4731" s="940">
        <v>7</v>
      </c>
      <c r="C4731" t="s">
        <v>8758</v>
      </c>
      <c r="D4731" s="940" t="s">
        <v>4521</v>
      </c>
      <c r="E4731" t="s">
        <v>74</v>
      </c>
    </row>
    <row r="4732" spans="1:5" x14ac:dyDescent="0.2">
      <c r="A4732" s="940">
        <v>2168</v>
      </c>
      <c r="B4732" s="940">
        <v>72</v>
      </c>
      <c r="C4732" t="s">
        <v>11714</v>
      </c>
      <c r="D4732" s="940" t="s">
        <v>8020</v>
      </c>
      <c r="E4732" t="s">
        <v>128</v>
      </c>
    </row>
    <row r="4733" spans="1:5" x14ac:dyDescent="0.2">
      <c r="A4733" s="940">
        <v>4294</v>
      </c>
      <c r="B4733" s="940">
        <v>0</v>
      </c>
      <c r="C4733" t="s">
        <v>11715</v>
      </c>
      <c r="D4733" s="940" t="s">
        <v>11716</v>
      </c>
      <c r="E4733" t="s">
        <v>10217</v>
      </c>
    </row>
    <row r="4734" spans="1:5" x14ac:dyDescent="0.2">
      <c r="A4734" s="940">
        <v>3048</v>
      </c>
      <c r="B4734" s="940">
        <v>22</v>
      </c>
      <c r="C4734" t="s">
        <v>11717</v>
      </c>
      <c r="D4734" s="940" t="s">
        <v>8806</v>
      </c>
      <c r="E4734" t="s">
        <v>1211</v>
      </c>
    </row>
    <row r="4735" spans="1:5" x14ac:dyDescent="0.2">
      <c r="A4735" s="940">
        <v>2691</v>
      </c>
      <c r="B4735" s="940">
        <v>37</v>
      </c>
      <c r="C4735" t="s">
        <v>8760</v>
      </c>
      <c r="D4735" s="940" t="s">
        <v>8761</v>
      </c>
      <c r="E4735" t="s">
        <v>128</v>
      </c>
    </row>
    <row r="4736" spans="1:5" x14ac:dyDescent="0.2">
      <c r="A4736" s="940">
        <v>2592</v>
      </c>
      <c r="B4736" s="940">
        <v>42</v>
      </c>
      <c r="C4736" t="s">
        <v>11718</v>
      </c>
      <c r="D4736" s="940" t="s">
        <v>6839</v>
      </c>
      <c r="E4736" t="s">
        <v>1327</v>
      </c>
    </row>
    <row r="4737" spans="1:5" x14ac:dyDescent="0.2">
      <c r="A4737" s="940">
        <v>4081</v>
      </c>
      <c r="B4737" s="940">
        <v>2</v>
      </c>
      <c r="C4737" t="s">
        <v>8762</v>
      </c>
      <c r="D4737" s="940" t="s">
        <v>8497</v>
      </c>
      <c r="E4737" t="s">
        <v>137</v>
      </c>
    </row>
    <row r="4738" spans="1:5" x14ac:dyDescent="0.2">
      <c r="A4738" s="940">
        <v>1826</v>
      </c>
      <c r="B4738" s="940">
        <v>102</v>
      </c>
      <c r="C4738" t="s">
        <v>8763</v>
      </c>
      <c r="D4738" s="940" t="s">
        <v>8764</v>
      </c>
      <c r="E4738" t="s">
        <v>179</v>
      </c>
    </row>
    <row r="4739" spans="1:5" x14ac:dyDescent="0.2">
      <c r="A4739" s="940">
        <v>2056</v>
      </c>
      <c r="B4739" s="940">
        <v>81</v>
      </c>
      <c r="C4739" t="s">
        <v>8765</v>
      </c>
      <c r="D4739" s="940" t="s">
        <v>3164</v>
      </c>
      <c r="E4739" t="s">
        <v>1372</v>
      </c>
    </row>
    <row r="4740" spans="1:5" x14ac:dyDescent="0.2">
      <c r="A4740" s="940">
        <v>3602</v>
      </c>
      <c r="B4740" s="940">
        <v>8</v>
      </c>
      <c r="C4740" t="s">
        <v>8766</v>
      </c>
      <c r="D4740" s="940" t="s">
        <v>8767</v>
      </c>
      <c r="E4740" t="s">
        <v>5279</v>
      </c>
    </row>
    <row r="4741" spans="1:5" x14ac:dyDescent="0.2">
      <c r="A4741" s="940">
        <v>4294</v>
      </c>
      <c r="B4741" s="940">
        <v>0</v>
      </c>
      <c r="C4741" t="s">
        <v>8770</v>
      </c>
      <c r="D4741" s="940" t="s">
        <v>3230</v>
      </c>
      <c r="E4741" t="s">
        <v>1182</v>
      </c>
    </row>
    <row r="4742" spans="1:5" x14ac:dyDescent="0.2">
      <c r="A4742" s="940">
        <v>4294</v>
      </c>
      <c r="B4742" s="940">
        <v>0</v>
      </c>
      <c r="C4742" t="s">
        <v>11719</v>
      </c>
      <c r="D4742" s="940" t="s">
        <v>4755</v>
      </c>
      <c r="E4742" t="s">
        <v>1475</v>
      </c>
    </row>
    <row r="4743" spans="1:5" x14ac:dyDescent="0.2">
      <c r="A4743" s="940">
        <v>1420</v>
      </c>
      <c r="B4743" s="940">
        <v>159</v>
      </c>
      <c r="C4743" t="s">
        <v>8771</v>
      </c>
      <c r="D4743" s="940" t="s">
        <v>4348</v>
      </c>
      <c r="E4743" t="s">
        <v>3429</v>
      </c>
    </row>
    <row r="4744" spans="1:5" x14ac:dyDescent="0.2">
      <c r="A4744" s="940">
        <v>2312</v>
      </c>
      <c r="B4744" s="940">
        <v>61</v>
      </c>
      <c r="C4744" t="s">
        <v>2347</v>
      </c>
      <c r="D4744" s="940" t="s">
        <v>5805</v>
      </c>
      <c r="E4744" t="s">
        <v>2263</v>
      </c>
    </row>
    <row r="4745" spans="1:5" x14ac:dyDescent="0.2">
      <c r="A4745" s="940">
        <v>2725</v>
      </c>
      <c r="B4745" s="940">
        <v>36</v>
      </c>
      <c r="C4745" t="s">
        <v>8772</v>
      </c>
      <c r="D4745" s="940" t="s">
        <v>8773</v>
      </c>
      <c r="E4745" t="s">
        <v>103</v>
      </c>
    </row>
    <row r="4746" spans="1:5" x14ac:dyDescent="0.2">
      <c r="A4746" s="940">
        <v>3882</v>
      </c>
      <c r="B4746" s="940">
        <v>4</v>
      </c>
      <c r="C4746" t="s">
        <v>11720</v>
      </c>
      <c r="D4746" s="940" t="s">
        <v>3570</v>
      </c>
      <c r="E4746" t="s">
        <v>120</v>
      </c>
    </row>
    <row r="4747" spans="1:5" x14ac:dyDescent="0.2">
      <c r="A4747" s="940">
        <v>4081</v>
      </c>
      <c r="B4747" s="940">
        <v>2</v>
      </c>
      <c r="C4747" t="s">
        <v>11721</v>
      </c>
      <c r="D4747" s="940" t="s">
        <v>4477</v>
      </c>
      <c r="E4747" t="s">
        <v>105</v>
      </c>
    </row>
    <row r="4748" spans="1:5" x14ac:dyDescent="0.2">
      <c r="A4748" s="940">
        <v>4294</v>
      </c>
      <c r="B4748" s="940">
        <v>0</v>
      </c>
      <c r="C4748" t="s">
        <v>8774</v>
      </c>
      <c r="D4748" s="940" t="s">
        <v>5420</v>
      </c>
      <c r="E4748" t="s">
        <v>105</v>
      </c>
    </row>
    <row r="4749" spans="1:5" x14ac:dyDescent="0.2">
      <c r="A4749" s="940">
        <v>394</v>
      </c>
      <c r="B4749" s="940">
        <v>647</v>
      </c>
      <c r="C4749" t="s">
        <v>11722</v>
      </c>
      <c r="D4749" s="940" t="s">
        <v>11723</v>
      </c>
      <c r="E4749" t="s">
        <v>76</v>
      </c>
    </row>
    <row r="4750" spans="1:5" x14ac:dyDescent="0.2">
      <c r="A4750" s="940">
        <v>4294</v>
      </c>
      <c r="B4750" s="940">
        <v>0</v>
      </c>
      <c r="C4750" t="s">
        <v>11724</v>
      </c>
      <c r="D4750" s="940" t="s">
        <v>11725</v>
      </c>
      <c r="E4750" t="s">
        <v>105</v>
      </c>
    </row>
    <row r="4751" spans="1:5" x14ac:dyDescent="0.2">
      <c r="A4751" s="940">
        <v>1524</v>
      </c>
      <c r="B4751" s="940">
        <v>141</v>
      </c>
      <c r="C4751" t="s">
        <v>11726</v>
      </c>
      <c r="D4751" s="940" t="s">
        <v>11727</v>
      </c>
      <c r="E4751" t="s">
        <v>1179</v>
      </c>
    </row>
    <row r="4752" spans="1:5" x14ac:dyDescent="0.2">
      <c r="A4752" s="940">
        <v>3048</v>
      </c>
      <c r="B4752" s="940">
        <v>22</v>
      </c>
      <c r="C4752" t="s">
        <v>11728</v>
      </c>
      <c r="D4752" s="940" t="s">
        <v>11729</v>
      </c>
      <c r="E4752" t="s">
        <v>155</v>
      </c>
    </row>
    <row r="4753" spans="1:5" x14ac:dyDescent="0.2">
      <c r="A4753" s="940">
        <v>455</v>
      </c>
      <c r="B4753" s="940">
        <v>587</v>
      </c>
      <c r="C4753" t="s">
        <v>8775</v>
      </c>
      <c r="D4753" s="940" t="s">
        <v>8776</v>
      </c>
      <c r="E4753" t="s">
        <v>661</v>
      </c>
    </row>
    <row r="4754" spans="1:5" x14ac:dyDescent="0.2">
      <c r="A4754" s="940">
        <v>414</v>
      </c>
      <c r="B4754" s="940">
        <v>628</v>
      </c>
      <c r="C4754" t="s">
        <v>8779</v>
      </c>
      <c r="D4754" s="940" t="s">
        <v>8780</v>
      </c>
      <c r="E4754" t="s">
        <v>114</v>
      </c>
    </row>
    <row r="4755" spans="1:5" x14ac:dyDescent="0.2">
      <c r="A4755" s="940">
        <v>1531</v>
      </c>
      <c r="B4755" s="940">
        <v>140</v>
      </c>
      <c r="C4755" t="s">
        <v>750</v>
      </c>
      <c r="D4755" s="940" t="s">
        <v>11730</v>
      </c>
      <c r="E4755" t="s">
        <v>114</v>
      </c>
    </row>
    <row r="4756" spans="1:5" x14ac:dyDescent="0.2">
      <c r="A4756" s="940">
        <v>4294</v>
      </c>
      <c r="B4756" s="940">
        <v>0</v>
      </c>
      <c r="C4756" t="s">
        <v>11731</v>
      </c>
      <c r="D4756" s="940" t="s">
        <v>5207</v>
      </c>
      <c r="E4756" t="s">
        <v>1961</v>
      </c>
    </row>
    <row r="4757" spans="1:5" x14ac:dyDescent="0.2">
      <c r="A4757" s="940">
        <v>4294</v>
      </c>
      <c r="B4757" s="940">
        <v>0</v>
      </c>
      <c r="C4757" t="s">
        <v>11732</v>
      </c>
      <c r="D4757" s="940" t="s">
        <v>6249</v>
      </c>
      <c r="E4757" t="s">
        <v>74</v>
      </c>
    </row>
    <row r="4758" spans="1:5" x14ac:dyDescent="0.2">
      <c r="A4758" s="940">
        <v>2833</v>
      </c>
      <c r="B4758" s="940">
        <v>31</v>
      </c>
      <c r="C4758" t="s">
        <v>11733</v>
      </c>
      <c r="D4758" s="940" t="s">
        <v>11734</v>
      </c>
      <c r="E4758" t="s">
        <v>11735</v>
      </c>
    </row>
    <row r="4759" spans="1:5" x14ac:dyDescent="0.2">
      <c r="A4759" s="940">
        <v>1252</v>
      </c>
      <c r="B4759" s="940">
        <v>193</v>
      </c>
      <c r="C4759" t="s">
        <v>8782</v>
      </c>
      <c r="D4759" s="940" t="s">
        <v>6608</v>
      </c>
      <c r="E4759" t="s">
        <v>118</v>
      </c>
    </row>
    <row r="4760" spans="1:5" x14ac:dyDescent="0.2">
      <c r="A4760" s="940">
        <v>1621</v>
      </c>
      <c r="B4760" s="940">
        <v>125</v>
      </c>
      <c r="C4760" t="s">
        <v>8783</v>
      </c>
      <c r="D4760" s="940" t="s">
        <v>8784</v>
      </c>
      <c r="E4760" t="s">
        <v>118</v>
      </c>
    </row>
    <row r="4761" spans="1:5" x14ac:dyDescent="0.2">
      <c r="A4761" s="940">
        <v>4294</v>
      </c>
      <c r="B4761" s="940">
        <v>0</v>
      </c>
      <c r="C4761" t="s">
        <v>11736</v>
      </c>
      <c r="D4761" s="940" t="s">
        <v>7356</v>
      </c>
      <c r="E4761" t="s">
        <v>2613</v>
      </c>
    </row>
    <row r="4762" spans="1:5" x14ac:dyDescent="0.2">
      <c r="A4762" s="940">
        <v>3732</v>
      </c>
      <c r="B4762" s="940">
        <v>6</v>
      </c>
      <c r="C4762" t="s">
        <v>11737</v>
      </c>
      <c r="D4762" s="940" t="s">
        <v>11738</v>
      </c>
      <c r="E4762" t="s">
        <v>128</v>
      </c>
    </row>
    <row r="4763" spans="1:5" x14ac:dyDescent="0.2">
      <c r="A4763" s="940">
        <v>347</v>
      </c>
      <c r="B4763" s="940">
        <v>703</v>
      </c>
      <c r="C4763" t="s">
        <v>8788</v>
      </c>
      <c r="D4763" s="940" t="s">
        <v>8789</v>
      </c>
      <c r="E4763" t="s">
        <v>105</v>
      </c>
    </row>
    <row r="4764" spans="1:5" x14ac:dyDescent="0.2">
      <c r="A4764" s="940">
        <v>4294</v>
      </c>
      <c r="B4764" s="940">
        <v>0</v>
      </c>
      <c r="C4764" t="s">
        <v>11739</v>
      </c>
      <c r="D4764" s="940" t="s">
        <v>9813</v>
      </c>
      <c r="E4764" t="s">
        <v>1493</v>
      </c>
    </row>
    <row r="4765" spans="1:5" x14ac:dyDescent="0.2">
      <c r="A4765" s="940">
        <v>2915</v>
      </c>
      <c r="B4765" s="940">
        <v>27</v>
      </c>
      <c r="C4765" t="s">
        <v>8790</v>
      </c>
      <c r="D4765" s="940" t="s">
        <v>5391</v>
      </c>
      <c r="E4765" t="s">
        <v>5767</v>
      </c>
    </row>
    <row r="4766" spans="1:5" x14ac:dyDescent="0.2">
      <c r="A4766" s="940">
        <v>1174</v>
      </c>
      <c r="B4766" s="940">
        <v>219</v>
      </c>
      <c r="C4766" t="s">
        <v>8791</v>
      </c>
      <c r="D4766" s="940" t="s">
        <v>8604</v>
      </c>
      <c r="E4766" t="s">
        <v>129</v>
      </c>
    </row>
    <row r="4767" spans="1:5" x14ac:dyDescent="0.2">
      <c r="A4767" s="940">
        <v>4294</v>
      </c>
      <c r="B4767" s="940">
        <v>0</v>
      </c>
      <c r="C4767" t="s">
        <v>11740</v>
      </c>
      <c r="D4767" s="940" t="s">
        <v>7546</v>
      </c>
      <c r="E4767" t="s">
        <v>6430</v>
      </c>
    </row>
    <row r="4768" spans="1:5" x14ac:dyDescent="0.2">
      <c r="A4768" s="940">
        <v>2180</v>
      </c>
      <c r="B4768" s="940">
        <v>71</v>
      </c>
      <c r="C4768" t="s">
        <v>8792</v>
      </c>
      <c r="D4768" s="940" t="s">
        <v>8793</v>
      </c>
      <c r="E4768" t="s">
        <v>1372</v>
      </c>
    </row>
    <row r="4769" spans="1:5" x14ac:dyDescent="0.2">
      <c r="A4769" s="940">
        <v>3545</v>
      </c>
      <c r="B4769" s="940">
        <v>9</v>
      </c>
      <c r="C4769" t="s">
        <v>8794</v>
      </c>
      <c r="D4769" s="940" t="s">
        <v>7470</v>
      </c>
      <c r="E4769" t="s">
        <v>5756</v>
      </c>
    </row>
    <row r="4770" spans="1:5" x14ac:dyDescent="0.2">
      <c r="A4770" s="940">
        <v>4294</v>
      </c>
      <c r="B4770" s="940">
        <v>0</v>
      </c>
      <c r="C4770" t="s">
        <v>8795</v>
      </c>
      <c r="D4770" s="940" t="s">
        <v>3808</v>
      </c>
      <c r="E4770" t="s">
        <v>8796</v>
      </c>
    </row>
    <row r="4771" spans="1:5" x14ac:dyDescent="0.2">
      <c r="A4771" s="940">
        <v>3174</v>
      </c>
      <c r="B4771" s="940">
        <v>18</v>
      </c>
      <c r="C4771" t="s">
        <v>8797</v>
      </c>
      <c r="D4771" s="940" t="s">
        <v>6037</v>
      </c>
      <c r="E4771" t="s">
        <v>132</v>
      </c>
    </row>
    <row r="4772" spans="1:5" x14ac:dyDescent="0.2">
      <c r="A4772" s="940">
        <v>457</v>
      </c>
      <c r="B4772" s="940">
        <v>585</v>
      </c>
      <c r="C4772" t="s">
        <v>8800</v>
      </c>
      <c r="D4772" s="940" t="s">
        <v>4070</v>
      </c>
      <c r="E4772" t="s">
        <v>2928</v>
      </c>
    </row>
    <row r="4773" spans="1:5" x14ac:dyDescent="0.2">
      <c r="A4773" s="940">
        <v>302</v>
      </c>
      <c r="B4773" s="940">
        <v>770</v>
      </c>
      <c r="C4773" t="s">
        <v>8801</v>
      </c>
      <c r="D4773" s="940" t="s">
        <v>8802</v>
      </c>
      <c r="E4773" t="s">
        <v>120</v>
      </c>
    </row>
    <row r="4774" spans="1:5" x14ac:dyDescent="0.2">
      <c r="A4774" s="940">
        <v>4294</v>
      </c>
      <c r="B4774" s="940">
        <v>0</v>
      </c>
      <c r="C4774" t="s">
        <v>8803</v>
      </c>
      <c r="D4774" s="940" t="s">
        <v>8804</v>
      </c>
      <c r="E4774" t="s">
        <v>105</v>
      </c>
    </row>
    <row r="4775" spans="1:5" x14ac:dyDescent="0.2">
      <c r="A4775" s="940">
        <v>3655</v>
      </c>
      <c r="B4775" s="940">
        <v>7</v>
      </c>
      <c r="C4775" t="s">
        <v>11741</v>
      </c>
      <c r="D4775" s="940" t="s">
        <v>4191</v>
      </c>
      <c r="E4775" t="s">
        <v>5136</v>
      </c>
    </row>
    <row r="4776" spans="1:5" x14ac:dyDescent="0.2">
      <c r="A4776" s="940">
        <v>1279</v>
      </c>
      <c r="B4776" s="940">
        <v>189</v>
      </c>
      <c r="C4776" t="s">
        <v>8805</v>
      </c>
      <c r="D4776" s="940" t="s">
        <v>8806</v>
      </c>
      <c r="E4776" t="s">
        <v>129</v>
      </c>
    </row>
    <row r="4777" spans="1:5" x14ac:dyDescent="0.2">
      <c r="A4777" s="940">
        <v>4294</v>
      </c>
      <c r="B4777" s="940">
        <v>0</v>
      </c>
      <c r="C4777" t="s">
        <v>8807</v>
      </c>
      <c r="D4777" s="940" t="s">
        <v>8808</v>
      </c>
      <c r="E4777" t="s">
        <v>213</v>
      </c>
    </row>
    <row r="4778" spans="1:5" x14ac:dyDescent="0.2">
      <c r="A4778" s="940">
        <v>772</v>
      </c>
      <c r="B4778" s="940">
        <v>376</v>
      </c>
      <c r="C4778" t="s">
        <v>8810</v>
      </c>
      <c r="D4778" s="940" t="s">
        <v>8811</v>
      </c>
      <c r="E4778" t="s">
        <v>118</v>
      </c>
    </row>
    <row r="4779" spans="1:5" x14ac:dyDescent="0.2">
      <c r="A4779" s="940">
        <v>4294</v>
      </c>
      <c r="B4779" s="940">
        <v>0</v>
      </c>
      <c r="C4779" t="s">
        <v>8812</v>
      </c>
      <c r="D4779" s="940" t="s">
        <v>7606</v>
      </c>
      <c r="E4779" t="s">
        <v>163</v>
      </c>
    </row>
    <row r="4780" spans="1:5" x14ac:dyDescent="0.2">
      <c r="A4780" s="940">
        <v>3048</v>
      </c>
      <c r="B4780" s="940">
        <v>22</v>
      </c>
      <c r="C4780" t="s">
        <v>8813</v>
      </c>
      <c r="D4780" s="940" t="s">
        <v>8814</v>
      </c>
      <c r="E4780" t="s">
        <v>105</v>
      </c>
    </row>
    <row r="4781" spans="1:5" x14ac:dyDescent="0.2">
      <c r="A4781" s="940">
        <v>915</v>
      </c>
      <c r="B4781" s="940">
        <v>309</v>
      </c>
      <c r="C4781" t="s">
        <v>2581</v>
      </c>
      <c r="D4781" s="940" t="s">
        <v>4806</v>
      </c>
      <c r="E4781" t="s">
        <v>72</v>
      </c>
    </row>
    <row r="4782" spans="1:5" x14ac:dyDescent="0.2">
      <c r="A4782" s="940">
        <v>4181</v>
      </c>
      <c r="B4782" s="940">
        <v>1</v>
      </c>
      <c r="C4782" t="s">
        <v>8815</v>
      </c>
      <c r="D4782" s="940" t="s">
        <v>8816</v>
      </c>
      <c r="E4782" t="s">
        <v>1251</v>
      </c>
    </row>
    <row r="4783" spans="1:5" x14ac:dyDescent="0.2">
      <c r="A4783" s="940">
        <v>4294</v>
      </c>
      <c r="B4783" s="940">
        <v>0</v>
      </c>
      <c r="C4783" t="s">
        <v>8817</v>
      </c>
      <c r="D4783" s="940" t="s">
        <v>4151</v>
      </c>
      <c r="E4783" t="s">
        <v>105</v>
      </c>
    </row>
    <row r="4784" spans="1:5" x14ac:dyDescent="0.2">
      <c r="A4784" s="940">
        <v>3483</v>
      </c>
      <c r="B4784" s="940">
        <v>10</v>
      </c>
      <c r="C4784" t="s">
        <v>8818</v>
      </c>
      <c r="D4784" s="940" t="s">
        <v>5367</v>
      </c>
      <c r="E4784" t="s">
        <v>1590</v>
      </c>
    </row>
    <row r="4785" spans="1:5" x14ac:dyDescent="0.2">
      <c r="A4785" s="940">
        <v>71</v>
      </c>
      <c r="B4785" s="940">
        <v>1206</v>
      </c>
      <c r="C4785" t="s">
        <v>8821</v>
      </c>
      <c r="D4785" s="940" t="s">
        <v>8822</v>
      </c>
      <c r="E4785" t="s">
        <v>105</v>
      </c>
    </row>
    <row r="4786" spans="1:5" x14ac:dyDescent="0.2">
      <c r="A4786" s="940">
        <v>62</v>
      </c>
      <c r="B4786" s="940">
        <v>1230</v>
      </c>
      <c r="C4786" t="s">
        <v>8823</v>
      </c>
      <c r="D4786" s="940" t="s">
        <v>8824</v>
      </c>
      <c r="E4786" t="s">
        <v>1190</v>
      </c>
    </row>
    <row r="4787" spans="1:5" x14ac:dyDescent="0.2">
      <c r="A4787" s="940">
        <v>3972</v>
      </c>
      <c r="B4787" s="940">
        <v>3</v>
      </c>
      <c r="C4787" t="s">
        <v>8826</v>
      </c>
      <c r="D4787" s="940" t="s">
        <v>7976</v>
      </c>
      <c r="E4787" t="s">
        <v>208</v>
      </c>
    </row>
    <row r="4788" spans="1:5" x14ac:dyDescent="0.2">
      <c r="A4788" s="940">
        <v>2691</v>
      </c>
      <c r="B4788" s="940">
        <v>37</v>
      </c>
      <c r="C4788" t="s">
        <v>8827</v>
      </c>
      <c r="D4788" s="940" t="s">
        <v>8828</v>
      </c>
      <c r="E4788" t="s">
        <v>99</v>
      </c>
    </row>
    <row r="4789" spans="1:5" x14ac:dyDescent="0.2">
      <c r="A4789" s="940">
        <v>3882</v>
      </c>
      <c r="B4789" s="940">
        <v>4</v>
      </c>
      <c r="C4789" t="s">
        <v>8829</v>
      </c>
      <c r="D4789" s="940" t="s">
        <v>8830</v>
      </c>
      <c r="E4789" t="s">
        <v>1156</v>
      </c>
    </row>
    <row r="4790" spans="1:5" x14ac:dyDescent="0.2">
      <c r="A4790" s="940">
        <v>95</v>
      </c>
      <c r="B4790" s="940">
        <v>1147</v>
      </c>
      <c r="C4790" t="s">
        <v>8831</v>
      </c>
      <c r="D4790" s="940" t="s">
        <v>8832</v>
      </c>
      <c r="E4790" t="s">
        <v>166</v>
      </c>
    </row>
    <row r="4791" spans="1:5" x14ac:dyDescent="0.2">
      <c r="A4791" s="940">
        <v>4294</v>
      </c>
      <c r="B4791" s="940">
        <v>0</v>
      </c>
      <c r="C4791" t="s">
        <v>11742</v>
      </c>
      <c r="D4791" s="940" t="s">
        <v>11743</v>
      </c>
      <c r="E4791" t="s">
        <v>166</v>
      </c>
    </row>
    <row r="4792" spans="1:5" x14ac:dyDescent="0.2">
      <c r="A4792" s="940">
        <v>3796</v>
      </c>
      <c r="B4792" s="940">
        <v>5</v>
      </c>
      <c r="C4792" t="s">
        <v>11744</v>
      </c>
      <c r="D4792" s="940" t="s">
        <v>11745</v>
      </c>
      <c r="E4792" t="s">
        <v>163</v>
      </c>
    </row>
    <row r="4793" spans="1:5" x14ac:dyDescent="0.2">
      <c r="A4793" s="940">
        <v>2533</v>
      </c>
      <c r="B4793" s="940">
        <v>45</v>
      </c>
      <c r="C4793" t="s">
        <v>11746</v>
      </c>
      <c r="D4793" s="940" t="s">
        <v>8940</v>
      </c>
      <c r="E4793" t="s">
        <v>141</v>
      </c>
    </row>
    <row r="4794" spans="1:5" x14ac:dyDescent="0.2">
      <c r="A4794" s="940">
        <v>2353</v>
      </c>
      <c r="B4794" s="940">
        <v>58</v>
      </c>
      <c r="C4794" t="s">
        <v>8834</v>
      </c>
      <c r="D4794" s="940" t="s">
        <v>4599</v>
      </c>
      <c r="E4794" t="s">
        <v>111</v>
      </c>
    </row>
    <row r="4795" spans="1:5" x14ac:dyDescent="0.2">
      <c r="A4795" s="940">
        <v>4294</v>
      </c>
      <c r="B4795" s="940">
        <v>0</v>
      </c>
      <c r="C4795" t="s">
        <v>8835</v>
      </c>
      <c r="D4795" s="940" t="s">
        <v>3133</v>
      </c>
      <c r="E4795" t="s">
        <v>1171</v>
      </c>
    </row>
    <row r="4796" spans="1:5" x14ac:dyDescent="0.2">
      <c r="A4796" s="940">
        <v>4294</v>
      </c>
      <c r="B4796" s="940">
        <v>0</v>
      </c>
      <c r="C4796" t="s">
        <v>11747</v>
      </c>
      <c r="D4796" s="940" t="s">
        <v>6629</v>
      </c>
      <c r="E4796" t="s">
        <v>1493</v>
      </c>
    </row>
    <row r="4797" spans="1:5" x14ac:dyDescent="0.2">
      <c r="A4797" s="940">
        <v>1543</v>
      </c>
      <c r="B4797" s="940">
        <v>137</v>
      </c>
      <c r="C4797" t="s">
        <v>11748</v>
      </c>
      <c r="D4797" s="940" t="s">
        <v>11749</v>
      </c>
      <c r="E4797" t="s">
        <v>11750</v>
      </c>
    </row>
    <row r="4798" spans="1:5" x14ac:dyDescent="0.2">
      <c r="A4798" s="940">
        <v>1843</v>
      </c>
      <c r="B4798" s="940">
        <v>101</v>
      </c>
      <c r="C4798" t="s">
        <v>2582</v>
      </c>
      <c r="D4798" s="940" t="s">
        <v>4551</v>
      </c>
      <c r="E4798" t="s">
        <v>120</v>
      </c>
    </row>
    <row r="4799" spans="1:5" x14ac:dyDescent="0.2">
      <c r="A4799" s="940">
        <v>40</v>
      </c>
      <c r="B4799" s="940">
        <v>1366</v>
      </c>
      <c r="C4799" t="s">
        <v>8839</v>
      </c>
      <c r="D4799" s="940" t="s">
        <v>8840</v>
      </c>
      <c r="E4799" t="s">
        <v>113</v>
      </c>
    </row>
    <row r="4800" spans="1:5" x14ac:dyDescent="0.2">
      <c r="A4800" s="940">
        <v>4294</v>
      </c>
      <c r="B4800" s="940">
        <v>0</v>
      </c>
      <c r="C4800" t="s">
        <v>11751</v>
      </c>
      <c r="D4800" s="940" t="s">
        <v>3938</v>
      </c>
      <c r="E4800" t="s">
        <v>106</v>
      </c>
    </row>
    <row r="4801" spans="1:5" x14ac:dyDescent="0.2">
      <c r="A4801" s="940">
        <v>4181</v>
      </c>
      <c r="B4801" s="940">
        <v>1</v>
      </c>
      <c r="C4801" t="s">
        <v>8842</v>
      </c>
      <c r="D4801" s="940" t="s">
        <v>3601</v>
      </c>
      <c r="E4801" t="s">
        <v>2654</v>
      </c>
    </row>
    <row r="4802" spans="1:5" x14ac:dyDescent="0.2">
      <c r="A4802" s="940">
        <v>1816</v>
      </c>
      <c r="B4802" s="940">
        <v>103</v>
      </c>
      <c r="C4802" t="s">
        <v>11752</v>
      </c>
      <c r="D4802" s="940" t="s">
        <v>10172</v>
      </c>
      <c r="E4802" t="s">
        <v>122</v>
      </c>
    </row>
    <row r="4803" spans="1:5" x14ac:dyDescent="0.2">
      <c r="A4803" s="940">
        <v>1936</v>
      </c>
      <c r="B4803" s="940">
        <v>92</v>
      </c>
      <c r="C4803" t="s">
        <v>8843</v>
      </c>
      <c r="D4803" s="940" t="s">
        <v>3537</v>
      </c>
      <c r="E4803" t="s">
        <v>165</v>
      </c>
    </row>
    <row r="4804" spans="1:5" x14ac:dyDescent="0.2">
      <c r="A4804" s="940">
        <v>4294</v>
      </c>
      <c r="B4804" s="940">
        <v>0</v>
      </c>
      <c r="C4804" t="s">
        <v>8844</v>
      </c>
      <c r="D4804" s="940" t="s">
        <v>6389</v>
      </c>
      <c r="E4804" t="s">
        <v>120</v>
      </c>
    </row>
    <row r="4805" spans="1:5" x14ac:dyDescent="0.2">
      <c r="A4805" s="940">
        <v>3796</v>
      </c>
      <c r="B4805" s="940">
        <v>5</v>
      </c>
      <c r="C4805" t="s">
        <v>8845</v>
      </c>
      <c r="D4805" s="940" t="s">
        <v>6802</v>
      </c>
      <c r="E4805" t="s">
        <v>120</v>
      </c>
    </row>
    <row r="4806" spans="1:5" x14ac:dyDescent="0.2">
      <c r="A4806" s="940">
        <v>2514</v>
      </c>
      <c r="B4806" s="940">
        <v>46</v>
      </c>
      <c r="C4806" t="s">
        <v>8847</v>
      </c>
      <c r="D4806" s="940" t="s">
        <v>4254</v>
      </c>
      <c r="E4806" t="s">
        <v>2916</v>
      </c>
    </row>
    <row r="4807" spans="1:5" x14ac:dyDescent="0.2">
      <c r="A4807" s="940">
        <v>4294</v>
      </c>
      <c r="B4807" s="940">
        <v>0</v>
      </c>
      <c r="C4807" t="s">
        <v>8848</v>
      </c>
      <c r="D4807" s="940" t="s">
        <v>3574</v>
      </c>
      <c r="E4807" t="s">
        <v>137</v>
      </c>
    </row>
    <row r="4808" spans="1:5" x14ac:dyDescent="0.2">
      <c r="A4808" s="940">
        <v>3655</v>
      </c>
      <c r="B4808" s="940">
        <v>7</v>
      </c>
      <c r="C4808" t="s">
        <v>11753</v>
      </c>
      <c r="D4808" s="940" t="s">
        <v>9699</v>
      </c>
      <c r="E4808" t="s">
        <v>74</v>
      </c>
    </row>
    <row r="4809" spans="1:5" x14ac:dyDescent="0.2">
      <c r="A4809" s="940">
        <v>2691</v>
      </c>
      <c r="B4809" s="940">
        <v>37</v>
      </c>
      <c r="C4809" t="s">
        <v>2354</v>
      </c>
      <c r="D4809" s="940" t="s">
        <v>11754</v>
      </c>
      <c r="E4809" t="s">
        <v>661</v>
      </c>
    </row>
    <row r="4810" spans="1:5" x14ac:dyDescent="0.2">
      <c r="A4810" s="940">
        <v>677</v>
      </c>
      <c r="B4810" s="940">
        <v>417</v>
      </c>
      <c r="C4810" t="s">
        <v>8849</v>
      </c>
      <c r="D4810" s="940" t="s">
        <v>8850</v>
      </c>
      <c r="E4810" t="s">
        <v>105</v>
      </c>
    </row>
    <row r="4811" spans="1:5" x14ac:dyDescent="0.2">
      <c r="A4811" s="940">
        <v>3655</v>
      </c>
      <c r="B4811" s="940">
        <v>7</v>
      </c>
      <c r="C4811" t="s">
        <v>8851</v>
      </c>
      <c r="D4811" s="940" t="s">
        <v>6200</v>
      </c>
      <c r="E4811" t="s">
        <v>661</v>
      </c>
    </row>
    <row r="4812" spans="1:5" x14ac:dyDescent="0.2">
      <c r="A4812" s="940">
        <v>3136</v>
      </c>
      <c r="B4812" s="940">
        <v>19</v>
      </c>
      <c r="C4812" t="s">
        <v>8852</v>
      </c>
      <c r="D4812" s="940" t="s">
        <v>4288</v>
      </c>
      <c r="E4812" t="s">
        <v>120</v>
      </c>
    </row>
    <row r="4813" spans="1:5" x14ac:dyDescent="0.2">
      <c r="A4813" s="940">
        <v>3655</v>
      </c>
      <c r="B4813" s="940">
        <v>7</v>
      </c>
      <c r="C4813" t="s">
        <v>8855</v>
      </c>
      <c r="D4813" s="940" t="s">
        <v>5268</v>
      </c>
      <c r="E4813" t="s">
        <v>128</v>
      </c>
    </row>
    <row r="4814" spans="1:5" x14ac:dyDescent="0.2">
      <c r="A4814" s="940">
        <v>1676</v>
      </c>
      <c r="B4814" s="940">
        <v>120</v>
      </c>
      <c r="C4814" t="s">
        <v>11755</v>
      </c>
      <c r="D4814" s="940" t="s">
        <v>6806</v>
      </c>
      <c r="E4814" t="s">
        <v>3218</v>
      </c>
    </row>
    <row r="4815" spans="1:5" x14ac:dyDescent="0.2">
      <c r="A4815" s="940">
        <v>3972</v>
      </c>
      <c r="B4815" s="940">
        <v>3</v>
      </c>
      <c r="C4815" t="s">
        <v>8856</v>
      </c>
      <c r="D4815" s="940" t="s">
        <v>6371</v>
      </c>
      <c r="E4815" t="s">
        <v>1236</v>
      </c>
    </row>
    <row r="4816" spans="1:5" x14ac:dyDescent="0.2">
      <c r="A4816" s="940">
        <v>4294</v>
      </c>
      <c r="B4816" s="940">
        <v>0</v>
      </c>
      <c r="C4816" t="s">
        <v>8857</v>
      </c>
      <c r="D4816" s="940" t="s">
        <v>3659</v>
      </c>
      <c r="E4816" t="s">
        <v>110</v>
      </c>
    </row>
    <row r="4817" spans="1:5" x14ac:dyDescent="0.2">
      <c r="A4817" s="940">
        <v>673</v>
      </c>
      <c r="B4817" s="940">
        <v>419</v>
      </c>
      <c r="C4817" t="s">
        <v>2355</v>
      </c>
      <c r="D4817" s="940" t="s">
        <v>11756</v>
      </c>
      <c r="E4817" t="s">
        <v>1171</v>
      </c>
    </row>
    <row r="4818" spans="1:5" x14ac:dyDescent="0.2">
      <c r="A4818" s="940">
        <v>2514</v>
      </c>
      <c r="B4818" s="940">
        <v>46</v>
      </c>
      <c r="C4818" t="s">
        <v>8858</v>
      </c>
      <c r="D4818" s="940" t="s">
        <v>8859</v>
      </c>
      <c r="E4818" t="s">
        <v>119</v>
      </c>
    </row>
    <row r="4819" spans="1:5" x14ac:dyDescent="0.2">
      <c r="A4819" s="940">
        <v>4294</v>
      </c>
      <c r="B4819" s="940">
        <v>0</v>
      </c>
      <c r="C4819" t="s">
        <v>8860</v>
      </c>
      <c r="D4819" s="940" t="s">
        <v>4416</v>
      </c>
      <c r="E4819" t="s">
        <v>111</v>
      </c>
    </row>
    <row r="4820" spans="1:5" x14ac:dyDescent="0.2">
      <c r="A4820" s="940">
        <v>569</v>
      </c>
      <c r="B4820" s="940">
        <v>492</v>
      </c>
      <c r="C4820" t="s">
        <v>875</v>
      </c>
      <c r="D4820" s="940" t="s">
        <v>5886</v>
      </c>
      <c r="E4820" t="s">
        <v>105</v>
      </c>
    </row>
    <row r="4821" spans="1:5" x14ac:dyDescent="0.2">
      <c r="A4821" s="940">
        <v>2475</v>
      </c>
      <c r="B4821" s="940">
        <v>49</v>
      </c>
      <c r="C4821" t="s">
        <v>2357</v>
      </c>
      <c r="D4821" s="940" t="s">
        <v>3344</v>
      </c>
      <c r="E4821" t="s">
        <v>105</v>
      </c>
    </row>
    <row r="4822" spans="1:5" x14ac:dyDescent="0.2">
      <c r="A4822" s="940">
        <v>2877</v>
      </c>
      <c r="B4822" s="940">
        <v>29</v>
      </c>
      <c r="C4822" t="s">
        <v>8861</v>
      </c>
      <c r="D4822" s="940" t="s">
        <v>8862</v>
      </c>
      <c r="E4822" t="s">
        <v>163</v>
      </c>
    </row>
    <row r="4823" spans="1:5" x14ac:dyDescent="0.2">
      <c r="A4823" s="940">
        <v>3796</v>
      </c>
      <c r="B4823" s="940">
        <v>5</v>
      </c>
      <c r="C4823" t="s">
        <v>11757</v>
      </c>
      <c r="D4823" s="940" t="s">
        <v>7857</v>
      </c>
      <c r="E4823" t="s">
        <v>105</v>
      </c>
    </row>
    <row r="4824" spans="1:5" x14ac:dyDescent="0.2">
      <c r="A4824" s="940">
        <v>965</v>
      </c>
      <c r="B4824" s="940">
        <v>291</v>
      </c>
      <c r="C4824" t="s">
        <v>11758</v>
      </c>
      <c r="D4824" s="940" t="s">
        <v>9648</v>
      </c>
      <c r="E4824" t="s">
        <v>2542</v>
      </c>
    </row>
    <row r="4825" spans="1:5" x14ac:dyDescent="0.2">
      <c r="A4825" s="940">
        <v>1574</v>
      </c>
      <c r="B4825" s="940">
        <v>132</v>
      </c>
      <c r="C4825" t="s">
        <v>11759</v>
      </c>
      <c r="D4825" s="940" t="s">
        <v>11760</v>
      </c>
      <c r="E4825" t="s">
        <v>117</v>
      </c>
    </row>
    <row r="4826" spans="1:5" x14ac:dyDescent="0.2">
      <c r="A4826" s="940">
        <v>3796</v>
      </c>
      <c r="B4826" s="940">
        <v>5</v>
      </c>
      <c r="C4826" t="s">
        <v>8863</v>
      </c>
      <c r="D4826" s="940" t="s">
        <v>7673</v>
      </c>
      <c r="E4826" t="s">
        <v>3140</v>
      </c>
    </row>
    <row r="4827" spans="1:5" x14ac:dyDescent="0.2">
      <c r="A4827" s="940">
        <v>4294</v>
      </c>
      <c r="B4827" s="940">
        <v>0</v>
      </c>
      <c r="C4827" t="s">
        <v>8864</v>
      </c>
      <c r="D4827" s="940" t="s">
        <v>3232</v>
      </c>
      <c r="E4827" t="s">
        <v>1182</v>
      </c>
    </row>
    <row r="4828" spans="1:5" x14ac:dyDescent="0.2">
      <c r="A4828" s="940">
        <v>540</v>
      </c>
      <c r="B4828" s="940">
        <v>512</v>
      </c>
      <c r="C4828" t="s">
        <v>8865</v>
      </c>
      <c r="D4828" s="940" t="s">
        <v>8866</v>
      </c>
      <c r="E4828" t="s">
        <v>120</v>
      </c>
    </row>
    <row r="4829" spans="1:5" x14ac:dyDescent="0.2">
      <c r="A4829" s="940">
        <v>2138</v>
      </c>
      <c r="B4829" s="940">
        <v>74</v>
      </c>
      <c r="C4829" t="s">
        <v>8867</v>
      </c>
      <c r="D4829" s="940" t="s">
        <v>8550</v>
      </c>
      <c r="E4829" t="s">
        <v>3986</v>
      </c>
    </row>
    <row r="4830" spans="1:5" x14ac:dyDescent="0.2">
      <c r="A4830" s="940">
        <v>4294</v>
      </c>
      <c r="B4830" s="940">
        <v>0</v>
      </c>
      <c r="C4830" t="s">
        <v>11761</v>
      </c>
      <c r="D4830" s="940" t="s">
        <v>5524</v>
      </c>
      <c r="E4830" t="s">
        <v>126</v>
      </c>
    </row>
    <row r="4831" spans="1:5" x14ac:dyDescent="0.2">
      <c r="A4831" s="940">
        <v>3483</v>
      </c>
      <c r="B4831" s="940">
        <v>10</v>
      </c>
      <c r="C4831" t="s">
        <v>11762</v>
      </c>
      <c r="D4831" s="940" t="s">
        <v>11763</v>
      </c>
      <c r="E4831" t="s">
        <v>130</v>
      </c>
    </row>
    <row r="4832" spans="1:5" x14ac:dyDescent="0.2">
      <c r="A4832" s="940">
        <v>1445</v>
      </c>
      <c r="B4832" s="940">
        <v>155</v>
      </c>
      <c r="C4832" t="s">
        <v>11764</v>
      </c>
      <c r="D4832" s="940" t="s">
        <v>11765</v>
      </c>
      <c r="E4832" t="s">
        <v>138</v>
      </c>
    </row>
    <row r="4833" spans="1:5" x14ac:dyDescent="0.2">
      <c r="A4833" s="940">
        <v>3174</v>
      </c>
      <c r="B4833" s="940">
        <v>18</v>
      </c>
      <c r="C4833" t="s">
        <v>11766</v>
      </c>
      <c r="D4833" s="940" t="s">
        <v>11767</v>
      </c>
      <c r="E4833" t="s">
        <v>1493</v>
      </c>
    </row>
    <row r="4834" spans="1:5" x14ac:dyDescent="0.2">
      <c r="A4834" s="940">
        <v>613</v>
      </c>
      <c r="B4834" s="940">
        <v>458</v>
      </c>
      <c r="C4834" t="s">
        <v>8870</v>
      </c>
      <c r="D4834" s="940" t="s">
        <v>8871</v>
      </c>
      <c r="E4834" t="s">
        <v>105</v>
      </c>
    </row>
    <row r="4835" spans="1:5" x14ac:dyDescent="0.2">
      <c r="A4835" s="940">
        <v>3136</v>
      </c>
      <c r="B4835" s="940">
        <v>19</v>
      </c>
      <c r="C4835" t="s">
        <v>11768</v>
      </c>
      <c r="D4835" s="940" t="s">
        <v>9751</v>
      </c>
      <c r="E4835" t="s">
        <v>2916</v>
      </c>
    </row>
    <row r="4836" spans="1:5" x14ac:dyDescent="0.2">
      <c r="A4836" s="940">
        <v>376</v>
      </c>
      <c r="B4836" s="940">
        <v>662</v>
      </c>
      <c r="C4836" t="s">
        <v>11769</v>
      </c>
      <c r="D4836" s="940" t="s">
        <v>11770</v>
      </c>
      <c r="E4836" t="s">
        <v>1162</v>
      </c>
    </row>
    <row r="4837" spans="1:5" x14ac:dyDescent="0.2">
      <c r="A4837" s="940">
        <v>4181</v>
      </c>
      <c r="B4837" s="940">
        <v>1</v>
      </c>
      <c r="C4837" t="s">
        <v>8872</v>
      </c>
      <c r="D4837" s="940" t="s">
        <v>4445</v>
      </c>
      <c r="E4837" t="s">
        <v>120</v>
      </c>
    </row>
    <row r="4838" spans="1:5" x14ac:dyDescent="0.2">
      <c r="A4838" s="940">
        <v>1372</v>
      </c>
      <c r="B4838" s="940">
        <v>168</v>
      </c>
      <c r="C4838" t="s">
        <v>359</v>
      </c>
      <c r="D4838" s="940" t="s">
        <v>4686</v>
      </c>
      <c r="E4838" t="s">
        <v>170</v>
      </c>
    </row>
    <row r="4839" spans="1:5" x14ac:dyDescent="0.2">
      <c r="A4839" s="940">
        <v>248</v>
      </c>
      <c r="B4839" s="940">
        <v>841</v>
      </c>
      <c r="C4839" t="s">
        <v>8873</v>
      </c>
      <c r="D4839" s="940" t="s">
        <v>8874</v>
      </c>
      <c r="E4839" t="s">
        <v>105</v>
      </c>
    </row>
    <row r="4840" spans="1:5" x14ac:dyDescent="0.2">
      <c r="A4840" s="940">
        <v>565</v>
      </c>
      <c r="B4840" s="940">
        <v>495</v>
      </c>
      <c r="C4840" t="s">
        <v>8875</v>
      </c>
      <c r="D4840" s="940" t="s">
        <v>8876</v>
      </c>
      <c r="E4840" t="s">
        <v>1243</v>
      </c>
    </row>
    <row r="4841" spans="1:5" x14ac:dyDescent="0.2">
      <c r="A4841" s="940">
        <v>3796</v>
      </c>
      <c r="B4841" s="940">
        <v>5</v>
      </c>
      <c r="C4841" t="s">
        <v>8877</v>
      </c>
      <c r="D4841" s="940" t="s">
        <v>7367</v>
      </c>
      <c r="E4841" t="s">
        <v>469</v>
      </c>
    </row>
    <row r="4842" spans="1:5" x14ac:dyDescent="0.2">
      <c r="A4842" s="940">
        <v>634</v>
      </c>
      <c r="B4842" s="940">
        <v>442</v>
      </c>
      <c r="C4842" t="s">
        <v>11771</v>
      </c>
      <c r="D4842" s="940" t="s">
        <v>11772</v>
      </c>
      <c r="E4842" t="s">
        <v>1372</v>
      </c>
    </row>
    <row r="4843" spans="1:5" x14ac:dyDescent="0.2">
      <c r="A4843" s="940">
        <v>203</v>
      </c>
      <c r="B4843" s="940">
        <v>910</v>
      </c>
      <c r="C4843" t="s">
        <v>8878</v>
      </c>
      <c r="D4843" s="940" t="s">
        <v>7765</v>
      </c>
      <c r="E4843" t="s">
        <v>1507</v>
      </c>
    </row>
    <row r="4844" spans="1:5" x14ac:dyDescent="0.2">
      <c r="A4844" s="940">
        <v>4294</v>
      </c>
      <c r="B4844" s="940">
        <v>0</v>
      </c>
      <c r="C4844" t="s">
        <v>11773</v>
      </c>
      <c r="D4844" s="940" t="s">
        <v>11774</v>
      </c>
      <c r="E4844" t="s">
        <v>1507</v>
      </c>
    </row>
    <row r="4845" spans="1:5" x14ac:dyDescent="0.2">
      <c r="A4845" s="940">
        <v>82</v>
      </c>
      <c r="B4845" s="940">
        <v>1174</v>
      </c>
      <c r="C4845" t="s">
        <v>11775</v>
      </c>
      <c r="D4845" s="940" t="s">
        <v>11776</v>
      </c>
      <c r="E4845" t="s">
        <v>120</v>
      </c>
    </row>
    <row r="4846" spans="1:5" x14ac:dyDescent="0.2">
      <c r="A4846" s="940">
        <v>314</v>
      </c>
      <c r="B4846" s="940">
        <v>749</v>
      </c>
      <c r="C4846" t="s">
        <v>8881</v>
      </c>
      <c r="D4846" s="940" t="s">
        <v>8882</v>
      </c>
      <c r="E4846" t="s">
        <v>2880</v>
      </c>
    </row>
    <row r="4847" spans="1:5" x14ac:dyDescent="0.2">
      <c r="A4847" s="940">
        <v>3882</v>
      </c>
      <c r="B4847" s="940">
        <v>4</v>
      </c>
      <c r="C4847" t="s">
        <v>11777</v>
      </c>
      <c r="D4847" s="940" t="s">
        <v>11778</v>
      </c>
      <c r="E4847" t="s">
        <v>130</v>
      </c>
    </row>
    <row r="4848" spans="1:5" x14ac:dyDescent="0.2">
      <c r="A4848" s="940">
        <v>3655</v>
      </c>
      <c r="B4848" s="940">
        <v>7</v>
      </c>
      <c r="C4848" t="s">
        <v>8883</v>
      </c>
      <c r="D4848" s="940" t="s">
        <v>4521</v>
      </c>
      <c r="E4848" t="s">
        <v>661</v>
      </c>
    </row>
    <row r="4849" spans="1:5" x14ac:dyDescent="0.2">
      <c r="A4849" s="940">
        <v>2894</v>
      </c>
      <c r="B4849" s="940">
        <v>28</v>
      </c>
      <c r="C4849" t="s">
        <v>8884</v>
      </c>
      <c r="D4849" s="940" t="s">
        <v>4841</v>
      </c>
      <c r="E4849" t="s">
        <v>105</v>
      </c>
    </row>
    <row r="4850" spans="1:5" x14ac:dyDescent="0.2">
      <c r="A4850" s="940">
        <v>1758</v>
      </c>
      <c r="B4850" s="940">
        <v>110</v>
      </c>
      <c r="C4850" t="s">
        <v>8886</v>
      </c>
      <c r="D4850" s="940" t="s">
        <v>8887</v>
      </c>
      <c r="E4850" t="s">
        <v>3058</v>
      </c>
    </row>
    <row r="4851" spans="1:5" x14ac:dyDescent="0.2">
      <c r="A4851" s="940">
        <v>2833</v>
      </c>
      <c r="B4851" s="940">
        <v>31</v>
      </c>
      <c r="C4851" t="s">
        <v>8888</v>
      </c>
      <c r="D4851" s="940" t="s">
        <v>4440</v>
      </c>
      <c r="E4851" t="s">
        <v>1493</v>
      </c>
    </row>
    <row r="4852" spans="1:5" x14ac:dyDescent="0.2">
      <c r="A4852" s="940">
        <v>2649</v>
      </c>
      <c r="B4852" s="940">
        <v>39</v>
      </c>
      <c r="C4852" t="s">
        <v>8889</v>
      </c>
      <c r="D4852" s="940" t="s">
        <v>8890</v>
      </c>
      <c r="E4852" t="s">
        <v>4373</v>
      </c>
    </row>
    <row r="4853" spans="1:5" x14ac:dyDescent="0.2">
      <c r="A4853" s="940">
        <v>3972</v>
      </c>
      <c r="B4853" s="940">
        <v>3</v>
      </c>
      <c r="C4853" t="s">
        <v>8891</v>
      </c>
      <c r="D4853" s="940" t="s">
        <v>8892</v>
      </c>
      <c r="E4853" t="s">
        <v>130</v>
      </c>
    </row>
    <row r="4854" spans="1:5" x14ac:dyDescent="0.2">
      <c r="A4854" s="940">
        <v>233</v>
      </c>
      <c r="B4854" s="940">
        <v>862</v>
      </c>
      <c r="C4854" t="s">
        <v>8893</v>
      </c>
      <c r="D4854" s="940" t="s">
        <v>8894</v>
      </c>
      <c r="E4854" t="s">
        <v>1160</v>
      </c>
    </row>
    <row r="4855" spans="1:5" x14ac:dyDescent="0.2">
      <c r="A4855" s="940">
        <v>1152</v>
      </c>
      <c r="B4855" s="940">
        <v>224</v>
      </c>
      <c r="C4855" t="s">
        <v>2362</v>
      </c>
      <c r="D4855" s="940" t="s">
        <v>11779</v>
      </c>
      <c r="E4855" t="s">
        <v>75</v>
      </c>
    </row>
    <row r="4856" spans="1:5" x14ac:dyDescent="0.2">
      <c r="A4856" s="940">
        <v>2691</v>
      </c>
      <c r="B4856" s="940">
        <v>37</v>
      </c>
      <c r="C4856" t="s">
        <v>11780</v>
      </c>
      <c r="D4856" s="940" t="s">
        <v>11781</v>
      </c>
      <c r="E4856" t="s">
        <v>84</v>
      </c>
    </row>
    <row r="4857" spans="1:5" x14ac:dyDescent="0.2">
      <c r="A4857" s="940">
        <v>3882</v>
      </c>
      <c r="B4857" s="940">
        <v>4</v>
      </c>
      <c r="C4857" t="s">
        <v>8895</v>
      </c>
      <c r="D4857" s="940" t="s">
        <v>7218</v>
      </c>
      <c r="E4857" t="s">
        <v>129</v>
      </c>
    </row>
    <row r="4858" spans="1:5" x14ac:dyDescent="0.2">
      <c r="A4858" s="940">
        <v>3882</v>
      </c>
      <c r="B4858" s="940">
        <v>4</v>
      </c>
      <c r="C4858" t="s">
        <v>8895</v>
      </c>
      <c r="D4858" s="940" t="s">
        <v>7218</v>
      </c>
      <c r="E4858" t="s">
        <v>2464</v>
      </c>
    </row>
    <row r="4859" spans="1:5" x14ac:dyDescent="0.2">
      <c r="A4859" s="940">
        <v>1816</v>
      </c>
      <c r="B4859" s="940">
        <v>103</v>
      </c>
      <c r="C4859" t="s">
        <v>2364</v>
      </c>
      <c r="D4859" s="940" t="s">
        <v>2867</v>
      </c>
      <c r="E4859" t="s">
        <v>120</v>
      </c>
    </row>
    <row r="4860" spans="1:5" x14ac:dyDescent="0.2">
      <c r="A4860" s="940">
        <v>2409</v>
      </c>
      <c r="B4860" s="940">
        <v>54</v>
      </c>
      <c r="C4860" t="s">
        <v>11782</v>
      </c>
      <c r="D4860" s="940" t="s">
        <v>11783</v>
      </c>
      <c r="E4860" t="s">
        <v>1507</v>
      </c>
    </row>
    <row r="4861" spans="1:5" x14ac:dyDescent="0.2">
      <c r="A4861" s="940">
        <v>4181</v>
      </c>
      <c r="B4861" s="940">
        <v>1</v>
      </c>
      <c r="C4861" t="s">
        <v>11784</v>
      </c>
      <c r="D4861" s="940" t="s">
        <v>3706</v>
      </c>
      <c r="E4861" t="s">
        <v>213</v>
      </c>
    </row>
    <row r="4862" spans="1:5" x14ac:dyDescent="0.2">
      <c r="A4862" s="940">
        <v>834</v>
      </c>
      <c r="B4862" s="940">
        <v>348</v>
      </c>
      <c r="C4862" t="s">
        <v>8897</v>
      </c>
      <c r="D4862" s="940" t="s">
        <v>8898</v>
      </c>
      <c r="E4862" t="s">
        <v>105</v>
      </c>
    </row>
    <row r="4863" spans="1:5" x14ac:dyDescent="0.2">
      <c r="A4863" s="940">
        <v>747</v>
      </c>
      <c r="B4863" s="940">
        <v>383</v>
      </c>
      <c r="C4863" t="s">
        <v>11785</v>
      </c>
      <c r="D4863" s="940" t="s">
        <v>11786</v>
      </c>
      <c r="E4863" t="s">
        <v>114</v>
      </c>
    </row>
    <row r="4864" spans="1:5" x14ac:dyDescent="0.2">
      <c r="A4864" s="940">
        <v>2745</v>
      </c>
      <c r="B4864" s="940">
        <v>35</v>
      </c>
      <c r="C4864" t="s">
        <v>8902</v>
      </c>
      <c r="D4864" s="940" t="s">
        <v>5541</v>
      </c>
      <c r="E4864" t="s">
        <v>1236</v>
      </c>
    </row>
    <row r="4865" spans="1:5" x14ac:dyDescent="0.2">
      <c r="A4865" s="940">
        <v>3136</v>
      </c>
      <c r="B4865" s="940">
        <v>19</v>
      </c>
      <c r="C4865" t="s">
        <v>11787</v>
      </c>
      <c r="D4865" s="940" t="s">
        <v>3790</v>
      </c>
      <c r="E4865" t="s">
        <v>1214</v>
      </c>
    </row>
    <row r="4866" spans="1:5" x14ac:dyDescent="0.2">
      <c r="A4866" s="940">
        <v>54</v>
      </c>
      <c r="B4866" s="940">
        <v>1272</v>
      </c>
      <c r="C4866" t="s">
        <v>8904</v>
      </c>
      <c r="D4866" s="940" t="s">
        <v>2707</v>
      </c>
      <c r="E4866" t="s">
        <v>105</v>
      </c>
    </row>
    <row r="4867" spans="1:5" x14ac:dyDescent="0.2">
      <c r="A4867" s="940">
        <v>4294</v>
      </c>
      <c r="B4867" s="940">
        <v>0</v>
      </c>
      <c r="C4867" t="s">
        <v>11788</v>
      </c>
      <c r="D4867" s="940" t="s">
        <v>9638</v>
      </c>
      <c r="E4867" t="s">
        <v>120</v>
      </c>
    </row>
    <row r="4868" spans="1:5" x14ac:dyDescent="0.2">
      <c r="A4868" s="940">
        <v>1174</v>
      </c>
      <c r="B4868" s="940">
        <v>219</v>
      </c>
      <c r="C4868" t="s">
        <v>2368</v>
      </c>
      <c r="D4868" s="940" t="s">
        <v>3931</v>
      </c>
      <c r="E4868" t="s">
        <v>1214</v>
      </c>
    </row>
    <row r="4869" spans="1:5" x14ac:dyDescent="0.2">
      <c r="A4869" s="940">
        <v>781</v>
      </c>
      <c r="B4869" s="940">
        <v>368</v>
      </c>
      <c r="C4869" t="s">
        <v>11789</v>
      </c>
      <c r="D4869" s="940" t="s">
        <v>11790</v>
      </c>
      <c r="E4869" t="s">
        <v>3140</v>
      </c>
    </row>
    <row r="4870" spans="1:5" x14ac:dyDescent="0.2">
      <c r="A4870" s="940">
        <v>4294</v>
      </c>
      <c r="B4870" s="940">
        <v>0</v>
      </c>
      <c r="C4870" t="s">
        <v>8905</v>
      </c>
      <c r="D4870" s="940" t="s">
        <v>6286</v>
      </c>
      <c r="E4870" t="s">
        <v>3114</v>
      </c>
    </row>
    <row r="4871" spans="1:5" x14ac:dyDescent="0.2">
      <c r="A4871" s="940">
        <v>4294</v>
      </c>
      <c r="B4871" s="940">
        <v>0</v>
      </c>
      <c r="C4871" t="s">
        <v>8906</v>
      </c>
      <c r="D4871" s="940" t="s">
        <v>3979</v>
      </c>
      <c r="E4871" t="s">
        <v>105</v>
      </c>
    </row>
    <row r="4872" spans="1:5" x14ac:dyDescent="0.2">
      <c r="A4872" s="940">
        <v>2353</v>
      </c>
      <c r="B4872" s="940">
        <v>58</v>
      </c>
      <c r="C4872" t="s">
        <v>8907</v>
      </c>
      <c r="D4872" s="940" t="s">
        <v>8908</v>
      </c>
      <c r="E4872" t="s">
        <v>132</v>
      </c>
    </row>
    <row r="4873" spans="1:5" x14ac:dyDescent="0.2">
      <c r="A4873" s="940">
        <v>1568</v>
      </c>
      <c r="B4873" s="940">
        <v>133</v>
      </c>
      <c r="C4873" t="s">
        <v>609</v>
      </c>
      <c r="D4873" s="940" t="s">
        <v>11626</v>
      </c>
      <c r="E4873" t="s">
        <v>120</v>
      </c>
    </row>
    <row r="4874" spans="1:5" x14ac:dyDescent="0.2">
      <c r="A4874" s="940">
        <v>528</v>
      </c>
      <c r="B4874" s="940">
        <v>520</v>
      </c>
      <c r="C4874" t="s">
        <v>610</v>
      </c>
      <c r="D4874" s="940" t="s">
        <v>3929</v>
      </c>
      <c r="E4874" t="s">
        <v>1162</v>
      </c>
    </row>
    <row r="4875" spans="1:5" x14ac:dyDescent="0.2">
      <c r="A4875" s="940">
        <v>4294</v>
      </c>
      <c r="B4875" s="940">
        <v>0</v>
      </c>
      <c r="C4875" t="s">
        <v>8911</v>
      </c>
      <c r="D4875" s="940" t="s">
        <v>8912</v>
      </c>
      <c r="E4875" t="s">
        <v>163</v>
      </c>
    </row>
    <row r="4876" spans="1:5" x14ac:dyDescent="0.2">
      <c r="A4876" s="940">
        <v>3882</v>
      </c>
      <c r="B4876" s="940">
        <v>4</v>
      </c>
      <c r="C4876" t="s">
        <v>8913</v>
      </c>
      <c r="D4876" s="940" t="s">
        <v>8914</v>
      </c>
      <c r="E4876" t="s">
        <v>105</v>
      </c>
    </row>
    <row r="4877" spans="1:5" x14ac:dyDescent="0.2">
      <c r="A4877" s="940">
        <v>2475</v>
      </c>
      <c r="B4877" s="940">
        <v>49</v>
      </c>
      <c r="C4877" t="s">
        <v>8915</v>
      </c>
      <c r="D4877" s="940" t="s">
        <v>8916</v>
      </c>
      <c r="E4877" t="s">
        <v>104</v>
      </c>
    </row>
    <row r="4878" spans="1:5" x14ac:dyDescent="0.2">
      <c r="A4878" s="940">
        <v>4294</v>
      </c>
      <c r="B4878" s="940">
        <v>0</v>
      </c>
      <c r="C4878" t="s">
        <v>8917</v>
      </c>
      <c r="D4878" s="940" t="s">
        <v>8918</v>
      </c>
      <c r="E4878" t="s">
        <v>1236</v>
      </c>
    </row>
    <row r="4879" spans="1:5" x14ac:dyDescent="0.2">
      <c r="A4879" s="940">
        <v>4294</v>
      </c>
      <c r="B4879" s="940">
        <v>0</v>
      </c>
      <c r="C4879" t="s">
        <v>8919</v>
      </c>
      <c r="D4879" s="940" t="s">
        <v>4143</v>
      </c>
      <c r="E4879" t="s">
        <v>2744</v>
      </c>
    </row>
    <row r="4880" spans="1:5" x14ac:dyDescent="0.2">
      <c r="A4880" s="940">
        <v>3483</v>
      </c>
      <c r="B4880" s="940">
        <v>10</v>
      </c>
      <c r="C4880" t="s">
        <v>11791</v>
      </c>
      <c r="D4880" s="940" t="s">
        <v>11792</v>
      </c>
      <c r="E4880" t="s">
        <v>117</v>
      </c>
    </row>
    <row r="4881" spans="1:5" x14ac:dyDescent="0.2">
      <c r="A4881" s="940">
        <v>1536</v>
      </c>
      <c r="B4881" s="940">
        <v>139</v>
      </c>
      <c r="C4881" t="s">
        <v>8920</v>
      </c>
      <c r="D4881" s="940" t="s">
        <v>3315</v>
      </c>
      <c r="E4881" t="s">
        <v>165</v>
      </c>
    </row>
    <row r="4882" spans="1:5" x14ac:dyDescent="0.2">
      <c r="A4882" s="940">
        <v>1704</v>
      </c>
      <c r="B4882" s="940">
        <v>117</v>
      </c>
      <c r="C4882" t="s">
        <v>11793</v>
      </c>
      <c r="D4882" s="940" t="s">
        <v>11794</v>
      </c>
      <c r="E4882" t="s">
        <v>2237</v>
      </c>
    </row>
    <row r="4883" spans="1:5" x14ac:dyDescent="0.2">
      <c r="A4883" s="940">
        <v>4294</v>
      </c>
      <c r="B4883" s="940">
        <v>0</v>
      </c>
      <c r="C4883" t="s">
        <v>8921</v>
      </c>
      <c r="D4883" s="940" t="s">
        <v>4318</v>
      </c>
      <c r="E4883" t="s">
        <v>105</v>
      </c>
    </row>
    <row r="4884" spans="1:5" x14ac:dyDescent="0.2">
      <c r="A4884" s="940">
        <v>4181</v>
      </c>
      <c r="B4884" s="940">
        <v>1</v>
      </c>
      <c r="C4884" t="s">
        <v>8923</v>
      </c>
      <c r="D4884" s="940" t="s">
        <v>3025</v>
      </c>
      <c r="E4884" t="s">
        <v>2880</v>
      </c>
    </row>
    <row r="4885" spans="1:5" x14ac:dyDescent="0.2">
      <c r="A4885" s="940">
        <v>4294</v>
      </c>
      <c r="B4885" s="940">
        <v>0</v>
      </c>
      <c r="C4885" t="s">
        <v>8924</v>
      </c>
      <c r="D4885" s="940" t="s">
        <v>8925</v>
      </c>
      <c r="E4885" t="s">
        <v>2880</v>
      </c>
    </row>
    <row r="4886" spans="1:5" x14ac:dyDescent="0.2">
      <c r="A4886" s="940">
        <v>2193</v>
      </c>
      <c r="B4886" s="940">
        <v>70</v>
      </c>
      <c r="C4886" t="s">
        <v>8926</v>
      </c>
      <c r="D4886" s="940" t="s">
        <v>8778</v>
      </c>
      <c r="E4886" t="s">
        <v>130</v>
      </c>
    </row>
    <row r="4887" spans="1:5" x14ac:dyDescent="0.2">
      <c r="A4887" s="940">
        <v>4181</v>
      </c>
      <c r="B4887" s="940">
        <v>1</v>
      </c>
      <c r="C4887" t="s">
        <v>11795</v>
      </c>
      <c r="D4887" s="940" t="s">
        <v>3315</v>
      </c>
      <c r="E4887" t="s">
        <v>1171</v>
      </c>
    </row>
    <row r="4888" spans="1:5" x14ac:dyDescent="0.2">
      <c r="A4888" s="940">
        <v>1334</v>
      </c>
      <c r="B4888" s="940">
        <v>174</v>
      </c>
      <c r="C4888" t="s">
        <v>8927</v>
      </c>
      <c r="D4888" s="940" t="s">
        <v>8928</v>
      </c>
      <c r="E4888" t="s">
        <v>246</v>
      </c>
    </row>
    <row r="4889" spans="1:5" x14ac:dyDescent="0.2">
      <c r="A4889" s="940">
        <v>1069</v>
      </c>
      <c r="B4889" s="940">
        <v>252</v>
      </c>
      <c r="C4889" t="s">
        <v>8929</v>
      </c>
      <c r="D4889" s="940" t="s">
        <v>8930</v>
      </c>
      <c r="E4889" t="s">
        <v>2877</v>
      </c>
    </row>
    <row r="4890" spans="1:5" x14ac:dyDescent="0.2">
      <c r="A4890" s="940">
        <v>368</v>
      </c>
      <c r="B4890" s="940">
        <v>675</v>
      </c>
      <c r="C4890" t="s">
        <v>8931</v>
      </c>
      <c r="D4890" s="940" t="s">
        <v>8932</v>
      </c>
      <c r="E4890" t="s">
        <v>104</v>
      </c>
    </row>
    <row r="4891" spans="1:5" x14ac:dyDescent="0.2">
      <c r="A4891" s="940">
        <v>2819</v>
      </c>
      <c r="B4891" s="940">
        <v>32</v>
      </c>
      <c r="C4891" t="s">
        <v>8933</v>
      </c>
      <c r="D4891" s="940" t="s">
        <v>3277</v>
      </c>
      <c r="E4891" t="s">
        <v>1609</v>
      </c>
    </row>
    <row r="4892" spans="1:5" x14ac:dyDescent="0.2">
      <c r="A4892" s="940">
        <v>2668</v>
      </c>
      <c r="B4892" s="940">
        <v>38</v>
      </c>
      <c r="C4892" t="s">
        <v>8934</v>
      </c>
      <c r="D4892" s="940" t="s">
        <v>6753</v>
      </c>
      <c r="E4892" t="s">
        <v>164</v>
      </c>
    </row>
    <row r="4893" spans="1:5" x14ac:dyDescent="0.2">
      <c r="A4893" s="940">
        <v>4294</v>
      </c>
      <c r="B4893" s="940">
        <v>0</v>
      </c>
      <c r="C4893" t="s">
        <v>11796</v>
      </c>
      <c r="D4893" s="940" t="s">
        <v>4046</v>
      </c>
      <c r="E4893" t="s">
        <v>105</v>
      </c>
    </row>
    <row r="4894" spans="1:5" x14ac:dyDescent="0.2">
      <c r="A4894" s="940">
        <v>3545</v>
      </c>
      <c r="B4894" s="940">
        <v>9</v>
      </c>
      <c r="C4894" t="s">
        <v>8936</v>
      </c>
      <c r="D4894" s="940" t="s">
        <v>3273</v>
      </c>
      <c r="E4894" t="s">
        <v>1460</v>
      </c>
    </row>
    <row r="4895" spans="1:5" x14ac:dyDescent="0.2">
      <c r="A4895" s="940">
        <v>411</v>
      </c>
      <c r="B4895" s="940">
        <v>633</v>
      </c>
      <c r="C4895" t="s">
        <v>8937</v>
      </c>
      <c r="D4895" s="940" t="s">
        <v>8938</v>
      </c>
      <c r="E4895" t="s">
        <v>120</v>
      </c>
    </row>
    <row r="4896" spans="1:5" x14ac:dyDescent="0.2">
      <c r="A4896" s="940">
        <v>3483</v>
      </c>
      <c r="B4896" s="940">
        <v>10</v>
      </c>
      <c r="C4896" t="s">
        <v>8939</v>
      </c>
      <c r="D4896" s="940" t="s">
        <v>8940</v>
      </c>
      <c r="E4896" t="s">
        <v>2793</v>
      </c>
    </row>
    <row r="4897" spans="1:5" x14ac:dyDescent="0.2">
      <c r="A4897" s="940">
        <v>2409</v>
      </c>
      <c r="B4897" s="940">
        <v>54</v>
      </c>
      <c r="C4897" t="s">
        <v>8941</v>
      </c>
      <c r="D4897" s="940" t="s">
        <v>8942</v>
      </c>
      <c r="E4897" t="s">
        <v>1170</v>
      </c>
    </row>
    <row r="4898" spans="1:5" x14ac:dyDescent="0.2">
      <c r="A4898" s="940">
        <v>391</v>
      </c>
      <c r="B4898" s="940">
        <v>648</v>
      </c>
      <c r="C4898" t="s">
        <v>11797</v>
      </c>
      <c r="D4898" s="940" t="s">
        <v>11798</v>
      </c>
      <c r="E4898" t="s">
        <v>1176</v>
      </c>
    </row>
    <row r="4899" spans="1:5" x14ac:dyDescent="0.2">
      <c r="A4899" s="940">
        <v>1977</v>
      </c>
      <c r="B4899" s="940">
        <v>88</v>
      </c>
      <c r="C4899" t="s">
        <v>8943</v>
      </c>
      <c r="D4899" s="940" t="s">
        <v>8944</v>
      </c>
      <c r="E4899" t="s">
        <v>105</v>
      </c>
    </row>
    <row r="4900" spans="1:5" x14ac:dyDescent="0.2">
      <c r="A4900" s="940">
        <v>4294</v>
      </c>
      <c r="B4900" s="940">
        <v>0</v>
      </c>
      <c r="C4900" t="s">
        <v>8945</v>
      </c>
      <c r="D4900" s="940" t="s">
        <v>8946</v>
      </c>
      <c r="E4900" t="s">
        <v>120</v>
      </c>
    </row>
    <row r="4901" spans="1:5" x14ac:dyDescent="0.2">
      <c r="A4901" s="940">
        <v>2745</v>
      </c>
      <c r="B4901" s="940">
        <v>35</v>
      </c>
      <c r="C4901" t="s">
        <v>8947</v>
      </c>
      <c r="D4901" s="940" t="s">
        <v>6371</v>
      </c>
      <c r="E4901" t="s">
        <v>119</v>
      </c>
    </row>
    <row r="4902" spans="1:5" x14ac:dyDescent="0.2">
      <c r="A4902" s="940">
        <v>3107</v>
      </c>
      <c r="B4902" s="940">
        <v>20</v>
      </c>
      <c r="C4902" t="s">
        <v>8948</v>
      </c>
      <c r="D4902" s="940" t="s">
        <v>8949</v>
      </c>
      <c r="E4902" t="s">
        <v>105</v>
      </c>
    </row>
    <row r="4903" spans="1:5" x14ac:dyDescent="0.2">
      <c r="A4903" s="940">
        <v>2894</v>
      </c>
      <c r="B4903" s="940">
        <v>28</v>
      </c>
      <c r="C4903" t="s">
        <v>8950</v>
      </c>
      <c r="D4903" s="940" t="s">
        <v>5207</v>
      </c>
      <c r="E4903" t="s">
        <v>72</v>
      </c>
    </row>
    <row r="4904" spans="1:5" x14ac:dyDescent="0.2">
      <c r="A4904" s="940">
        <v>624</v>
      </c>
      <c r="B4904" s="940">
        <v>451</v>
      </c>
      <c r="C4904" t="s">
        <v>2375</v>
      </c>
      <c r="D4904" s="940" t="s">
        <v>8951</v>
      </c>
      <c r="E4904" t="s">
        <v>1225</v>
      </c>
    </row>
    <row r="4905" spans="1:5" x14ac:dyDescent="0.2">
      <c r="A4905" s="940">
        <v>3358</v>
      </c>
      <c r="B4905" s="940">
        <v>13</v>
      </c>
      <c r="C4905" t="s">
        <v>11799</v>
      </c>
      <c r="D4905" s="940" t="s">
        <v>6635</v>
      </c>
      <c r="E4905" t="s">
        <v>117</v>
      </c>
    </row>
    <row r="4906" spans="1:5" x14ac:dyDescent="0.2">
      <c r="A4906" s="940">
        <v>1180</v>
      </c>
      <c r="B4906" s="940">
        <v>218</v>
      </c>
      <c r="C4906" t="s">
        <v>8953</v>
      </c>
      <c r="D4906" s="940" t="s">
        <v>8954</v>
      </c>
      <c r="E4906" t="s">
        <v>122</v>
      </c>
    </row>
    <row r="4907" spans="1:5" x14ac:dyDescent="0.2">
      <c r="A4907" s="940">
        <v>4294</v>
      </c>
      <c r="B4907" s="940">
        <v>0</v>
      </c>
      <c r="C4907" t="s">
        <v>8955</v>
      </c>
      <c r="D4907" s="940" t="s">
        <v>3974</v>
      </c>
      <c r="E4907" t="s">
        <v>1156</v>
      </c>
    </row>
    <row r="4908" spans="1:5" x14ac:dyDescent="0.2">
      <c r="A4908" s="940">
        <v>2877</v>
      </c>
      <c r="B4908" s="940">
        <v>29</v>
      </c>
      <c r="C4908" t="s">
        <v>11800</v>
      </c>
      <c r="D4908" s="940" t="s">
        <v>8100</v>
      </c>
      <c r="E4908" t="s">
        <v>104</v>
      </c>
    </row>
    <row r="4909" spans="1:5" x14ac:dyDescent="0.2">
      <c r="A4909" s="940">
        <v>1211</v>
      </c>
      <c r="B4909" s="940">
        <v>205</v>
      </c>
      <c r="C4909" t="s">
        <v>11801</v>
      </c>
      <c r="D4909" s="940" t="s">
        <v>11802</v>
      </c>
      <c r="E4909" t="s">
        <v>1156</v>
      </c>
    </row>
    <row r="4910" spans="1:5" x14ac:dyDescent="0.2">
      <c r="A4910" s="940">
        <v>4294</v>
      </c>
      <c r="B4910" s="940">
        <v>0</v>
      </c>
      <c r="C4910" t="s">
        <v>8956</v>
      </c>
      <c r="D4910" s="940" t="s">
        <v>3667</v>
      </c>
      <c r="E4910" t="s">
        <v>1214</v>
      </c>
    </row>
    <row r="4911" spans="1:5" x14ac:dyDescent="0.2">
      <c r="A4911" s="940">
        <v>1668</v>
      </c>
      <c r="B4911" s="940">
        <v>121</v>
      </c>
      <c r="C4911" t="s">
        <v>8957</v>
      </c>
      <c r="D4911" s="940" t="s">
        <v>6543</v>
      </c>
      <c r="E4911" t="s">
        <v>103</v>
      </c>
    </row>
    <row r="4912" spans="1:5" x14ac:dyDescent="0.2">
      <c r="A4912" s="940">
        <v>3483</v>
      </c>
      <c r="B4912" s="940">
        <v>10</v>
      </c>
      <c r="C4912" t="s">
        <v>8960</v>
      </c>
      <c r="D4912" s="940" t="s">
        <v>2896</v>
      </c>
      <c r="E4912" t="s">
        <v>120</v>
      </c>
    </row>
    <row r="4913" spans="1:5" x14ac:dyDescent="0.2">
      <c r="A4913" s="940">
        <v>781</v>
      </c>
      <c r="B4913" s="940">
        <v>368</v>
      </c>
      <c r="C4913" t="s">
        <v>8961</v>
      </c>
      <c r="D4913" s="940" t="s">
        <v>8962</v>
      </c>
      <c r="E4913" t="s">
        <v>1236</v>
      </c>
    </row>
    <row r="4914" spans="1:5" x14ac:dyDescent="0.2">
      <c r="A4914" s="940">
        <v>488</v>
      </c>
      <c r="B4914" s="940">
        <v>565</v>
      </c>
      <c r="C4914" t="s">
        <v>8963</v>
      </c>
      <c r="D4914" s="940" t="s">
        <v>8962</v>
      </c>
      <c r="E4914" t="s">
        <v>1236</v>
      </c>
    </row>
    <row r="4915" spans="1:5" x14ac:dyDescent="0.2">
      <c r="A4915" s="940">
        <v>211</v>
      </c>
      <c r="B4915" s="940">
        <v>891</v>
      </c>
      <c r="C4915" t="s">
        <v>8964</v>
      </c>
      <c r="D4915" s="940" t="s">
        <v>8965</v>
      </c>
      <c r="E4915" t="s">
        <v>118</v>
      </c>
    </row>
    <row r="4916" spans="1:5" x14ac:dyDescent="0.2">
      <c r="A4916" s="940">
        <v>2180</v>
      </c>
      <c r="B4916" s="940">
        <v>71</v>
      </c>
      <c r="C4916" t="s">
        <v>8966</v>
      </c>
      <c r="D4916" s="940" t="s">
        <v>3215</v>
      </c>
      <c r="E4916" t="s">
        <v>1214</v>
      </c>
    </row>
    <row r="4917" spans="1:5" x14ac:dyDescent="0.2">
      <c r="A4917" s="940">
        <v>1518</v>
      </c>
      <c r="B4917" s="940">
        <v>142</v>
      </c>
      <c r="C4917" t="s">
        <v>8967</v>
      </c>
      <c r="D4917" s="940" t="s">
        <v>8968</v>
      </c>
      <c r="E4917" t="s">
        <v>111</v>
      </c>
    </row>
    <row r="4918" spans="1:5" x14ac:dyDescent="0.2">
      <c r="A4918" s="940">
        <v>2233</v>
      </c>
      <c r="B4918" s="940">
        <v>67</v>
      </c>
      <c r="C4918" t="s">
        <v>8969</v>
      </c>
      <c r="D4918" s="940" t="s">
        <v>4936</v>
      </c>
      <c r="E4918" t="s">
        <v>117</v>
      </c>
    </row>
    <row r="4919" spans="1:5" x14ac:dyDescent="0.2">
      <c r="A4919" s="940">
        <v>1806</v>
      </c>
      <c r="B4919" s="940">
        <v>104</v>
      </c>
      <c r="C4919" t="s">
        <v>8970</v>
      </c>
      <c r="D4919" s="940" t="s">
        <v>4819</v>
      </c>
      <c r="E4919" t="s">
        <v>111</v>
      </c>
    </row>
    <row r="4920" spans="1:5" x14ac:dyDescent="0.2">
      <c r="A4920" s="940">
        <v>1127</v>
      </c>
      <c r="B4920" s="940">
        <v>231</v>
      </c>
      <c r="C4920" t="s">
        <v>362</v>
      </c>
      <c r="D4920" s="940" t="s">
        <v>8971</v>
      </c>
      <c r="E4920" t="s">
        <v>1236</v>
      </c>
    </row>
    <row r="4921" spans="1:5" x14ac:dyDescent="0.2">
      <c r="A4921" s="940">
        <v>706</v>
      </c>
      <c r="B4921" s="940">
        <v>400</v>
      </c>
      <c r="C4921" t="s">
        <v>2377</v>
      </c>
      <c r="D4921" s="940" t="s">
        <v>8973</v>
      </c>
      <c r="E4921" t="s">
        <v>2558</v>
      </c>
    </row>
    <row r="4922" spans="1:5" x14ac:dyDescent="0.2">
      <c r="A4922" s="940">
        <v>4081</v>
      </c>
      <c r="B4922" s="940">
        <v>2</v>
      </c>
      <c r="C4922" t="s">
        <v>2377</v>
      </c>
      <c r="D4922" s="940" t="s">
        <v>3472</v>
      </c>
      <c r="E4922" t="s">
        <v>1221</v>
      </c>
    </row>
    <row r="4923" spans="1:5" x14ac:dyDescent="0.2">
      <c r="A4923" s="940">
        <v>2298</v>
      </c>
      <c r="B4923" s="940">
        <v>62</v>
      </c>
      <c r="C4923" t="s">
        <v>11803</v>
      </c>
      <c r="D4923" s="940" t="s">
        <v>10588</v>
      </c>
      <c r="E4923" t="s">
        <v>105</v>
      </c>
    </row>
    <row r="4924" spans="1:5" x14ac:dyDescent="0.2">
      <c r="A4924" s="940">
        <v>4294</v>
      </c>
      <c r="B4924" s="940">
        <v>0</v>
      </c>
      <c r="C4924" t="s">
        <v>11804</v>
      </c>
      <c r="D4924" s="940" t="s">
        <v>2902</v>
      </c>
      <c r="E4924" t="s">
        <v>3114</v>
      </c>
    </row>
    <row r="4925" spans="1:5" x14ac:dyDescent="0.2">
      <c r="A4925" s="940">
        <v>25</v>
      </c>
      <c r="B4925" s="940">
        <v>1441</v>
      </c>
      <c r="C4925" t="s">
        <v>8975</v>
      </c>
      <c r="D4925" s="940" t="s">
        <v>8976</v>
      </c>
      <c r="E4925" t="s">
        <v>1171</v>
      </c>
    </row>
    <row r="4926" spans="1:5" x14ac:dyDescent="0.2">
      <c r="A4926" s="940">
        <v>1157</v>
      </c>
      <c r="B4926" s="940">
        <v>223</v>
      </c>
      <c r="C4926" t="s">
        <v>8978</v>
      </c>
      <c r="D4926" s="940" t="s">
        <v>8979</v>
      </c>
      <c r="E4926" t="s">
        <v>122</v>
      </c>
    </row>
    <row r="4927" spans="1:5" x14ac:dyDescent="0.2">
      <c r="A4927" s="940">
        <v>1107</v>
      </c>
      <c r="B4927" s="940">
        <v>237</v>
      </c>
      <c r="C4927" t="s">
        <v>2381</v>
      </c>
      <c r="D4927" s="940" t="s">
        <v>4784</v>
      </c>
      <c r="E4927" t="s">
        <v>1182</v>
      </c>
    </row>
    <row r="4928" spans="1:5" x14ac:dyDescent="0.2">
      <c r="A4928" s="940">
        <v>1096</v>
      </c>
      <c r="B4928" s="940">
        <v>243</v>
      </c>
      <c r="C4928" t="s">
        <v>2583</v>
      </c>
      <c r="D4928" s="940" t="s">
        <v>3667</v>
      </c>
      <c r="E4928" t="s">
        <v>376</v>
      </c>
    </row>
    <row r="4929" spans="1:5" x14ac:dyDescent="0.2">
      <c r="A4929" s="940">
        <v>1977</v>
      </c>
      <c r="B4929" s="940">
        <v>88</v>
      </c>
      <c r="C4929" t="s">
        <v>2383</v>
      </c>
      <c r="D4929" s="940" t="s">
        <v>8980</v>
      </c>
      <c r="E4929" t="s">
        <v>120</v>
      </c>
    </row>
    <row r="4930" spans="1:5" x14ac:dyDescent="0.2">
      <c r="A4930" s="940">
        <v>1556</v>
      </c>
      <c r="B4930" s="940">
        <v>135</v>
      </c>
      <c r="C4930" t="s">
        <v>2384</v>
      </c>
      <c r="D4930" s="940" t="s">
        <v>11805</v>
      </c>
      <c r="E4930" t="s">
        <v>105</v>
      </c>
    </row>
    <row r="4931" spans="1:5" x14ac:dyDescent="0.2">
      <c r="A4931" s="940">
        <v>1240</v>
      </c>
      <c r="B4931" s="940">
        <v>197</v>
      </c>
      <c r="C4931" t="s">
        <v>11806</v>
      </c>
      <c r="D4931" s="940" t="s">
        <v>10016</v>
      </c>
      <c r="E4931" t="s">
        <v>111</v>
      </c>
    </row>
    <row r="4932" spans="1:5" x14ac:dyDescent="0.2">
      <c r="A4932" s="940">
        <v>4081</v>
      </c>
      <c r="B4932" s="940">
        <v>2</v>
      </c>
      <c r="C4932" t="s">
        <v>8984</v>
      </c>
      <c r="D4932" s="940" t="s">
        <v>6156</v>
      </c>
      <c r="E4932" t="s">
        <v>136</v>
      </c>
    </row>
    <row r="4933" spans="1:5" x14ac:dyDescent="0.2">
      <c r="A4933" s="940">
        <v>4294</v>
      </c>
      <c r="B4933" s="940">
        <v>0</v>
      </c>
      <c r="C4933" t="s">
        <v>8985</v>
      </c>
      <c r="D4933" s="940" t="s">
        <v>8986</v>
      </c>
      <c r="E4933" t="s">
        <v>72</v>
      </c>
    </row>
    <row r="4934" spans="1:5" x14ac:dyDescent="0.2">
      <c r="A4934" s="940">
        <v>51</v>
      </c>
      <c r="B4934" s="940">
        <v>1294</v>
      </c>
      <c r="C4934" t="s">
        <v>8987</v>
      </c>
      <c r="D4934" s="940" t="s">
        <v>8988</v>
      </c>
      <c r="E4934" t="s">
        <v>1236</v>
      </c>
    </row>
    <row r="4935" spans="1:5" x14ac:dyDescent="0.2">
      <c r="A4935" s="940">
        <v>3972</v>
      </c>
      <c r="B4935" s="940">
        <v>3</v>
      </c>
      <c r="C4935" t="s">
        <v>8989</v>
      </c>
      <c r="D4935" s="940" t="s">
        <v>8990</v>
      </c>
      <c r="E4935" t="s">
        <v>120</v>
      </c>
    </row>
    <row r="4936" spans="1:5" x14ac:dyDescent="0.2">
      <c r="A4936" s="940">
        <v>2668</v>
      </c>
      <c r="B4936" s="940">
        <v>38</v>
      </c>
      <c r="C4936" t="s">
        <v>11807</v>
      </c>
      <c r="D4936" s="940" t="s">
        <v>4769</v>
      </c>
      <c r="E4936" t="s">
        <v>99</v>
      </c>
    </row>
    <row r="4937" spans="1:5" x14ac:dyDescent="0.2">
      <c r="A4937" s="940">
        <v>3290</v>
      </c>
      <c r="B4937" s="940">
        <v>15</v>
      </c>
      <c r="C4937" t="s">
        <v>11808</v>
      </c>
      <c r="D4937" s="940" t="s">
        <v>9711</v>
      </c>
      <c r="E4937" t="s">
        <v>120</v>
      </c>
    </row>
    <row r="4938" spans="1:5" x14ac:dyDescent="0.2">
      <c r="A4938" s="940">
        <v>1904</v>
      </c>
      <c r="B4938" s="940">
        <v>95</v>
      </c>
      <c r="C4938" t="s">
        <v>878</v>
      </c>
      <c r="D4938" s="940" t="s">
        <v>8991</v>
      </c>
      <c r="E4938" t="s">
        <v>1156</v>
      </c>
    </row>
    <row r="4939" spans="1:5" x14ac:dyDescent="0.2">
      <c r="A4939" s="940">
        <v>4081</v>
      </c>
      <c r="B4939" s="940">
        <v>2</v>
      </c>
      <c r="C4939" t="s">
        <v>8992</v>
      </c>
      <c r="D4939" s="940" t="s">
        <v>4361</v>
      </c>
      <c r="E4939" t="s">
        <v>120</v>
      </c>
    </row>
    <row r="4940" spans="1:5" x14ac:dyDescent="0.2">
      <c r="A4940" s="940">
        <v>4294</v>
      </c>
      <c r="B4940" s="940">
        <v>0</v>
      </c>
      <c r="C4940" t="s">
        <v>8993</v>
      </c>
      <c r="D4940" s="940" t="s">
        <v>8994</v>
      </c>
      <c r="E4940" t="s">
        <v>4289</v>
      </c>
    </row>
    <row r="4941" spans="1:5" x14ac:dyDescent="0.2">
      <c r="A4941" s="940">
        <v>3402</v>
      </c>
      <c r="B4941" s="940">
        <v>12</v>
      </c>
      <c r="C4941" t="s">
        <v>613</v>
      </c>
      <c r="D4941" s="940" t="s">
        <v>11809</v>
      </c>
      <c r="E4941" t="s">
        <v>614</v>
      </c>
    </row>
    <row r="4942" spans="1:5" x14ac:dyDescent="0.2">
      <c r="A4942" s="940">
        <v>965</v>
      </c>
      <c r="B4942" s="940">
        <v>291</v>
      </c>
      <c r="C4942" t="s">
        <v>8995</v>
      </c>
      <c r="D4942" s="940" t="s">
        <v>5590</v>
      </c>
      <c r="E4942" t="s">
        <v>1190</v>
      </c>
    </row>
    <row r="4943" spans="1:5" x14ac:dyDescent="0.2">
      <c r="A4943" s="940">
        <v>3483</v>
      </c>
      <c r="B4943" s="940">
        <v>10</v>
      </c>
      <c r="C4943" t="s">
        <v>8996</v>
      </c>
      <c r="D4943" s="940" t="s">
        <v>6541</v>
      </c>
      <c r="E4943" t="s">
        <v>120</v>
      </c>
    </row>
    <row r="4944" spans="1:5" x14ac:dyDescent="0.2">
      <c r="A4944" s="940">
        <v>1921</v>
      </c>
      <c r="B4944" s="940">
        <v>93</v>
      </c>
      <c r="C4944" t="s">
        <v>8997</v>
      </c>
      <c r="D4944" s="940" t="s">
        <v>8998</v>
      </c>
      <c r="E4944" t="s">
        <v>2732</v>
      </c>
    </row>
    <row r="4945" spans="1:5" x14ac:dyDescent="0.2">
      <c r="A4945" s="940">
        <v>2029</v>
      </c>
      <c r="B4945" s="940">
        <v>83</v>
      </c>
      <c r="C4945" t="s">
        <v>9000</v>
      </c>
      <c r="D4945" s="940" t="s">
        <v>4094</v>
      </c>
      <c r="E4945" t="s">
        <v>1311</v>
      </c>
    </row>
    <row r="4946" spans="1:5" x14ac:dyDescent="0.2">
      <c r="A4946" s="940">
        <v>3222</v>
      </c>
      <c r="B4946" s="940">
        <v>17</v>
      </c>
      <c r="C4946" t="s">
        <v>11810</v>
      </c>
      <c r="D4946" s="940" t="s">
        <v>11811</v>
      </c>
      <c r="E4946" t="s">
        <v>1156</v>
      </c>
    </row>
    <row r="4947" spans="1:5" x14ac:dyDescent="0.2">
      <c r="A4947" s="940">
        <v>1119</v>
      </c>
      <c r="B4947" s="940">
        <v>234</v>
      </c>
      <c r="C4947" t="s">
        <v>9001</v>
      </c>
      <c r="D4947" s="940" t="s">
        <v>7576</v>
      </c>
      <c r="E4947" t="s">
        <v>165</v>
      </c>
    </row>
    <row r="4948" spans="1:5" x14ac:dyDescent="0.2">
      <c r="A4948" s="940">
        <v>351</v>
      </c>
      <c r="B4948" s="940">
        <v>698</v>
      </c>
      <c r="C4948" t="s">
        <v>9005</v>
      </c>
      <c r="D4948" s="940" t="s">
        <v>5112</v>
      </c>
      <c r="E4948" t="s">
        <v>118</v>
      </c>
    </row>
    <row r="4949" spans="1:5" x14ac:dyDescent="0.2">
      <c r="A4949" s="940">
        <v>984</v>
      </c>
      <c r="B4949" s="940">
        <v>285</v>
      </c>
      <c r="C4949" t="s">
        <v>363</v>
      </c>
      <c r="D4949" s="940" t="s">
        <v>9006</v>
      </c>
      <c r="E4949" t="s">
        <v>120</v>
      </c>
    </row>
    <row r="4950" spans="1:5" x14ac:dyDescent="0.2">
      <c r="A4950" s="940">
        <v>4294</v>
      </c>
      <c r="B4950" s="940">
        <v>0</v>
      </c>
      <c r="C4950" t="s">
        <v>9007</v>
      </c>
      <c r="D4950" s="940" t="s">
        <v>8093</v>
      </c>
      <c r="E4950" t="s">
        <v>72</v>
      </c>
    </row>
    <row r="4951" spans="1:5" x14ac:dyDescent="0.2">
      <c r="A4951" s="940">
        <v>87</v>
      </c>
      <c r="B4951" s="940">
        <v>1157</v>
      </c>
      <c r="C4951" t="s">
        <v>9011</v>
      </c>
      <c r="D4951" s="940" t="s">
        <v>9012</v>
      </c>
      <c r="E4951" t="s">
        <v>2877</v>
      </c>
    </row>
    <row r="4952" spans="1:5" x14ac:dyDescent="0.2">
      <c r="A4952" s="940">
        <v>398</v>
      </c>
      <c r="B4952" s="940">
        <v>645</v>
      </c>
      <c r="C4952" t="s">
        <v>9013</v>
      </c>
      <c r="D4952" s="940" t="s">
        <v>9014</v>
      </c>
      <c r="E4952" t="s">
        <v>9015</v>
      </c>
    </row>
    <row r="4953" spans="1:5" x14ac:dyDescent="0.2">
      <c r="A4953" s="940">
        <v>4294</v>
      </c>
      <c r="B4953" s="940">
        <v>0</v>
      </c>
      <c r="C4953" t="s">
        <v>9016</v>
      </c>
      <c r="D4953" s="940" t="s">
        <v>9017</v>
      </c>
      <c r="E4953" t="s">
        <v>105</v>
      </c>
    </row>
    <row r="4954" spans="1:5" x14ac:dyDescent="0.2">
      <c r="A4954" s="940">
        <v>1398</v>
      </c>
      <c r="B4954" s="940">
        <v>162</v>
      </c>
      <c r="C4954" t="s">
        <v>9020</v>
      </c>
      <c r="D4954" s="940" t="s">
        <v>5928</v>
      </c>
      <c r="E4954" t="s">
        <v>105</v>
      </c>
    </row>
    <row r="4955" spans="1:5" x14ac:dyDescent="0.2">
      <c r="A4955" s="940">
        <v>4294</v>
      </c>
      <c r="B4955" s="940">
        <v>0</v>
      </c>
      <c r="C4955" t="s">
        <v>11812</v>
      </c>
      <c r="D4955" s="940" t="s">
        <v>7380</v>
      </c>
      <c r="E4955" t="s">
        <v>2720</v>
      </c>
    </row>
    <row r="4956" spans="1:5" x14ac:dyDescent="0.2">
      <c r="A4956" s="940">
        <v>1063</v>
      </c>
      <c r="B4956" s="940">
        <v>253</v>
      </c>
      <c r="C4956" t="s">
        <v>9021</v>
      </c>
      <c r="D4956" s="940" t="s">
        <v>4149</v>
      </c>
      <c r="E4956" t="s">
        <v>120</v>
      </c>
    </row>
    <row r="4957" spans="1:5" x14ac:dyDescent="0.2">
      <c r="A4957" s="940">
        <v>3972</v>
      </c>
      <c r="B4957" s="940">
        <v>3</v>
      </c>
      <c r="C4957" t="s">
        <v>9022</v>
      </c>
      <c r="D4957" s="940" t="s">
        <v>6161</v>
      </c>
      <c r="E4957" t="s">
        <v>111</v>
      </c>
    </row>
    <row r="4958" spans="1:5" x14ac:dyDescent="0.2">
      <c r="A4958" s="940">
        <v>2423</v>
      </c>
      <c r="B4958" s="940">
        <v>53</v>
      </c>
      <c r="C4958" t="s">
        <v>9023</v>
      </c>
      <c r="D4958" s="940" t="s">
        <v>9024</v>
      </c>
      <c r="E4958" t="s">
        <v>160</v>
      </c>
    </row>
    <row r="4959" spans="1:5" x14ac:dyDescent="0.2">
      <c r="A4959" s="940">
        <v>4181</v>
      </c>
      <c r="B4959" s="940">
        <v>1</v>
      </c>
      <c r="C4959" t="s">
        <v>9025</v>
      </c>
      <c r="D4959" s="940" t="s">
        <v>10084</v>
      </c>
      <c r="E4959" t="s">
        <v>251</v>
      </c>
    </row>
    <row r="4960" spans="1:5" x14ac:dyDescent="0.2">
      <c r="A4960" s="940">
        <v>2833</v>
      </c>
      <c r="B4960" s="940">
        <v>31</v>
      </c>
      <c r="C4960" t="s">
        <v>11813</v>
      </c>
      <c r="D4960" s="940" t="s">
        <v>4302</v>
      </c>
      <c r="E4960" t="s">
        <v>6361</v>
      </c>
    </row>
    <row r="4961" spans="1:5" x14ac:dyDescent="0.2">
      <c r="A4961" s="940">
        <v>1641</v>
      </c>
      <c r="B4961" s="940">
        <v>123</v>
      </c>
      <c r="C4961" t="s">
        <v>2584</v>
      </c>
      <c r="D4961" s="940" t="s">
        <v>4273</v>
      </c>
      <c r="E4961" t="s">
        <v>1961</v>
      </c>
    </row>
    <row r="4962" spans="1:5" x14ac:dyDescent="0.2">
      <c r="A4962" s="940">
        <v>1385</v>
      </c>
      <c r="B4962" s="940">
        <v>165</v>
      </c>
      <c r="C4962" t="s">
        <v>616</v>
      </c>
      <c r="D4962" s="940" t="s">
        <v>8908</v>
      </c>
      <c r="E4962" t="s">
        <v>1524</v>
      </c>
    </row>
    <row r="4963" spans="1:5" x14ac:dyDescent="0.2">
      <c r="A4963" s="940">
        <v>3402</v>
      </c>
      <c r="B4963" s="940">
        <v>12</v>
      </c>
      <c r="C4963" t="s">
        <v>9029</v>
      </c>
      <c r="D4963" s="940" t="s">
        <v>7169</v>
      </c>
      <c r="E4963" t="s">
        <v>1248</v>
      </c>
    </row>
    <row r="4964" spans="1:5" x14ac:dyDescent="0.2">
      <c r="A4964" s="940">
        <v>164</v>
      </c>
      <c r="B4964" s="940">
        <v>966</v>
      </c>
      <c r="C4964" t="s">
        <v>9031</v>
      </c>
      <c r="D4964" s="940" t="s">
        <v>9032</v>
      </c>
      <c r="E4964" t="s">
        <v>76</v>
      </c>
    </row>
    <row r="4965" spans="1:5" x14ac:dyDescent="0.2">
      <c r="A4965" s="940">
        <v>3602</v>
      </c>
      <c r="B4965" s="940">
        <v>8</v>
      </c>
      <c r="C4965" t="s">
        <v>11814</v>
      </c>
      <c r="D4965" s="940" t="s">
        <v>2927</v>
      </c>
      <c r="E4965" t="s">
        <v>11815</v>
      </c>
    </row>
    <row r="4966" spans="1:5" x14ac:dyDescent="0.2">
      <c r="A4966" s="940">
        <v>4294</v>
      </c>
      <c r="B4966" s="940">
        <v>0</v>
      </c>
      <c r="C4966" t="s">
        <v>9033</v>
      </c>
      <c r="D4966" s="940" t="s">
        <v>3818</v>
      </c>
      <c r="E4966" t="s">
        <v>251</v>
      </c>
    </row>
    <row r="4967" spans="1:5" x14ac:dyDescent="0.2">
      <c r="A4967" s="940">
        <v>2101</v>
      </c>
      <c r="B4967" s="940">
        <v>77</v>
      </c>
      <c r="C4967" t="s">
        <v>9034</v>
      </c>
      <c r="D4967" s="940" t="s">
        <v>9035</v>
      </c>
      <c r="E4967" t="s">
        <v>1221</v>
      </c>
    </row>
    <row r="4968" spans="1:5" x14ac:dyDescent="0.2">
      <c r="A4968" s="940">
        <v>664</v>
      </c>
      <c r="B4968" s="940">
        <v>425</v>
      </c>
      <c r="C4968" t="s">
        <v>9036</v>
      </c>
      <c r="D4968" s="940" t="s">
        <v>9037</v>
      </c>
      <c r="E4968" t="s">
        <v>3098</v>
      </c>
    </row>
    <row r="4969" spans="1:5" x14ac:dyDescent="0.2">
      <c r="A4969" s="940">
        <v>2571</v>
      </c>
      <c r="B4969" s="940">
        <v>43</v>
      </c>
      <c r="C4969" t="s">
        <v>11816</v>
      </c>
      <c r="D4969" s="940" t="s">
        <v>11817</v>
      </c>
      <c r="E4969" t="s">
        <v>3687</v>
      </c>
    </row>
    <row r="4970" spans="1:5" x14ac:dyDescent="0.2">
      <c r="A4970" s="940">
        <v>4294</v>
      </c>
      <c r="B4970" s="940">
        <v>0</v>
      </c>
      <c r="C4970" t="s">
        <v>9038</v>
      </c>
      <c r="D4970" s="940" t="s">
        <v>2834</v>
      </c>
      <c r="E4970" t="s">
        <v>614</v>
      </c>
    </row>
    <row r="4971" spans="1:5" x14ac:dyDescent="0.2">
      <c r="A4971" s="940">
        <v>4181</v>
      </c>
      <c r="B4971" s="940">
        <v>1</v>
      </c>
      <c r="C4971" t="s">
        <v>9039</v>
      </c>
      <c r="D4971" s="940" t="s">
        <v>9040</v>
      </c>
      <c r="E4971" t="s">
        <v>110</v>
      </c>
    </row>
    <row r="4972" spans="1:5" x14ac:dyDescent="0.2">
      <c r="A4972" s="940">
        <v>4294</v>
      </c>
      <c r="B4972" s="940">
        <v>0</v>
      </c>
      <c r="C4972" t="s">
        <v>9041</v>
      </c>
      <c r="D4972" s="940" t="s">
        <v>9042</v>
      </c>
      <c r="E4972" t="s">
        <v>99</v>
      </c>
    </row>
    <row r="4973" spans="1:5" x14ac:dyDescent="0.2">
      <c r="A4973" s="940">
        <v>2980</v>
      </c>
      <c r="B4973" s="940">
        <v>24</v>
      </c>
      <c r="C4973" t="s">
        <v>9043</v>
      </c>
      <c r="D4973" s="940" t="s">
        <v>9044</v>
      </c>
      <c r="E4973" t="s">
        <v>2880</v>
      </c>
    </row>
    <row r="4974" spans="1:5" x14ac:dyDescent="0.2">
      <c r="A4974" s="940">
        <v>4294</v>
      </c>
      <c r="B4974" s="940">
        <v>0</v>
      </c>
      <c r="C4974" t="s">
        <v>11818</v>
      </c>
      <c r="D4974" s="940" t="s">
        <v>3670</v>
      </c>
      <c r="E4974" t="s">
        <v>105</v>
      </c>
    </row>
    <row r="4975" spans="1:5" x14ac:dyDescent="0.2">
      <c r="A4975" s="940">
        <v>2915</v>
      </c>
      <c r="B4975" s="940">
        <v>27</v>
      </c>
      <c r="C4975" t="s">
        <v>9045</v>
      </c>
      <c r="D4975" s="940" t="s">
        <v>4799</v>
      </c>
      <c r="E4975" t="s">
        <v>1214</v>
      </c>
    </row>
    <row r="4976" spans="1:5" x14ac:dyDescent="0.2">
      <c r="A4976" s="940">
        <v>1826</v>
      </c>
      <c r="B4976" s="940">
        <v>102</v>
      </c>
      <c r="C4976" t="s">
        <v>11819</v>
      </c>
      <c r="D4976" s="940" t="s">
        <v>11820</v>
      </c>
      <c r="E4976" t="s">
        <v>168</v>
      </c>
    </row>
    <row r="4977" spans="1:5" x14ac:dyDescent="0.2">
      <c r="A4977" s="940">
        <v>1413</v>
      </c>
      <c r="B4977" s="940">
        <v>160</v>
      </c>
      <c r="C4977" t="s">
        <v>2392</v>
      </c>
      <c r="D4977" s="940" t="s">
        <v>7196</v>
      </c>
      <c r="E4977" t="s">
        <v>1214</v>
      </c>
    </row>
    <row r="4978" spans="1:5" x14ac:dyDescent="0.2">
      <c r="A4978" s="940">
        <v>186</v>
      </c>
      <c r="B4978" s="940">
        <v>934</v>
      </c>
      <c r="C4978" t="s">
        <v>9046</v>
      </c>
      <c r="D4978" s="940" t="s">
        <v>9047</v>
      </c>
      <c r="E4978" t="s">
        <v>1190</v>
      </c>
    </row>
    <row r="4979" spans="1:5" x14ac:dyDescent="0.2">
      <c r="A4979" s="940">
        <v>1131</v>
      </c>
      <c r="B4979" s="940">
        <v>229</v>
      </c>
      <c r="C4979" t="s">
        <v>2393</v>
      </c>
      <c r="D4979" s="940" t="s">
        <v>5391</v>
      </c>
      <c r="E4979" t="s">
        <v>75</v>
      </c>
    </row>
    <row r="4980" spans="1:5" x14ac:dyDescent="0.2">
      <c r="A4980" s="940">
        <v>3972</v>
      </c>
      <c r="B4980" s="940">
        <v>3</v>
      </c>
      <c r="C4980" t="s">
        <v>9050</v>
      </c>
      <c r="D4980" s="940" t="s">
        <v>2908</v>
      </c>
      <c r="E4980" t="s">
        <v>188</v>
      </c>
    </row>
    <row r="4981" spans="1:5" x14ac:dyDescent="0.2">
      <c r="A4981" s="940">
        <v>908</v>
      </c>
      <c r="B4981" s="940">
        <v>312</v>
      </c>
      <c r="C4981" t="s">
        <v>2394</v>
      </c>
      <c r="D4981" s="940" t="s">
        <v>9051</v>
      </c>
      <c r="E4981" t="s">
        <v>186</v>
      </c>
    </row>
    <row r="4982" spans="1:5" x14ac:dyDescent="0.2">
      <c r="A4982" s="940">
        <v>2298</v>
      </c>
      <c r="B4982" s="940">
        <v>62</v>
      </c>
      <c r="C4982" t="s">
        <v>9052</v>
      </c>
      <c r="D4982" s="940" t="s">
        <v>5088</v>
      </c>
      <c r="E4982" t="s">
        <v>105</v>
      </c>
    </row>
    <row r="4983" spans="1:5" x14ac:dyDescent="0.2">
      <c r="A4983" s="940">
        <v>3602</v>
      </c>
      <c r="B4983" s="940">
        <v>8</v>
      </c>
      <c r="C4983" t="s">
        <v>9053</v>
      </c>
      <c r="D4983" s="940" t="s">
        <v>6150</v>
      </c>
      <c r="E4983" t="s">
        <v>1590</v>
      </c>
    </row>
    <row r="4984" spans="1:5" x14ac:dyDescent="0.2">
      <c r="A4984" s="940">
        <v>4294</v>
      </c>
      <c r="B4984" s="940">
        <v>0</v>
      </c>
      <c r="C4984" t="s">
        <v>9054</v>
      </c>
      <c r="D4984" s="940" t="s">
        <v>4589</v>
      </c>
      <c r="E4984" t="s">
        <v>105</v>
      </c>
    </row>
    <row r="4985" spans="1:5" x14ac:dyDescent="0.2">
      <c r="A4985" s="940">
        <v>939</v>
      </c>
      <c r="B4985" s="940">
        <v>302</v>
      </c>
      <c r="C4985" t="s">
        <v>9055</v>
      </c>
      <c r="D4985" s="940" t="s">
        <v>9056</v>
      </c>
      <c r="E4985" t="s">
        <v>163</v>
      </c>
    </row>
    <row r="4986" spans="1:5" x14ac:dyDescent="0.2">
      <c r="A4986" s="940">
        <v>895</v>
      </c>
      <c r="B4986" s="940">
        <v>318</v>
      </c>
      <c r="C4986" t="s">
        <v>617</v>
      </c>
      <c r="D4986" s="940" t="s">
        <v>7087</v>
      </c>
      <c r="E4986" t="s">
        <v>1236</v>
      </c>
    </row>
    <row r="4987" spans="1:5" x14ac:dyDescent="0.2">
      <c r="A4987" s="940">
        <v>3174</v>
      </c>
      <c r="B4987" s="940">
        <v>18</v>
      </c>
      <c r="C4987" t="s">
        <v>2398</v>
      </c>
      <c r="D4987" s="940" t="s">
        <v>10843</v>
      </c>
      <c r="E4987" t="s">
        <v>1856</v>
      </c>
    </row>
    <row r="4988" spans="1:5" x14ac:dyDescent="0.2">
      <c r="A4988" s="940">
        <v>4294</v>
      </c>
      <c r="B4988" s="940">
        <v>0</v>
      </c>
      <c r="C4988" t="s">
        <v>11821</v>
      </c>
      <c r="D4988" s="940" t="s">
        <v>3860</v>
      </c>
      <c r="E4988" t="s">
        <v>1587</v>
      </c>
    </row>
    <row r="4989" spans="1:5" x14ac:dyDescent="0.2">
      <c r="A4989" s="940">
        <v>4294</v>
      </c>
      <c r="B4989" s="940">
        <v>0</v>
      </c>
      <c r="C4989" t="s">
        <v>11822</v>
      </c>
      <c r="D4989" s="940" t="s">
        <v>11823</v>
      </c>
      <c r="E4989" t="s">
        <v>164</v>
      </c>
    </row>
    <row r="4990" spans="1:5" x14ac:dyDescent="0.2">
      <c r="A4990" s="940">
        <v>1317</v>
      </c>
      <c r="B4990" s="940">
        <v>181</v>
      </c>
      <c r="C4990" t="s">
        <v>11824</v>
      </c>
      <c r="D4990" s="940" t="s">
        <v>11825</v>
      </c>
      <c r="E4990" t="s">
        <v>103</v>
      </c>
    </row>
    <row r="4991" spans="1:5" x14ac:dyDescent="0.2">
      <c r="A4991" s="940">
        <v>4181</v>
      </c>
      <c r="B4991" s="940">
        <v>1</v>
      </c>
      <c r="C4991" t="s">
        <v>9057</v>
      </c>
      <c r="D4991" s="940" t="s">
        <v>9058</v>
      </c>
      <c r="E4991" t="s">
        <v>105</v>
      </c>
    </row>
    <row r="4992" spans="1:5" x14ac:dyDescent="0.2">
      <c r="A4992" s="940">
        <v>3545</v>
      </c>
      <c r="B4992" s="940">
        <v>9</v>
      </c>
      <c r="C4992" t="s">
        <v>11826</v>
      </c>
      <c r="D4992" s="940" t="s">
        <v>9229</v>
      </c>
      <c r="E4992" t="s">
        <v>122</v>
      </c>
    </row>
    <row r="4993" spans="1:5" x14ac:dyDescent="0.2">
      <c r="A4993" s="940">
        <v>4294</v>
      </c>
      <c r="B4993" s="940">
        <v>0</v>
      </c>
      <c r="C4993" t="s">
        <v>9062</v>
      </c>
      <c r="D4993" s="940" t="s">
        <v>9063</v>
      </c>
      <c r="E4993" t="s">
        <v>1204</v>
      </c>
    </row>
    <row r="4994" spans="1:5" x14ac:dyDescent="0.2">
      <c r="A4994" s="940">
        <v>3972</v>
      </c>
      <c r="B4994" s="940">
        <v>3</v>
      </c>
      <c r="C4994" t="s">
        <v>9064</v>
      </c>
      <c r="D4994" s="940" t="s">
        <v>3352</v>
      </c>
      <c r="E4994" t="s">
        <v>1251</v>
      </c>
    </row>
    <row r="4995" spans="1:5" x14ac:dyDescent="0.2">
      <c r="A4995" s="940">
        <v>3290</v>
      </c>
      <c r="B4995" s="940">
        <v>15</v>
      </c>
      <c r="C4995" t="s">
        <v>9067</v>
      </c>
      <c r="D4995" s="940" t="s">
        <v>6476</v>
      </c>
      <c r="E4995" t="s">
        <v>111</v>
      </c>
    </row>
    <row r="4996" spans="1:5" x14ac:dyDescent="0.2">
      <c r="A4996" s="940">
        <v>4294</v>
      </c>
      <c r="B4996" s="940">
        <v>0</v>
      </c>
      <c r="C4996" t="s">
        <v>9070</v>
      </c>
      <c r="D4996" s="940" t="s">
        <v>3546</v>
      </c>
      <c r="E4996" t="s">
        <v>1171</v>
      </c>
    </row>
    <row r="4997" spans="1:5" x14ac:dyDescent="0.2">
      <c r="A4997" s="940">
        <v>505</v>
      </c>
      <c r="B4997" s="940">
        <v>543</v>
      </c>
      <c r="C4997" t="s">
        <v>11827</v>
      </c>
      <c r="D4997" s="940" t="s">
        <v>11828</v>
      </c>
      <c r="E4997" t="s">
        <v>136</v>
      </c>
    </row>
    <row r="4998" spans="1:5" x14ac:dyDescent="0.2">
      <c r="A4998" s="940">
        <v>1217</v>
      </c>
      <c r="B4998" s="940">
        <v>204</v>
      </c>
      <c r="C4998" t="s">
        <v>2400</v>
      </c>
      <c r="D4998" s="940" t="s">
        <v>6182</v>
      </c>
      <c r="E4998" t="s">
        <v>120</v>
      </c>
    </row>
    <row r="4999" spans="1:5" x14ac:dyDescent="0.2">
      <c r="A4999" s="940">
        <v>834</v>
      </c>
      <c r="B4999" s="940">
        <v>348</v>
      </c>
      <c r="C4999" t="s">
        <v>11829</v>
      </c>
      <c r="D4999" s="940" t="s">
        <v>11830</v>
      </c>
      <c r="E4999" t="s">
        <v>175</v>
      </c>
    </row>
    <row r="5000" spans="1:5" x14ac:dyDescent="0.2">
      <c r="A5000" s="940">
        <v>1524</v>
      </c>
      <c r="B5000" s="940">
        <v>141</v>
      </c>
      <c r="C5000" t="s">
        <v>619</v>
      </c>
      <c r="D5000" s="940" t="s">
        <v>9071</v>
      </c>
      <c r="E5000" t="s">
        <v>1156</v>
      </c>
    </row>
    <row r="5001" spans="1:5" x14ac:dyDescent="0.2">
      <c r="A5001" s="940">
        <v>3732</v>
      </c>
      <c r="B5001" s="940">
        <v>6</v>
      </c>
      <c r="C5001" t="s">
        <v>9072</v>
      </c>
      <c r="D5001" s="940" t="s">
        <v>5207</v>
      </c>
      <c r="E5001" t="s">
        <v>145</v>
      </c>
    </row>
    <row r="5002" spans="1:5" x14ac:dyDescent="0.2">
      <c r="A5002" s="940">
        <v>1921</v>
      </c>
      <c r="B5002" s="940">
        <v>93</v>
      </c>
      <c r="C5002" t="s">
        <v>11831</v>
      </c>
      <c r="D5002" s="940" t="s">
        <v>9303</v>
      </c>
      <c r="E5002" t="s">
        <v>1171</v>
      </c>
    </row>
    <row r="5003" spans="1:5" x14ac:dyDescent="0.2">
      <c r="A5003" s="940">
        <v>3136</v>
      </c>
      <c r="B5003" s="940">
        <v>19</v>
      </c>
      <c r="C5003" t="s">
        <v>9073</v>
      </c>
      <c r="D5003" s="940" t="s">
        <v>9074</v>
      </c>
      <c r="E5003" t="s">
        <v>165</v>
      </c>
    </row>
    <row r="5004" spans="1:5" x14ac:dyDescent="0.2">
      <c r="A5004" s="940">
        <v>3732</v>
      </c>
      <c r="B5004" s="940">
        <v>6</v>
      </c>
      <c r="C5004" t="s">
        <v>9075</v>
      </c>
      <c r="D5004" s="940" t="s">
        <v>3834</v>
      </c>
      <c r="E5004" t="s">
        <v>165</v>
      </c>
    </row>
    <row r="5005" spans="1:5" x14ac:dyDescent="0.2">
      <c r="A5005" s="940">
        <v>3174</v>
      </c>
      <c r="B5005" s="940">
        <v>18</v>
      </c>
      <c r="C5005" t="s">
        <v>11832</v>
      </c>
      <c r="D5005" s="940" t="s">
        <v>3494</v>
      </c>
      <c r="E5005" t="s">
        <v>130</v>
      </c>
    </row>
    <row r="5006" spans="1:5" x14ac:dyDescent="0.2">
      <c r="A5006" s="940">
        <v>4294</v>
      </c>
      <c r="B5006" s="940">
        <v>0</v>
      </c>
      <c r="C5006" t="s">
        <v>9076</v>
      </c>
      <c r="D5006" s="940" t="s">
        <v>2991</v>
      </c>
      <c r="E5006" t="s">
        <v>105</v>
      </c>
    </row>
    <row r="5007" spans="1:5" x14ac:dyDescent="0.2">
      <c r="A5007" s="940">
        <v>3358</v>
      </c>
      <c r="B5007" s="940">
        <v>13</v>
      </c>
      <c r="C5007" t="s">
        <v>11833</v>
      </c>
      <c r="D5007" s="940" t="s">
        <v>8562</v>
      </c>
      <c r="E5007" t="s">
        <v>117</v>
      </c>
    </row>
    <row r="5008" spans="1:5" x14ac:dyDescent="0.2">
      <c r="A5008" s="940">
        <v>2691</v>
      </c>
      <c r="B5008" s="940">
        <v>37</v>
      </c>
      <c r="C5008" t="s">
        <v>11834</v>
      </c>
      <c r="D5008" s="940" t="s">
        <v>8986</v>
      </c>
      <c r="E5008" t="s">
        <v>164</v>
      </c>
    </row>
    <row r="5009" spans="1:5" x14ac:dyDescent="0.2">
      <c r="A5009" s="940">
        <v>4294</v>
      </c>
      <c r="B5009" s="940">
        <v>0</v>
      </c>
      <c r="C5009" t="s">
        <v>9077</v>
      </c>
      <c r="D5009" s="940" t="s">
        <v>5919</v>
      </c>
      <c r="E5009" t="s">
        <v>1364</v>
      </c>
    </row>
    <row r="5010" spans="1:5" x14ac:dyDescent="0.2">
      <c r="A5010" s="940">
        <v>2860</v>
      </c>
      <c r="B5010" s="940">
        <v>30</v>
      </c>
      <c r="C5010" t="s">
        <v>9078</v>
      </c>
      <c r="D5010" s="940" t="s">
        <v>8112</v>
      </c>
      <c r="E5010" t="s">
        <v>120</v>
      </c>
    </row>
    <row r="5011" spans="1:5" x14ac:dyDescent="0.2">
      <c r="A5011" s="940">
        <v>1293</v>
      </c>
      <c r="B5011" s="940">
        <v>186</v>
      </c>
      <c r="C5011" t="s">
        <v>2404</v>
      </c>
      <c r="D5011" s="940" t="s">
        <v>5514</v>
      </c>
      <c r="E5011" t="s">
        <v>120</v>
      </c>
    </row>
    <row r="5012" spans="1:5" x14ac:dyDescent="0.2">
      <c r="A5012" s="940">
        <v>2067</v>
      </c>
      <c r="B5012" s="940">
        <v>80</v>
      </c>
      <c r="C5012" t="s">
        <v>9080</v>
      </c>
      <c r="D5012" s="940" t="s">
        <v>9081</v>
      </c>
      <c r="E5012" t="s">
        <v>133</v>
      </c>
    </row>
    <row r="5013" spans="1:5" x14ac:dyDescent="0.2">
      <c r="A5013" s="940">
        <v>4294</v>
      </c>
      <c r="B5013" s="940">
        <v>0</v>
      </c>
      <c r="C5013" t="s">
        <v>9082</v>
      </c>
      <c r="D5013" s="940" t="s">
        <v>9083</v>
      </c>
      <c r="E5013" t="s">
        <v>74</v>
      </c>
    </row>
    <row r="5014" spans="1:5" x14ac:dyDescent="0.2">
      <c r="A5014" s="940">
        <v>3972</v>
      </c>
      <c r="B5014" s="940">
        <v>3</v>
      </c>
      <c r="C5014" t="s">
        <v>9084</v>
      </c>
      <c r="D5014" s="940" t="s">
        <v>9085</v>
      </c>
      <c r="E5014" t="s">
        <v>1171</v>
      </c>
    </row>
    <row r="5015" spans="1:5" x14ac:dyDescent="0.2">
      <c r="A5015" s="940">
        <v>4294</v>
      </c>
      <c r="B5015" s="940">
        <v>0</v>
      </c>
      <c r="C5015" t="s">
        <v>9088</v>
      </c>
      <c r="D5015" s="940" t="s">
        <v>9089</v>
      </c>
      <c r="E5015" t="s">
        <v>661</v>
      </c>
    </row>
    <row r="5016" spans="1:5" x14ac:dyDescent="0.2">
      <c r="A5016" s="940">
        <v>658</v>
      </c>
      <c r="B5016" s="940">
        <v>430</v>
      </c>
      <c r="C5016" t="s">
        <v>9090</v>
      </c>
      <c r="D5016" s="940" t="s">
        <v>4187</v>
      </c>
      <c r="E5016" t="s">
        <v>2880</v>
      </c>
    </row>
    <row r="5017" spans="1:5" x14ac:dyDescent="0.2">
      <c r="A5017" s="940">
        <v>271</v>
      </c>
      <c r="B5017" s="940">
        <v>813</v>
      </c>
      <c r="C5017" t="s">
        <v>11835</v>
      </c>
      <c r="D5017" s="940" t="s">
        <v>11836</v>
      </c>
      <c r="E5017" t="s">
        <v>74</v>
      </c>
    </row>
    <row r="5018" spans="1:5" x14ac:dyDescent="0.2">
      <c r="A5018" s="940">
        <v>2877</v>
      </c>
      <c r="B5018" s="940">
        <v>29</v>
      </c>
      <c r="C5018" t="s">
        <v>9093</v>
      </c>
      <c r="D5018" s="940" t="s">
        <v>5919</v>
      </c>
      <c r="E5018" t="s">
        <v>99</v>
      </c>
    </row>
    <row r="5019" spans="1:5" x14ac:dyDescent="0.2">
      <c r="A5019" s="940">
        <v>3882</v>
      </c>
      <c r="B5019" s="940">
        <v>4</v>
      </c>
      <c r="C5019" t="s">
        <v>9094</v>
      </c>
      <c r="D5019" s="940" t="s">
        <v>9095</v>
      </c>
      <c r="E5019" t="s">
        <v>179</v>
      </c>
    </row>
    <row r="5020" spans="1:5" x14ac:dyDescent="0.2">
      <c r="A5020" s="940">
        <v>593</v>
      </c>
      <c r="B5020" s="940">
        <v>477</v>
      </c>
      <c r="C5020" t="s">
        <v>620</v>
      </c>
      <c r="D5020" s="940" t="s">
        <v>3154</v>
      </c>
      <c r="E5020" t="s">
        <v>99</v>
      </c>
    </row>
    <row r="5021" spans="1:5" x14ac:dyDescent="0.2">
      <c r="A5021" s="940">
        <v>520</v>
      </c>
      <c r="B5021" s="940">
        <v>527</v>
      </c>
      <c r="C5021" t="s">
        <v>11837</v>
      </c>
      <c r="D5021" s="940" t="s">
        <v>11838</v>
      </c>
      <c r="E5021" t="s">
        <v>166</v>
      </c>
    </row>
    <row r="5022" spans="1:5" x14ac:dyDescent="0.2">
      <c r="A5022" s="940">
        <v>49</v>
      </c>
      <c r="B5022" s="940">
        <v>1295</v>
      </c>
      <c r="C5022" t="s">
        <v>9096</v>
      </c>
      <c r="D5022" s="940" t="s">
        <v>9097</v>
      </c>
      <c r="E5022" t="s">
        <v>105</v>
      </c>
    </row>
    <row r="5023" spans="1:5" x14ac:dyDescent="0.2">
      <c r="A5023" s="940">
        <v>2691</v>
      </c>
      <c r="B5023" s="940">
        <v>37</v>
      </c>
      <c r="C5023" t="s">
        <v>879</v>
      </c>
      <c r="D5023" s="940" t="s">
        <v>4957</v>
      </c>
      <c r="E5023" t="s">
        <v>163</v>
      </c>
    </row>
    <row r="5024" spans="1:5" x14ac:dyDescent="0.2">
      <c r="A5024" s="940">
        <v>4294</v>
      </c>
      <c r="B5024" s="940">
        <v>0</v>
      </c>
      <c r="C5024" t="s">
        <v>9098</v>
      </c>
      <c r="D5024" s="940" t="s">
        <v>4110</v>
      </c>
      <c r="E5024" t="s">
        <v>661</v>
      </c>
    </row>
    <row r="5025" spans="1:5" x14ac:dyDescent="0.2">
      <c r="A5025" s="940">
        <v>2504</v>
      </c>
      <c r="B5025" s="940">
        <v>47</v>
      </c>
      <c r="C5025" t="s">
        <v>9099</v>
      </c>
      <c r="D5025" s="940" t="s">
        <v>4064</v>
      </c>
      <c r="E5025" t="s">
        <v>661</v>
      </c>
    </row>
    <row r="5026" spans="1:5" x14ac:dyDescent="0.2">
      <c r="A5026" s="940">
        <v>3290</v>
      </c>
      <c r="B5026" s="940">
        <v>15</v>
      </c>
      <c r="C5026" t="s">
        <v>11839</v>
      </c>
      <c r="D5026" s="940" t="s">
        <v>7451</v>
      </c>
      <c r="E5026" t="s">
        <v>1460</v>
      </c>
    </row>
    <row r="5027" spans="1:5" x14ac:dyDescent="0.2">
      <c r="A5027" s="940">
        <v>476</v>
      </c>
      <c r="B5027" s="940">
        <v>573</v>
      </c>
      <c r="C5027" t="s">
        <v>368</v>
      </c>
      <c r="D5027" s="940" t="s">
        <v>5717</v>
      </c>
      <c r="E5027" t="s">
        <v>105</v>
      </c>
    </row>
    <row r="5028" spans="1:5" x14ac:dyDescent="0.2">
      <c r="A5028" s="940">
        <v>4294</v>
      </c>
      <c r="B5028" s="940">
        <v>0</v>
      </c>
      <c r="C5028" t="s">
        <v>11840</v>
      </c>
      <c r="D5028" s="940" t="s">
        <v>6314</v>
      </c>
      <c r="E5028" t="s">
        <v>10128</v>
      </c>
    </row>
    <row r="5029" spans="1:5" x14ac:dyDescent="0.2">
      <c r="A5029" s="940">
        <v>3796</v>
      </c>
      <c r="B5029" s="940">
        <v>5</v>
      </c>
      <c r="C5029" t="s">
        <v>11841</v>
      </c>
      <c r="D5029" s="940" t="s">
        <v>8946</v>
      </c>
      <c r="E5029" t="s">
        <v>120</v>
      </c>
    </row>
    <row r="5030" spans="1:5" x14ac:dyDescent="0.2">
      <c r="A5030" s="940">
        <v>4294</v>
      </c>
      <c r="B5030" s="940">
        <v>0</v>
      </c>
      <c r="C5030" t="s">
        <v>9106</v>
      </c>
      <c r="D5030" s="940" t="s">
        <v>3047</v>
      </c>
      <c r="E5030" t="s">
        <v>1609</v>
      </c>
    </row>
    <row r="5031" spans="1:5" x14ac:dyDescent="0.2">
      <c r="A5031" s="940">
        <v>43</v>
      </c>
      <c r="B5031" s="940">
        <v>1332</v>
      </c>
      <c r="C5031" t="s">
        <v>9108</v>
      </c>
      <c r="D5031" s="940" t="s">
        <v>9109</v>
      </c>
      <c r="E5031" t="s">
        <v>105</v>
      </c>
    </row>
    <row r="5032" spans="1:5" x14ac:dyDescent="0.2">
      <c r="A5032" s="940">
        <v>4294</v>
      </c>
      <c r="B5032" s="940">
        <v>0</v>
      </c>
      <c r="C5032" t="s">
        <v>9110</v>
      </c>
      <c r="D5032" s="940" t="s">
        <v>5877</v>
      </c>
      <c r="E5032" t="s">
        <v>105</v>
      </c>
    </row>
    <row r="5033" spans="1:5" x14ac:dyDescent="0.2">
      <c r="A5033" s="940">
        <v>4294</v>
      </c>
      <c r="B5033" s="940">
        <v>0</v>
      </c>
      <c r="C5033" t="s">
        <v>9111</v>
      </c>
      <c r="D5033" s="940" t="s">
        <v>2805</v>
      </c>
      <c r="E5033" t="s">
        <v>105</v>
      </c>
    </row>
    <row r="5034" spans="1:5" x14ac:dyDescent="0.2">
      <c r="A5034" s="940">
        <v>2233</v>
      </c>
      <c r="B5034" s="940">
        <v>67</v>
      </c>
      <c r="C5034" t="s">
        <v>9113</v>
      </c>
      <c r="D5034" s="940" t="s">
        <v>3080</v>
      </c>
      <c r="E5034" t="s">
        <v>1243</v>
      </c>
    </row>
    <row r="5035" spans="1:5" x14ac:dyDescent="0.2">
      <c r="A5035" s="940">
        <v>3222</v>
      </c>
      <c r="B5035" s="940">
        <v>17</v>
      </c>
      <c r="C5035" t="s">
        <v>9114</v>
      </c>
      <c r="D5035" s="940" t="s">
        <v>3764</v>
      </c>
      <c r="E5035" t="s">
        <v>1214</v>
      </c>
    </row>
    <row r="5036" spans="1:5" x14ac:dyDescent="0.2">
      <c r="A5036" s="940">
        <v>2298</v>
      </c>
      <c r="B5036" s="940">
        <v>62</v>
      </c>
      <c r="C5036" t="s">
        <v>9115</v>
      </c>
      <c r="D5036" s="940" t="s">
        <v>9116</v>
      </c>
      <c r="E5036" t="s">
        <v>9117</v>
      </c>
    </row>
    <row r="5037" spans="1:5" x14ac:dyDescent="0.2">
      <c r="A5037" s="940">
        <v>3483</v>
      </c>
      <c r="B5037" s="940">
        <v>10</v>
      </c>
      <c r="C5037" t="s">
        <v>9118</v>
      </c>
      <c r="D5037" s="940" t="s">
        <v>3511</v>
      </c>
      <c r="E5037" t="s">
        <v>1171</v>
      </c>
    </row>
    <row r="5038" spans="1:5" x14ac:dyDescent="0.2">
      <c r="A5038" s="940">
        <v>4294</v>
      </c>
      <c r="B5038" s="940">
        <v>0</v>
      </c>
      <c r="C5038" t="s">
        <v>9119</v>
      </c>
      <c r="D5038" s="940" t="s">
        <v>11842</v>
      </c>
      <c r="E5038" t="s">
        <v>120</v>
      </c>
    </row>
    <row r="5039" spans="1:5" x14ac:dyDescent="0.2">
      <c r="A5039" s="940">
        <v>4294</v>
      </c>
      <c r="B5039" s="940">
        <v>0</v>
      </c>
      <c r="C5039" t="s">
        <v>11843</v>
      </c>
      <c r="D5039" s="940" t="s">
        <v>5335</v>
      </c>
      <c r="E5039" t="s">
        <v>1374</v>
      </c>
    </row>
    <row r="5040" spans="1:5" x14ac:dyDescent="0.2">
      <c r="A5040" s="940">
        <v>1880</v>
      </c>
      <c r="B5040" s="940">
        <v>97</v>
      </c>
      <c r="C5040" t="s">
        <v>9120</v>
      </c>
      <c r="D5040" s="940" t="s">
        <v>2974</v>
      </c>
      <c r="E5040" t="s">
        <v>128</v>
      </c>
    </row>
    <row r="5041" spans="1:5" x14ac:dyDescent="0.2">
      <c r="A5041" s="940">
        <v>2124</v>
      </c>
      <c r="B5041" s="940">
        <v>75</v>
      </c>
      <c r="C5041" t="s">
        <v>2410</v>
      </c>
      <c r="D5041" s="940" t="s">
        <v>8980</v>
      </c>
      <c r="E5041" t="s">
        <v>113</v>
      </c>
    </row>
    <row r="5042" spans="1:5" x14ac:dyDescent="0.2">
      <c r="A5042" s="940">
        <v>3796</v>
      </c>
      <c r="B5042" s="940">
        <v>5</v>
      </c>
      <c r="C5042" t="s">
        <v>11844</v>
      </c>
      <c r="D5042" s="940" t="s">
        <v>7576</v>
      </c>
      <c r="E5042" t="s">
        <v>661</v>
      </c>
    </row>
    <row r="5043" spans="1:5" x14ac:dyDescent="0.2">
      <c r="A5043" s="940">
        <v>3483</v>
      </c>
      <c r="B5043" s="940">
        <v>10</v>
      </c>
      <c r="C5043" t="s">
        <v>9121</v>
      </c>
      <c r="D5043" s="940" t="s">
        <v>9122</v>
      </c>
      <c r="E5043" t="s">
        <v>1408</v>
      </c>
    </row>
    <row r="5044" spans="1:5" x14ac:dyDescent="0.2">
      <c r="A5044" s="940">
        <v>2006</v>
      </c>
      <c r="B5044" s="940">
        <v>85</v>
      </c>
      <c r="C5044" t="s">
        <v>9123</v>
      </c>
      <c r="D5044" s="940" t="s">
        <v>6244</v>
      </c>
      <c r="E5044" t="s">
        <v>120</v>
      </c>
    </row>
    <row r="5045" spans="1:5" x14ac:dyDescent="0.2">
      <c r="A5045" s="940">
        <v>4294</v>
      </c>
      <c r="B5045" s="940">
        <v>0</v>
      </c>
      <c r="C5045" t="s">
        <v>9127</v>
      </c>
      <c r="D5045" s="940" t="s">
        <v>9128</v>
      </c>
      <c r="E5045" t="s">
        <v>130</v>
      </c>
    </row>
    <row r="5046" spans="1:5" x14ac:dyDescent="0.2">
      <c r="A5046" s="940">
        <v>868</v>
      </c>
      <c r="B5046" s="940">
        <v>329</v>
      </c>
      <c r="C5046" t="s">
        <v>2412</v>
      </c>
      <c r="D5046" s="940" t="s">
        <v>9129</v>
      </c>
      <c r="E5046" t="s">
        <v>121</v>
      </c>
    </row>
    <row r="5047" spans="1:5" x14ac:dyDescent="0.2">
      <c r="A5047" s="940">
        <v>125</v>
      </c>
      <c r="B5047" s="940">
        <v>1049</v>
      </c>
      <c r="C5047" t="s">
        <v>11845</v>
      </c>
      <c r="D5047" s="940" t="s">
        <v>11846</v>
      </c>
      <c r="E5047" t="s">
        <v>1162</v>
      </c>
    </row>
    <row r="5048" spans="1:5" x14ac:dyDescent="0.2">
      <c r="A5048" s="940">
        <v>3972</v>
      </c>
      <c r="B5048" s="940">
        <v>3</v>
      </c>
      <c r="C5048" t="s">
        <v>11847</v>
      </c>
      <c r="D5048" s="940" t="s">
        <v>11848</v>
      </c>
      <c r="E5048" t="s">
        <v>213</v>
      </c>
    </row>
    <row r="5049" spans="1:5" x14ac:dyDescent="0.2">
      <c r="A5049" s="940">
        <v>4081</v>
      </c>
      <c r="B5049" s="940">
        <v>2</v>
      </c>
      <c r="C5049" t="s">
        <v>11849</v>
      </c>
      <c r="D5049" s="940" t="s">
        <v>9485</v>
      </c>
      <c r="E5049" t="s">
        <v>122</v>
      </c>
    </row>
    <row r="5050" spans="1:5" x14ac:dyDescent="0.2">
      <c r="A5050" s="940">
        <v>3402</v>
      </c>
      <c r="B5050" s="940">
        <v>12</v>
      </c>
      <c r="C5050" t="s">
        <v>9133</v>
      </c>
      <c r="D5050" s="940" t="s">
        <v>9134</v>
      </c>
      <c r="E5050" t="s">
        <v>130</v>
      </c>
    </row>
    <row r="5051" spans="1:5" x14ac:dyDescent="0.2">
      <c r="A5051" s="940">
        <v>1894</v>
      </c>
      <c r="B5051" s="940">
        <v>96</v>
      </c>
      <c r="C5051" t="s">
        <v>2414</v>
      </c>
      <c r="D5051" s="940" t="s">
        <v>3721</v>
      </c>
      <c r="E5051" t="s">
        <v>105</v>
      </c>
    </row>
    <row r="5052" spans="1:5" x14ac:dyDescent="0.2">
      <c r="A5052" s="940">
        <v>2312</v>
      </c>
      <c r="B5052" s="940">
        <v>61</v>
      </c>
      <c r="C5052" t="s">
        <v>9135</v>
      </c>
      <c r="D5052" s="940" t="s">
        <v>4755</v>
      </c>
      <c r="E5052" t="s">
        <v>105</v>
      </c>
    </row>
    <row r="5053" spans="1:5" x14ac:dyDescent="0.2">
      <c r="A5053" s="940">
        <v>3732</v>
      </c>
      <c r="B5053" s="940">
        <v>6</v>
      </c>
      <c r="C5053" t="s">
        <v>11850</v>
      </c>
      <c r="D5053" s="940" t="s">
        <v>10272</v>
      </c>
      <c r="E5053" t="s">
        <v>120</v>
      </c>
    </row>
    <row r="5054" spans="1:5" x14ac:dyDescent="0.2">
      <c r="A5054" s="940">
        <v>4294</v>
      </c>
      <c r="B5054" s="940">
        <v>0</v>
      </c>
      <c r="C5054" t="s">
        <v>9136</v>
      </c>
      <c r="D5054" s="940" t="s">
        <v>7580</v>
      </c>
      <c r="E5054" t="s">
        <v>105</v>
      </c>
    </row>
    <row r="5055" spans="1:5" x14ac:dyDescent="0.2">
      <c r="A5055" s="940">
        <v>3483</v>
      </c>
      <c r="B5055" s="940">
        <v>10</v>
      </c>
      <c r="C5055" t="s">
        <v>9139</v>
      </c>
      <c r="D5055" s="940" t="s">
        <v>5778</v>
      </c>
      <c r="E5055" t="s">
        <v>1612</v>
      </c>
    </row>
    <row r="5056" spans="1:5" x14ac:dyDescent="0.2">
      <c r="A5056" s="940">
        <v>2014</v>
      </c>
      <c r="B5056" s="940">
        <v>84</v>
      </c>
      <c r="C5056" t="s">
        <v>9140</v>
      </c>
      <c r="D5056" s="940" t="s">
        <v>9141</v>
      </c>
      <c r="E5056" t="s">
        <v>106</v>
      </c>
    </row>
    <row r="5057" spans="1:5" x14ac:dyDescent="0.2">
      <c r="A5057" s="940">
        <v>3972</v>
      </c>
      <c r="B5057" s="940">
        <v>3</v>
      </c>
      <c r="C5057" t="s">
        <v>11851</v>
      </c>
      <c r="D5057" s="940" t="s">
        <v>7194</v>
      </c>
      <c r="E5057" t="s">
        <v>3200</v>
      </c>
    </row>
    <row r="5058" spans="1:5" x14ac:dyDescent="0.2">
      <c r="A5058" s="940">
        <v>1816</v>
      </c>
      <c r="B5058" s="940">
        <v>103</v>
      </c>
      <c r="C5058" t="s">
        <v>11852</v>
      </c>
      <c r="D5058" s="940" t="s">
        <v>11608</v>
      </c>
      <c r="E5058" t="s">
        <v>2542</v>
      </c>
    </row>
    <row r="5059" spans="1:5" x14ac:dyDescent="0.2">
      <c r="A5059" s="940">
        <v>4294</v>
      </c>
      <c r="B5059" s="940">
        <v>0</v>
      </c>
      <c r="C5059" t="s">
        <v>9142</v>
      </c>
      <c r="D5059" s="940" t="s">
        <v>3659</v>
      </c>
      <c r="E5059" t="s">
        <v>1261</v>
      </c>
    </row>
    <row r="5060" spans="1:5" x14ac:dyDescent="0.2">
      <c r="A5060" s="940">
        <v>4294</v>
      </c>
      <c r="B5060" s="940">
        <v>0</v>
      </c>
      <c r="C5060" t="s">
        <v>9143</v>
      </c>
      <c r="D5060" s="940" t="s">
        <v>9144</v>
      </c>
      <c r="E5060" t="s">
        <v>1236</v>
      </c>
    </row>
    <row r="5061" spans="1:5" x14ac:dyDescent="0.2">
      <c r="A5061" s="940">
        <v>2691</v>
      </c>
      <c r="B5061" s="940">
        <v>37</v>
      </c>
      <c r="C5061" t="s">
        <v>9145</v>
      </c>
      <c r="D5061" s="940" t="s">
        <v>9146</v>
      </c>
      <c r="E5061" t="s">
        <v>74</v>
      </c>
    </row>
    <row r="5062" spans="1:5" x14ac:dyDescent="0.2">
      <c r="A5062" s="940">
        <v>473</v>
      </c>
      <c r="B5062" s="940">
        <v>575</v>
      </c>
      <c r="C5062" t="s">
        <v>9147</v>
      </c>
      <c r="D5062" s="940" t="s">
        <v>9148</v>
      </c>
      <c r="E5062" t="s">
        <v>120</v>
      </c>
    </row>
    <row r="5063" spans="1:5" x14ac:dyDescent="0.2">
      <c r="A5063" s="940">
        <v>1790</v>
      </c>
      <c r="B5063" s="940">
        <v>106</v>
      </c>
      <c r="C5063" t="s">
        <v>2416</v>
      </c>
      <c r="D5063" s="940" t="s">
        <v>2725</v>
      </c>
      <c r="E5063" t="s">
        <v>1214</v>
      </c>
    </row>
    <row r="5064" spans="1:5" x14ac:dyDescent="0.2">
      <c r="A5064" s="940">
        <v>3174</v>
      </c>
      <c r="B5064" s="940">
        <v>18</v>
      </c>
      <c r="C5064" t="s">
        <v>11853</v>
      </c>
      <c r="D5064" s="940" t="s">
        <v>11854</v>
      </c>
      <c r="E5064" t="s">
        <v>122</v>
      </c>
    </row>
    <row r="5065" spans="1:5" x14ac:dyDescent="0.2">
      <c r="A5065" s="940">
        <v>677</v>
      </c>
      <c r="B5065" s="940">
        <v>417</v>
      </c>
      <c r="C5065" t="s">
        <v>9149</v>
      </c>
      <c r="D5065" s="940" t="s">
        <v>9150</v>
      </c>
      <c r="E5065" t="s">
        <v>1584</v>
      </c>
    </row>
    <row r="5066" spans="1:5" x14ac:dyDescent="0.2">
      <c r="A5066" s="940">
        <v>4294</v>
      </c>
      <c r="B5066" s="940">
        <v>0</v>
      </c>
      <c r="C5066" t="s">
        <v>9151</v>
      </c>
      <c r="D5066" s="940" t="s">
        <v>6389</v>
      </c>
      <c r="E5066" t="s">
        <v>1236</v>
      </c>
    </row>
    <row r="5067" spans="1:5" x14ac:dyDescent="0.2">
      <c r="A5067" s="940">
        <v>29</v>
      </c>
      <c r="B5067" s="940">
        <v>1425</v>
      </c>
      <c r="C5067" t="s">
        <v>9154</v>
      </c>
      <c r="D5067" s="940" t="s">
        <v>9155</v>
      </c>
      <c r="E5067" t="s">
        <v>1171</v>
      </c>
    </row>
    <row r="5068" spans="1:5" x14ac:dyDescent="0.2">
      <c r="A5068" s="940">
        <v>2833</v>
      </c>
      <c r="B5068" s="940">
        <v>31</v>
      </c>
      <c r="C5068" t="s">
        <v>9156</v>
      </c>
      <c r="D5068" s="940" t="s">
        <v>8411</v>
      </c>
      <c r="E5068" t="s">
        <v>120</v>
      </c>
    </row>
    <row r="5069" spans="1:5" x14ac:dyDescent="0.2">
      <c r="A5069" s="940">
        <v>3796</v>
      </c>
      <c r="B5069" s="940">
        <v>5</v>
      </c>
      <c r="C5069" t="s">
        <v>11855</v>
      </c>
      <c r="D5069" s="940" t="s">
        <v>8532</v>
      </c>
      <c r="E5069" t="s">
        <v>243</v>
      </c>
    </row>
    <row r="5070" spans="1:5" x14ac:dyDescent="0.2">
      <c r="A5070" s="940">
        <v>3732</v>
      </c>
      <c r="B5070" s="940">
        <v>6</v>
      </c>
      <c r="C5070" t="s">
        <v>9157</v>
      </c>
      <c r="D5070" s="940" t="s">
        <v>8944</v>
      </c>
      <c r="E5070" t="s">
        <v>74</v>
      </c>
    </row>
    <row r="5071" spans="1:5" x14ac:dyDescent="0.2">
      <c r="A5071" s="940">
        <v>4294</v>
      </c>
      <c r="B5071" s="940">
        <v>0</v>
      </c>
      <c r="C5071" t="s">
        <v>9158</v>
      </c>
      <c r="D5071" s="940" t="s">
        <v>9159</v>
      </c>
      <c r="E5071" t="s">
        <v>105</v>
      </c>
    </row>
    <row r="5072" spans="1:5" x14ac:dyDescent="0.2">
      <c r="A5072" s="940">
        <v>2083</v>
      </c>
      <c r="B5072" s="940">
        <v>79</v>
      </c>
      <c r="C5072" t="s">
        <v>11856</v>
      </c>
      <c r="D5072" s="940" t="s">
        <v>10293</v>
      </c>
      <c r="E5072" t="s">
        <v>120</v>
      </c>
    </row>
    <row r="5073" spans="1:5" x14ac:dyDescent="0.2">
      <c r="A5073" s="940">
        <v>1107</v>
      </c>
      <c r="B5073" s="940">
        <v>237</v>
      </c>
      <c r="C5073" t="s">
        <v>9161</v>
      </c>
      <c r="D5073" s="940" t="s">
        <v>2813</v>
      </c>
      <c r="E5073" t="s">
        <v>113</v>
      </c>
    </row>
    <row r="5074" spans="1:5" x14ac:dyDescent="0.2">
      <c r="A5074" s="940">
        <v>3732</v>
      </c>
      <c r="B5074" s="940">
        <v>6</v>
      </c>
      <c r="C5074" t="s">
        <v>9162</v>
      </c>
      <c r="D5074" s="940" t="s">
        <v>9163</v>
      </c>
      <c r="E5074" t="s">
        <v>115</v>
      </c>
    </row>
    <row r="5075" spans="1:5" x14ac:dyDescent="0.2">
      <c r="A5075" s="940">
        <v>3972</v>
      </c>
      <c r="B5075" s="940">
        <v>3</v>
      </c>
      <c r="C5075" t="s">
        <v>11857</v>
      </c>
      <c r="D5075" s="940" t="s">
        <v>7196</v>
      </c>
      <c r="E5075" t="s">
        <v>1435</v>
      </c>
    </row>
    <row r="5076" spans="1:5" x14ac:dyDescent="0.2">
      <c r="A5076" s="940">
        <v>198</v>
      </c>
      <c r="B5076" s="940">
        <v>920</v>
      </c>
      <c r="C5076" t="s">
        <v>9164</v>
      </c>
      <c r="D5076" s="940" t="s">
        <v>9165</v>
      </c>
      <c r="E5076" t="s">
        <v>251</v>
      </c>
    </row>
    <row r="5077" spans="1:5" x14ac:dyDescent="0.2">
      <c r="A5077" s="940">
        <v>3972</v>
      </c>
      <c r="B5077" s="940">
        <v>3</v>
      </c>
      <c r="C5077" t="s">
        <v>11858</v>
      </c>
      <c r="D5077" s="940" t="s">
        <v>3315</v>
      </c>
      <c r="E5077" t="s">
        <v>1609</v>
      </c>
    </row>
    <row r="5078" spans="1:5" x14ac:dyDescent="0.2">
      <c r="A5078" s="940">
        <v>694</v>
      </c>
      <c r="B5078" s="940">
        <v>407</v>
      </c>
      <c r="C5078" t="s">
        <v>9166</v>
      </c>
      <c r="D5078" s="940" t="s">
        <v>9167</v>
      </c>
      <c r="E5078" t="s">
        <v>4679</v>
      </c>
    </row>
    <row r="5079" spans="1:5" x14ac:dyDescent="0.2">
      <c r="A5079" s="940">
        <v>2367</v>
      </c>
      <c r="B5079" s="940">
        <v>57</v>
      </c>
      <c r="C5079" t="s">
        <v>9166</v>
      </c>
      <c r="D5079" s="940" t="s">
        <v>7953</v>
      </c>
      <c r="E5079" t="s">
        <v>115</v>
      </c>
    </row>
    <row r="5080" spans="1:5" x14ac:dyDescent="0.2">
      <c r="A5080" s="940">
        <v>2614</v>
      </c>
      <c r="B5080" s="940">
        <v>41</v>
      </c>
      <c r="C5080" t="s">
        <v>9168</v>
      </c>
      <c r="D5080" s="940" t="s">
        <v>3315</v>
      </c>
      <c r="E5080" t="s">
        <v>1609</v>
      </c>
    </row>
    <row r="5081" spans="1:5" x14ac:dyDescent="0.2">
      <c r="A5081" s="940">
        <v>731</v>
      </c>
      <c r="B5081" s="940">
        <v>391</v>
      </c>
      <c r="C5081" t="s">
        <v>11859</v>
      </c>
      <c r="D5081" s="940" t="s">
        <v>11860</v>
      </c>
      <c r="E5081" t="s">
        <v>1251</v>
      </c>
    </row>
    <row r="5082" spans="1:5" x14ac:dyDescent="0.2">
      <c r="A5082" s="940">
        <v>1208</v>
      </c>
      <c r="B5082" s="940">
        <v>206</v>
      </c>
      <c r="C5082" t="s">
        <v>2418</v>
      </c>
      <c r="D5082" s="940" t="s">
        <v>9169</v>
      </c>
      <c r="E5082" t="s">
        <v>1267</v>
      </c>
    </row>
    <row r="5083" spans="1:5" x14ac:dyDescent="0.2">
      <c r="A5083" s="940">
        <v>2083</v>
      </c>
      <c r="B5083" s="940">
        <v>79</v>
      </c>
      <c r="C5083" t="s">
        <v>9170</v>
      </c>
      <c r="D5083" s="940" t="s">
        <v>9171</v>
      </c>
      <c r="E5083" t="s">
        <v>1251</v>
      </c>
    </row>
    <row r="5084" spans="1:5" x14ac:dyDescent="0.2">
      <c r="A5084" s="940">
        <v>60</v>
      </c>
      <c r="B5084" s="940">
        <v>1235</v>
      </c>
      <c r="C5084" t="s">
        <v>9173</v>
      </c>
      <c r="D5084" s="940" t="s">
        <v>9174</v>
      </c>
      <c r="E5084" t="s">
        <v>1968</v>
      </c>
    </row>
    <row r="5085" spans="1:5" x14ac:dyDescent="0.2">
      <c r="A5085" s="940">
        <v>4294</v>
      </c>
      <c r="B5085" s="940">
        <v>0</v>
      </c>
      <c r="C5085" t="s">
        <v>11861</v>
      </c>
      <c r="D5085" s="940" t="s">
        <v>6193</v>
      </c>
      <c r="E5085" t="s">
        <v>1271</v>
      </c>
    </row>
    <row r="5086" spans="1:5" x14ac:dyDescent="0.2">
      <c r="A5086" s="940">
        <v>3972</v>
      </c>
      <c r="B5086" s="940">
        <v>3</v>
      </c>
      <c r="C5086" t="s">
        <v>9176</v>
      </c>
      <c r="D5086" s="940" t="s">
        <v>4862</v>
      </c>
      <c r="E5086" t="s">
        <v>179</v>
      </c>
    </row>
    <row r="5087" spans="1:5" x14ac:dyDescent="0.2">
      <c r="A5087" s="940">
        <v>1543</v>
      </c>
      <c r="B5087" s="940">
        <v>137</v>
      </c>
      <c r="C5087" t="s">
        <v>9177</v>
      </c>
      <c r="D5087" s="940" t="s">
        <v>5791</v>
      </c>
      <c r="E5087" t="s">
        <v>1246</v>
      </c>
    </row>
    <row r="5088" spans="1:5" x14ac:dyDescent="0.2">
      <c r="A5088" s="940">
        <v>3602</v>
      </c>
      <c r="B5088" s="940">
        <v>8</v>
      </c>
      <c r="C5088" t="s">
        <v>9178</v>
      </c>
      <c r="D5088" s="940" t="s">
        <v>3248</v>
      </c>
      <c r="E5088" t="s">
        <v>1232</v>
      </c>
    </row>
    <row r="5089" spans="1:5" x14ac:dyDescent="0.2">
      <c r="A5089" s="940">
        <v>2592</v>
      </c>
      <c r="B5089" s="940">
        <v>42</v>
      </c>
      <c r="C5089" t="s">
        <v>9179</v>
      </c>
      <c r="D5089" s="940" t="s">
        <v>5605</v>
      </c>
      <c r="E5089" t="s">
        <v>1214</v>
      </c>
    </row>
    <row r="5090" spans="1:5" x14ac:dyDescent="0.2">
      <c r="A5090" s="940">
        <v>3136</v>
      </c>
      <c r="B5090" s="940">
        <v>19</v>
      </c>
      <c r="C5090" t="s">
        <v>9180</v>
      </c>
      <c r="D5090" s="940" t="s">
        <v>4456</v>
      </c>
      <c r="E5090" t="s">
        <v>117</v>
      </c>
    </row>
    <row r="5091" spans="1:5" x14ac:dyDescent="0.2">
      <c r="A5091" s="940">
        <v>4294</v>
      </c>
      <c r="B5091" s="940">
        <v>0</v>
      </c>
      <c r="C5091" t="s">
        <v>11862</v>
      </c>
      <c r="D5091" s="940" t="s">
        <v>8862</v>
      </c>
      <c r="E5091" t="s">
        <v>105</v>
      </c>
    </row>
    <row r="5092" spans="1:5" x14ac:dyDescent="0.2">
      <c r="A5092" s="940">
        <v>3107</v>
      </c>
      <c r="B5092" s="940">
        <v>20</v>
      </c>
      <c r="C5092" t="s">
        <v>9181</v>
      </c>
      <c r="D5092" s="940" t="s">
        <v>9182</v>
      </c>
      <c r="E5092" t="s">
        <v>120</v>
      </c>
    </row>
    <row r="5093" spans="1:5" x14ac:dyDescent="0.2">
      <c r="A5093" s="940">
        <v>403</v>
      </c>
      <c r="B5093" s="940">
        <v>638</v>
      </c>
      <c r="C5093" t="s">
        <v>369</v>
      </c>
      <c r="D5093" s="940" t="s">
        <v>9183</v>
      </c>
      <c r="E5093" t="s">
        <v>99</v>
      </c>
    </row>
    <row r="5094" spans="1:5" x14ac:dyDescent="0.2">
      <c r="A5094" s="940">
        <v>493</v>
      </c>
      <c r="B5094" s="940">
        <v>561</v>
      </c>
      <c r="C5094" t="s">
        <v>11863</v>
      </c>
      <c r="D5094" s="940" t="s">
        <v>11864</v>
      </c>
      <c r="E5094" t="s">
        <v>1311</v>
      </c>
    </row>
    <row r="5095" spans="1:5" x14ac:dyDescent="0.2">
      <c r="A5095" s="940">
        <v>760</v>
      </c>
      <c r="B5095" s="940">
        <v>379</v>
      </c>
      <c r="C5095" t="s">
        <v>11865</v>
      </c>
      <c r="D5095" s="940" t="s">
        <v>11530</v>
      </c>
      <c r="E5095" t="s">
        <v>109</v>
      </c>
    </row>
    <row r="5096" spans="1:5" x14ac:dyDescent="0.2">
      <c r="A5096" s="940">
        <v>1431</v>
      </c>
      <c r="B5096" s="940">
        <v>158</v>
      </c>
      <c r="C5096" t="s">
        <v>9184</v>
      </c>
      <c r="D5096" s="940" t="s">
        <v>9185</v>
      </c>
      <c r="E5096" t="s">
        <v>1176</v>
      </c>
    </row>
    <row r="5097" spans="1:5" x14ac:dyDescent="0.2">
      <c r="A5097" s="940">
        <v>2877</v>
      </c>
      <c r="B5097" s="940">
        <v>29</v>
      </c>
      <c r="C5097" t="s">
        <v>9186</v>
      </c>
      <c r="D5097" s="940" t="s">
        <v>4600</v>
      </c>
      <c r="E5097" t="s">
        <v>1171</v>
      </c>
    </row>
    <row r="5098" spans="1:5" x14ac:dyDescent="0.2">
      <c r="A5098" s="940">
        <v>2233</v>
      </c>
      <c r="B5098" s="940">
        <v>67</v>
      </c>
      <c r="C5098" t="s">
        <v>9187</v>
      </c>
      <c r="D5098" s="940" t="s">
        <v>9188</v>
      </c>
      <c r="E5098" t="s">
        <v>99</v>
      </c>
    </row>
    <row r="5099" spans="1:5" x14ac:dyDescent="0.2">
      <c r="A5099" s="940">
        <v>224</v>
      </c>
      <c r="B5099" s="940">
        <v>876</v>
      </c>
      <c r="C5099" t="s">
        <v>9189</v>
      </c>
      <c r="D5099" s="940" t="s">
        <v>9190</v>
      </c>
      <c r="E5099" t="s">
        <v>103</v>
      </c>
    </row>
    <row r="5100" spans="1:5" x14ac:dyDescent="0.2">
      <c r="A5100" s="940">
        <v>1236</v>
      </c>
      <c r="B5100" s="940">
        <v>198</v>
      </c>
      <c r="C5100" t="s">
        <v>2585</v>
      </c>
      <c r="D5100" s="940" t="s">
        <v>4046</v>
      </c>
      <c r="E5100" t="s">
        <v>1200</v>
      </c>
    </row>
    <row r="5101" spans="1:5" x14ac:dyDescent="0.2">
      <c r="A5101" s="940">
        <v>1445</v>
      </c>
      <c r="B5101" s="940">
        <v>155</v>
      </c>
      <c r="C5101" t="s">
        <v>2420</v>
      </c>
      <c r="D5101" s="940" t="s">
        <v>9191</v>
      </c>
      <c r="E5101" t="s">
        <v>111</v>
      </c>
    </row>
    <row r="5102" spans="1:5" x14ac:dyDescent="0.2">
      <c r="A5102" s="940">
        <v>3083</v>
      </c>
      <c r="B5102" s="940">
        <v>21</v>
      </c>
      <c r="C5102" t="s">
        <v>9194</v>
      </c>
      <c r="D5102" s="940" t="s">
        <v>6293</v>
      </c>
      <c r="E5102" t="s">
        <v>1156</v>
      </c>
    </row>
    <row r="5103" spans="1:5" x14ac:dyDescent="0.2">
      <c r="A5103" s="940">
        <v>10</v>
      </c>
      <c r="B5103" s="940">
        <v>1572</v>
      </c>
      <c r="C5103" t="s">
        <v>9195</v>
      </c>
      <c r="D5103" s="940" t="s">
        <v>9196</v>
      </c>
      <c r="E5103" t="s">
        <v>74</v>
      </c>
    </row>
    <row r="5104" spans="1:5" x14ac:dyDescent="0.2">
      <c r="A5104" s="940">
        <v>4294</v>
      </c>
      <c r="B5104" s="940">
        <v>0</v>
      </c>
      <c r="C5104" t="s">
        <v>2586</v>
      </c>
      <c r="D5104" s="940" t="s">
        <v>4784</v>
      </c>
      <c r="E5104" t="s">
        <v>1700</v>
      </c>
    </row>
    <row r="5105" spans="1:5" x14ac:dyDescent="0.2">
      <c r="A5105" s="940">
        <v>825</v>
      </c>
      <c r="B5105" s="940">
        <v>350</v>
      </c>
      <c r="C5105" t="s">
        <v>9197</v>
      </c>
      <c r="D5105" s="940" t="s">
        <v>9198</v>
      </c>
      <c r="E5105" t="s">
        <v>103</v>
      </c>
    </row>
    <row r="5106" spans="1:5" x14ac:dyDescent="0.2">
      <c r="A5106" s="940">
        <v>4294</v>
      </c>
      <c r="B5106" s="940">
        <v>0</v>
      </c>
      <c r="C5106" t="s">
        <v>9200</v>
      </c>
      <c r="D5106" s="940" t="s">
        <v>2753</v>
      </c>
      <c r="E5106" t="s">
        <v>1248</v>
      </c>
    </row>
    <row r="5107" spans="1:5" x14ac:dyDescent="0.2">
      <c r="A5107" s="940">
        <v>3483</v>
      </c>
      <c r="B5107" s="940">
        <v>10</v>
      </c>
      <c r="C5107" t="s">
        <v>9202</v>
      </c>
      <c r="D5107" s="940" t="s">
        <v>9203</v>
      </c>
      <c r="E5107" t="s">
        <v>99</v>
      </c>
    </row>
    <row r="5108" spans="1:5" x14ac:dyDescent="0.2">
      <c r="A5108" s="940">
        <v>3446</v>
      </c>
      <c r="B5108" s="940">
        <v>11</v>
      </c>
      <c r="C5108" t="s">
        <v>11866</v>
      </c>
      <c r="D5108" s="940" t="s">
        <v>5220</v>
      </c>
      <c r="E5108" t="s">
        <v>73</v>
      </c>
    </row>
    <row r="5109" spans="1:5" x14ac:dyDescent="0.2">
      <c r="A5109" s="940">
        <v>330</v>
      </c>
      <c r="B5109" s="940">
        <v>722</v>
      </c>
      <c r="C5109" t="s">
        <v>9204</v>
      </c>
      <c r="D5109" s="940" t="s">
        <v>6101</v>
      </c>
      <c r="E5109" t="s">
        <v>3098</v>
      </c>
    </row>
    <row r="5110" spans="1:5" x14ac:dyDescent="0.2">
      <c r="A5110" s="940">
        <v>469</v>
      </c>
      <c r="B5110" s="940">
        <v>578</v>
      </c>
      <c r="C5110" t="s">
        <v>370</v>
      </c>
      <c r="D5110" s="940" t="s">
        <v>7131</v>
      </c>
      <c r="E5110" t="s">
        <v>2558</v>
      </c>
    </row>
    <row r="5111" spans="1:5" x14ac:dyDescent="0.2">
      <c r="A5111" s="940">
        <v>1355</v>
      </c>
      <c r="B5111" s="940">
        <v>171</v>
      </c>
      <c r="C5111" t="s">
        <v>9205</v>
      </c>
      <c r="D5111" s="940" t="s">
        <v>4769</v>
      </c>
      <c r="E5111" t="s">
        <v>213</v>
      </c>
    </row>
    <row r="5112" spans="1:5" x14ac:dyDescent="0.2">
      <c r="A5112" s="940">
        <v>4294</v>
      </c>
      <c r="B5112" s="940">
        <v>0</v>
      </c>
      <c r="C5112" t="s">
        <v>9206</v>
      </c>
      <c r="D5112" s="940" t="s">
        <v>6363</v>
      </c>
      <c r="E5112" t="s">
        <v>1844</v>
      </c>
    </row>
    <row r="5113" spans="1:5" x14ac:dyDescent="0.2">
      <c r="A5113" s="940">
        <v>3323</v>
      </c>
      <c r="B5113" s="940">
        <v>14</v>
      </c>
      <c r="C5113" t="s">
        <v>9207</v>
      </c>
      <c r="D5113" s="940" t="s">
        <v>8578</v>
      </c>
      <c r="E5113" t="s">
        <v>1286</v>
      </c>
    </row>
    <row r="5114" spans="1:5" x14ac:dyDescent="0.2">
      <c r="A5114" s="940">
        <v>4294</v>
      </c>
      <c r="B5114" s="940">
        <v>0</v>
      </c>
      <c r="C5114" t="s">
        <v>9210</v>
      </c>
      <c r="D5114" s="940" t="s">
        <v>6025</v>
      </c>
      <c r="E5114" t="s">
        <v>105</v>
      </c>
    </row>
    <row r="5115" spans="1:5" x14ac:dyDescent="0.2">
      <c r="A5115" s="940">
        <v>287</v>
      </c>
      <c r="B5115" s="940">
        <v>789</v>
      </c>
      <c r="C5115" t="s">
        <v>11867</v>
      </c>
      <c r="D5115" s="940" t="s">
        <v>11868</v>
      </c>
      <c r="E5115" t="s">
        <v>105</v>
      </c>
    </row>
    <row r="5116" spans="1:5" x14ac:dyDescent="0.2">
      <c r="A5116" s="940">
        <v>3972</v>
      </c>
      <c r="B5116" s="940">
        <v>3</v>
      </c>
      <c r="C5116" t="s">
        <v>9211</v>
      </c>
      <c r="D5116" s="940" t="s">
        <v>3976</v>
      </c>
      <c r="E5116" t="s">
        <v>1578</v>
      </c>
    </row>
    <row r="5117" spans="1:5" x14ac:dyDescent="0.2">
      <c r="A5117" s="940">
        <v>4294</v>
      </c>
      <c r="B5117" s="940">
        <v>0</v>
      </c>
      <c r="C5117" t="s">
        <v>9212</v>
      </c>
      <c r="D5117" s="940" t="s">
        <v>4841</v>
      </c>
      <c r="E5117" t="s">
        <v>105</v>
      </c>
    </row>
    <row r="5118" spans="1:5" x14ac:dyDescent="0.2">
      <c r="A5118" s="940">
        <v>3972</v>
      </c>
      <c r="B5118" s="940">
        <v>3</v>
      </c>
      <c r="C5118" t="s">
        <v>9213</v>
      </c>
      <c r="D5118" s="940" t="s">
        <v>3119</v>
      </c>
      <c r="E5118" t="s">
        <v>1158</v>
      </c>
    </row>
    <row r="5119" spans="1:5" x14ac:dyDescent="0.2">
      <c r="A5119" s="940">
        <v>1174</v>
      </c>
      <c r="B5119" s="940">
        <v>219</v>
      </c>
      <c r="C5119" t="s">
        <v>2422</v>
      </c>
      <c r="D5119" s="940" t="s">
        <v>9214</v>
      </c>
      <c r="E5119" t="s">
        <v>120</v>
      </c>
    </row>
    <row r="5120" spans="1:5" x14ac:dyDescent="0.2">
      <c r="A5120" s="940">
        <v>697</v>
      </c>
      <c r="B5120" s="940">
        <v>404</v>
      </c>
      <c r="C5120" t="s">
        <v>9217</v>
      </c>
      <c r="D5120" s="940" t="s">
        <v>9218</v>
      </c>
      <c r="E5120" t="s">
        <v>2735</v>
      </c>
    </row>
    <row r="5121" spans="1:5" x14ac:dyDescent="0.2">
      <c r="A5121" s="940">
        <v>611</v>
      </c>
      <c r="B5121" s="940">
        <v>459</v>
      </c>
      <c r="C5121" t="s">
        <v>11869</v>
      </c>
      <c r="D5121" s="940" t="s">
        <v>11870</v>
      </c>
      <c r="E5121" t="s">
        <v>99</v>
      </c>
    </row>
    <row r="5122" spans="1:5" x14ac:dyDescent="0.2">
      <c r="A5122" s="940">
        <v>581</v>
      </c>
      <c r="B5122" s="940">
        <v>486</v>
      </c>
      <c r="C5122" t="s">
        <v>755</v>
      </c>
      <c r="D5122" s="940" t="s">
        <v>9220</v>
      </c>
      <c r="E5122" t="s">
        <v>227</v>
      </c>
    </row>
    <row r="5123" spans="1:5" x14ac:dyDescent="0.2">
      <c r="A5123" s="940">
        <v>2745</v>
      </c>
      <c r="B5123" s="940">
        <v>35</v>
      </c>
      <c r="C5123" t="s">
        <v>9221</v>
      </c>
      <c r="D5123" s="940" t="s">
        <v>6133</v>
      </c>
      <c r="E5123" t="s">
        <v>103</v>
      </c>
    </row>
    <row r="5124" spans="1:5" x14ac:dyDescent="0.2">
      <c r="A5124" s="940">
        <v>3796</v>
      </c>
      <c r="B5124" s="940">
        <v>5</v>
      </c>
      <c r="C5124" t="s">
        <v>11871</v>
      </c>
      <c r="D5124" s="940" t="s">
        <v>5172</v>
      </c>
      <c r="E5124" t="s">
        <v>2624</v>
      </c>
    </row>
    <row r="5125" spans="1:5" x14ac:dyDescent="0.2">
      <c r="A5125" s="940">
        <v>280</v>
      </c>
      <c r="B5125" s="940">
        <v>807</v>
      </c>
      <c r="C5125" t="s">
        <v>9222</v>
      </c>
      <c r="D5125" s="940" t="s">
        <v>9223</v>
      </c>
      <c r="E5125" t="s">
        <v>147</v>
      </c>
    </row>
    <row r="5126" spans="1:5" x14ac:dyDescent="0.2">
      <c r="A5126" s="940">
        <v>1993</v>
      </c>
      <c r="B5126" s="940">
        <v>86</v>
      </c>
      <c r="C5126" t="s">
        <v>2426</v>
      </c>
      <c r="D5126" s="940" t="s">
        <v>3792</v>
      </c>
      <c r="E5126" t="s">
        <v>117</v>
      </c>
    </row>
    <row r="5127" spans="1:5" x14ac:dyDescent="0.2">
      <c r="A5127" s="940">
        <v>4294</v>
      </c>
      <c r="B5127" s="940">
        <v>0</v>
      </c>
      <c r="C5127" t="s">
        <v>9224</v>
      </c>
      <c r="D5127" s="940" t="s">
        <v>4724</v>
      </c>
      <c r="E5127" t="s">
        <v>105</v>
      </c>
    </row>
    <row r="5128" spans="1:5" x14ac:dyDescent="0.2">
      <c r="A5128" s="940">
        <v>973</v>
      </c>
      <c r="B5128" s="940">
        <v>289</v>
      </c>
      <c r="C5128" t="s">
        <v>2427</v>
      </c>
      <c r="D5128" s="940" t="s">
        <v>9225</v>
      </c>
      <c r="E5128" t="s">
        <v>130</v>
      </c>
    </row>
    <row r="5129" spans="1:5" x14ac:dyDescent="0.2">
      <c r="A5129" s="940">
        <v>4294</v>
      </c>
      <c r="B5129" s="940">
        <v>0</v>
      </c>
      <c r="C5129" t="s">
        <v>9226</v>
      </c>
      <c r="D5129" s="940" t="s">
        <v>9227</v>
      </c>
      <c r="E5129" t="s">
        <v>130</v>
      </c>
    </row>
    <row r="5130" spans="1:5" x14ac:dyDescent="0.2">
      <c r="A5130" s="940">
        <v>1184</v>
      </c>
      <c r="B5130" s="940">
        <v>216</v>
      </c>
      <c r="C5130" t="s">
        <v>2429</v>
      </c>
      <c r="D5130" s="940" t="s">
        <v>4569</v>
      </c>
      <c r="E5130" t="s">
        <v>1655</v>
      </c>
    </row>
    <row r="5131" spans="1:5" x14ac:dyDescent="0.2">
      <c r="A5131" s="940">
        <v>4294</v>
      </c>
      <c r="B5131" s="940">
        <v>0</v>
      </c>
      <c r="C5131" t="s">
        <v>11872</v>
      </c>
      <c r="D5131" s="940" t="s">
        <v>11873</v>
      </c>
      <c r="E5131" t="s">
        <v>128</v>
      </c>
    </row>
    <row r="5132" spans="1:5" x14ac:dyDescent="0.2">
      <c r="A5132" s="940">
        <v>2286</v>
      </c>
      <c r="B5132" s="940">
        <v>63</v>
      </c>
      <c r="C5132" t="s">
        <v>11874</v>
      </c>
      <c r="D5132" s="940" t="s">
        <v>5172</v>
      </c>
      <c r="E5132" t="s">
        <v>109</v>
      </c>
    </row>
    <row r="5133" spans="1:5" x14ac:dyDescent="0.2">
      <c r="A5133" s="940">
        <v>3174</v>
      </c>
      <c r="B5133" s="940">
        <v>18</v>
      </c>
      <c r="C5133" t="s">
        <v>9228</v>
      </c>
      <c r="D5133" s="940" t="s">
        <v>9229</v>
      </c>
      <c r="E5133" t="s">
        <v>614</v>
      </c>
    </row>
    <row r="5134" spans="1:5" x14ac:dyDescent="0.2">
      <c r="A5134" s="940">
        <v>2312</v>
      </c>
      <c r="B5134" s="940">
        <v>61</v>
      </c>
      <c r="C5134" t="s">
        <v>11875</v>
      </c>
      <c r="D5134" s="940" t="s">
        <v>9610</v>
      </c>
      <c r="E5134" t="s">
        <v>3200</v>
      </c>
    </row>
    <row r="5135" spans="1:5" x14ac:dyDescent="0.2">
      <c r="A5135" s="940">
        <v>4181</v>
      </c>
      <c r="B5135" s="940">
        <v>1</v>
      </c>
      <c r="C5135" t="s">
        <v>9230</v>
      </c>
      <c r="D5135" s="940" t="s">
        <v>8083</v>
      </c>
      <c r="E5135" t="s">
        <v>1238</v>
      </c>
    </row>
    <row r="5136" spans="1:5" x14ac:dyDescent="0.2">
      <c r="A5136" s="940">
        <v>2668</v>
      </c>
      <c r="B5136" s="940">
        <v>38</v>
      </c>
      <c r="C5136" t="s">
        <v>9231</v>
      </c>
      <c r="D5136" s="940" t="s">
        <v>5256</v>
      </c>
      <c r="E5136" t="s">
        <v>120</v>
      </c>
    </row>
    <row r="5137" spans="1:5" x14ac:dyDescent="0.2">
      <c r="A5137" s="940">
        <v>1293</v>
      </c>
      <c r="B5137" s="940">
        <v>186</v>
      </c>
      <c r="C5137" t="s">
        <v>9232</v>
      </c>
      <c r="D5137" s="940" t="s">
        <v>9233</v>
      </c>
      <c r="E5137" t="s">
        <v>139</v>
      </c>
    </row>
    <row r="5138" spans="1:5" x14ac:dyDescent="0.2">
      <c r="A5138" s="940">
        <v>2150</v>
      </c>
      <c r="B5138" s="940">
        <v>73</v>
      </c>
      <c r="C5138" t="s">
        <v>11876</v>
      </c>
      <c r="D5138" s="940" t="s">
        <v>11877</v>
      </c>
      <c r="E5138" t="s">
        <v>1628</v>
      </c>
    </row>
    <row r="5139" spans="1:5" x14ac:dyDescent="0.2">
      <c r="A5139" s="940">
        <v>4294</v>
      </c>
      <c r="B5139" s="940">
        <v>0</v>
      </c>
      <c r="C5139" t="s">
        <v>11878</v>
      </c>
      <c r="D5139" s="940" t="s">
        <v>8892</v>
      </c>
      <c r="E5139" t="s">
        <v>105</v>
      </c>
    </row>
    <row r="5140" spans="1:5" x14ac:dyDescent="0.2">
      <c r="A5140" s="940">
        <v>1467</v>
      </c>
      <c r="B5140" s="940">
        <v>151</v>
      </c>
      <c r="C5140" t="s">
        <v>880</v>
      </c>
      <c r="D5140" s="940" t="s">
        <v>9234</v>
      </c>
      <c r="E5140" t="s">
        <v>1200</v>
      </c>
    </row>
    <row r="5141" spans="1:5" x14ac:dyDescent="0.2">
      <c r="A5141" s="940">
        <v>1413</v>
      </c>
      <c r="B5141" s="940">
        <v>160</v>
      </c>
      <c r="C5141" t="s">
        <v>11879</v>
      </c>
      <c r="D5141" s="940" t="s">
        <v>11880</v>
      </c>
      <c r="E5141" t="s">
        <v>120</v>
      </c>
    </row>
    <row r="5142" spans="1:5" x14ac:dyDescent="0.2">
      <c r="A5142" s="940">
        <v>4294</v>
      </c>
      <c r="B5142" s="940">
        <v>0</v>
      </c>
      <c r="C5142" t="s">
        <v>9237</v>
      </c>
      <c r="D5142" s="940" t="s">
        <v>9238</v>
      </c>
      <c r="E5142" t="s">
        <v>1460</v>
      </c>
    </row>
    <row r="5143" spans="1:5" x14ac:dyDescent="0.2">
      <c r="A5143" s="940">
        <v>269</v>
      </c>
      <c r="B5143" s="940">
        <v>814</v>
      </c>
      <c r="C5143" t="s">
        <v>9239</v>
      </c>
      <c r="D5143" s="940" t="s">
        <v>9240</v>
      </c>
      <c r="E5143" t="s">
        <v>1156</v>
      </c>
    </row>
    <row r="5144" spans="1:5" x14ac:dyDescent="0.2">
      <c r="A5144" s="940">
        <v>521</v>
      </c>
      <c r="B5144" s="940">
        <v>526</v>
      </c>
      <c r="C5144" t="s">
        <v>757</v>
      </c>
      <c r="D5144" s="940" t="s">
        <v>9241</v>
      </c>
      <c r="E5144" t="s">
        <v>105</v>
      </c>
    </row>
    <row r="5145" spans="1:5" x14ac:dyDescent="0.2">
      <c r="A5145" s="940">
        <v>3655</v>
      </c>
      <c r="B5145" s="940">
        <v>7</v>
      </c>
      <c r="C5145" t="s">
        <v>9242</v>
      </c>
      <c r="D5145" s="940" t="s">
        <v>7040</v>
      </c>
      <c r="E5145" t="s">
        <v>3114</v>
      </c>
    </row>
    <row r="5146" spans="1:5" x14ac:dyDescent="0.2">
      <c r="A5146" s="940">
        <v>1467</v>
      </c>
      <c r="B5146" s="940">
        <v>151</v>
      </c>
      <c r="C5146" t="s">
        <v>11881</v>
      </c>
      <c r="D5146" s="940" t="s">
        <v>11882</v>
      </c>
      <c r="E5146" t="s">
        <v>3383</v>
      </c>
    </row>
    <row r="5147" spans="1:5" x14ac:dyDescent="0.2">
      <c r="A5147" s="940">
        <v>3655</v>
      </c>
      <c r="B5147" s="940">
        <v>7</v>
      </c>
      <c r="C5147" t="s">
        <v>9243</v>
      </c>
      <c r="D5147" s="940" t="s">
        <v>4175</v>
      </c>
      <c r="E5147" t="s">
        <v>103</v>
      </c>
    </row>
    <row r="5148" spans="1:5" x14ac:dyDescent="0.2">
      <c r="A5148" s="940">
        <v>3882</v>
      </c>
      <c r="B5148" s="940">
        <v>4</v>
      </c>
      <c r="C5148" t="s">
        <v>11883</v>
      </c>
      <c r="D5148" s="940" t="s">
        <v>2634</v>
      </c>
      <c r="E5148" t="s">
        <v>84</v>
      </c>
    </row>
    <row r="5149" spans="1:5" x14ac:dyDescent="0.2">
      <c r="A5149" s="940">
        <v>2462</v>
      </c>
      <c r="B5149" s="940">
        <v>50</v>
      </c>
      <c r="C5149" t="s">
        <v>9244</v>
      </c>
      <c r="D5149" s="940" t="s">
        <v>9245</v>
      </c>
      <c r="E5149" t="s">
        <v>2793</v>
      </c>
    </row>
    <row r="5150" spans="1:5" x14ac:dyDescent="0.2">
      <c r="A5150" s="940">
        <v>3882</v>
      </c>
      <c r="B5150" s="940">
        <v>4</v>
      </c>
      <c r="C5150" t="s">
        <v>11884</v>
      </c>
      <c r="D5150" s="940" t="s">
        <v>10759</v>
      </c>
      <c r="E5150" t="s">
        <v>110</v>
      </c>
    </row>
    <row r="5151" spans="1:5" x14ac:dyDescent="0.2">
      <c r="A5151" s="940">
        <v>690</v>
      </c>
      <c r="B5151" s="940">
        <v>408</v>
      </c>
      <c r="C5151" t="s">
        <v>11885</v>
      </c>
      <c r="D5151" s="940" t="s">
        <v>9248</v>
      </c>
      <c r="E5151" t="s">
        <v>103</v>
      </c>
    </row>
    <row r="5152" spans="1:5" x14ac:dyDescent="0.2">
      <c r="A5152" s="940">
        <v>3008</v>
      </c>
      <c r="B5152" s="940">
        <v>23</v>
      </c>
      <c r="C5152" t="s">
        <v>11886</v>
      </c>
      <c r="D5152" s="940" t="s">
        <v>11887</v>
      </c>
      <c r="E5152" t="s">
        <v>1341</v>
      </c>
    </row>
    <row r="5153" spans="1:5" x14ac:dyDescent="0.2">
      <c r="A5153" s="940">
        <v>3323</v>
      </c>
      <c r="B5153" s="940">
        <v>14</v>
      </c>
      <c r="C5153" t="s">
        <v>11888</v>
      </c>
      <c r="D5153" s="940" t="s">
        <v>5966</v>
      </c>
      <c r="E5153" t="s">
        <v>246</v>
      </c>
    </row>
    <row r="5154" spans="1:5" x14ac:dyDescent="0.2">
      <c r="A5154" s="940">
        <v>1259</v>
      </c>
      <c r="B5154" s="940">
        <v>192</v>
      </c>
      <c r="C5154" t="s">
        <v>9249</v>
      </c>
      <c r="D5154" s="940" t="s">
        <v>3953</v>
      </c>
      <c r="E5154" t="s">
        <v>120</v>
      </c>
    </row>
    <row r="5155" spans="1:5" x14ac:dyDescent="0.2">
      <c r="A5155" s="940">
        <v>4081</v>
      </c>
      <c r="B5155" s="940">
        <v>2</v>
      </c>
      <c r="C5155" t="s">
        <v>9250</v>
      </c>
      <c r="D5155" s="940" t="s">
        <v>5401</v>
      </c>
      <c r="E5155" t="s">
        <v>1968</v>
      </c>
    </row>
    <row r="5156" spans="1:5" x14ac:dyDescent="0.2">
      <c r="A5156" s="940">
        <v>1499</v>
      </c>
      <c r="B5156" s="940">
        <v>144</v>
      </c>
      <c r="C5156" t="s">
        <v>2587</v>
      </c>
      <c r="D5156" s="940" t="s">
        <v>9251</v>
      </c>
      <c r="E5156" t="s">
        <v>99</v>
      </c>
    </row>
    <row r="5157" spans="1:5" x14ac:dyDescent="0.2">
      <c r="A5157" s="940">
        <v>2571</v>
      </c>
      <c r="B5157" s="940">
        <v>43</v>
      </c>
      <c r="C5157" t="s">
        <v>11889</v>
      </c>
      <c r="D5157" s="940" t="s">
        <v>5987</v>
      </c>
      <c r="E5157" t="s">
        <v>1168</v>
      </c>
    </row>
    <row r="5158" spans="1:5" x14ac:dyDescent="0.2">
      <c r="A5158" s="940">
        <v>3882</v>
      </c>
      <c r="B5158" s="940">
        <v>4</v>
      </c>
      <c r="C5158" t="s">
        <v>11890</v>
      </c>
      <c r="D5158" s="940" t="s">
        <v>11507</v>
      </c>
      <c r="E5158" t="s">
        <v>164</v>
      </c>
    </row>
    <row r="5159" spans="1:5" x14ac:dyDescent="0.2">
      <c r="A5159" s="940">
        <v>2083</v>
      </c>
      <c r="B5159" s="940">
        <v>79</v>
      </c>
      <c r="C5159" t="s">
        <v>2435</v>
      </c>
      <c r="D5159" s="940" t="s">
        <v>9252</v>
      </c>
      <c r="E5159" t="s">
        <v>105</v>
      </c>
    </row>
    <row r="5160" spans="1:5" x14ac:dyDescent="0.2">
      <c r="A5160" s="940">
        <v>4294</v>
      </c>
      <c r="B5160" s="940">
        <v>0</v>
      </c>
      <c r="C5160" t="s">
        <v>9253</v>
      </c>
      <c r="D5160" s="940" t="s">
        <v>5529</v>
      </c>
      <c r="E5160" t="s">
        <v>122</v>
      </c>
    </row>
    <row r="5161" spans="1:5" x14ac:dyDescent="0.2">
      <c r="A5161" s="940">
        <v>4294</v>
      </c>
      <c r="B5161" s="940">
        <v>0</v>
      </c>
      <c r="C5161" t="s">
        <v>9254</v>
      </c>
      <c r="D5161" s="940" t="s">
        <v>9255</v>
      </c>
      <c r="E5161" t="s">
        <v>122</v>
      </c>
    </row>
    <row r="5162" spans="1:5" x14ac:dyDescent="0.2">
      <c r="A5162" s="940">
        <v>957</v>
      </c>
      <c r="B5162" s="940">
        <v>294</v>
      </c>
      <c r="C5162" t="s">
        <v>9256</v>
      </c>
      <c r="D5162" s="940" t="s">
        <v>9257</v>
      </c>
      <c r="E5162" t="s">
        <v>1311</v>
      </c>
    </row>
    <row r="5163" spans="1:5" x14ac:dyDescent="0.2">
      <c r="A5163" s="940">
        <v>4294</v>
      </c>
      <c r="B5163" s="940">
        <v>0</v>
      </c>
      <c r="C5163" t="s">
        <v>9258</v>
      </c>
      <c r="D5163" s="940" t="s">
        <v>9259</v>
      </c>
      <c r="E5163" t="s">
        <v>105</v>
      </c>
    </row>
    <row r="5164" spans="1:5" x14ac:dyDescent="0.2">
      <c r="A5164" s="940">
        <v>3008</v>
      </c>
      <c r="B5164" s="940">
        <v>23</v>
      </c>
      <c r="C5164" t="s">
        <v>9262</v>
      </c>
      <c r="D5164" s="940" t="s">
        <v>8727</v>
      </c>
      <c r="E5164" t="s">
        <v>128</v>
      </c>
    </row>
    <row r="5165" spans="1:5" x14ac:dyDescent="0.2">
      <c r="A5165" s="940">
        <v>48</v>
      </c>
      <c r="B5165" s="940">
        <v>1300</v>
      </c>
      <c r="C5165" t="s">
        <v>9263</v>
      </c>
      <c r="D5165" s="940" t="s">
        <v>9264</v>
      </c>
      <c r="E5165" t="s">
        <v>105</v>
      </c>
    </row>
    <row r="5166" spans="1:5" x14ac:dyDescent="0.2">
      <c r="A5166" s="940">
        <v>4294</v>
      </c>
      <c r="B5166" s="940">
        <v>0</v>
      </c>
      <c r="C5166" t="s">
        <v>11891</v>
      </c>
      <c r="D5166" s="940" t="s">
        <v>10124</v>
      </c>
      <c r="E5166" t="s">
        <v>165</v>
      </c>
    </row>
    <row r="5167" spans="1:5" x14ac:dyDescent="0.2">
      <c r="A5167" s="940">
        <v>1993</v>
      </c>
      <c r="B5167" s="940">
        <v>86</v>
      </c>
      <c r="C5167" t="s">
        <v>9265</v>
      </c>
      <c r="D5167" s="940" t="s">
        <v>5391</v>
      </c>
      <c r="E5167" t="s">
        <v>5767</v>
      </c>
    </row>
    <row r="5168" spans="1:5" x14ac:dyDescent="0.2">
      <c r="A5168" s="940">
        <v>269</v>
      </c>
      <c r="B5168" s="940">
        <v>814</v>
      </c>
      <c r="C5168" t="s">
        <v>9266</v>
      </c>
      <c r="D5168" s="940" t="s">
        <v>9267</v>
      </c>
      <c r="E5168" t="s">
        <v>251</v>
      </c>
    </row>
    <row r="5169" spans="1:5" x14ac:dyDescent="0.2">
      <c r="A5169" s="940">
        <v>471</v>
      </c>
      <c r="B5169" s="940">
        <v>576</v>
      </c>
      <c r="C5169" t="s">
        <v>11892</v>
      </c>
      <c r="D5169" s="940" t="s">
        <v>11893</v>
      </c>
      <c r="E5169" t="s">
        <v>3058</v>
      </c>
    </row>
    <row r="5170" spans="1:5" x14ac:dyDescent="0.2">
      <c r="A5170" s="940">
        <v>738</v>
      </c>
      <c r="B5170" s="940">
        <v>387</v>
      </c>
      <c r="C5170" t="s">
        <v>9268</v>
      </c>
      <c r="D5170" s="940" t="s">
        <v>9269</v>
      </c>
      <c r="E5170" t="s">
        <v>103</v>
      </c>
    </row>
    <row r="5171" spans="1:5" x14ac:dyDescent="0.2">
      <c r="A5171" s="940">
        <v>2938</v>
      </c>
      <c r="B5171" s="940">
        <v>26</v>
      </c>
      <c r="C5171" t="s">
        <v>11894</v>
      </c>
      <c r="D5171" s="940" t="s">
        <v>9538</v>
      </c>
      <c r="E5171" t="s">
        <v>75</v>
      </c>
    </row>
    <row r="5172" spans="1:5" x14ac:dyDescent="0.2">
      <c r="A5172" s="940">
        <v>1543</v>
      </c>
      <c r="B5172" s="940">
        <v>137</v>
      </c>
      <c r="C5172" t="s">
        <v>11895</v>
      </c>
      <c r="D5172" s="940" t="s">
        <v>11896</v>
      </c>
      <c r="E5172" t="s">
        <v>6712</v>
      </c>
    </row>
    <row r="5173" spans="1:5" x14ac:dyDescent="0.2">
      <c r="A5173" s="940">
        <v>3882</v>
      </c>
      <c r="B5173" s="940">
        <v>4</v>
      </c>
      <c r="C5173" t="s">
        <v>9271</v>
      </c>
      <c r="D5173" s="940" t="s">
        <v>5919</v>
      </c>
      <c r="E5173" t="s">
        <v>99</v>
      </c>
    </row>
    <row r="5174" spans="1:5" x14ac:dyDescent="0.2">
      <c r="A5174" s="940">
        <v>4294</v>
      </c>
      <c r="B5174" s="940">
        <v>0</v>
      </c>
      <c r="C5174" t="s">
        <v>9272</v>
      </c>
      <c r="D5174" s="940" t="s">
        <v>4407</v>
      </c>
      <c r="E5174" t="s">
        <v>122</v>
      </c>
    </row>
    <row r="5175" spans="1:5" x14ac:dyDescent="0.2">
      <c r="A5175" s="940">
        <v>3107</v>
      </c>
      <c r="B5175" s="940">
        <v>20</v>
      </c>
      <c r="C5175" t="s">
        <v>9275</v>
      </c>
      <c r="D5175" s="940" t="s">
        <v>8942</v>
      </c>
      <c r="E5175" t="s">
        <v>6245</v>
      </c>
    </row>
    <row r="5176" spans="1:5" x14ac:dyDescent="0.2">
      <c r="A5176" s="940">
        <v>706</v>
      </c>
      <c r="B5176" s="940">
        <v>400</v>
      </c>
      <c r="C5176" t="s">
        <v>371</v>
      </c>
      <c r="D5176" s="940" t="s">
        <v>9276</v>
      </c>
      <c r="E5176" t="s">
        <v>105</v>
      </c>
    </row>
    <row r="5177" spans="1:5" x14ac:dyDescent="0.2">
      <c r="A5177" s="940">
        <v>3222</v>
      </c>
      <c r="B5177" s="940">
        <v>17</v>
      </c>
      <c r="C5177" t="s">
        <v>11897</v>
      </c>
      <c r="D5177" s="940" t="s">
        <v>5541</v>
      </c>
      <c r="E5177" t="s">
        <v>1182</v>
      </c>
    </row>
    <row r="5178" spans="1:5" x14ac:dyDescent="0.2">
      <c r="A5178" s="940">
        <v>1946</v>
      </c>
      <c r="B5178" s="940">
        <v>91</v>
      </c>
      <c r="C5178" t="s">
        <v>9279</v>
      </c>
      <c r="D5178" s="940" t="s">
        <v>8862</v>
      </c>
      <c r="E5178" t="s">
        <v>5136</v>
      </c>
    </row>
    <row r="5179" spans="1:5" x14ac:dyDescent="0.2">
      <c r="A5179" s="940">
        <v>1676</v>
      </c>
      <c r="B5179" s="940">
        <v>120</v>
      </c>
      <c r="C5179" t="s">
        <v>11898</v>
      </c>
      <c r="D5179" s="940" t="s">
        <v>11899</v>
      </c>
      <c r="E5179" t="s">
        <v>1158</v>
      </c>
    </row>
    <row r="5180" spans="1:5" x14ac:dyDescent="0.2">
      <c r="A5180" s="940">
        <v>4294</v>
      </c>
      <c r="B5180" s="940">
        <v>0</v>
      </c>
      <c r="C5180" t="s">
        <v>9286</v>
      </c>
      <c r="D5180" s="940" t="s">
        <v>6878</v>
      </c>
      <c r="E5180" t="s">
        <v>120</v>
      </c>
    </row>
    <row r="5181" spans="1:5" x14ac:dyDescent="0.2">
      <c r="A5181" s="940">
        <v>3290</v>
      </c>
      <c r="B5181" s="940">
        <v>15</v>
      </c>
      <c r="C5181" t="s">
        <v>11900</v>
      </c>
      <c r="D5181" s="940" t="s">
        <v>6349</v>
      </c>
      <c r="E5181" t="s">
        <v>113</v>
      </c>
    </row>
    <row r="5182" spans="1:5" x14ac:dyDescent="0.2">
      <c r="A5182" s="940">
        <v>4294</v>
      </c>
      <c r="B5182" s="940">
        <v>0</v>
      </c>
      <c r="C5182" t="s">
        <v>9287</v>
      </c>
      <c r="D5182" s="940" t="s">
        <v>2626</v>
      </c>
      <c r="E5182" t="s">
        <v>120</v>
      </c>
    </row>
    <row r="5183" spans="1:5" x14ac:dyDescent="0.2">
      <c r="A5183" s="940">
        <v>3107</v>
      </c>
      <c r="B5183" s="940">
        <v>20</v>
      </c>
      <c r="C5183" t="s">
        <v>9288</v>
      </c>
      <c r="D5183" s="940" t="s">
        <v>9289</v>
      </c>
      <c r="E5183" t="s">
        <v>74</v>
      </c>
    </row>
    <row r="5184" spans="1:5" x14ac:dyDescent="0.2">
      <c r="A5184" s="940">
        <v>1236</v>
      </c>
      <c r="B5184" s="940">
        <v>198</v>
      </c>
      <c r="C5184" t="s">
        <v>372</v>
      </c>
      <c r="D5184" s="940" t="s">
        <v>9234</v>
      </c>
      <c r="E5184" t="s">
        <v>120</v>
      </c>
    </row>
    <row r="5185" spans="1:5" x14ac:dyDescent="0.2">
      <c r="A5185" s="940">
        <v>1144</v>
      </c>
      <c r="B5185" s="940">
        <v>226</v>
      </c>
      <c r="C5185" t="s">
        <v>11901</v>
      </c>
      <c r="D5185" s="940" t="s">
        <v>11902</v>
      </c>
      <c r="E5185" t="s">
        <v>1271</v>
      </c>
    </row>
    <row r="5186" spans="1:5" x14ac:dyDescent="0.2">
      <c r="A5186" s="940">
        <v>825</v>
      </c>
      <c r="B5186" s="940">
        <v>350</v>
      </c>
      <c r="C5186" t="s">
        <v>11903</v>
      </c>
      <c r="D5186" s="940" t="s">
        <v>11904</v>
      </c>
      <c r="E5186" t="s">
        <v>9292</v>
      </c>
    </row>
    <row r="5187" spans="1:5" x14ac:dyDescent="0.2">
      <c r="A5187" s="940">
        <v>4181</v>
      </c>
      <c r="B5187" s="940">
        <v>1</v>
      </c>
      <c r="C5187" t="s">
        <v>11905</v>
      </c>
      <c r="D5187" s="940" t="s">
        <v>6191</v>
      </c>
      <c r="E5187" t="s">
        <v>99</v>
      </c>
    </row>
    <row r="5188" spans="1:5" x14ac:dyDescent="0.2">
      <c r="A5188" s="940">
        <v>1102</v>
      </c>
      <c r="B5188" s="940">
        <v>240</v>
      </c>
      <c r="C5188" t="s">
        <v>9290</v>
      </c>
      <c r="D5188" s="940" t="s">
        <v>9291</v>
      </c>
      <c r="E5188" t="s">
        <v>9292</v>
      </c>
    </row>
    <row r="5189" spans="1:5" x14ac:dyDescent="0.2">
      <c r="A5189" s="940">
        <v>4294</v>
      </c>
      <c r="B5189" s="940">
        <v>0</v>
      </c>
      <c r="C5189" t="s">
        <v>9293</v>
      </c>
      <c r="D5189" s="940" t="s">
        <v>6097</v>
      </c>
      <c r="E5189" t="s">
        <v>2720</v>
      </c>
    </row>
    <row r="5190" spans="1:5" x14ac:dyDescent="0.2">
      <c r="A5190" s="940">
        <v>4294</v>
      </c>
      <c r="B5190" s="940">
        <v>0</v>
      </c>
      <c r="C5190" t="s">
        <v>9294</v>
      </c>
      <c r="D5190" s="940" t="s">
        <v>9295</v>
      </c>
      <c r="E5190" t="s">
        <v>4583</v>
      </c>
    </row>
    <row r="5191" spans="1:5" x14ac:dyDescent="0.2">
      <c r="A5191" s="940">
        <v>680</v>
      </c>
      <c r="B5191" s="940">
        <v>415</v>
      </c>
      <c r="C5191" t="s">
        <v>9296</v>
      </c>
      <c r="D5191" s="940" t="s">
        <v>9297</v>
      </c>
      <c r="E5191" t="s">
        <v>103</v>
      </c>
    </row>
    <row r="5192" spans="1:5" x14ac:dyDescent="0.2">
      <c r="A5192" s="940">
        <v>4294</v>
      </c>
      <c r="B5192" s="940">
        <v>0</v>
      </c>
      <c r="C5192" t="s">
        <v>9298</v>
      </c>
      <c r="D5192" s="940" t="s">
        <v>8433</v>
      </c>
      <c r="E5192" t="s">
        <v>165</v>
      </c>
    </row>
    <row r="5193" spans="1:5" x14ac:dyDescent="0.2">
      <c r="A5193" s="940">
        <v>1166</v>
      </c>
      <c r="B5193" s="940">
        <v>221</v>
      </c>
      <c r="C5193" t="s">
        <v>11906</v>
      </c>
      <c r="D5193" s="940" t="s">
        <v>11907</v>
      </c>
      <c r="E5193" t="s">
        <v>6555</v>
      </c>
    </row>
    <row r="5194" spans="1:5" x14ac:dyDescent="0.2">
      <c r="A5194" s="940">
        <v>1511</v>
      </c>
      <c r="B5194" s="940">
        <v>143</v>
      </c>
      <c r="C5194" t="s">
        <v>9299</v>
      </c>
      <c r="D5194" s="940" t="s">
        <v>7407</v>
      </c>
      <c r="E5194" t="s">
        <v>213</v>
      </c>
    </row>
    <row r="5195" spans="1:5" x14ac:dyDescent="0.2">
      <c r="A5195" s="940">
        <v>1609</v>
      </c>
      <c r="B5195" s="940">
        <v>127</v>
      </c>
      <c r="C5195" t="s">
        <v>9300</v>
      </c>
      <c r="D5195" s="940" t="s">
        <v>5741</v>
      </c>
      <c r="E5195" t="s">
        <v>1584</v>
      </c>
    </row>
    <row r="5196" spans="1:5" x14ac:dyDescent="0.2">
      <c r="A5196" s="940">
        <v>1553</v>
      </c>
      <c r="B5196" s="940">
        <v>136</v>
      </c>
      <c r="C5196" t="s">
        <v>9301</v>
      </c>
      <c r="D5196" s="940" t="s">
        <v>9302</v>
      </c>
      <c r="E5196" t="s">
        <v>1211</v>
      </c>
    </row>
    <row r="5197" spans="1:5" x14ac:dyDescent="0.2">
      <c r="A5197" s="940">
        <v>2938</v>
      </c>
      <c r="B5197" s="940">
        <v>26</v>
      </c>
      <c r="C5197" t="s">
        <v>11908</v>
      </c>
      <c r="D5197" s="940" t="s">
        <v>11909</v>
      </c>
      <c r="E5197" t="s">
        <v>1372</v>
      </c>
    </row>
    <row r="5198" spans="1:5" x14ac:dyDescent="0.2">
      <c r="A5198" s="940">
        <v>460</v>
      </c>
      <c r="B5198" s="940">
        <v>584</v>
      </c>
      <c r="C5198" t="s">
        <v>2533</v>
      </c>
      <c r="D5198" s="940" t="s">
        <v>9303</v>
      </c>
      <c r="E5198" t="s">
        <v>2558</v>
      </c>
    </row>
    <row r="5199" spans="1:5" x14ac:dyDescent="0.2">
      <c r="A5199" s="940">
        <v>650</v>
      </c>
      <c r="B5199" s="940">
        <v>433</v>
      </c>
      <c r="C5199" t="s">
        <v>11910</v>
      </c>
      <c r="D5199" s="940" t="s">
        <v>11911</v>
      </c>
      <c r="E5199" t="s">
        <v>4574</v>
      </c>
    </row>
    <row r="5200" spans="1:5" x14ac:dyDescent="0.2">
      <c r="A5200" s="940">
        <v>1880</v>
      </c>
      <c r="B5200" s="940">
        <v>97</v>
      </c>
      <c r="C5200" t="s">
        <v>2441</v>
      </c>
      <c r="D5200" s="940" t="s">
        <v>10960</v>
      </c>
      <c r="E5200" t="s">
        <v>141</v>
      </c>
    </row>
    <row r="5201" spans="1:5" x14ac:dyDescent="0.2">
      <c r="A5201" s="940">
        <v>3655</v>
      </c>
      <c r="B5201" s="940">
        <v>7</v>
      </c>
      <c r="C5201" t="s">
        <v>9304</v>
      </c>
      <c r="D5201" s="940" t="s">
        <v>3766</v>
      </c>
      <c r="E5201" t="s">
        <v>99</v>
      </c>
    </row>
    <row r="5202" spans="1:5" x14ac:dyDescent="0.2">
      <c r="A5202" s="940">
        <v>2254</v>
      </c>
      <c r="B5202" s="940">
        <v>65</v>
      </c>
      <c r="C5202" t="s">
        <v>9305</v>
      </c>
      <c r="D5202" s="940" t="s">
        <v>9182</v>
      </c>
      <c r="E5202" t="s">
        <v>170</v>
      </c>
    </row>
    <row r="5203" spans="1:5" x14ac:dyDescent="0.2">
      <c r="A5203" s="940">
        <v>4294</v>
      </c>
      <c r="B5203" s="940">
        <v>0</v>
      </c>
      <c r="C5203" t="s">
        <v>9307</v>
      </c>
      <c r="D5203" s="940" t="s">
        <v>3792</v>
      </c>
      <c r="E5203" t="s">
        <v>3098</v>
      </c>
    </row>
    <row r="5204" spans="1:5" x14ac:dyDescent="0.2">
      <c r="A5204" s="940">
        <v>4294</v>
      </c>
      <c r="B5204" s="940">
        <v>0</v>
      </c>
      <c r="C5204" t="s">
        <v>9308</v>
      </c>
      <c r="D5204" s="940" t="s">
        <v>7152</v>
      </c>
      <c r="E5204" t="s">
        <v>83</v>
      </c>
    </row>
    <row r="5205" spans="1:5" x14ac:dyDescent="0.2">
      <c r="A5205" s="940">
        <v>3972</v>
      </c>
      <c r="B5205" s="940">
        <v>3</v>
      </c>
      <c r="C5205" t="s">
        <v>11912</v>
      </c>
      <c r="D5205" s="940" t="s">
        <v>4351</v>
      </c>
      <c r="E5205" t="s">
        <v>99</v>
      </c>
    </row>
    <row r="5206" spans="1:5" x14ac:dyDescent="0.2">
      <c r="A5206" s="940">
        <v>558</v>
      </c>
      <c r="B5206" s="940">
        <v>499</v>
      </c>
      <c r="C5206" t="s">
        <v>11913</v>
      </c>
      <c r="D5206" s="940" t="s">
        <v>11914</v>
      </c>
      <c r="E5206" t="s">
        <v>112</v>
      </c>
    </row>
    <row r="5207" spans="1:5" x14ac:dyDescent="0.2">
      <c r="A5207" s="940">
        <v>4294</v>
      </c>
      <c r="B5207" s="940">
        <v>0</v>
      </c>
      <c r="C5207" t="s">
        <v>9309</v>
      </c>
      <c r="D5207" s="940" t="s">
        <v>9310</v>
      </c>
      <c r="E5207" t="s">
        <v>9311</v>
      </c>
    </row>
    <row r="5208" spans="1:5" x14ac:dyDescent="0.2">
      <c r="A5208" s="940">
        <v>895</v>
      </c>
      <c r="B5208" s="940">
        <v>318</v>
      </c>
      <c r="C5208" t="s">
        <v>11915</v>
      </c>
      <c r="D5208" s="940" t="s">
        <v>8874</v>
      </c>
      <c r="E5208" t="s">
        <v>1248</v>
      </c>
    </row>
    <row r="5209" spans="1:5" x14ac:dyDescent="0.2">
      <c r="A5209" s="940">
        <v>1420</v>
      </c>
      <c r="B5209" s="940">
        <v>159</v>
      </c>
      <c r="C5209" t="s">
        <v>9312</v>
      </c>
      <c r="D5209" s="940" t="s">
        <v>9313</v>
      </c>
      <c r="E5209" t="s">
        <v>1435</v>
      </c>
    </row>
    <row r="5210" spans="1:5" x14ac:dyDescent="0.2">
      <c r="A5210" s="940">
        <v>1641</v>
      </c>
      <c r="B5210" s="940">
        <v>123</v>
      </c>
      <c r="C5210" t="s">
        <v>11916</v>
      </c>
      <c r="D5210" s="940" t="s">
        <v>11917</v>
      </c>
      <c r="E5210" t="s">
        <v>129</v>
      </c>
    </row>
    <row r="5211" spans="1:5" x14ac:dyDescent="0.2">
      <c r="A5211" s="940">
        <v>3655</v>
      </c>
      <c r="B5211" s="940">
        <v>7</v>
      </c>
      <c r="C5211" t="s">
        <v>9316</v>
      </c>
      <c r="D5211" s="940" t="s">
        <v>8083</v>
      </c>
      <c r="E5211" t="s">
        <v>227</v>
      </c>
    </row>
    <row r="5212" spans="1:5" x14ac:dyDescent="0.2">
      <c r="A5212" s="940">
        <v>4294</v>
      </c>
      <c r="B5212" s="940">
        <v>0</v>
      </c>
      <c r="C5212" t="s">
        <v>9317</v>
      </c>
      <c r="D5212" s="940" t="s">
        <v>8114</v>
      </c>
      <c r="E5212" t="s">
        <v>1238</v>
      </c>
    </row>
    <row r="5213" spans="1:5" x14ac:dyDescent="0.2">
      <c r="A5213" s="940">
        <v>2138</v>
      </c>
      <c r="B5213" s="940">
        <v>74</v>
      </c>
      <c r="C5213" t="s">
        <v>11918</v>
      </c>
      <c r="D5213" s="940" t="s">
        <v>2731</v>
      </c>
      <c r="E5213" t="s">
        <v>2880</v>
      </c>
    </row>
    <row r="5214" spans="1:5" x14ac:dyDescent="0.2">
      <c r="A5214" s="940">
        <v>1457</v>
      </c>
      <c r="B5214" s="940">
        <v>153</v>
      </c>
      <c r="C5214" t="s">
        <v>9319</v>
      </c>
      <c r="D5214" s="940" t="s">
        <v>9320</v>
      </c>
      <c r="E5214" t="s">
        <v>175</v>
      </c>
    </row>
    <row r="5215" spans="1:5" x14ac:dyDescent="0.2">
      <c r="A5215" s="940">
        <v>1439</v>
      </c>
      <c r="B5215" s="940">
        <v>156</v>
      </c>
      <c r="C5215" t="s">
        <v>2447</v>
      </c>
      <c r="D5215" s="940" t="s">
        <v>7624</v>
      </c>
      <c r="E5215" t="s">
        <v>1275</v>
      </c>
    </row>
    <row r="5216" spans="1:5" x14ac:dyDescent="0.2">
      <c r="A5216" s="940">
        <v>4294</v>
      </c>
      <c r="B5216" s="940">
        <v>0</v>
      </c>
      <c r="C5216" t="s">
        <v>11919</v>
      </c>
      <c r="D5216" s="940" t="s">
        <v>5721</v>
      </c>
      <c r="E5216" t="s">
        <v>11920</v>
      </c>
    </row>
    <row r="5217" spans="1:5" x14ac:dyDescent="0.2">
      <c r="A5217" s="940">
        <v>1098</v>
      </c>
      <c r="B5217" s="940">
        <v>242</v>
      </c>
      <c r="C5217" t="s">
        <v>9324</v>
      </c>
      <c r="D5217" s="940" t="s">
        <v>3189</v>
      </c>
      <c r="E5217" t="s">
        <v>1171</v>
      </c>
    </row>
    <row r="5218" spans="1:5" x14ac:dyDescent="0.2">
      <c r="A5218" s="940">
        <v>305</v>
      </c>
      <c r="B5218" s="940">
        <v>764</v>
      </c>
      <c r="C5218" t="s">
        <v>11921</v>
      </c>
      <c r="D5218" s="940" t="s">
        <v>7343</v>
      </c>
      <c r="E5218" t="s">
        <v>103</v>
      </c>
    </row>
    <row r="5219" spans="1:5" x14ac:dyDescent="0.2">
      <c r="A5219" s="940">
        <v>745</v>
      </c>
      <c r="B5219" s="940">
        <v>384</v>
      </c>
      <c r="C5219" t="s">
        <v>9325</v>
      </c>
      <c r="D5219" s="940" t="s">
        <v>9326</v>
      </c>
      <c r="E5219" t="s">
        <v>111</v>
      </c>
    </row>
    <row r="5220" spans="1:5" x14ac:dyDescent="0.2">
      <c r="A5220" s="940">
        <v>1308</v>
      </c>
      <c r="B5220" s="940">
        <v>182</v>
      </c>
      <c r="C5220" t="s">
        <v>9327</v>
      </c>
      <c r="D5220" s="940" t="s">
        <v>9328</v>
      </c>
      <c r="E5220" t="s">
        <v>3954</v>
      </c>
    </row>
    <row r="5221" spans="1:5" x14ac:dyDescent="0.2">
      <c r="A5221" s="940">
        <v>4294</v>
      </c>
      <c r="B5221" s="940">
        <v>0</v>
      </c>
      <c r="C5221" t="s">
        <v>9329</v>
      </c>
      <c r="D5221" s="940" t="s">
        <v>9330</v>
      </c>
      <c r="E5221" t="s">
        <v>111</v>
      </c>
    </row>
    <row r="5222" spans="1:5" x14ac:dyDescent="0.2">
      <c r="A5222" s="940">
        <v>3732</v>
      </c>
      <c r="B5222" s="940">
        <v>6</v>
      </c>
      <c r="C5222" t="s">
        <v>9331</v>
      </c>
      <c r="D5222" s="940" t="s">
        <v>9332</v>
      </c>
      <c r="E5222" t="s">
        <v>1200</v>
      </c>
    </row>
    <row r="5223" spans="1:5" x14ac:dyDescent="0.2">
      <c r="A5223" s="940">
        <v>2980</v>
      </c>
      <c r="B5223" s="940">
        <v>24</v>
      </c>
      <c r="C5223" t="s">
        <v>11922</v>
      </c>
      <c r="D5223" s="940" t="s">
        <v>4233</v>
      </c>
      <c r="E5223" t="s">
        <v>6228</v>
      </c>
    </row>
    <row r="5224" spans="1:5" x14ac:dyDescent="0.2">
      <c r="A5224" s="940">
        <v>4294</v>
      </c>
      <c r="B5224" s="940">
        <v>0</v>
      </c>
      <c r="C5224" t="s">
        <v>9333</v>
      </c>
      <c r="D5224" s="940" t="s">
        <v>6371</v>
      </c>
      <c r="E5224" t="s">
        <v>105</v>
      </c>
    </row>
    <row r="5225" spans="1:5" x14ac:dyDescent="0.2">
      <c r="A5225" s="940">
        <v>2042</v>
      </c>
      <c r="B5225" s="940">
        <v>82</v>
      </c>
      <c r="C5225" t="s">
        <v>9334</v>
      </c>
      <c r="D5225" s="940" t="s">
        <v>3919</v>
      </c>
      <c r="E5225" t="s">
        <v>3098</v>
      </c>
    </row>
    <row r="5226" spans="1:5" x14ac:dyDescent="0.2">
      <c r="A5226" s="940">
        <v>4294</v>
      </c>
      <c r="B5226" s="940">
        <v>0</v>
      </c>
      <c r="C5226" t="s">
        <v>11923</v>
      </c>
      <c r="D5226" s="940" t="s">
        <v>7414</v>
      </c>
      <c r="E5226" t="s">
        <v>105</v>
      </c>
    </row>
    <row r="5227" spans="1:5" x14ac:dyDescent="0.2">
      <c r="A5227" s="940">
        <v>132</v>
      </c>
      <c r="B5227" s="940">
        <v>1033</v>
      </c>
      <c r="C5227" t="s">
        <v>9336</v>
      </c>
      <c r="D5227" s="940" t="s">
        <v>9337</v>
      </c>
      <c r="E5227" t="s">
        <v>103</v>
      </c>
    </row>
    <row r="5228" spans="1:5" x14ac:dyDescent="0.2">
      <c r="A5228" s="940">
        <v>311</v>
      </c>
      <c r="B5228" s="940">
        <v>753</v>
      </c>
      <c r="C5228" t="s">
        <v>625</v>
      </c>
      <c r="D5228" s="940" t="s">
        <v>9339</v>
      </c>
      <c r="E5228" t="s">
        <v>74</v>
      </c>
    </row>
    <row r="5229" spans="1:5" x14ac:dyDescent="0.2">
      <c r="A5229" s="940">
        <v>1894</v>
      </c>
      <c r="B5229" s="940">
        <v>96</v>
      </c>
      <c r="C5229" t="s">
        <v>9343</v>
      </c>
      <c r="D5229" s="940" t="s">
        <v>9344</v>
      </c>
      <c r="E5229" t="s">
        <v>3597</v>
      </c>
    </row>
    <row r="5230" spans="1:5" x14ac:dyDescent="0.2">
      <c r="A5230" s="940">
        <v>2312</v>
      </c>
      <c r="B5230" s="940">
        <v>61</v>
      </c>
      <c r="C5230" t="s">
        <v>11924</v>
      </c>
      <c r="D5230" s="940" t="s">
        <v>3189</v>
      </c>
      <c r="E5230" t="s">
        <v>83</v>
      </c>
    </row>
    <row r="5231" spans="1:5" x14ac:dyDescent="0.2">
      <c r="A5231" s="940">
        <v>227</v>
      </c>
      <c r="B5231" s="940">
        <v>872</v>
      </c>
      <c r="C5231" t="s">
        <v>9347</v>
      </c>
      <c r="D5231" s="940" t="s">
        <v>9348</v>
      </c>
      <c r="E5231" t="s">
        <v>120</v>
      </c>
    </row>
    <row r="5232" spans="1:5" x14ac:dyDescent="0.2">
      <c r="A5232" s="940">
        <v>4294</v>
      </c>
      <c r="B5232" s="940">
        <v>0</v>
      </c>
      <c r="C5232" t="s">
        <v>11925</v>
      </c>
      <c r="D5232" s="940" t="s">
        <v>7530</v>
      </c>
      <c r="E5232" t="s">
        <v>120</v>
      </c>
    </row>
    <row r="5233" spans="1:5" x14ac:dyDescent="0.2">
      <c r="A5233" s="940">
        <v>387</v>
      </c>
      <c r="B5233" s="940">
        <v>650</v>
      </c>
      <c r="C5233" t="s">
        <v>2452</v>
      </c>
      <c r="D5233" s="940" t="s">
        <v>5350</v>
      </c>
      <c r="E5233" t="s">
        <v>105</v>
      </c>
    </row>
    <row r="5234" spans="1:5" x14ac:dyDescent="0.2">
      <c r="A5234" s="940">
        <v>2571</v>
      </c>
      <c r="B5234" s="940">
        <v>43</v>
      </c>
      <c r="C5234" t="s">
        <v>2453</v>
      </c>
      <c r="D5234" s="940" t="s">
        <v>4233</v>
      </c>
      <c r="E5234" t="s">
        <v>2454</v>
      </c>
    </row>
    <row r="5235" spans="1:5" x14ac:dyDescent="0.2">
      <c r="A5235" s="940">
        <v>3290</v>
      </c>
      <c r="B5235" s="940">
        <v>15</v>
      </c>
      <c r="C5235" t="s">
        <v>11926</v>
      </c>
      <c r="D5235" s="940" t="s">
        <v>10250</v>
      </c>
      <c r="E5235" t="s">
        <v>3078</v>
      </c>
    </row>
    <row r="5236" spans="1:5" x14ac:dyDescent="0.2">
      <c r="A5236" s="940">
        <v>1499</v>
      </c>
      <c r="B5236" s="940">
        <v>144</v>
      </c>
      <c r="C5236" t="s">
        <v>9349</v>
      </c>
      <c r="D5236" s="940" t="s">
        <v>4463</v>
      </c>
      <c r="E5236" t="s">
        <v>103</v>
      </c>
    </row>
    <row r="5237" spans="1:5" x14ac:dyDescent="0.2">
      <c r="A5237" s="940">
        <v>2434</v>
      </c>
      <c r="B5237" s="940">
        <v>52</v>
      </c>
      <c r="C5237" t="s">
        <v>9350</v>
      </c>
      <c r="D5237" s="940" t="s">
        <v>2870</v>
      </c>
      <c r="E5237" t="s">
        <v>3078</v>
      </c>
    </row>
    <row r="5238" spans="1:5" x14ac:dyDescent="0.2">
      <c r="A5238" s="940">
        <v>955</v>
      </c>
      <c r="B5238" s="940">
        <v>295</v>
      </c>
      <c r="C5238" t="s">
        <v>11927</v>
      </c>
      <c r="D5238" s="940" t="s">
        <v>11917</v>
      </c>
      <c r="E5238" t="s">
        <v>11928</v>
      </c>
    </row>
    <row r="5239" spans="1:5" x14ac:dyDescent="0.2">
      <c r="A5239" s="940">
        <v>1021</v>
      </c>
      <c r="B5239" s="940">
        <v>271</v>
      </c>
      <c r="C5239" t="s">
        <v>11929</v>
      </c>
      <c r="D5239" s="940" t="s">
        <v>11930</v>
      </c>
      <c r="E5239" t="s">
        <v>75</v>
      </c>
    </row>
    <row r="5240" spans="1:5" x14ac:dyDescent="0.2">
      <c r="A5240" s="940">
        <v>1621</v>
      </c>
      <c r="B5240" s="940">
        <v>125</v>
      </c>
      <c r="C5240" t="s">
        <v>2456</v>
      </c>
      <c r="D5240" s="940" t="s">
        <v>3004</v>
      </c>
      <c r="E5240" t="s">
        <v>105</v>
      </c>
    </row>
    <row r="5241" spans="1:5" x14ac:dyDescent="0.2">
      <c r="A5241" s="940">
        <v>1720</v>
      </c>
      <c r="B5241" s="940">
        <v>115</v>
      </c>
      <c r="C5241" t="s">
        <v>9351</v>
      </c>
      <c r="D5241" s="940" t="s">
        <v>4064</v>
      </c>
      <c r="E5241" t="s">
        <v>105</v>
      </c>
    </row>
    <row r="5242" spans="1:5" x14ac:dyDescent="0.2">
      <c r="A5242" s="940">
        <v>4294</v>
      </c>
      <c r="B5242" s="940">
        <v>0</v>
      </c>
      <c r="C5242" t="s">
        <v>9352</v>
      </c>
      <c r="D5242" s="940" t="s">
        <v>5352</v>
      </c>
      <c r="E5242" t="s">
        <v>105</v>
      </c>
    </row>
    <row r="5243" spans="1:5" x14ac:dyDescent="0.2">
      <c r="A5243" s="940">
        <v>905</v>
      </c>
      <c r="B5243" s="940">
        <v>315</v>
      </c>
      <c r="C5243" t="s">
        <v>9353</v>
      </c>
      <c r="D5243" s="940" t="s">
        <v>9354</v>
      </c>
      <c r="E5243" t="s">
        <v>83</v>
      </c>
    </row>
    <row r="5244" spans="1:5" x14ac:dyDescent="0.2">
      <c r="A5244" s="940">
        <v>4294</v>
      </c>
      <c r="B5244" s="940">
        <v>0</v>
      </c>
      <c r="C5244" t="s">
        <v>9355</v>
      </c>
      <c r="D5244" s="940" t="s">
        <v>9356</v>
      </c>
      <c r="E5244" t="s">
        <v>3673</v>
      </c>
    </row>
    <row r="5245" spans="1:5" x14ac:dyDescent="0.2">
      <c r="A5245" s="940">
        <v>2514</v>
      </c>
      <c r="B5245" s="940">
        <v>46</v>
      </c>
      <c r="C5245" t="s">
        <v>9357</v>
      </c>
      <c r="D5245" s="940" t="s">
        <v>6535</v>
      </c>
      <c r="E5245" t="s">
        <v>3140</v>
      </c>
    </row>
    <row r="5246" spans="1:5" x14ac:dyDescent="0.2">
      <c r="A5246" s="940">
        <v>3732</v>
      </c>
      <c r="B5246" s="940">
        <v>6</v>
      </c>
      <c r="C5246" t="s">
        <v>9358</v>
      </c>
      <c r="D5246" s="940" t="s">
        <v>2813</v>
      </c>
      <c r="E5246" t="s">
        <v>170</v>
      </c>
    </row>
    <row r="5247" spans="1:5" x14ac:dyDescent="0.2">
      <c r="A5247" s="940">
        <v>4294</v>
      </c>
      <c r="B5247" s="940">
        <v>0</v>
      </c>
      <c r="C5247" t="s">
        <v>11931</v>
      </c>
      <c r="D5247" s="940" t="s">
        <v>6219</v>
      </c>
      <c r="E5247" t="s">
        <v>163</v>
      </c>
    </row>
    <row r="5248" spans="1:5" x14ac:dyDescent="0.2">
      <c r="A5248" s="940">
        <v>3732</v>
      </c>
      <c r="B5248" s="940">
        <v>6</v>
      </c>
      <c r="C5248" t="s">
        <v>9360</v>
      </c>
      <c r="D5248" s="940" t="s">
        <v>4551</v>
      </c>
      <c r="E5248" t="s">
        <v>164</v>
      </c>
    </row>
    <row r="5249" spans="1:5" x14ac:dyDescent="0.2">
      <c r="A5249" s="940">
        <v>274</v>
      </c>
      <c r="B5249" s="940">
        <v>810</v>
      </c>
      <c r="C5249" t="s">
        <v>9363</v>
      </c>
      <c r="D5249" s="940" t="s">
        <v>9364</v>
      </c>
      <c r="E5249" t="s">
        <v>120</v>
      </c>
    </row>
    <row r="5250" spans="1:5" x14ac:dyDescent="0.2">
      <c r="A5250" s="940">
        <v>2233</v>
      </c>
      <c r="B5250" s="940">
        <v>67</v>
      </c>
      <c r="C5250" t="s">
        <v>9365</v>
      </c>
      <c r="D5250" s="940" t="s">
        <v>9366</v>
      </c>
      <c r="E5250" t="s">
        <v>120</v>
      </c>
    </row>
    <row r="5251" spans="1:5" x14ac:dyDescent="0.2">
      <c r="A5251" s="940">
        <v>4294</v>
      </c>
      <c r="B5251" s="940">
        <v>0</v>
      </c>
      <c r="C5251" t="s">
        <v>9369</v>
      </c>
      <c r="D5251" s="940" t="s">
        <v>6858</v>
      </c>
      <c r="E5251" t="s">
        <v>1315</v>
      </c>
    </row>
    <row r="5252" spans="1:5" x14ac:dyDescent="0.2">
      <c r="A5252" s="940">
        <v>2668</v>
      </c>
      <c r="B5252" s="940">
        <v>38</v>
      </c>
      <c r="C5252" t="s">
        <v>9370</v>
      </c>
      <c r="D5252" s="940" t="s">
        <v>2902</v>
      </c>
      <c r="E5252" t="s">
        <v>105</v>
      </c>
    </row>
    <row r="5253" spans="1:5" x14ac:dyDescent="0.2">
      <c r="A5253" s="940">
        <v>4294</v>
      </c>
      <c r="B5253" s="940">
        <v>0</v>
      </c>
      <c r="C5253" t="s">
        <v>9371</v>
      </c>
      <c r="D5253" s="940" t="s">
        <v>9372</v>
      </c>
      <c r="E5253" t="s">
        <v>133</v>
      </c>
    </row>
    <row r="5254" spans="1:5" x14ac:dyDescent="0.2">
      <c r="A5254" s="940">
        <v>405</v>
      </c>
      <c r="B5254" s="940">
        <v>637</v>
      </c>
      <c r="C5254" t="s">
        <v>627</v>
      </c>
      <c r="D5254" s="940" t="s">
        <v>9373</v>
      </c>
      <c r="E5254" t="s">
        <v>111</v>
      </c>
    </row>
    <row r="5255" spans="1:5" x14ac:dyDescent="0.2">
      <c r="A5255" s="940">
        <v>1144</v>
      </c>
      <c r="B5255" s="940">
        <v>226</v>
      </c>
      <c r="C5255" t="s">
        <v>11932</v>
      </c>
      <c r="D5255" s="940" t="s">
        <v>11933</v>
      </c>
      <c r="E5255" t="s">
        <v>106</v>
      </c>
    </row>
    <row r="5256" spans="1:5" x14ac:dyDescent="0.2">
      <c r="A5256" s="940">
        <v>2067</v>
      </c>
      <c r="B5256" s="940">
        <v>80</v>
      </c>
      <c r="C5256" t="s">
        <v>2460</v>
      </c>
      <c r="D5256" s="940" t="s">
        <v>6073</v>
      </c>
      <c r="E5256" t="s">
        <v>120</v>
      </c>
    </row>
    <row r="5257" spans="1:5" x14ac:dyDescent="0.2">
      <c r="A5257" s="940">
        <v>4181</v>
      </c>
      <c r="B5257" s="940">
        <v>1</v>
      </c>
      <c r="C5257" t="s">
        <v>9374</v>
      </c>
      <c r="D5257" s="940" t="s">
        <v>7194</v>
      </c>
      <c r="E5257" t="s">
        <v>111</v>
      </c>
    </row>
    <row r="5258" spans="1:5" x14ac:dyDescent="0.2">
      <c r="A5258" s="940">
        <v>1174</v>
      </c>
      <c r="B5258" s="940">
        <v>219</v>
      </c>
      <c r="C5258" t="s">
        <v>11934</v>
      </c>
      <c r="D5258" s="940" t="s">
        <v>2725</v>
      </c>
      <c r="E5258" t="s">
        <v>142</v>
      </c>
    </row>
    <row r="5259" spans="1:5" x14ac:dyDescent="0.2">
      <c r="A5259" s="940">
        <v>781</v>
      </c>
      <c r="B5259" s="940">
        <v>368</v>
      </c>
      <c r="C5259" t="s">
        <v>9376</v>
      </c>
      <c r="D5259" s="940" t="s">
        <v>9377</v>
      </c>
      <c r="E5259" t="s">
        <v>74</v>
      </c>
    </row>
    <row r="5260" spans="1:5" x14ac:dyDescent="0.2">
      <c r="A5260" s="940">
        <v>4294</v>
      </c>
      <c r="B5260" s="940">
        <v>0</v>
      </c>
      <c r="C5260" t="s">
        <v>11935</v>
      </c>
      <c r="D5260" s="940" t="s">
        <v>11936</v>
      </c>
      <c r="E5260" t="s">
        <v>1343</v>
      </c>
    </row>
    <row r="5261" spans="1:5" x14ac:dyDescent="0.2">
      <c r="A5261" s="940">
        <v>3358</v>
      </c>
      <c r="B5261" s="940">
        <v>13</v>
      </c>
      <c r="C5261" t="s">
        <v>9380</v>
      </c>
      <c r="D5261" s="940" t="s">
        <v>3594</v>
      </c>
      <c r="E5261" t="s">
        <v>120</v>
      </c>
    </row>
    <row r="5262" spans="1:5" x14ac:dyDescent="0.2">
      <c r="A5262" s="940">
        <v>880</v>
      </c>
      <c r="B5262" s="940">
        <v>326</v>
      </c>
      <c r="C5262" t="s">
        <v>11937</v>
      </c>
      <c r="D5262" s="940" t="s">
        <v>11938</v>
      </c>
      <c r="E5262" t="s">
        <v>113</v>
      </c>
    </row>
    <row r="5263" spans="1:5" x14ac:dyDescent="0.2">
      <c r="A5263" s="940">
        <v>4294</v>
      </c>
      <c r="B5263" s="940">
        <v>0</v>
      </c>
      <c r="C5263" t="s">
        <v>9381</v>
      </c>
      <c r="D5263" s="940" t="s">
        <v>4997</v>
      </c>
      <c r="E5263" t="s">
        <v>120</v>
      </c>
    </row>
    <row r="5264" spans="1:5" x14ac:dyDescent="0.2">
      <c r="A5264" s="940">
        <v>766</v>
      </c>
      <c r="B5264" s="940">
        <v>377</v>
      </c>
      <c r="C5264" t="s">
        <v>11939</v>
      </c>
      <c r="D5264" s="940" t="s">
        <v>11940</v>
      </c>
      <c r="E5264" t="s">
        <v>120</v>
      </c>
    </row>
    <row r="5265" spans="1:5" x14ac:dyDescent="0.2">
      <c r="A5265" s="940">
        <v>4081</v>
      </c>
      <c r="B5265" s="940">
        <v>2</v>
      </c>
      <c r="C5265" t="s">
        <v>9383</v>
      </c>
      <c r="D5265" s="940" t="s">
        <v>7391</v>
      </c>
      <c r="E5265" t="s">
        <v>130</v>
      </c>
    </row>
    <row r="5266" spans="1:5" x14ac:dyDescent="0.2">
      <c r="A5266" s="940">
        <v>2980</v>
      </c>
      <c r="B5266" s="940">
        <v>24</v>
      </c>
      <c r="C5266" t="s">
        <v>11941</v>
      </c>
      <c r="D5266" s="940" t="s">
        <v>8212</v>
      </c>
      <c r="E5266" t="s">
        <v>213</v>
      </c>
    </row>
    <row r="5267" spans="1:5" x14ac:dyDescent="0.2">
      <c r="A5267" s="940">
        <v>2860</v>
      </c>
      <c r="B5267" s="940">
        <v>30</v>
      </c>
      <c r="C5267" t="s">
        <v>9384</v>
      </c>
      <c r="D5267" s="940" t="s">
        <v>9385</v>
      </c>
      <c r="E5267" t="s">
        <v>1214</v>
      </c>
    </row>
    <row r="5268" spans="1:5" x14ac:dyDescent="0.2">
      <c r="A5268" s="940">
        <v>1378</v>
      </c>
      <c r="B5268" s="940">
        <v>167</v>
      </c>
      <c r="C5268" t="s">
        <v>2466</v>
      </c>
      <c r="D5268" s="940" t="s">
        <v>3753</v>
      </c>
      <c r="E5268" t="s">
        <v>105</v>
      </c>
    </row>
    <row r="5269" spans="1:5" x14ac:dyDescent="0.2">
      <c r="A5269" s="940">
        <v>3048</v>
      </c>
      <c r="B5269" s="940">
        <v>22</v>
      </c>
      <c r="C5269" t="s">
        <v>11942</v>
      </c>
      <c r="D5269" s="940" t="s">
        <v>8629</v>
      </c>
      <c r="E5269" t="s">
        <v>120</v>
      </c>
    </row>
    <row r="5270" spans="1:5" x14ac:dyDescent="0.2">
      <c r="A5270" s="940">
        <v>908</v>
      </c>
      <c r="B5270" s="940">
        <v>312</v>
      </c>
      <c r="C5270" t="s">
        <v>9388</v>
      </c>
      <c r="D5270" s="940" t="s">
        <v>4995</v>
      </c>
      <c r="E5270" t="s">
        <v>75</v>
      </c>
    </row>
    <row r="5271" spans="1:5" x14ac:dyDescent="0.2">
      <c r="A5271" s="940">
        <v>3732</v>
      </c>
      <c r="B5271" s="940">
        <v>6</v>
      </c>
      <c r="C5271" t="s">
        <v>9390</v>
      </c>
      <c r="D5271" s="940" t="s">
        <v>2753</v>
      </c>
      <c r="E5271" t="s">
        <v>251</v>
      </c>
    </row>
    <row r="5272" spans="1:5" x14ac:dyDescent="0.2">
      <c r="A5272" s="940">
        <v>4294</v>
      </c>
      <c r="B5272" s="940">
        <v>0</v>
      </c>
      <c r="C5272" t="s">
        <v>11943</v>
      </c>
      <c r="D5272" s="940" t="s">
        <v>11944</v>
      </c>
      <c r="E5272" t="s">
        <v>76</v>
      </c>
    </row>
    <row r="5273" spans="1:5" x14ac:dyDescent="0.2">
      <c r="A5273" s="940">
        <v>2533</v>
      </c>
      <c r="B5273" s="940">
        <v>45</v>
      </c>
      <c r="C5273" t="s">
        <v>11945</v>
      </c>
      <c r="D5273" s="940" t="s">
        <v>2792</v>
      </c>
      <c r="E5273" t="s">
        <v>2624</v>
      </c>
    </row>
    <row r="5274" spans="1:5" x14ac:dyDescent="0.2">
      <c r="A5274" s="940">
        <v>1988</v>
      </c>
      <c r="B5274" s="940">
        <v>87</v>
      </c>
      <c r="C5274" t="s">
        <v>9392</v>
      </c>
      <c r="D5274" s="940" t="s">
        <v>7521</v>
      </c>
      <c r="E5274" t="s">
        <v>1214</v>
      </c>
    </row>
    <row r="5275" spans="1:5" x14ac:dyDescent="0.2">
      <c r="A5275" s="940">
        <v>1894</v>
      </c>
      <c r="B5275" s="940">
        <v>96</v>
      </c>
      <c r="C5275" t="s">
        <v>2467</v>
      </c>
      <c r="D5275" s="940" t="s">
        <v>5736</v>
      </c>
      <c r="E5275" t="s">
        <v>1171</v>
      </c>
    </row>
    <row r="5276" spans="1:5" x14ac:dyDescent="0.2">
      <c r="A5276" s="940">
        <v>4294</v>
      </c>
      <c r="B5276" s="940">
        <v>0</v>
      </c>
      <c r="C5276" t="s">
        <v>9393</v>
      </c>
      <c r="D5276" s="940" t="s">
        <v>8107</v>
      </c>
      <c r="E5276" t="s">
        <v>1182</v>
      </c>
    </row>
    <row r="5277" spans="1:5" x14ac:dyDescent="0.2">
      <c r="A5277" s="940">
        <v>2014</v>
      </c>
      <c r="B5277" s="940">
        <v>84</v>
      </c>
      <c r="C5277" t="s">
        <v>9394</v>
      </c>
      <c r="D5277" s="940" t="s">
        <v>2965</v>
      </c>
      <c r="E5277" t="s">
        <v>118</v>
      </c>
    </row>
    <row r="5278" spans="1:5" x14ac:dyDescent="0.2">
      <c r="A5278" s="940">
        <v>4294</v>
      </c>
      <c r="B5278" s="940">
        <v>0</v>
      </c>
      <c r="C5278" t="s">
        <v>11946</v>
      </c>
      <c r="D5278" s="940" t="s">
        <v>8968</v>
      </c>
      <c r="E5278" t="s">
        <v>120</v>
      </c>
    </row>
    <row r="5279" spans="1:5" x14ac:dyDescent="0.2">
      <c r="A5279" s="940">
        <v>4294</v>
      </c>
      <c r="B5279" s="940">
        <v>0</v>
      </c>
      <c r="C5279" t="s">
        <v>9401</v>
      </c>
      <c r="D5279" s="940" t="s">
        <v>8736</v>
      </c>
      <c r="E5279" t="s">
        <v>139</v>
      </c>
    </row>
    <row r="5280" spans="1:5" x14ac:dyDescent="0.2">
      <c r="A5280" s="940">
        <v>1366</v>
      </c>
      <c r="B5280" s="940">
        <v>169</v>
      </c>
      <c r="C5280" t="s">
        <v>9403</v>
      </c>
      <c r="D5280" s="940" t="s">
        <v>3472</v>
      </c>
      <c r="E5280" t="s">
        <v>4548</v>
      </c>
    </row>
    <row r="5281" spans="1:5" x14ac:dyDescent="0.2">
      <c r="A5281" s="940">
        <v>1563</v>
      </c>
      <c r="B5281" s="940">
        <v>134</v>
      </c>
      <c r="C5281" t="s">
        <v>9404</v>
      </c>
      <c r="D5281" s="940" t="s">
        <v>9405</v>
      </c>
      <c r="E5281" t="s">
        <v>4548</v>
      </c>
    </row>
    <row r="5282" spans="1:5" x14ac:dyDescent="0.2">
      <c r="A5282" s="940">
        <v>1964</v>
      </c>
      <c r="B5282" s="940">
        <v>89</v>
      </c>
      <c r="C5282" t="s">
        <v>9406</v>
      </c>
      <c r="D5282" s="940" t="s">
        <v>4936</v>
      </c>
      <c r="E5282" t="s">
        <v>126</v>
      </c>
    </row>
    <row r="5283" spans="1:5" x14ac:dyDescent="0.2">
      <c r="A5283" s="940">
        <v>3402</v>
      </c>
      <c r="B5283" s="940">
        <v>12</v>
      </c>
      <c r="C5283" t="s">
        <v>11947</v>
      </c>
      <c r="D5283" s="940" t="s">
        <v>10323</v>
      </c>
      <c r="E5283" t="s">
        <v>1171</v>
      </c>
    </row>
    <row r="5284" spans="1:5" x14ac:dyDescent="0.2">
      <c r="A5284" s="940">
        <v>800</v>
      </c>
      <c r="B5284" s="940">
        <v>358</v>
      </c>
      <c r="C5284" t="s">
        <v>2470</v>
      </c>
      <c r="D5284" s="940" t="s">
        <v>9409</v>
      </c>
      <c r="E5284" t="s">
        <v>113</v>
      </c>
    </row>
    <row r="5285" spans="1:5" x14ac:dyDescent="0.2">
      <c r="A5285" s="940">
        <v>4294</v>
      </c>
      <c r="B5285" s="940">
        <v>0</v>
      </c>
      <c r="C5285" t="s">
        <v>9410</v>
      </c>
      <c r="D5285" s="940" t="s">
        <v>3520</v>
      </c>
      <c r="E5285" t="s">
        <v>74</v>
      </c>
    </row>
    <row r="5286" spans="1:5" x14ac:dyDescent="0.2">
      <c r="A5286" s="940">
        <v>4294</v>
      </c>
      <c r="B5286" s="940">
        <v>0</v>
      </c>
      <c r="C5286" t="s">
        <v>11948</v>
      </c>
      <c r="D5286" s="940" t="s">
        <v>3935</v>
      </c>
      <c r="E5286" t="s">
        <v>1182</v>
      </c>
    </row>
    <row r="5287" spans="1:5" x14ac:dyDescent="0.2">
      <c r="A5287" s="940">
        <v>2006</v>
      </c>
      <c r="B5287" s="940">
        <v>85</v>
      </c>
      <c r="C5287" t="s">
        <v>9411</v>
      </c>
      <c r="D5287" s="940" t="s">
        <v>4541</v>
      </c>
      <c r="E5287" t="s">
        <v>120</v>
      </c>
    </row>
    <row r="5288" spans="1:5" x14ac:dyDescent="0.2">
      <c r="A5288" s="940">
        <v>654</v>
      </c>
      <c r="B5288" s="940">
        <v>432</v>
      </c>
      <c r="C5288" t="s">
        <v>9412</v>
      </c>
      <c r="D5288" s="940" t="s">
        <v>9413</v>
      </c>
      <c r="E5288" t="s">
        <v>3383</v>
      </c>
    </row>
    <row r="5289" spans="1:5" x14ac:dyDescent="0.2">
      <c r="A5289" s="940">
        <v>3602</v>
      </c>
      <c r="B5289" s="940">
        <v>8</v>
      </c>
      <c r="C5289" t="s">
        <v>9414</v>
      </c>
      <c r="D5289" s="940" t="s">
        <v>3552</v>
      </c>
      <c r="E5289" t="s">
        <v>1214</v>
      </c>
    </row>
    <row r="5290" spans="1:5" x14ac:dyDescent="0.2">
      <c r="A5290" s="940">
        <v>2571</v>
      </c>
      <c r="B5290" s="940">
        <v>43</v>
      </c>
      <c r="C5290" t="s">
        <v>9415</v>
      </c>
      <c r="D5290" s="940" t="s">
        <v>9416</v>
      </c>
      <c r="E5290" t="s">
        <v>1214</v>
      </c>
    </row>
    <row r="5291" spans="1:5" x14ac:dyDescent="0.2">
      <c r="A5291" s="940">
        <v>3796</v>
      </c>
      <c r="B5291" s="940">
        <v>5</v>
      </c>
      <c r="C5291" t="s">
        <v>9417</v>
      </c>
      <c r="D5291" s="940" t="s">
        <v>4064</v>
      </c>
      <c r="E5291" t="s">
        <v>130</v>
      </c>
    </row>
    <row r="5292" spans="1:5" x14ac:dyDescent="0.2">
      <c r="A5292" s="940">
        <v>3732</v>
      </c>
      <c r="B5292" s="940">
        <v>6</v>
      </c>
      <c r="C5292" t="s">
        <v>9418</v>
      </c>
      <c r="D5292" s="940" t="s">
        <v>4121</v>
      </c>
      <c r="E5292" t="s">
        <v>1590</v>
      </c>
    </row>
    <row r="5293" spans="1:5" x14ac:dyDescent="0.2">
      <c r="A5293" s="940">
        <v>162</v>
      </c>
      <c r="B5293" s="940">
        <v>978</v>
      </c>
      <c r="C5293" t="s">
        <v>9419</v>
      </c>
      <c r="D5293" s="940" t="s">
        <v>9420</v>
      </c>
      <c r="E5293" t="s">
        <v>105</v>
      </c>
    </row>
    <row r="5294" spans="1:5" x14ac:dyDescent="0.2">
      <c r="A5294" s="940">
        <v>893</v>
      </c>
      <c r="B5294" s="940">
        <v>319</v>
      </c>
      <c r="C5294" t="s">
        <v>11949</v>
      </c>
      <c r="D5294" s="940" t="s">
        <v>10772</v>
      </c>
      <c r="E5294" t="s">
        <v>112</v>
      </c>
    </row>
    <row r="5295" spans="1:5" x14ac:dyDescent="0.2">
      <c r="A5295" s="940">
        <v>4294</v>
      </c>
      <c r="B5295" s="940">
        <v>0</v>
      </c>
      <c r="C5295" t="s">
        <v>11950</v>
      </c>
      <c r="D5295" s="940" t="s">
        <v>8725</v>
      </c>
      <c r="E5295" t="s">
        <v>72</v>
      </c>
    </row>
    <row r="5296" spans="1:5" x14ac:dyDescent="0.2">
      <c r="A5296" s="940">
        <v>441</v>
      </c>
      <c r="B5296" s="940">
        <v>601</v>
      </c>
      <c r="C5296" t="s">
        <v>629</v>
      </c>
      <c r="D5296" s="940" t="s">
        <v>9421</v>
      </c>
      <c r="E5296" t="s">
        <v>83</v>
      </c>
    </row>
    <row r="5297" spans="1:5" x14ac:dyDescent="0.2">
      <c r="A5297" s="940">
        <v>61</v>
      </c>
      <c r="B5297" s="940">
        <v>1233</v>
      </c>
      <c r="C5297" t="s">
        <v>9424</v>
      </c>
      <c r="D5297" s="940" t="s">
        <v>4265</v>
      </c>
      <c r="E5297" t="s">
        <v>1171</v>
      </c>
    </row>
    <row r="5298" spans="1:5" x14ac:dyDescent="0.2">
      <c r="A5298" s="940">
        <v>2312</v>
      </c>
      <c r="B5298" s="940">
        <v>61</v>
      </c>
      <c r="C5298" t="s">
        <v>9425</v>
      </c>
      <c r="D5298" s="940" t="s">
        <v>2912</v>
      </c>
      <c r="E5298" t="s">
        <v>1307</v>
      </c>
    </row>
    <row r="5299" spans="1:5" x14ac:dyDescent="0.2">
      <c r="A5299" s="940">
        <v>464</v>
      </c>
      <c r="B5299" s="940">
        <v>580</v>
      </c>
      <c r="C5299" t="s">
        <v>9426</v>
      </c>
      <c r="D5299" s="940" t="s">
        <v>9427</v>
      </c>
      <c r="E5299" t="s">
        <v>132</v>
      </c>
    </row>
    <row r="5300" spans="1:5" x14ac:dyDescent="0.2">
      <c r="A5300" s="940">
        <v>235</v>
      </c>
      <c r="B5300" s="940">
        <v>859</v>
      </c>
      <c r="C5300" t="s">
        <v>11951</v>
      </c>
      <c r="D5300" s="940" t="s">
        <v>11952</v>
      </c>
      <c r="E5300" t="s">
        <v>99</v>
      </c>
    </row>
    <row r="5301" spans="1:5" x14ac:dyDescent="0.2">
      <c r="A5301" s="940">
        <v>4081</v>
      </c>
      <c r="B5301" s="940">
        <v>2</v>
      </c>
      <c r="C5301" t="s">
        <v>11953</v>
      </c>
      <c r="D5301" s="940" t="s">
        <v>3358</v>
      </c>
      <c r="E5301" t="s">
        <v>122</v>
      </c>
    </row>
    <row r="5302" spans="1:5" x14ac:dyDescent="0.2">
      <c r="A5302" s="940">
        <v>2614</v>
      </c>
      <c r="B5302" s="940">
        <v>41</v>
      </c>
      <c r="C5302" t="s">
        <v>9428</v>
      </c>
      <c r="D5302" s="940" t="s">
        <v>9429</v>
      </c>
      <c r="E5302" t="s">
        <v>173</v>
      </c>
    </row>
    <row r="5303" spans="1:5" x14ac:dyDescent="0.2">
      <c r="A5303" s="940">
        <v>3796</v>
      </c>
      <c r="B5303" s="940">
        <v>5</v>
      </c>
      <c r="C5303" t="s">
        <v>11954</v>
      </c>
      <c r="D5303" s="940" t="s">
        <v>4587</v>
      </c>
      <c r="E5303" t="s">
        <v>105</v>
      </c>
    </row>
    <row r="5304" spans="1:5" x14ac:dyDescent="0.2">
      <c r="A5304" s="940">
        <v>1687</v>
      </c>
      <c r="B5304" s="940">
        <v>119</v>
      </c>
      <c r="C5304" t="s">
        <v>9430</v>
      </c>
      <c r="D5304" s="940" t="s">
        <v>3368</v>
      </c>
      <c r="E5304" t="s">
        <v>147</v>
      </c>
    </row>
    <row r="5305" spans="1:5" x14ac:dyDescent="0.2">
      <c r="A5305" s="940">
        <v>2379</v>
      </c>
      <c r="B5305" s="940">
        <v>56</v>
      </c>
      <c r="C5305" t="s">
        <v>9431</v>
      </c>
      <c r="D5305" s="940" t="s">
        <v>3511</v>
      </c>
      <c r="E5305" t="s">
        <v>1182</v>
      </c>
    </row>
    <row r="5306" spans="1:5" x14ac:dyDescent="0.2">
      <c r="A5306" s="940">
        <v>2668</v>
      </c>
      <c r="B5306" s="940">
        <v>38</v>
      </c>
      <c r="C5306" t="s">
        <v>9432</v>
      </c>
      <c r="D5306" s="940" t="s">
        <v>9433</v>
      </c>
      <c r="E5306" t="s">
        <v>80</v>
      </c>
    </row>
    <row r="5307" spans="1:5" x14ac:dyDescent="0.2">
      <c r="A5307" s="940">
        <v>717</v>
      </c>
      <c r="B5307" s="940">
        <v>396</v>
      </c>
      <c r="C5307" t="s">
        <v>9434</v>
      </c>
      <c r="D5307" s="940" t="s">
        <v>9435</v>
      </c>
      <c r="E5307" t="s">
        <v>120</v>
      </c>
    </row>
    <row r="5308" spans="1:5" x14ac:dyDescent="0.2">
      <c r="A5308" s="940">
        <v>2475</v>
      </c>
      <c r="B5308" s="940">
        <v>49</v>
      </c>
      <c r="C5308" t="s">
        <v>9436</v>
      </c>
      <c r="D5308" s="940" t="s">
        <v>9437</v>
      </c>
      <c r="E5308" t="s">
        <v>2654</v>
      </c>
    </row>
    <row r="5309" spans="1:5" x14ac:dyDescent="0.2">
      <c r="A5309" s="940">
        <v>1081</v>
      </c>
      <c r="B5309" s="940">
        <v>248</v>
      </c>
      <c r="C5309" t="s">
        <v>9438</v>
      </c>
      <c r="D5309" s="940" t="s">
        <v>7913</v>
      </c>
      <c r="E5309" t="s">
        <v>188</v>
      </c>
    </row>
    <row r="5310" spans="1:5" x14ac:dyDescent="0.2">
      <c r="A5310" s="940">
        <v>4294</v>
      </c>
      <c r="B5310" s="940">
        <v>0</v>
      </c>
      <c r="C5310" t="s">
        <v>9439</v>
      </c>
      <c r="D5310" s="940" t="s">
        <v>5268</v>
      </c>
      <c r="E5310" t="s">
        <v>105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75"/>
  <sheetViews>
    <sheetView topLeftCell="B52" workbookViewId="0">
      <selection activeCell="M66" sqref="M66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2</v>
      </c>
      <c r="D3" s="962"/>
      <c r="E3" s="963"/>
      <c r="G3" s="957" t="s">
        <v>11956</v>
      </c>
      <c r="H3" s="958">
        <f>C3</f>
        <v>2</v>
      </c>
      <c r="I3" s="962"/>
      <c r="J3" s="963"/>
      <c r="L3" s="957" t="s">
        <v>11956</v>
      </c>
      <c r="M3" s="958">
        <f>C3</f>
        <v>2</v>
      </c>
      <c r="N3" s="961"/>
    </row>
    <row r="4" spans="1:14" x14ac:dyDescent="0.3">
      <c r="B4" s="957" t="s">
        <v>11957</v>
      </c>
      <c r="C4" s="959" t="s">
        <v>11970</v>
      </c>
      <c r="D4" s="961"/>
      <c r="G4" s="957" t="s">
        <v>11957</v>
      </c>
      <c r="H4" s="959" t="s">
        <v>11967</v>
      </c>
      <c r="I4" s="964"/>
      <c r="J4" s="965"/>
      <c r="L4" s="957" t="s">
        <v>11957</v>
      </c>
      <c r="M4" s="959" t="s">
        <v>1040</v>
      </c>
      <c r="N4" s="961"/>
    </row>
    <row r="5" spans="1:14" x14ac:dyDescent="0.3">
      <c r="B5" s="960" t="str">
        <f>'гр (1-4)'!C27</f>
        <v>ШУКЛИН Александр</v>
      </c>
      <c r="C5" s="960" t="str">
        <f>'гр (1-4)'!C31</f>
        <v>АКЕНТЬЕВ Алексей</v>
      </c>
      <c r="D5" s="961"/>
      <c r="E5" s="966"/>
      <c r="G5" s="960" t="str">
        <f>'гр (1-4)'!C25</f>
        <v>СОДЫЛЬ Максим</v>
      </c>
      <c r="H5" s="960" t="str">
        <f>'гр (1-4)'!C33</f>
        <v>МАКАРОВ Никита</v>
      </c>
      <c r="I5" s="961"/>
      <c r="J5" s="966"/>
      <c r="L5" s="960" t="str">
        <f>'гр (1-4)'!C29</f>
        <v>БАНДУРИН Михаил</v>
      </c>
      <c r="M5" s="960" t="str">
        <f>'гр (1-4)'!C35</f>
        <v>ЧИКИН Александр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2</v>
      </c>
      <c r="D18" s="962"/>
      <c r="E18" s="963"/>
      <c r="G18" s="957" t="s">
        <v>11956</v>
      </c>
      <c r="H18" s="958">
        <f>C3</f>
        <v>2</v>
      </c>
      <c r="I18" s="962"/>
      <c r="J18" s="963"/>
      <c r="L18" s="957" t="s">
        <v>11956</v>
      </c>
      <c r="M18" s="958">
        <f>C3</f>
        <v>2</v>
      </c>
      <c r="N18" s="961"/>
    </row>
    <row r="19" spans="1:14" x14ac:dyDescent="0.3">
      <c r="B19" s="957" t="s">
        <v>11957</v>
      </c>
      <c r="C19" s="959" t="s">
        <v>11981</v>
      </c>
      <c r="D19" s="961"/>
      <c r="G19" s="957" t="s">
        <v>11957</v>
      </c>
      <c r="H19" s="959" t="s">
        <v>1100</v>
      </c>
      <c r="I19" s="964"/>
      <c r="J19" s="965"/>
      <c r="L19" s="957" t="s">
        <v>11957</v>
      </c>
      <c r="M19" s="959" t="s">
        <v>1099</v>
      </c>
      <c r="N19" s="961"/>
    </row>
    <row r="20" spans="1:14" x14ac:dyDescent="0.3">
      <c r="B20" s="960" t="str">
        <f>'гр (1-4)'!C31</f>
        <v>АКЕНТЬЕВ Алексей</v>
      </c>
      <c r="C20" s="960" t="str">
        <f>'гр (1-4)'!C25</f>
        <v>СОДЫЛЬ Максим</v>
      </c>
      <c r="D20" s="961"/>
      <c r="E20" s="966"/>
      <c r="G20" s="960" t="str">
        <f>'гр (1-4)'!C35</f>
        <v>ЧИКИН Александр</v>
      </c>
      <c r="H20" s="960" t="str">
        <f>'гр (1-4)'!C27</f>
        <v>ШУКЛИН Александр</v>
      </c>
      <c r="I20" s="961"/>
      <c r="J20" s="966"/>
      <c r="L20" s="960" t="str">
        <f>'гр (1-4)'!C33</f>
        <v>МАКАРОВ Никита</v>
      </c>
      <c r="M20" s="960" t="str">
        <f>'гр (1-4)'!C29</f>
        <v>БАНДУРИН Михаил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2</v>
      </c>
      <c r="D33" s="962"/>
      <c r="E33" s="963"/>
      <c r="G33" s="957" t="s">
        <v>11956</v>
      </c>
      <c r="H33" s="958">
        <f>C3</f>
        <v>2</v>
      </c>
      <c r="I33" s="962"/>
      <c r="J33" s="963"/>
      <c r="L33" s="957" t="s">
        <v>11956</v>
      </c>
      <c r="M33" s="958">
        <f>C3</f>
        <v>2</v>
      </c>
      <c r="N33" s="961"/>
    </row>
    <row r="34" spans="1:14" x14ac:dyDescent="0.3">
      <c r="B34" s="957" t="s">
        <v>11957</v>
      </c>
      <c r="C34" s="959" t="s">
        <v>11971</v>
      </c>
      <c r="D34" s="961"/>
      <c r="G34" s="957" t="s">
        <v>11957</v>
      </c>
      <c r="H34" s="959" t="s">
        <v>1048</v>
      </c>
      <c r="I34" s="964"/>
      <c r="J34" s="965"/>
      <c r="L34" s="957" t="s">
        <v>11957</v>
      </c>
      <c r="M34" s="959" t="s">
        <v>11964</v>
      </c>
      <c r="N34" s="961"/>
    </row>
    <row r="35" spans="1:14" x14ac:dyDescent="0.3">
      <c r="B35" s="960" t="str">
        <f>'гр (1-4)'!C25</f>
        <v>СОДЫЛЬ Максим</v>
      </c>
      <c r="C35" s="960" t="str">
        <f>'гр (1-4)'!C29</f>
        <v>БАНДУРИН Михаил</v>
      </c>
      <c r="D35" s="961"/>
      <c r="E35" s="966"/>
      <c r="G35" s="960" t="str">
        <f>'гр (1-4)'!C27</f>
        <v>ШУКЛИН Александр</v>
      </c>
      <c r="H35" s="960" t="str">
        <f>'гр (1-4)'!C33</f>
        <v>МАКАРОВ Никита</v>
      </c>
      <c r="I35" s="961"/>
      <c r="J35" s="966"/>
      <c r="L35" s="960" t="str">
        <f>'гр (1-4)'!C31</f>
        <v>АКЕНТЬЕВ Алексей</v>
      </c>
      <c r="M35" s="960" t="str">
        <f>'гр (1-4)'!C35</f>
        <v>ЧИКИН Александр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2</v>
      </c>
      <c r="D48" s="962"/>
      <c r="E48" s="963"/>
      <c r="G48" s="957" t="s">
        <v>11956</v>
      </c>
      <c r="H48" s="958">
        <f>C3</f>
        <v>2</v>
      </c>
      <c r="I48" s="962"/>
      <c r="J48" s="963"/>
      <c r="L48" s="957" t="s">
        <v>11956</v>
      </c>
      <c r="M48" s="958">
        <f>C3</f>
        <v>2</v>
      </c>
      <c r="N48" s="961"/>
    </row>
    <row r="49" spans="1:14" x14ac:dyDescent="0.3">
      <c r="B49" s="957" t="s">
        <v>11957</v>
      </c>
      <c r="C49" s="959" t="s">
        <v>1057</v>
      </c>
      <c r="D49" s="961"/>
      <c r="G49" s="957" t="s">
        <v>11957</v>
      </c>
      <c r="H49" s="959" t="s">
        <v>11974</v>
      </c>
      <c r="I49" s="964"/>
      <c r="J49" s="965"/>
      <c r="L49" s="957" t="s">
        <v>11957</v>
      </c>
      <c r="M49" s="959" t="s">
        <v>11978</v>
      </c>
      <c r="N49" s="961"/>
    </row>
    <row r="50" spans="1:14" x14ac:dyDescent="0.3">
      <c r="B50" s="960" t="str">
        <f>'гр (1-4)'!C27</f>
        <v>ШУКЛИН Александр</v>
      </c>
      <c r="C50" s="960" t="str">
        <f>'гр (1-4)'!C29</f>
        <v>БАНДУРИН Михаил</v>
      </c>
      <c r="D50" s="961"/>
      <c r="E50" s="966"/>
      <c r="G50" s="960" t="str">
        <f>'гр (1-4)'!C35</f>
        <v>ЧИКИН Александр</v>
      </c>
      <c r="H50" s="960" t="str">
        <f>'гр (1-4)'!C25</f>
        <v>СОДЫЛЬ Максим</v>
      </c>
      <c r="I50" s="961"/>
      <c r="J50" s="966"/>
      <c r="L50" s="960" t="str">
        <f>'гр (1-4)'!C33</f>
        <v>МАКАРОВ Никита</v>
      </c>
      <c r="M50" s="960" t="str">
        <f>'гр (1-4)'!C31</f>
        <v>АКЕНТЬЕВ Алексей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2</v>
      </c>
      <c r="D63" s="962"/>
      <c r="E63" s="963"/>
      <c r="G63" s="957" t="s">
        <v>11956</v>
      </c>
      <c r="H63" s="958">
        <f>C3</f>
        <v>2</v>
      </c>
      <c r="I63" s="962"/>
      <c r="J63" s="963"/>
      <c r="L63" s="957" t="s">
        <v>11956</v>
      </c>
      <c r="M63" s="958">
        <f>C3</f>
        <v>2</v>
      </c>
      <c r="N63" s="961"/>
    </row>
    <row r="64" spans="1:14" x14ac:dyDescent="0.3">
      <c r="B64" s="957" t="s">
        <v>11957</v>
      </c>
      <c r="C64" s="959" t="s">
        <v>1114</v>
      </c>
      <c r="D64" s="961"/>
      <c r="G64" s="957" t="s">
        <v>11957</v>
      </c>
      <c r="H64" s="959" t="s">
        <v>1049</v>
      </c>
      <c r="I64" s="964"/>
      <c r="J64" s="965"/>
      <c r="L64" s="957" t="s">
        <v>11957</v>
      </c>
      <c r="M64" s="959" t="s">
        <v>1033</v>
      </c>
      <c r="N64" s="961"/>
    </row>
    <row r="65" spans="1:14" x14ac:dyDescent="0.3">
      <c r="B65" s="960" t="str">
        <f>'гр (1-4)'!C25</f>
        <v>СОДЫЛЬ Максим</v>
      </c>
      <c r="C65" s="960" t="str">
        <f>'гр (1-4)'!C27</f>
        <v>ШУКЛИН Александр</v>
      </c>
      <c r="D65" s="961"/>
      <c r="E65" s="966"/>
      <c r="G65" s="960" t="str">
        <f>'гр (1-4)'!C29</f>
        <v>БАНДУРИН Михаил</v>
      </c>
      <c r="H65" s="960" t="str">
        <f>'гр (1-4)'!C31</f>
        <v>АКЕНТЬЕВ Алексей</v>
      </c>
      <c r="I65" s="961"/>
      <c r="J65" s="966"/>
      <c r="L65" s="960" t="str">
        <f>'гр (1-4)'!C33</f>
        <v>МАКАРОВ Никита</v>
      </c>
      <c r="M65" s="960" t="str">
        <f>'гр (1-4)'!C35</f>
        <v>ЧИКИН Александр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</sheetData>
  <mergeCells count="30"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0"/>
  <sheetViews>
    <sheetView view="pageBreakPreview" topLeftCell="A113" zoomScale="60" zoomScaleNormal="100" workbookViewId="0">
      <selection activeCell="I102" sqref="H93:I102"/>
    </sheetView>
  </sheetViews>
  <sheetFormatPr defaultRowHeight="18.75" x14ac:dyDescent="0.3"/>
  <cols>
    <col min="1" max="1" width="4.83203125" style="960" customWidth="1"/>
    <col min="2" max="2" width="31.1640625" style="960" customWidth="1"/>
    <col min="3" max="3" width="31.33203125" style="960" customWidth="1"/>
    <col min="4" max="5" width="5.6640625" style="960" customWidth="1"/>
    <col min="6" max="6" width="4.83203125" style="960" customWidth="1"/>
    <col min="7" max="8" width="31.1640625" style="960" customWidth="1"/>
    <col min="9" max="10" width="5.6640625" style="960" customWidth="1"/>
    <col min="11" max="11" width="4.83203125" style="960" customWidth="1"/>
    <col min="12" max="13" width="31.1640625" style="960" customWidth="1"/>
    <col min="14" max="14" width="5.6640625" style="960" customWidth="1"/>
  </cols>
  <sheetData>
    <row r="1" spans="1:14" x14ac:dyDescent="0.3">
      <c r="B1" s="1199" t="s">
        <v>11955</v>
      </c>
      <c r="C1" s="1199"/>
      <c r="D1" s="955"/>
      <c r="E1" s="956"/>
      <c r="G1" s="1199" t="s">
        <v>11955</v>
      </c>
      <c r="H1" s="1199"/>
      <c r="I1" s="955"/>
      <c r="J1" s="956"/>
      <c r="L1" s="1199" t="s">
        <v>11955</v>
      </c>
      <c r="M1" s="1199"/>
      <c r="N1" s="961"/>
    </row>
    <row r="2" spans="1:14" x14ac:dyDescent="0.3">
      <c r="B2" s="1199" t="s">
        <v>11972</v>
      </c>
      <c r="C2" s="1199"/>
      <c r="D2" s="955"/>
      <c r="E2" s="956"/>
      <c r="G2" s="1199" t="str">
        <f>B2</f>
        <v>Групповой этап</v>
      </c>
      <c r="H2" s="1199"/>
      <c r="I2" s="955"/>
      <c r="J2" s="956"/>
      <c r="L2" s="1199" t="str">
        <f>B2</f>
        <v>Групповой этап</v>
      </c>
      <c r="M2" s="1199"/>
      <c r="N2" s="961"/>
    </row>
    <row r="3" spans="1:14" x14ac:dyDescent="0.3">
      <c r="B3" s="957" t="s">
        <v>11956</v>
      </c>
      <c r="C3" s="958">
        <v>3</v>
      </c>
      <c r="D3" s="962"/>
      <c r="E3" s="963"/>
      <c r="G3" s="957" t="s">
        <v>11956</v>
      </c>
      <c r="H3" s="958">
        <f>C3</f>
        <v>3</v>
      </c>
      <c r="I3" s="962"/>
      <c r="J3" s="963"/>
      <c r="L3" s="957" t="s">
        <v>11956</v>
      </c>
      <c r="M3" s="958">
        <f>C3</f>
        <v>3</v>
      </c>
      <c r="N3" s="961"/>
    </row>
    <row r="4" spans="1:14" x14ac:dyDescent="0.3">
      <c r="B4" s="957" t="s">
        <v>11957</v>
      </c>
      <c r="C4" s="959" t="s">
        <v>11960</v>
      </c>
      <c r="D4" s="961"/>
      <c r="G4" s="957" t="s">
        <v>11957</v>
      </c>
      <c r="H4" s="959" t="s">
        <v>11959</v>
      </c>
      <c r="I4" s="964"/>
      <c r="J4" s="965"/>
      <c r="L4" s="957" t="s">
        <v>11957</v>
      </c>
      <c r="M4" s="959" t="s">
        <v>11963</v>
      </c>
      <c r="N4" s="961"/>
    </row>
    <row r="5" spans="1:14" x14ac:dyDescent="0.3">
      <c r="B5" s="960" t="str">
        <f>'гр (1-4)'!C47</f>
        <v>САТДАРОВ Артем</v>
      </c>
      <c r="C5" s="960" t="str">
        <f>'гр (1-4)'!C55</f>
        <v>ЖИЛОВ Кристиан</v>
      </c>
      <c r="D5" s="961"/>
      <c r="E5" s="966"/>
      <c r="G5" s="960" t="str">
        <f>'гр (1-4)'!C49</f>
        <v>МАКЕЕВ Александр</v>
      </c>
      <c r="H5" s="960" t="str">
        <f>'гр (1-4)'!C53</f>
        <v>ЮНУСОВ Михаил</v>
      </c>
      <c r="I5" s="961"/>
      <c r="J5" s="966"/>
      <c r="L5" s="960" t="str">
        <f>'гр (1-4)'!C45</f>
        <v>РАМС Сергей</v>
      </c>
      <c r="M5" s="960" t="str">
        <f>'гр (1-4)'!C57</f>
        <v>ПЕТРОВ Егор</v>
      </c>
      <c r="N5" s="961"/>
    </row>
    <row r="6" spans="1:14" x14ac:dyDescent="0.3">
      <c r="A6" s="967">
        <v>1</v>
      </c>
      <c r="B6" s="967"/>
      <c r="C6" s="967"/>
      <c r="D6" s="968"/>
      <c r="E6" s="969"/>
      <c r="F6" s="967">
        <v>1</v>
      </c>
      <c r="G6" s="967"/>
      <c r="H6" s="967"/>
      <c r="I6" s="968"/>
      <c r="J6" s="969"/>
      <c r="K6" s="967">
        <v>1</v>
      </c>
      <c r="L6" s="967"/>
      <c r="M6" s="967"/>
      <c r="N6" s="961"/>
    </row>
    <row r="7" spans="1:14" x14ac:dyDescent="0.3">
      <c r="A7" s="967">
        <v>2</v>
      </c>
      <c r="B7" s="967"/>
      <c r="C7" s="967"/>
      <c r="D7" s="968"/>
      <c r="E7" s="969"/>
      <c r="F7" s="967">
        <v>2</v>
      </c>
      <c r="G7" s="967"/>
      <c r="H7" s="967"/>
      <c r="I7" s="968"/>
      <c r="J7" s="969"/>
      <c r="K7" s="967">
        <v>2</v>
      </c>
      <c r="L7" s="967"/>
      <c r="M7" s="967"/>
      <c r="N7" s="961"/>
    </row>
    <row r="8" spans="1:14" x14ac:dyDescent="0.3">
      <c r="A8" s="967">
        <v>3</v>
      </c>
      <c r="B8" s="967"/>
      <c r="C8" s="967"/>
      <c r="D8" s="968"/>
      <c r="E8" s="969"/>
      <c r="F8" s="967">
        <v>3</v>
      </c>
      <c r="G8" s="967"/>
      <c r="H8" s="967"/>
      <c r="I8" s="968"/>
      <c r="J8" s="969"/>
      <c r="K8" s="967">
        <v>3</v>
      </c>
      <c r="L8" s="967"/>
      <c r="M8" s="967"/>
      <c r="N8" s="961"/>
    </row>
    <row r="9" spans="1:14" x14ac:dyDescent="0.3">
      <c r="A9" s="967">
        <v>4</v>
      </c>
      <c r="B9" s="967"/>
      <c r="C9" s="967"/>
      <c r="D9" s="968"/>
      <c r="E9" s="969"/>
      <c r="F9" s="967">
        <v>4</v>
      </c>
      <c r="G9" s="967"/>
      <c r="H9" s="967"/>
      <c r="I9" s="968"/>
      <c r="J9" s="969"/>
      <c r="K9" s="967">
        <v>4</v>
      </c>
      <c r="L9" s="967"/>
      <c r="M9" s="967"/>
      <c r="N9" s="961"/>
    </row>
    <row r="10" spans="1:14" x14ac:dyDescent="0.3">
      <c r="A10" s="967">
        <v>5</v>
      </c>
      <c r="B10" s="967"/>
      <c r="C10" s="967"/>
      <c r="D10" s="968"/>
      <c r="E10" s="969"/>
      <c r="F10" s="967">
        <v>5</v>
      </c>
      <c r="G10" s="967"/>
      <c r="H10" s="967"/>
      <c r="I10" s="968"/>
      <c r="J10" s="969"/>
      <c r="K10" s="967">
        <v>5</v>
      </c>
      <c r="L10" s="967"/>
      <c r="M10" s="967"/>
      <c r="N10" s="961"/>
    </row>
    <row r="11" spans="1:14" x14ac:dyDescent="0.3">
      <c r="D11" s="961"/>
      <c r="E11" s="966"/>
      <c r="I11" s="961"/>
      <c r="N11" s="961"/>
    </row>
    <row r="12" spans="1:14" x14ac:dyDescent="0.3">
      <c r="B12" s="970" t="s">
        <v>11961</v>
      </c>
      <c r="C12" s="971"/>
      <c r="D12" s="961"/>
      <c r="E12" s="966"/>
      <c r="G12" s="970" t="s">
        <v>11961</v>
      </c>
      <c r="H12" s="971"/>
      <c r="I12" s="961"/>
      <c r="J12" s="966"/>
      <c r="L12" s="970" t="s">
        <v>11961</v>
      </c>
      <c r="M12" s="971"/>
      <c r="N12" s="961"/>
    </row>
    <row r="13" spans="1:14" x14ac:dyDescent="0.3">
      <c r="D13" s="961"/>
      <c r="I13" s="961"/>
      <c r="N13" s="961"/>
    </row>
    <row r="14" spans="1:14" x14ac:dyDescent="0.3">
      <c r="B14" s="970" t="s">
        <v>11962</v>
      </c>
      <c r="C14" s="967"/>
      <c r="D14" s="961"/>
      <c r="E14" s="966"/>
      <c r="G14" s="970" t="s">
        <v>11962</v>
      </c>
      <c r="H14" s="967"/>
      <c r="I14" s="961"/>
      <c r="J14" s="966"/>
      <c r="L14" s="970" t="s">
        <v>11962</v>
      </c>
      <c r="M14" s="967"/>
      <c r="N14" s="961"/>
    </row>
    <row r="15" spans="1:14" x14ac:dyDescent="0.3">
      <c r="B15" s="972"/>
      <c r="C15" s="972"/>
      <c r="D15" s="973"/>
      <c r="E15" s="974"/>
      <c r="F15" s="972"/>
      <c r="G15" s="972"/>
      <c r="H15" s="972"/>
      <c r="I15" s="973"/>
      <c r="J15" s="974"/>
      <c r="K15" s="972"/>
      <c r="L15" s="972"/>
      <c r="M15" s="972"/>
      <c r="N15" s="973"/>
    </row>
    <row r="16" spans="1:14" x14ac:dyDescent="0.3">
      <c r="B16" s="1199" t="s">
        <v>11955</v>
      </c>
      <c r="C16" s="1199"/>
      <c r="D16" s="955"/>
      <c r="E16" s="956"/>
      <c r="G16" s="1199" t="s">
        <v>11955</v>
      </c>
      <c r="H16" s="1199"/>
      <c r="I16" s="955"/>
      <c r="J16" s="956"/>
      <c r="L16" s="1199" t="s">
        <v>11955</v>
      </c>
      <c r="M16" s="1199"/>
      <c r="N16" s="961"/>
    </row>
    <row r="17" spans="1:14" x14ac:dyDescent="0.3">
      <c r="B17" s="1199" t="str">
        <f>B2</f>
        <v>Групповой этап</v>
      </c>
      <c r="C17" s="1199"/>
      <c r="D17" s="955"/>
      <c r="E17" s="956"/>
      <c r="G17" s="1199" t="str">
        <f>B2</f>
        <v>Групповой этап</v>
      </c>
      <c r="H17" s="1199"/>
      <c r="I17" s="955"/>
      <c r="J17" s="956"/>
      <c r="L17" s="1199" t="str">
        <f>B2</f>
        <v>Групповой этап</v>
      </c>
      <c r="M17" s="1199"/>
      <c r="N17" s="961"/>
    </row>
    <row r="18" spans="1:14" x14ac:dyDescent="0.3">
      <c r="B18" s="957" t="s">
        <v>11956</v>
      </c>
      <c r="C18" s="958">
        <f>C3</f>
        <v>3</v>
      </c>
      <c r="D18" s="962"/>
      <c r="E18" s="963"/>
      <c r="G18" s="957" t="s">
        <v>11956</v>
      </c>
      <c r="H18" s="958">
        <f>C3</f>
        <v>3</v>
      </c>
      <c r="I18" s="962"/>
      <c r="J18" s="963"/>
      <c r="L18" s="957" t="s">
        <v>11956</v>
      </c>
      <c r="M18" s="958">
        <f>C3</f>
        <v>3</v>
      </c>
      <c r="N18" s="961"/>
    </row>
    <row r="19" spans="1:14" x14ac:dyDescent="0.3">
      <c r="B19" s="957" t="s">
        <v>11957</v>
      </c>
      <c r="C19" s="959" t="s">
        <v>11958</v>
      </c>
      <c r="D19" s="961"/>
      <c r="G19" s="957" t="s">
        <v>11957</v>
      </c>
      <c r="H19" s="959" t="s">
        <v>11973</v>
      </c>
      <c r="I19" s="964"/>
      <c r="J19" s="965"/>
      <c r="L19" s="957" t="s">
        <v>11957</v>
      </c>
      <c r="M19" s="959" t="s">
        <v>11974</v>
      </c>
      <c r="N19" s="961"/>
    </row>
    <row r="20" spans="1:14" x14ac:dyDescent="0.3">
      <c r="B20" s="960" t="str">
        <f>'гр (1-4)'!C51</f>
        <v>ПОПОВ Павел</v>
      </c>
      <c r="C20" s="960" t="str">
        <f>'гр (1-4)'!C59</f>
        <v/>
      </c>
      <c r="D20" s="961"/>
      <c r="E20" s="966"/>
      <c r="G20" s="960" t="str">
        <f>'гр (1-4)'!C53</f>
        <v>ЮНУСОВ Михаил</v>
      </c>
      <c r="H20" s="960" t="str">
        <f>'гр (1-4)'!C47</f>
        <v>САТДАРОВ Артем</v>
      </c>
      <c r="I20" s="961"/>
      <c r="J20" s="966"/>
      <c r="L20" s="960" t="str">
        <f>'гр (1-4)'!C55</f>
        <v>ЖИЛОВ Кристиан</v>
      </c>
      <c r="M20" s="960" t="str">
        <f>'гр (1-4)'!C45</f>
        <v>РАМС Сергей</v>
      </c>
      <c r="N20" s="961"/>
    </row>
    <row r="21" spans="1:14" x14ac:dyDescent="0.3">
      <c r="A21" s="967">
        <v>1</v>
      </c>
      <c r="B21" s="967"/>
      <c r="C21" s="967"/>
      <c r="D21" s="968"/>
      <c r="E21" s="969"/>
      <c r="F21" s="967">
        <v>1</v>
      </c>
      <c r="G21" s="967"/>
      <c r="H21" s="967"/>
      <c r="I21" s="968"/>
      <c r="J21" s="969"/>
      <c r="K21" s="967">
        <v>1</v>
      </c>
      <c r="L21" s="967"/>
      <c r="M21" s="967"/>
      <c r="N21" s="961"/>
    </row>
    <row r="22" spans="1:14" x14ac:dyDescent="0.3">
      <c r="A22" s="967">
        <v>2</v>
      </c>
      <c r="B22" s="967"/>
      <c r="C22" s="967"/>
      <c r="D22" s="968"/>
      <c r="E22" s="969"/>
      <c r="F22" s="967">
        <v>2</v>
      </c>
      <c r="G22" s="967"/>
      <c r="H22" s="967"/>
      <c r="I22" s="968"/>
      <c r="J22" s="969"/>
      <c r="K22" s="967">
        <v>2</v>
      </c>
      <c r="L22" s="967"/>
      <c r="M22" s="967"/>
      <c r="N22" s="961"/>
    </row>
    <row r="23" spans="1:14" x14ac:dyDescent="0.3">
      <c r="A23" s="967">
        <v>3</v>
      </c>
      <c r="B23" s="967"/>
      <c r="C23" s="967"/>
      <c r="D23" s="968"/>
      <c r="E23" s="969"/>
      <c r="F23" s="967">
        <v>3</v>
      </c>
      <c r="G23" s="967"/>
      <c r="H23" s="967"/>
      <c r="I23" s="968"/>
      <c r="J23" s="969"/>
      <c r="K23" s="967">
        <v>3</v>
      </c>
      <c r="L23" s="967"/>
      <c r="M23" s="967"/>
      <c r="N23" s="961"/>
    </row>
    <row r="24" spans="1:14" x14ac:dyDescent="0.3">
      <c r="A24" s="967">
        <v>4</v>
      </c>
      <c r="B24" s="967"/>
      <c r="C24" s="967"/>
      <c r="D24" s="968"/>
      <c r="E24" s="969"/>
      <c r="F24" s="967">
        <v>4</v>
      </c>
      <c r="G24" s="967"/>
      <c r="H24" s="967"/>
      <c r="I24" s="968"/>
      <c r="J24" s="969"/>
      <c r="K24" s="967">
        <v>4</v>
      </c>
      <c r="L24" s="967"/>
      <c r="M24" s="967"/>
      <c r="N24" s="961"/>
    </row>
    <row r="25" spans="1:14" x14ac:dyDescent="0.3">
      <c r="A25" s="967">
        <v>5</v>
      </c>
      <c r="B25" s="967"/>
      <c r="C25" s="967"/>
      <c r="D25" s="968"/>
      <c r="E25" s="969"/>
      <c r="F25" s="967">
        <v>5</v>
      </c>
      <c r="G25" s="967"/>
      <c r="H25" s="967"/>
      <c r="I25" s="968"/>
      <c r="J25" s="969"/>
      <c r="K25" s="967">
        <v>5</v>
      </c>
      <c r="L25" s="967"/>
      <c r="M25" s="967"/>
      <c r="N25" s="961"/>
    </row>
    <row r="26" spans="1:14" x14ac:dyDescent="0.3">
      <c r="D26" s="961"/>
      <c r="E26" s="966"/>
      <c r="I26" s="961"/>
      <c r="N26" s="961"/>
    </row>
    <row r="27" spans="1:14" x14ac:dyDescent="0.3">
      <c r="B27" s="970" t="s">
        <v>11961</v>
      </c>
      <c r="C27" s="971"/>
      <c r="D27" s="961"/>
      <c r="E27" s="966"/>
      <c r="G27" s="970" t="s">
        <v>11961</v>
      </c>
      <c r="H27" s="971"/>
      <c r="I27" s="961"/>
      <c r="J27" s="966"/>
      <c r="L27" s="970" t="s">
        <v>11961</v>
      </c>
      <c r="M27" s="971"/>
      <c r="N27" s="961"/>
    </row>
    <row r="28" spans="1:14" x14ac:dyDescent="0.3">
      <c r="D28" s="961"/>
      <c r="I28" s="961"/>
      <c r="N28" s="961"/>
    </row>
    <row r="29" spans="1:14" x14ac:dyDescent="0.3">
      <c r="B29" s="970" t="s">
        <v>11962</v>
      </c>
      <c r="C29" s="967"/>
      <c r="D29" s="961"/>
      <c r="E29" s="966"/>
      <c r="G29" s="970" t="s">
        <v>11962</v>
      </c>
      <c r="H29" s="967"/>
      <c r="I29" s="961"/>
      <c r="J29" s="966"/>
      <c r="L29" s="970" t="s">
        <v>11962</v>
      </c>
      <c r="M29" s="967"/>
      <c r="N29" s="961"/>
    </row>
    <row r="30" spans="1:14" x14ac:dyDescent="0.3">
      <c r="B30" s="972"/>
      <c r="C30" s="972"/>
      <c r="D30" s="973"/>
      <c r="E30" s="974"/>
      <c r="F30" s="972"/>
      <c r="G30" s="972"/>
      <c r="H30" s="972"/>
      <c r="I30" s="973"/>
      <c r="J30" s="974"/>
      <c r="K30" s="972"/>
      <c r="L30" s="972"/>
      <c r="M30" s="972"/>
      <c r="N30" s="973"/>
    </row>
    <row r="31" spans="1:14" x14ac:dyDescent="0.3">
      <c r="B31" s="1199" t="s">
        <v>11955</v>
      </c>
      <c r="C31" s="1199"/>
      <c r="D31" s="955"/>
      <c r="E31" s="956"/>
      <c r="G31" s="1199" t="s">
        <v>11955</v>
      </c>
      <c r="H31" s="1199"/>
      <c r="I31" s="955"/>
      <c r="J31" s="956"/>
      <c r="L31" s="1199" t="s">
        <v>11955</v>
      </c>
      <c r="M31" s="1199"/>
      <c r="N31" s="961"/>
    </row>
    <row r="32" spans="1:14" x14ac:dyDescent="0.3">
      <c r="B32" s="1199" t="str">
        <f>B2</f>
        <v>Групповой этап</v>
      </c>
      <c r="C32" s="1199"/>
      <c r="D32" s="955"/>
      <c r="E32" s="956"/>
      <c r="G32" s="1199" t="str">
        <f>B2</f>
        <v>Групповой этап</v>
      </c>
      <c r="H32" s="1199"/>
      <c r="I32" s="955"/>
      <c r="J32" s="956"/>
      <c r="L32" s="1199" t="str">
        <f>B2</f>
        <v>Групповой этап</v>
      </c>
      <c r="M32" s="1199"/>
      <c r="N32" s="961"/>
    </row>
    <row r="33" spans="1:14" x14ac:dyDescent="0.3">
      <c r="B33" s="957" t="s">
        <v>11956</v>
      </c>
      <c r="C33" s="958">
        <f>C3</f>
        <v>3</v>
      </c>
      <c r="D33" s="962"/>
      <c r="E33" s="963"/>
      <c r="G33" s="957" t="s">
        <v>11956</v>
      </c>
      <c r="H33" s="958">
        <f>C3</f>
        <v>3</v>
      </c>
      <c r="I33" s="962"/>
      <c r="J33" s="963"/>
      <c r="L33" s="957" t="s">
        <v>11956</v>
      </c>
      <c r="M33" s="958">
        <f>C3</f>
        <v>3</v>
      </c>
      <c r="N33" s="961"/>
    </row>
    <row r="34" spans="1:14" x14ac:dyDescent="0.3">
      <c r="B34" s="957" t="s">
        <v>11957</v>
      </c>
      <c r="C34" s="959" t="s">
        <v>11975</v>
      </c>
      <c r="D34" s="961"/>
      <c r="G34" s="957" t="s">
        <v>11957</v>
      </c>
      <c r="H34" s="959" t="s">
        <v>11976</v>
      </c>
      <c r="I34" s="964"/>
      <c r="J34" s="965"/>
      <c r="L34" s="957" t="s">
        <v>11957</v>
      </c>
      <c r="M34" s="959" t="s">
        <v>11967</v>
      </c>
      <c r="N34" s="961"/>
    </row>
    <row r="35" spans="1:14" x14ac:dyDescent="0.3">
      <c r="B35" s="960" t="str">
        <f>'гр (1-4)'!C59</f>
        <v/>
      </c>
      <c r="C35" s="960" t="str">
        <f>'гр (1-4)'!C49</f>
        <v>МАКЕЕВ Александр</v>
      </c>
      <c r="D35" s="961"/>
      <c r="E35" s="966"/>
      <c r="G35" s="960" t="str">
        <f>'гр (1-4)'!C57</f>
        <v>ПЕТРОВ Егор</v>
      </c>
      <c r="H35" s="960" t="str">
        <f>'гр (1-4)'!C51</f>
        <v>ПОПОВ Павел</v>
      </c>
      <c r="I35" s="961"/>
      <c r="J35" s="966"/>
      <c r="L35" s="960" t="str">
        <f>'гр (1-4)'!C45</f>
        <v>РАМС Сергей</v>
      </c>
      <c r="M35" s="960" t="str">
        <f>'гр (1-4)'!C53</f>
        <v>ЮНУСОВ Михаил</v>
      </c>
      <c r="N35" s="961"/>
    </row>
    <row r="36" spans="1:14" x14ac:dyDescent="0.3">
      <c r="A36" s="967">
        <v>1</v>
      </c>
      <c r="B36" s="967"/>
      <c r="C36" s="967"/>
      <c r="D36" s="968"/>
      <c r="E36" s="969"/>
      <c r="F36" s="967">
        <v>1</v>
      </c>
      <c r="G36" s="967"/>
      <c r="H36" s="967"/>
      <c r="I36" s="968"/>
      <c r="J36" s="969"/>
      <c r="K36" s="967">
        <v>1</v>
      </c>
      <c r="L36" s="967"/>
      <c r="M36" s="967"/>
      <c r="N36" s="961"/>
    </row>
    <row r="37" spans="1:14" x14ac:dyDescent="0.3">
      <c r="A37" s="967">
        <v>2</v>
      </c>
      <c r="B37" s="967"/>
      <c r="C37" s="967"/>
      <c r="D37" s="968"/>
      <c r="E37" s="969"/>
      <c r="F37" s="967">
        <v>2</v>
      </c>
      <c r="G37" s="967"/>
      <c r="H37" s="967"/>
      <c r="I37" s="968"/>
      <c r="J37" s="969"/>
      <c r="K37" s="967">
        <v>2</v>
      </c>
      <c r="L37" s="967"/>
      <c r="M37" s="967"/>
      <c r="N37" s="961"/>
    </row>
    <row r="38" spans="1:14" x14ac:dyDescent="0.3">
      <c r="A38" s="967">
        <v>3</v>
      </c>
      <c r="B38" s="967"/>
      <c r="C38" s="967"/>
      <c r="D38" s="968"/>
      <c r="E38" s="969"/>
      <c r="F38" s="967">
        <v>3</v>
      </c>
      <c r="G38" s="967"/>
      <c r="H38" s="967"/>
      <c r="I38" s="968"/>
      <c r="J38" s="969"/>
      <c r="K38" s="967">
        <v>3</v>
      </c>
      <c r="L38" s="967"/>
      <c r="M38" s="967"/>
      <c r="N38" s="961"/>
    </row>
    <row r="39" spans="1:14" x14ac:dyDescent="0.3">
      <c r="A39" s="967">
        <v>4</v>
      </c>
      <c r="B39" s="967"/>
      <c r="C39" s="967"/>
      <c r="D39" s="968"/>
      <c r="E39" s="969"/>
      <c r="F39" s="967">
        <v>4</v>
      </c>
      <c r="G39" s="967"/>
      <c r="H39" s="967"/>
      <c r="I39" s="968"/>
      <c r="J39" s="969"/>
      <c r="K39" s="967">
        <v>4</v>
      </c>
      <c r="L39" s="967"/>
      <c r="M39" s="967"/>
      <c r="N39" s="961"/>
    </row>
    <row r="40" spans="1:14" x14ac:dyDescent="0.3">
      <c r="A40" s="967">
        <v>5</v>
      </c>
      <c r="B40" s="967"/>
      <c r="C40" s="967"/>
      <c r="D40" s="968"/>
      <c r="E40" s="969"/>
      <c r="F40" s="967">
        <v>5</v>
      </c>
      <c r="G40" s="967"/>
      <c r="H40" s="967"/>
      <c r="I40" s="968"/>
      <c r="J40" s="969"/>
      <c r="K40" s="967">
        <v>5</v>
      </c>
      <c r="L40" s="967"/>
      <c r="M40" s="967"/>
      <c r="N40" s="961"/>
    </row>
    <row r="41" spans="1:14" x14ac:dyDescent="0.3">
      <c r="D41" s="961"/>
      <c r="E41" s="966"/>
      <c r="I41" s="961"/>
      <c r="N41" s="961"/>
    </row>
    <row r="42" spans="1:14" x14ac:dyDescent="0.3">
      <c r="B42" s="970" t="s">
        <v>11961</v>
      </c>
      <c r="C42" s="971"/>
      <c r="D42" s="961"/>
      <c r="E42" s="966"/>
      <c r="G42" s="970" t="s">
        <v>11961</v>
      </c>
      <c r="H42" s="971"/>
      <c r="I42" s="961"/>
      <c r="J42" s="966"/>
      <c r="L42" s="970" t="s">
        <v>11961</v>
      </c>
      <c r="M42" s="971"/>
      <c r="N42" s="961"/>
    </row>
    <row r="43" spans="1:14" x14ac:dyDescent="0.3">
      <c r="D43" s="961"/>
      <c r="I43" s="961"/>
      <c r="N43" s="961"/>
    </row>
    <row r="44" spans="1:14" x14ac:dyDescent="0.3">
      <c r="B44" s="970" t="s">
        <v>11962</v>
      </c>
      <c r="C44" s="967"/>
      <c r="D44" s="961"/>
      <c r="E44" s="966"/>
      <c r="G44" s="970" t="s">
        <v>11962</v>
      </c>
      <c r="H44" s="967"/>
      <c r="I44" s="961"/>
      <c r="J44" s="966"/>
      <c r="L44" s="970" t="s">
        <v>11962</v>
      </c>
      <c r="M44" s="967"/>
      <c r="N44" s="961"/>
    </row>
    <row r="45" spans="1:14" x14ac:dyDescent="0.3">
      <c r="B45" s="972"/>
      <c r="C45" s="972"/>
      <c r="D45" s="973"/>
      <c r="E45" s="974"/>
      <c r="F45" s="972"/>
      <c r="G45" s="972"/>
      <c r="H45" s="972"/>
      <c r="I45" s="973"/>
      <c r="J45" s="974"/>
      <c r="K45" s="972"/>
      <c r="L45" s="972"/>
      <c r="M45" s="972"/>
      <c r="N45" s="973"/>
    </row>
    <row r="46" spans="1:14" x14ac:dyDescent="0.3">
      <c r="B46" s="1199" t="s">
        <v>11955</v>
      </c>
      <c r="C46" s="1199"/>
      <c r="D46" s="955"/>
      <c r="E46" s="956"/>
      <c r="G46" s="1199" t="s">
        <v>11955</v>
      </c>
      <c r="H46" s="1199"/>
      <c r="I46" s="955"/>
      <c r="J46" s="956"/>
      <c r="L46" s="1199" t="s">
        <v>11955</v>
      </c>
      <c r="M46" s="1199"/>
      <c r="N46" s="961"/>
    </row>
    <row r="47" spans="1:14" x14ac:dyDescent="0.3">
      <c r="B47" s="1199" t="str">
        <f>B2</f>
        <v>Групповой этап</v>
      </c>
      <c r="C47" s="1199"/>
      <c r="D47" s="955"/>
      <c r="E47" s="956"/>
      <c r="G47" s="1199" t="str">
        <f>B2</f>
        <v>Групповой этап</v>
      </c>
      <c r="H47" s="1199"/>
      <c r="I47" s="955"/>
      <c r="J47" s="956"/>
      <c r="L47" s="1199" t="str">
        <f>B2</f>
        <v>Групповой этап</v>
      </c>
      <c r="M47" s="1199"/>
      <c r="N47" s="961"/>
    </row>
    <row r="48" spans="1:14" x14ac:dyDescent="0.3">
      <c r="B48" s="957" t="s">
        <v>11956</v>
      </c>
      <c r="C48" s="958">
        <f>C3</f>
        <v>3</v>
      </c>
      <c r="D48" s="962"/>
      <c r="E48" s="963"/>
      <c r="G48" s="957" t="s">
        <v>11956</v>
      </c>
      <c r="H48" s="958">
        <f>C3</f>
        <v>3</v>
      </c>
      <c r="I48" s="962"/>
      <c r="J48" s="963"/>
      <c r="L48" s="957" t="s">
        <v>11956</v>
      </c>
      <c r="M48" s="958">
        <f>C3</f>
        <v>3</v>
      </c>
      <c r="N48" s="961"/>
    </row>
    <row r="49" spans="1:14" x14ac:dyDescent="0.3">
      <c r="B49" s="957" t="s">
        <v>11957</v>
      </c>
      <c r="C49" s="959" t="s">
        <v>11966</v>
      </c>
      <c r="D49" s="961"/>
      <c r="G49" s="957" t="s">
        <v>11957</v>
      </c>
      <c r="H49" s="959" t="s">
        <v>11964</v>
      </c>
      <c r="I49" s="964"/>
      <c r="J49" s="965"/>
      <c r="L49" s="957" t="s">
        <v>11957</v>
      </c>
      <c r="M49" s="959" t="s">
        <v>11965</v>
      </c>
      <c r="N49" s="961"/>
    </row>
    <row r="50" spans="1:14" x14ac:dyDescent="0.3">
      <c r="B50" s="960" t="str">
        <f>'гр (1-4)'!C47</f>
        <v>САТДАРОВ Артем</v>
      </c>
      <c r="C50" s="960" t="str">
        <f>'гр (1-4)'!C59</f>
        <v/>
      </c>
      <c r="D50" s="961"/>
      <c r="E50" s="966"/>
      <c r="G50" s="960" t="str">
        <f>'гр (1-4)'!C51</f>
        <v>ПОПОВ Павел</v>
      </c>
      <c r="H50" s="960" t="str">
        <f>'гр (1-4)'!C55</f>
        <v>ЖИЛОВ Кристиан</v>
      </c>
      <c r="I50" s="961"/>
      <c r="J50" s="966"/>
      <c r="L50" s="960" t="str">
        <f>'гр (1-4)'!C49</f>
        <v>МАКЕЕВ Александр</v>
      </c>
      <c r="M50" s="960" t="str">
        <f>'гр (1-4)'!C57</f>
        <v>ПЕТРОВ Егор</v>
      </c>
      <c r="N50" s="961"/>
    </row>
    <row r="51" spans="1:14" x14ac:dyDescent="0.3">
      <c r="A51" s="967">
        <v>1</v>
      </c>
      <c r="B51" s="967"/>
      <c r="C51" s="967"/>
      <c r="D51" s="968"/>
      <c r="E51" s="969"/>
      <c r="F51" s="967">
        <v>1</v>
      </c>
      <c r="G51" s="967"/>
      <c r="H51" s="967"/>
      <c r="I51" s="968"/>
      <c r="J51" s="969"/>
      <c r="K51" s="967">
        <v>1</v>
      </c>
      <c r="L51" s="967"/>
      <c r="M51" s="967"/>
      <c r="N51" s="961"/>
    </row>
    <row r="52" spans="1:14" x14ac:dyDescent="0.3">
      <c r="A52" s="967">
        <v>2</v>
      </c>
      <c r="B52" s="967"/>
      <c r="C52" s="967"/>
      <c r="D52" s="968"/>
      <c r="E52" s="969"/>
      <c r="F52" s="967">
        <v>2</v>
      </c>
      <c r="G52" s="967"/>
      <c r="H52" s="967"/>
      <c r="I52" s="968"/>
      <c r="J52" s="969"/>
      <c r="K52" s="967">
        <v>2</v>
      </c>
      <c r="L52" s="967"/>
      <c r="M52" s="967"/>
      <c r="N52" s="961"/>
    </row>
    <row r="53" spans="1:14" x14ac:dyDescent="0.3">
      <c r="A53" s="967">
        <v>3</v>
      </c>
      <c r="B53" s="967"/>
      <c r="C53" s="967"/>
      <c r="D53" s="968"/>
      <c r="E53" s="969"/>
      <c r="F53" s="967">
        <v>3</v>
      </c>
      <c r="G53" s="967"/>
      <c r="H53" s="967"/>
      <c r="I53" s="968"/>
      <c r="J53" s="969"/>
      <c r="K53" s="967">
        <v>3</v>
      </c>
      <c r="L53" s="967"/>
      <c r="M53" s="967"/>
      <c r="N53" s="961"/>
    </row>
    <row r="54" spans="1:14" x14ac:dyDescent="0.3">
      <c r="A54" s="967">
        <v>4</v>
      </c>
      <c r="B54" s="967"/>
      <c r="C54" s="967"/>
      <c r="D54" s="968"/>
      <c r="E54" s="969"/>
      <c r="F54" s="967">
        <v>4</v>
      </c>
      <c r="G54" s="967"/>
      <c r="H54" s="967"/>
      <c r="I54" s="968"/>
      <c r="J54" s="969"/>
      <c r="K54" s="967">
        <v>4</v>
      </c>
      <c r="L54" s="967"/>
      <c r="M54" s="967"/>
      <c r="N54" s="961"/>
    </row>
    <row r="55" spans="1:14" x14ac:dyDescent="0.3">
      <c r="A55" s="967">
        <v>5</v>
      </c>
      <c r="B55" s="967"/>
      <c r="C55" s="967"/>
      <c r="D55" s="968"/>
      <c r="E55" s="969"/>
      <c r="F55" s="967">
        <v>5</v>
      </c>
      <c r="G55" s="967"/>
      <c r="H55" s="967"/>
      <c r="I55" s="968"/>
      <c r="J55" s="969"/>
      <c r="K55" s="967">
        <v>5</v>
      </c>
      <c r="L55" s="967"/>
      <c r="M55" s="967"/>
      <c r="N55" s="961"/>
    </row>
    <row r="56" spans="1:14" x14ac:dyDescent="0.3">
      <c r="D56" s="961"/>
      <c r="E56" s="966"/>
      <c r="I56" s="961"/>
      <c r="N56" s="961"/>
    </row>
    <row r="57" spans="1:14" x14ac:dyDescent="0.3">
      <c r="B57" s="970" t="s">
        <v>11961</v>
      </c>
      <c r="C57" s="971"/>
      <c r="D57" s="961"/>
      <c r="E57" s="966"/>
      <c r="G57" s="970" t="s">
        <v>11961</v>
      </c>
      <c r="H57" s="971"/>
      <c r="I57" s="961"/>
      <c r="J57" s="966"/>
      <c r="L57" s="970" t="s">
        <v>11961</v>
      </c>
      <c r="M57" s="971"/>
      <c r="N57" s="961"/>
    </row>
    <row r="58" spans="1:14" x14ac:dyDescent="0.3">
      <c r="D58" s="961"/>
      <c r="I58" s="961"/>
      <c r="N58" s="961"/>
    </row>
    <row r="59" spans="1:14" x14ac:dyDescent="0.3">
      <c r="B59" s="970" t="s">
        <v>11962</v>
      </c>
      <c r="C59" s="967"/>
      <c r="D59" s="961"/>
      <c r="E59" s="966"/>
      <c r="G59" s="970" t="s">
        <v>11962</v>
      </c>
      <c r="H59" s="967"/>
      <c r="I59" s="961"/>
      <c r="J59" s="966"/>
      <c r="L59" s="970" t="s">
        <v>11962</v>
      </c>
      <c r="M59" s="967"/>
      <c r="N59" s="961"/>
    </row>
    <row r="60" spans="1:14" x14ac:dyDescent="0.3">
      <c r="B60" s="972"/>
      <c r="C60" s="972"/>
      <c r="D60" s="973"/>
      <c r="E60" s="974"/>
      <c r="F60" s="972"/>
      <c r="G60" s="972"/>
      <c r="H60" s="972"/>
      <c r="I60" s="973"/>
      <c r="J60" s="974"/>
      <c r="K60" s="972"/>
      <c r="L60" s="972"/>
      <c r="M60" s="972"/>
      <c r="N60" s="973"/>
    </row>
    <row r="61" spans="1:14" x14ac:dyDescent="0.3">
      <c r="B61" s="1199" t="s">
        <v>11955</v>
      </c>
      <c r="C61" s="1199"/>
      <c r="D61" s="955"/>
      <c r="E61" s="956"/>
      <c r="G61" s="1199" t="s">
        <v>11955</v>
      </c>
      <c r="H61" s="1199"/>
      <c r="I61" s="955"/>
      <c r="J61" s="956"/>
      <c r="L61" s="1199" t="s">
        <v>11955</v>
      </c>
      <c r="M61" s="1199"/>
      <c r="N61" s="961"/>
    </row>
    <row r="62" spans="1:14" x14ac:dyDescent="0.3">
      <c r="B62" s="1199" t="str">
        <f>B2</f>
        <v>Групповой этап</v>
      </c>
      <c r="C62" s="1199"/>
      <c r="D62" s="955"/>
      <c r="E62" s="956"/>
      <c r="G62" s="1199" t="str">
        <f>B2</f>
        <v>Групповой этап</v>
      </c>
      <c r="H62" s="1199"/>
      <c r="I62" s="955"/>
      <c r="J62" s="956"/>
      <c r="L62" s="1199" t="str">
        <f>B2</f>
        <v>Групповой этап</v>
      </c>
      <c r="M62" s="1199"/>
      <c r="N62" s="961"/>
    </row>
    <row r="63" spans="1:14" x14ac:dyDescent="0.3">
      <c r="B63" s="957" t="s">
        <v>11956</v>
      </c>
      <c r="C63" s="958">
        <f>C3</f>
        <v>3</v>
      </c>
      <c r="D63" s="962"/>
      <c r="E63" s="963"/>
      <c r="G63" s="957" t="s">
        <v>11956</v>
      </c>
      <c r="H63" s="958">
        <f>C3</f>
        <v>3</v>
      </c>
      <c r="I63" s="962"/>
      <c r="J63" s="963"/>
      <c r="L63" s="957" t="s">
        <v>11956</v>
      </c>
      <c r="M63" s="958">
        <f>C3</f>
        <v>3</v>
      </c>
      <c r="N63" s="961"/>
    </row>
    <row r="64" spans="1:14" x14ac:dyDescent="0.3">
      <c r="B64" s="957" t="s">
        <v>11957</v>
      </c>
      <c r="C64" s="959" t="s">
        <v>11977</v>
      </c>
      <c r="D64" s="961"/>
      <c r="G64" s="957" t="s">
        <v>11957</v>
      </c>
      <c r="H64" s="959" t="s">
        <v>11978</v>
      </c>
      <c r="I64" s="964"/>
      <c r="J64" s="965"/>
      <c r="L64" s="957" t="s">
        <v>11957</v>
      </c>
      <c r="M64" s="959" t="s">
        <v>11979</v>
      </c>
      <c r="N64" s="961"/>
    </row>
    <row r="65" spans="1:14" x14ac:dyDescent="0.3">
      <c r="B65" s="960" t="str">
        <f>'гр (1-4)'!C59</f>
        <v/>
      </c>
      <c r="C65" s="960" t="str">
        <f>'гр (1-4)'!C45</f>
        <v>РАМС Сергей</v>
      </c>
      <c r="D65" s="961"/>
      <c r="E65" s="966"/>
      <c r="G65" s="960" t="str">
        <f>'гр (1-4)'!C53</f>
        <v>ЮНУСОВ Михаил</v>
      </c>
      <c r="H65" s="960" t="str">
        <f>'гр (1-4)'!C51</f>
        <v>ПОПОВ Павел</v>
      </c>
      <c r="I65" s="961"/>
      <c r="J65" s="966"/>
      <c r="L65" s="960" t="str">
        <f>'гр (1-4)'!C57</f>
        <v>ПЕТРОВ Егор</v>
      </c>
      <c r="M65" s="960" t="str">
        <f>'гр (1-4)'!C47</f>
        <v>САТДАРОВ Артем</v>
      </c>
      <c r="N65" s="961"/>
    </row>
    <row r="66" spans="1:14" x14ac:dyDescent="0.3">
      <c r="A66" s="967">
        <v>1</v>
      </c>
      <c r="B66" s="967"/>
      <c r="C66" s="967"/>
      <c r="D66" s="968"/>
      <c r="E66" s="969"/>
      <c r="F66" s="967">
        <v>1</v>
      </c>
      <c r="G66" s="967"/>
      <c r="H66" s="967"/>
      <c r="I66" s="968"/>
      <c r="J66" s="969"/>
      <c r="K66" s="967">
        <v>1</v>
      </c>
      <c r="L66" s="967"/>
      <c r="M66" s="967"/>
      <c r="N66" s="961"/>
    </row>
    <row r="67" spans="1:14" x14ac:dyDescent="0.3">
      <c r="A67" s="967">
        <v>2</v>
      </c>
      <c r="B67" s="967"/>
      <c r="C67" s="967"/>
      <c r="D67" s="968"/>
      <c r="E67" s="969"/>
      <c r="F67" s="967">
        <v>2</v>
      </c>
      <c r="G67" s="967"/>
      <c r="H67" s="967"/>
      <c r="I67" s="968"/>
      <c r="J67" s="969"/>
      <c r="K67" s="967">
        <v>2</v>
      </c>
      <c r="L67" s="967"/>
      <c r="M67" s="967"/>
      <c r="N67" s="961"/>
    </row>
    <row r="68" spans="1:14" x14ac:dyDescent="0.3">
      <c r="A68" s="967">
        <v>3</v>
      </c>
      <c r="B68" s="967"/>
      <c r="C68" s="967"/>
      <c r="D68" s="968"/>
      <c r="E68" s="969"/>
      <c r="F68" s="967">
        <v>3</v>
      </c>
      <c r="G68" s="967"/>
      <c r="H68" s="967"/>
      <c r="I68" s="968"/>
      <c r="J68" s="969"/>
      <c r="K68" s="967">
        <v>3</v>
      </c>
      <c r="L68" s="967"/>
      <c r="M68" s="967"/>
      <c r="N68" s="961"/>
    </row>
    <row r="69" spans="1:14" x14ac:dyDescent="0.3">
      <c r="A69" s="967">
        <v>4</v>
      </c>
      <c r="B69" s="967"/>
      <c r="C69" s="967"/>
      <c r="D69" s="968"/>
      <c r="E69" s="969"/>
      <c r="F69" s="967">
        <v>4</v>
      </c>
      <c r="G69" s="967"/>
      <c r="H69" s="967"/>
      <c r="I69" s="968"/>
      <c r="J69" s="969"/>
      <c r="K69" s="967">
        <v>4</v>
      </c>
      <c r="L69" s="967"/>
      <c r="M69" s="967"/>
      <c r="N69" s="961"/>
    </row>
    <row r="70" spans="1:14" x14ac:dyDescent="0.3">
      <c r="A70" s="967">
        <v>5</v>
      </c>
      <c r="B70" s="967"/>
      <c r="C70" s="967"/>
      <c r="D70" s="968"/>
      <c r="E70" s="969"/>
      <c r="F70" s="967">
        <v>5</v>
      </c>
      <c r="G70" s="967"/>
      <c r="H70" s="967"/>
      <c r="I70" s="968"/>
      <c r="J70" s="969"/>
      <c r="K70" s="967">
        <v>5</v>
      </c>
      <c r="L70" s="967"/>
      <c r="M70" s="967"/>
      <c r="N70" s="961"/>
    </row>
    <row r="71" spans="1:14" x14ac:dyDescent="0.3">
      <c r="D71" s="961"/>
      <c r="E71" s="966"/>
      <c r="I71" s="961"/>
      <c r="N71" s="961"/>
    </row>
    <row r="72" spans="1:14" x14ac:dyDescent="0.3">
      <c r="B72" s="970" t="s">
        <v>11961</v>
      </c>
      <c r="C72" s="971"/>
      <c r="D72" s="961"/>
      <c r="E72" s="966"/>
      <c r="G72" s="970" t="s">
        <v>11961</v>
      </c>
      <c r="H72" s="971"/>
      <c r="I72" s="961"/>
      <c r="J72" s="966"/>
      <c r="L72" s="970" t="s">
        <v>11961</v>
      </c>
      <c r="M72" s="971"/>
      <c r="N72" s="961"/>
    </row>
    <row r="73" spans="1:14" x14ac:dyDescent="0.3">
      <c r="D73" s="961"/>
      <c r="I73" s="961"/>
      <c r="N73" s="961"/>
    </row>
    <row r="74" spans="1:14" x14ac:dyDescent="0.3">
      <c r="B74" s="970" t="s">
        <v>11962</v>
      </c>
      <c r="C74" s="967"/>
      <c r="D74" s="961"/>
      <c r="E74" s="966"/>
      <c r="G74" s="970" t="s">
        <v>11962</v>
      </c>
      <c r="H74" s="967"/>
      <c r="I74" s="961"/>
      <c r="J74" s="966"/>
      <c r="L74" s="970" t="s">
        <v>11962</v>
      </c>
      <c r="M74" s="967"/>
      <c r="N74" s="961"/>
    </row>
    <row r="75" spans="1:14" x14ac:dyDescent="0.3">
      <c r="B75" s="972"/>
      <c r="C75" s="972"/>
      <c r="D75" s="973"/>
      <c r="E75" s="974"/>
      <c r="F75" s="972"/>
      <c r="G75" s="972"/>
      <c r="H75" s="972"/>
      <c r="I75" s="973"/>
      <c r="J75" s="974"/>
      <c r="K75" s="972"/>
      <c r="L75" s="972"/>
      <c r="M75" s="972"/>
      <c r="N75" s="973"/>
    </row>
    <row r="76" spans="1:14" x14ac:dyDescent="0.3">
      <c r="B76" s="1199" t="s">
        <v>11955</v>
      </c>
      <c r="C76" s="1199"/>
      <c r="D76" s="955"/>
      <c r="E76" s="956"/>
      <c r="G76" s="1199" t="s">
        <v>11955</v>
      </c>
      <c r="H76" s="1199"/>
      <c r="I76" s="955"/>
      <c r="J76" s="956"/>
      <c r="L76" s="1199" t="s">
        <v>11955</v>
      </c>
      <c r="M76" s="1199"/>
      <c r="N76" s="961"/>
    </row>
    <row r="77" spans="1:14" x14ac:dyDescent="0.3">
      <c r="B77" s="1199" t="str">
        <f>B2</f>
        <v>Групповой этап</v>
      </c>
      <c r="C77" s="1199"/>
      <c r="D77" s="955"/>
      <c r="E77" s="956"/>
      <c r="G77" s="1199" t="str">
        <f>B2</f>
        <v>Групповой этап</v>
      </c>
      <c r="H77" s="1199"/>
      <c r="I77" s="955"/>
      <c r="J77" s="956"/>
      <c r="L77" s="1199" t="str">
        <f>B2</f>
        <v>Групповой этап</v>
      </c>
      <c r="M77" s="1199"/>
      <c r="N77" s="961"/>
    </row>
    <row r="78" spans="1:14" x14ac:dyDescent="0.3">
      <c r="B78" s="957" t="s">
        <v>11956</v>
      </c>
      <c r="C78" s="958">
        <f>C3</f>
        <v>3</v>
      </c>
      <c r="D78" s="962"/>
      <c r="E78" s="963"/>
      <c r="G78" s="957" t="s">
        <v>11956</v>
      </c>
      <c r="H78" s="958">
        <f>C3</f>
        <v>3</v>
      </c>
      <c r="I78" s="962"/>
      <c r="J78" s="963"/>
      <c r="L78" s="957" t="s">
        <v>11956</v>
      </c>
      <c r="M78" s="958">
        <f>C3</f>
        <v>3</v>
      </c>
      <c r="N78" s="961"/>
    </row>
    <row r="79" spans="1:14" x14ac:dyDescent="0.3">
      <c r="B79" s="957" t="s">
        <v>11957</v>
      </c>
      <c r="C79" s="959" t="s">
        <v>11980</v>
      </c>
      <c r="D79" s="961"/>
      <c r="G79" s="957" t="s">
        <v>11957</v>
      </c>
      <c r="H79" s="959" t="s">
        <v>11971</v>
      </c>
      <c r="I79" s="964"/>
      <c r="J79" s="965"/>
      <c r="L79" s="957" t="s">
        <v>11957</v>
      </c>
      <c r="M79" s="959" t="s">
        <v>11970</v>
      </c>
      <c r="N79" s="961"/>
    </row>
    <row r="80" spans="1:14" x14ac:dyDescent="0.3">
      <c r="B80" s="960" t="str">
        <f>'гр (1-4)'!C55</f>
        <v>ЖИЛОВ Кристиан</v>
      </c>
      <c r="C80" s="960" t="str">
        <f>'гр (1-4)'!C49</f>
        <v>МАКЕЕВ Александр</v>
      </c>
      <c r="D80" s="961"/>
      <c r="E80" s="966"/>
      <c r="G80" s="960" t="str">
        <f>'гр (1-4)'!C45</f>
        <v>РАМС Сергей</v>
      </c>
      <c r="H80" s="960" t="str">
        <f>'гр (1-4)'!C49</f>
        <v>МАКЕЕВ Александр</v>
      </c>
      <c r="I80" s="961"/>
      <c r="J80" s="966"/>
      <c r="L80" s="960" t="str">
        <f>'гр (1-4)'!C47</f>
        <v>САТДАРОВ Артем</v>
      </c>
      <c r="M80" s="960" t="str">
        <f>'гр (1-4)'!C51</f>
        <v>ПОПОВ Павел</v>
      </c>
      <c r="N80" s="961"/>
    </row>
    <row r="81" spans="1:14" x14ac:dyDescent="0.3">
      <c r="A81" s="967">
        <v>1</v>
      </c>
      <c r="B81" s="967"/>
      <c r="C81" s="967"/>
      <c r="D81" s="968"/>
      <c r="E81" s="969"/>
      <c r="F81" s="967">
        <v>1</v>
      </c>
      <c r="G81" s="967"/>
      <c r="H81" s="967"/>
      <c r="I81" s="968"/>
      <c r="J81" s="969"/>
      <c r="K81" s="967">
        <v>1</v>
      </c>
      <c r="L81" s="967"/>
      <c r="M81" s="967"/>
      <c r="N81" s="961"/>
    </row>
    <row r="82" spans="1:14" x14ac:dyDescent="0.3">
      <c r="A82" s="967">
        <v>2</v>
      </c>
      <c r="B82" s="967"/>
      <c r="C82" s="967"/>
      <c r="D82" s="968"/>
      <c r="E82" s="969"/>
      <c r="F82" s="967">
        <v>2</v>
      </c>
      <c r="G82" s="967"/>
      <c r="H82" s="967"/>
      <c r="I82" s="968"/>
      <c r="J82" s="969"/>
      <c r="K82" s="967">
        <v>2</v>
      </c>
      <c r="L82" s="967"/>
      <c r="M82" s="967"/>
      <c r="N82" s="961"/>
    </row>
    <row r="83" spans="1:14" x14ac:dyDescent="0.3">
      <c r="A83" s="967">
        <v>3</v>
      </c>
      <c r="B83" s="967"/>
      <c r="C83" s="967"/>
      <c r="D83" s="968"/>
      <c r="E83" s="969"/>
      <c r="F83" s="967">
        <v>3</v>
      </c>
      <c r="G83" s="967"/>
      <c r="H83" s="967"/>
      <c r="I83" s="968"/>
      <c r="J83" s="969"/>
      <c r="K83" s="967">
        <v>3</v>
      </c>
      <c r="L83" s="967"/>
      <c r="M83" s="967"/>
      <c r="N83" s="961"/>
    </row>
    <row r="84" spans="1:14" x14ac:dyDescent="0.3">
      <c r="A84" s="967">
        <v>4</v>
      </c>
      <c r="B84" s="967"/>
      <c r="C84" s="967"/>
      <c r="D84" s="968"/>
      <c r="E84" s="969"/>
      <c r="F84" s="967">
        <v>4</v>
      </c>
      <c r="G84" s="967"/>
      <c r="H84" s="967"/>
      <c r="I84" s="968"/>
      <c r="J84" s="969"/>
      <c r="K84" s="967">
        <v>4</v>
      </c>
      <c r="L84" s="967"/>
      <c r="M84" s="967"/>
      <c r="N84" s="961"/>
    </row>
    <row r="85" spans="1:14" x14ac:dyDescent="0.3">
      <c r="A85" s="967">
        <v>5</v>
      </c>
      <c r="B85" s="967"/>
      <c r="C85" s="967"/>
      <c r="D85" s="968"/>
      <c r="E85" s="969"/>
      <c r="F85" s="967">
        <v>5</v>
      </c>
      <c r="G85" s="967"/>
      <c r="H85" s="967"/>
      <c r="I85" s="968"/>
      <c r="J85" s="969"/>
      <c r="K85" s="967">
        <v>5</v>
      </c>
      <c r="L85" s="967"/>
      <c r="M85" s="967"/>
      <c r="N85" s="961"/>
    </row>
    <row r="86" spans="1:14" x14ac:dyDescent="0.3">
      <c r="D86" s="961"/>
      <c r="E86" s="966"/>
      <c r="I86" s="961"/>
      <c r="N86" s="961"/>
    </row>
    <row r="87" spans="1:14" x14ac:dyDescent="0.3">
      <c r="B87" s="970" t="s">
        <v>11961</v>
      </c>
      <c r="C87" s="971"/>
      <c r="D87" s="961"/>
      <c r="E87" s="966"/>
      <c r="G87" s="970" t="s">
        <v>11961</v>
      </c>
      <c r="H87" s="971"/>
      <c r="I87" s="961"/>
      <c r="J87" s="966"/>
      <c r="L87" s="970" t="s">
        <v>11961</v>
      </c>
      <c r="M87" s="971"/>
      <c r="N87" s="961"/>
    </row>
    <row r="88" spans="1:14" x14ac:dyDescent="0.3">
      <c r="D88" s="961"/>
      <c r="I88" s="961"/>
      <c r="N88" s="961"/>
    </row>
    <row r="89" spans="1:14" x14ac:dyDescent="0.3">
      <c r="B89" s="970" t="s">
        <v>11962</v>
      </c>
      <c r="C89" s="967"/>
      <c r="D89" s="961"/>
      <c r="E89" s="966"/>
      <c r="G89" s="970" t="s">
        <v>11962</v>
      </c>
      <c r="H89" s="967"/>
      <c r="I89" s="961"/>
      <c r="J89" s="966"/>
      <c r="L89" s="970" t="s">
        <v>11962</v>
      </c>
      <c r="M89" s="967"/>
      <c r="N89" s="961"/>
    </row>
    <row r="90" spans="1:14" x14ac:dyDescent="0.3">
      <c r="B90" s="972"/>
      <c r="C90" s="972"/>
      <c r="D90" s="973"/>
      <c r="E90" s="974"/>
      <c r="F90" s="972"/>
      <c r="G90" s="972"/>
      <c r="H90" s="972"/>
      <c r="I90" s="973"/>
      <c r="J90" s="974"/>
      <c r="K90" s="972"/>
      <c r="L90" s="972"/>
      <c r="M90" s="972"/>
      <c r="N90" s="973"/>
    </row>
    <row r="91" spans="1:14" x14ac:dyDescent="0.3">
      <c r="B91" s="1199" t="s">
        <v>11955</v>
      </c>
      <c r="C91" s="1199"/>
      <c r="D91" s="955"/>
      <c r="E91" s="956"/>
      <c r="G91" s="1199" t="s">
        <v>11955</v>
      </c>
      <c r="H91" s="1199"/>
      <c r="I91" s="955"/>
      <c r="J91" s="956"/>
      <c r="L91" s="1199" t="s">
        <v>11955</v>
      </c>
      <c r="M91" s="1199"/>
      <c r="N91" s="961"/>
    </row>
    <row r="92" spans="1:14" x14ac:dyDescent="0.3">
      <c r="B92" s="1199" t="str">
        <f>B2</f>
        <v>Групповой этап</v>
      </c>
      <c r="C92" s="1199"/>
      <c r="D92" s="955"/>
      <c r="E92" s="956"/>
      <c r="G92" s="1199" t="str">
        <f>B2</f>
        <v>Групповой этап</v>
      </c>
      <c r="H92" s="1199"/>
      <c r="I92" s="955"/>
      <c r="J92" s="956"/>
      <c r="L92" s="1199" t="str">
        <f>B2</f>
        <v>Групповой этап</v>
      </c>
      <c r="M92" s="1199"/>
      <c r="N92" s="961"/>
    </row>
    <row r="93" spans="1:14" x14ac:dyDescent="0.3">
      <c r="B93" s="957" t="s">
        <v>11956</v>
      </c>
      <c r="C93" s="958">
        <f>C3</f>
        <v>3</v>
      </c>
      <c r="D93" s="962"/>
      <c r="E93" s="963"/>
      <c r="G93" s="957" t="s">
        <v>11956</v>
      </c>
      <c r="H93" s="958">
        <f>C3</f>
        <v>3</v>
      </c>
      <c r="I93" s="962"/>
      <c r="J93" s="963"/>
      <c r="L93" s="957" t="s">
        <v>11956</v>
      </c>
      <c r="M93" s="958">
        <f>C3</f>
        <v>3</v>
      </c>
      <c r="N93" s="961"/>
    </row>
    <row r="94" spans="1:14" x14ac:dyDescent="0.3">
      <c r="B94" s="957" t="s">
        <v>11957</v>
      </c>
      <c r="C94" s="959" t="s">
        <v>11969</v>
      </c>
      <c r="D94" s="961"/>
      <c r="G94" s="957" t="s">
        <v>11957</v>
      </c>
      <c r="H94" s="959" t="s">
        <v>11968</v>
      </c>
      <c r="I94" s="964"/>
      <c r="J94" s="965"/>
      <c r="L94" s="957" t="s">
        <v>11957</v>
      </c>
      <c r="M94" s="959" t="s">
        <v>11981</v>
      </c>
      <c r="N94" s="961"/>
    </row>
    <row r="95" spans="1:14" x14ac:dyDescent="0.3">
      <c r="B95" s="960" t="str">
        <f>'гр (1-4)'!C53</f>
        <v>ЮНУСОВ Михаил</v>
      </c>
      <c r="C95" s="960" t="str">
        <f>'гр (1-4)'!C57</f>
        <v>ПЕТРОВ Егор</v>
      </c>
      <c r="D95" s="961"/>
      <c r="E95" s="966"/>
      <c r="G95" s="960" t="str">
        <f>'гр (1-4)'!C55</f>
        <v>ЖИЛОВ Кристиан</v>
      </c>
      <c r="H95" s="960" t="str">
        <f>'гр (1-4)'!C59</f>
        <v/>
      </c>
      <c r="I95" s="961"/>
      <c r="J95" s="966"/>
      <c r="L95" s="960" t="str">
        <f>'гр (1-4)'!C51</f>
        <v>ПОПОВ Павел</v>
      </c>
      <c r="M95" s="960" t="str">
        <f>'гр (1-4)'!C45</f>
        <v>РАМС Сергей</v>
      </c>
      <c r="N95" s="961"/>
    </row>
    <row r="96" spans="1:14" x14ac:dyDescent="0.3">
      <c r="A96" s="967">
        <v>1</v>
      </c>
      <c r="B96" s="967"/>
      <c r="C96" s="967"/>
      <c r="D96" s="968"/>
      <c r="E96" s="969"/>
      <c r="F96" s="967">
        <v>1</v>
      </c>
      <c r="G96" s="967"/>
      <c r="H96" s="967"/>
      <c r="I96" s="968"/>
      <c r="J96" s="969"/>
      <c r="K96" s="967">
        <v>1</v>
      </c>
      <c r="L96" s="967"/>
      <c r="M96" s="967"/>
      <c r="N96" s="961"/>
    </row>
    <row r="97" spans="1:14" x14ac:dyDescent="0.3">
      <c r="A97" s="967">
        <v>2</v>
      </c>
      <c r="B97" s="967"/>
      <c r="C97" s="967"/>
      <c r="D97" s="968"/>
      <c r="E97" s="969"/>
      <c r="F97" s="967">
        <v>2</v>
      </c>
      <c r="G97" s="967"/>
      <c r="H97" s="967"/>
      <c r="I97" s="968"/>
      <c r="J97" s="969"/>
      <c r="K97" s="967">
        <v>2</v>
      </c>
      <c r="L97" s="967"/>
      <c r="M97" s="967"/>
      <c r="N97" s="961"/>
    </row>
    <row r="98" spans="1:14" x14ac:dyDescent="0.3">
      <c r="A98" s="967">
        <v>3</v>
      </c>
      <c r="B98" s="967"/>
      <c r="C98" s="967"/>
      <c r="D98" s="968"/>
      <c r="E98" s="969"/>
      <c r="F98" s="967">
        <v>3</v>
      </c>
      <c r="G98" s="967"/>
      <c r="H98" s="967"/>
      <c r="I98" s="968"/>
      <c r="J98" s="969"/>
      <c r="K98" s="967">
        <v>3</v>
      </c>
      <c r="L98" s="967"/>
      <c r="M98" s="967"/>
      <c r="N98" s="961"/>
    </row>
    <row r="99" spans="1:14" x14ac:dyDescent="0.3">
      <c r="A99" s="967">
        <v>4</v>
      </c>
      <c r="B99" s="967"/>
      <c r="C99" s="967"/>
      <c r="D99" s="968"/>
      <c r="E99" s="969"/>
      <c r="F99" s="967">
        <v>4</v>
      </c>
      <c r="G99" s="967"/>
      <c r="H99" s="967"/>
      <c r="I99" s="968"/>
      <c r="J99" s="969"/>
      <c r="K99" s="967">
        <v>4</v>
      </c>
      <c r="L99" s="967"/>
      <c r="M99" s="967"/>
      <c r="N99" s="961"/>
    </row>
    <row r="100" spans="1:14" x14ac:dyDescent="0.3">
      <c r="A100" s="967">
        <v>5</v>
      </c>
      <c r="B100" s="967"/>
      <c r="C100" s="967"/>
      <c r="D100" s="968"/>
      <c r="E100" s="969"/>
      <c r="F100" s="967">
        <v>5</v>
      </c>
      <c r="G100" s="967"/>
      <c r="H100" s="967"/>
      <c r="I100" s="968"/>
      <c r="J100" s="969"/>
      <c r="K100" s="967">
        <v>5</v>
      </c>
      <c r="L100" s="967"/>
      <c r="M100" s="967"/>
      <c r="N100" s="961"/>
    </row>
    <row r="101" spans="1:14" x14ac:dyDescent="0.3">
      <c r="D101" s="961"/>
      <c r="E101" s="966"/>
      <c r="I101" s="961"/>
      <c r="N101" s="961"/>
    </row>
    <row r="102" spans="1:14" x14ac:dyDescent="0.3">
      <c r="B102" s="970" t="s">
        <v>11961</v>
      </c>
      <c r="C102" s="971"/>
      <c r="D102" s="961"/>
      <c r="E102" s="966"/>
      <c r="G102" s="970" t="s">
        <v>11961</v>
      </c>
      <c r="H102" s="971"/>
      <c r="I102" s="961"/>
      <c r="J102" s="966"/>
      <c r="L102" s="970" t="s">
        <v>11961</v>
      </c>
      <c r="M102" s="971"/>
      <c r="N102" s="961"/>
    </row>
    <row r="103" spans="1:14" x14ac:dyDescent="0.3">
      <c r="D103" s="961"/>
      <c r="I103" s="961"/>
      <c r="N103" s="961"/>
    </row>
    <row r="104" spans="1:14" x14ac:dyDescent="0.3">
      <c r="B104" s="970" t="s">
        <v>11962</v>
      </c>
      <c r="C104" s="967"/>
      <c r="D104" s="961"/>
      <c r="E104" s="966"/>
      <c r="G104" s="970" t="s">
        <v>11962</v>
      </c>
      <c r="H104" s="967"/>
      <c r="I104" s="961"/>
      <c r="J104" s="966"/>
      <c r="L104" s="970" t="s">
        <v>11962</v>
      </c>
      <c r="M104" s="967"/>
      <c r="N104" s="961"/>
    </row>
    <row r="105" spans="1:14" x14ac:dyDescent="0.3">
      <c r="B105" s="972"/>
      <c r="C105" s="972"/>
      <c r="D105" s="973"/>
      <c r="E105" s="974"/>
      <c r="F105" s="972"/>
      <c r="G105" s="972"/>
      <c r="H105" s="972"/>
      <c r="I105" s="973"/>
      <c r="J105" s="974"/>
      <c r="K105" s="972"/>
      <c r="L105" s="972"/>
      <c r="M105" s="972"/>
      <c r="N105" s="973"/>
    </row>
    <row r="106" spans="1:14" x14ac:dyDescent="0.3">
      <c r="B106" s="1199" t="s">
        <v>11955</v>
      </c>
      <c r="C106" s="1199"/>
      <c r="D106" s="955"/>
      <c r="E106" s="956"/>
      <c r="G106" s="1199" t="s">
        <v>11955</v>
      </c>
      <c r="H106" s="1199"/>
      <c r="I106" s="955"/>
      <c r="J106" s="956"/>
      <c r="L106" s="1199" t="s">
        <v>11955</v>
      </c>
      <c r="M106" s="1199"/>
      <c r="N106" s="961"/>
    </row>
    <row r="107" spans="1:14" x14ac:dyDescent="0.3">
      <c r="B107" s="1199" t="str">
        <f>B2</f>
        <v>Групповой этап</v>
      </c>
      <c r="C107" s="1199"/>
      <c r="D107" s="955"/>
      <c r="E107" s="956"/>
      <c r="G107" s="1199" t="str">
        <f>B2</f>
        <v>Групповой этап</v>
      </c>
      <c r="H107" s="1199"/>
      <c r="I107" s="955"/>
      <c r="J107" s="956"/>
      <c r="L107" s="1199" t="str">
        <f>B2</f>
        <v>Групповой этап</v>
      </c>
      <c r="M107" s="1199"/>
      <c r="N107" s="961"/>
    </row>
    <row r="108" spans="1:14" x14ac:dyDescent="0.3">
      <c r="B108" s="957" t="s">
        <v>11956</v>
      </c>
      <c r="C108" s="958">
        <f>C3</f>
        <v>3</v>
      </c>
      <c r="D108" s="962"/>
      <c r="E108" s="963"/>
      <c r="G108" s="957" t="s">
        <v>11956</v>
      </c>
      <c r="H108" s="958">
        <f>C3</f>
        <v>3</v>
      </c>
      <c r="I108" s="962"/>
      <c r="J108" s="963"/>
      <c r="L108" s="957" t="s">
        <v>11956</v>
      </c>
      <c r="M108" s="958">
        <f>C3</f>
        <v>3</v>
      </c>
      <c r="N108" s="961"/>
    </row>
    <row r="109" spans="1:14" x14ac:dyDescent="0.3">
      <c r="B109" s="957" t="s">
        <v>11957</v>
      </c>
      <c r="C109" s="959" t="s">
        <v>11982</v>
      </c>
      <c r="D109" s="961"/>
      <c r="G109" s="957" t="s">
        <v>11957</v>
      </c>
      <c r="H109" s="959" t="s">
        <v>11983</v>
      </c>
      <c r="I109" s="964"/>
      <c r="J109" s="965"/>
      <c r="L109" s="957" t="s">
        <v>11957</v>
      </c>
      <c r="M109" s="959" t="s">
        <v>11984</v>
      </c>
      <c r="N109" s="961"/>
    </row>
    <row r="110" spans="1:14" x14ac:dyDescent="0.3">
      <c r="B110" s="960" t="str">
        <f>'гр (1-4)'!C49</f>
        <v>МАКЕЕВ Александр</v>
      </c>
      <c r="C110" s="960" t="str">
        <f>'гр (1-4)'!C47</f>
        <v>САТДАРОВ Артем</v>
      </c>
      <c r="D110" s="961"/>
      <c r="E110" s="966"/>
      <c r="G110" s="960" t="str">
        <f>'гр (1-4)'!C57</f>
        <v>ПЕТРОВ Егор</v>
      </c>
      <c r="H110" s="960" t="str">
        <f>'гр (1-4)'!C55</f>
        <v>ЖИЛОВ Кристиан</v>
      </c>
      <c r="I110" s="961"/>
      <c r="J110" s="966"/>
      <c r="L110" s="960" t="str">
        <f>'гр (1-4)'!C59</f>
        <v/>
      </c>
      <c r="M110" s="960" t="str">
        <f>'гр (1-4)'!C53</f>
        <v>ЮНУСОВ Михаил</v>
      </c>
      <c r="N110" s="961"/>
    </row>
    <row r="111" spans="1:14" x14ac:dyDescent="0.3">
      <c r="A111" s="967">
        <v>1</v>
      </c>
      <c r="B111" s="967"/>
      <c r="C111" s="967"/>
      <c r="D111" s="968"/>
      <c r="E111" s="969"/>
      <c r="F111" s="967">
        <v>1</v>
      </c>
      <c r="G111" s="967"/>
      <c r="H111" s="967"/>
      <c r="I111" s="968"/>
      <c r="J111" s="969"/>
      <c r="K111" s="967">
        <v>1</v>
      </c>
      <c r="L111" s="967"/>
      <c r="M111" s="967"/>
      <c r="N111" s="961"/>
    </row>
    <row r="112" spans="1:14" x14ac:dyDescent="0.3">
      <c r="A112" s="967">
        <v>2</v>
      </c>
      <c r="B112" s="967"/>
      <c r="C112" s="967"/>
      <c r="D112" s="968"/>
      <c r="E112" s="969"/>
      <c r="F112" s="967">
        <v>2</v>
      </c>
      <c r="G112" s="967"/>
      <c r="H112" s="967"/>
      <c r="I112" s="968"/>
      <c r="J112" s="969"/>
      <c r="K112" s="967">
        <v>2</v>
      </c>
      <c r="L112" s="967"/>
      <c r="M112" s="967"/>
      <c r="N112" s="961"/>
    </row>
    <row r="113" spans="1:14" x14ac:dyDescent="0.3">
      <c r="A113" s="967">
        <v>3</v>
      </c>
      <c r="B113" s="967"/>
      <c r="C113" s="967"/>
      <c r="D113" s="968"/>
      <c r="E113" s="969"/>
      <c r="F113" s="967">
        <v>3</v>
      </c>
      <c r="G113" s="967"/>
      <c r="H113" s="967"/>
      <c r="I113" s="968"/>
      <c r="J113" s="969"/>
      <c r="K113" s="967">
        <v>3</v>
      </c>
      <c r="L113" s="967"/>
      <c r="M113" s="967"/>
      <c r="N113" s="961"/>
    </row>
    <row r="114" spans="1:14" x14ac:dyDescent="0.3">
      <c r="A114" s="967">
        <v>4</v>
      </c>
      <c r="B114" s="967"/>
      <c r="C114" s="967"/>
      <c r="D114" s="968"/>
      <c r="E114" s="969"/>
      <c r="F114" s="967">
        <v>4</v>
      </c>
      <c r="G114" s="967"/>
      <c r="H114" s="967"/>
      <c r="I114" s="968"/>
      <c r="J114" s="969"/>
      <c r="K114" s="967">
        <v>4</v>
      </c>
      <c r="L114" s="967"/>
      <c r="M114" s="967"/>
      <c r="N114" s="961"/>
    </row>
    <row r="115" spans="1:14" x14ac:dyDescent="0.3">
      <c r="A115" s="967">
        <v>5</v>
      </c>
      <c r="B115" s="967"/>
      <c r="C115" s="967"/>
      <c r="D115" s="968"/>
      <c r="E115" s="969"/>
      <c r="F115" s="967">
        <v>5</v>
      </c>
      <c r="G115" s="967"/>
      <c r="H115" s="967"/>
      <c r="I115" s="968"/>
      <c r="J115" s="969"/>
      <c r="K115" s="967">
        <v>5</v>
      </c>
      <c r="L115" s="967"/>
      <c r="M115" s="967"/>
      <c r="N115" s="961"/>
    </row>
    <row r="116" spans="1:14" x14ac:dyDescent="0.3">
      <c r="D116" s="961"/>
      <c r="E116" s="966"/>
      <c r="I116" s="961"/>
      <c r="N116" s="961"/>
    </row>
    <row r="117" spans="1:14" x14ac:dyDescent="0.3">
      <c r="B117" s="970" t="s">
        <v>11961</v>
      </c>
      <c r="C117" s="971"/>
      <c r="D117" s="961"/>
      <c r="E117" s="966"/>
      <c r="G117" s="970" t="s">
        <v>11961</v>
      </c>
      <c r="H117" s="971"/>
      <c r="I117" s="961"/>
      <c r="J117" s="966"/>
      <c r="L117" s="970" t="s">
        <v>11961</v>
      </c>
      <c r="M117" s="971"/>
      <c r="N117" s="961"/>
    </row>
    <row r="118" spans="1:14" x14ac:dyDescent="0.3">
      <c r="D118" s="961"/>
      <c r="I118" s="961"/>
      <c r="N118" s="961"/>
    </row>
    <row r="119" spans="1:14" x14ac:dyDescent="0.3">
      <c r="B119" s="970" t="s">
        <v>11962</v>
      </c>
      <c r="C119" s="967"/>
      <c r="D119" s="961"/>
      <c r="E119" s="966"/>
      <c r="G119" s="970" t="s">
        <v>11962</v>
      </c>
      <c r="H119" s="967"/>
      <c r="I119" s="961"/>
      <c r="J119" s="966"/>
      <c r="L119" s="970" t="s">
        <v>11962</v>
      </c>
      <c r="M119" s="967"/>
      <c r="N119" s="961"/>
    </row>
    <row r="120" spans="1:14" x14ac:dyDescent="0.3">
      <c r="B120" s="972"/>
      <c r="C120" s="972"/>
      <c r="D120" s="973"/>
      <c r="E120" s="974"/>
      <c r="F120" s="972"/>
      <c r="G120" s="972"/>
      <c r="H120" s="972"/>
      <c r="I120" s="973"/>
      <c r="J120" s="974"/>
      <c r="K120" s="972"/>
      <c r="L120" s="972"/>
      <c r="M120" s="972"/>
      <c r="N120" s="973"/>
    </row>
    <row r="121" spans="1:14" x14ac:dyDescent="0.3">
      <c r="B121" s="1199" t="s">
        <v>11955</v>
      </c>
      <c r="C121" s="1199"/>
      <c r="D121" s="955"/>
      <c r="E121" s="956"/>
      <c r="G121" s="1199" t="s">
        <v>11955</v>
      </c>
      <c r="H121" s="1199"/>
      <c r="I121" s="955"/>
      <c r="J121" s="956"/>
      <c r="L121" s="1199" t="s">
        <v>11955</v>
      </c>
      <c r="M121" s="1199"/>
      <c r="N121" s="961"/>
    </row>
    <row r="122" spans="1:14" x14ac:dyDescent="0.3">
      <c r="B122" s="1199" t="str">
        <f>B2</f>
        <v>Групповой этап</v>
      </c>
      <c r="C122" s="1199"/>
      <c r="D122" s="955"/>
      <c r="E122" s="956"/>
      <c r="G122" s="1199" t="str">
        <f>B2</f>
        <v>Групповой этап</v>
      </c>
      <c r="H122" s="1199"/>
      <c r="I122" s="955"/>
      <c r="J122" s="956"/>
      <c r="L122" s="1199" t="str">
        <f>B2</f>
        <v>Групповой этап</v>
      </c>
      <c r="M122" s="1199"/>
      <c r="N122" s="961"/>
    </row>
    <row r="123" spans="1:14" x14ac:dyDescent="0.3">
      <c r="B123" s="957" t="s">
        <v>11956</v>
      </c>
      <c r="C123" s="958">
        <f>C3</f>
        <v>3</v>
      </c>
      <c r="D123" s="962"/>
      <c r="E123" s="963"/>
      <c r="G123" s="957" t="s">
        <v>11956</v>
      </c>
      <c r="H123" s="958">
        <f>C3</f>
        <v>3</v>
      </c>
      <c r="I123" s="962"/>
      <c r="J123" s="963"/>
      <c r="L123" s="957" t="s">
        <v>11956</v>
      </c>
      <c r="M123" s="958">
        <f>C3</f>
        <v>3</v>
      </c>
      <c r="N123" s="961"/>
    </row>
    <row r="124" spans="1:14" x14ac:dyDescent="0.3">
      <c r="B124" s="957" t="s">
        <v>11957</v>
      </c>
      <c r="C124" s="959" t="s">
        <v>1114</v>
      </c>
      <c r="D124" s="961"/>
      <c r="G124" s="957" t="s">
        <v>11957</v>
      </c>
      <c r="H124" s="959" t="s">
        <v>1049</v>
      </c>
      <c r="I124" s="964"/>
      <c r="J124" s="965"/>
      <c r="L124" s="957" t="s">
        <v>11957</v>
      </c>
      <c r="M124" s="959" t="s">
        <v>1033</v>
      </c>
      <c r="N124" s="961"/>
    </row>
    <row r="125" spans="1:14" x14ac:dyDescent="0.3">
      <c r="B125" s="960" t="str">
        <f>'гр (1-4)'!C45</f>
        <v>РАМС Сергей</v>
      </c>
      <c r="C125" s="960" t="str">
        <f>'гр (1-4)'!C47</f>
        <v>САТДАРОВ Артем</v>
      </c>
      <c r="D125" s="961"/>
      <c r="E125" s="966"/>
      <c r="G125" s="960" t="str">
        <f>'гр (1-4)'!C49</f>
        <v>МАКЕЕВ Александр</v>
      </c>
      <c r="H125" s="960" t="str">
        <f>'гр (1-4)'!C51</f>
        <v>ПОПОВ Павел</v>
      </c>
      <c r="I125" s="961"/>
      <c r="J125" s="966"/>
      <c r="L125" s="960" t="str">
        <f>'гр (1-4)'!C53</f>
        <v>ЮНУСОВ Михаил</v>
      </c>
      <c r="M125" s="960" t="str">
        <f>'гр (1-4)'!C55</f>
        <v>ЖИЛОВ Кристиан</v>
      </c>
      <c r="N125" s="961"/>
    </row>
    <row r="126" spans="1:14" x14ac:dyDescent="0.3">
      <c r="A126" s="967">
        <v>1</v>
      </c>
      <c r="B126" s="967"/>
      <c r="C126" s="967"/>
      <c r="D126" s="968"/>
      <c r="E126" s="969"/>
      <c r="F126" s="967">
        <v>1</v>
      </c>
      <c r="G126" s="967"/>
      <c r="H126" s="967"/>
      <c r="I126" s="968"/>
      <c r="J126" s="969"/>
      <c r="K126" s="967">
        <v>1</v>
      </c>
      <c r="L126" s="967"/>
      <c r="M126" s="967"/>
      <c r="N126" s="961"/>
    </row>
    <row r="127" spans="1:14" x14ac:dyDescent="0.3">
      <c r="A127" s="967">
        <v>2</v>
      </c>
      <c r="B127" s="967"/>
      <c r="C127" s="967"/>
      <c r="D127" s="968"/>
      <c r="E127" s="969"/>
      <c r="F127" s="967">
        <v>2</v>
      </c>
      <c r="G127" s="967"/>
      <c r="H127" s="967"/>
      <c r="I127" s="968"/>
      <c r="J127" s="969"/>
      <c r="K127" s="967">
        <v>2</v>
      </c>
      <c r="L127" s="967"/>
      <c r="M127" s="967"/>
      <c r="N127" s="961"/>
    </row>
    <row r="128" spans="1:14" x14ac:dyDescent="0.3">
      <c r="A128" s="967">
        <v>3</v>
      </c>
      <c r="B128" s="967"/>
      <c r="C128" s="967"/>
      <c r="D128" s="968"/>
      <c r="E128" s="969"/>
      <c r="F128" s="967">
        <v>3</v>
      </c>
      <c r="G128" s="967"/>
      <c r="H128" s="967"/>
      <c r="I128" s="968"/>
      <c r="J128" s="969"/>
      <c r="K128" s="967">
        <v>3</v>
      </c>
      <c r="L128" s="967"/>
      <c r="M128" s="967"/>
      <c r="N128" s="961"/>
    </row>
    <row r="129" spans="1:14" x14ac:dyDescent="0.3">
      <c r="A129" s="967">
        <v>4</v>
      </c>
      <c r="B129" s="967"/>
      <c r="C129" s="967"/>
      <c r="D129" s="968"/>
      <c r="E129" s="969"/>
      <c r="F129" s="967">
        <v>4</v>
      </c>
      <c r="G129" s="967"/>
      <c r="H129" s="967"/>
      <c r="I129" s="968"/>
      <c r="J129" s="969"/>
      <c r="K129" s="967">
        <v>4</v>
      </c>
      <c r="L129" s="967"/>
      <c r="M129" s="967"/>
      <c r="N129" s="961"/>
    </row>
    <row r="130" spans="1:14" x14ac:dyDescent="0.3">
      <c r="A130" s="967">
        <v>5</v>
      </c>
      <c r="B130" s="967"/>
      <c r="C130" s="967"/>
      <c r="D130" s="968"/>
      <c r="E130" s="969"/>
      <c r="F130" s="967">
        <v>5</v>
      </c>
      <c r="G130" s="967"/>
      <c r="H130" s="967"/>
      <c r="I130" s="968"/>
      <c r="J130" s="969"/>
      <c r="K130" s="967">
        <v>5</v>
      </c>
      <c r="L130" s="967"/>
      <c r="M130" s="967"/>
      <c r="N130" s="961"/>
    </row>
    <row r="131" spans="1:14" x14ac:dyDescent="0.3">
      <c r="D131" s="961"/>
      <c r="E131" s="966"/>
      <c r="I131" s="961"/>
      <c r="N131" s="961"/>
    </row>
    <row r="132" spans="1:14" x14ac:dyDescent="0.3">
      <c r="B132" s="970" t="s">
        <v>11961</v>
      </c>
      <c r="C132" s="971"/>
      <c r="D132" s="961"/>
      <c r="E132" s="966"/>
      <c r="G132" s="970" t="s">
        <v>11961</v>
      </c>
      <c r="H132" s="971"/>
      <c r="I132" s="961"/>
      <c r="J132" s="966"/>
      <c r="L132" s="970" t="s">
        <v>11961</v>
      </c>
      <c r="M132" s="971"/>
      <c r="N132" s="961"/>
    </row>
    <row r="133" spans="1:14" x14ac:dyDescent="0.3">
      <c r="D133" s="961"/>
      <c r="I133" s="961"/>
      <c r="N133" s="961"/>
    </row>
    <row r="134" spans="1:14" x14ac:dyDescent="0.3">
      <c r="B134" s="970" t="s">
        <v>11962</v>
      </c>
      <c r="C134" s="967"/>
      <c r="D134" s="961"/>
      <c r="E134" s="966"/>
      <c r="G134" s="970" t="s">
        <v>11962</v>
      </c>
      <c r="H134" s="967"/>
      <c r="I134" s="961"/>
      <c r="J134" s="966"/>
      <c r="L134" s="970" t="s">
        <v>11962</v>
      </c>
      <c r="M134" s="967"/>
      <c r="N134" s="961"/>
    </row>
    <row r="135" spans="1:14" x14ac:dyDescent="0.3">
      <c r="B135" s="972"/>
      <c r="C135" s="972"/>
      <c r="D135" s="973"/>
      <c r="E135" s="974"/>
      <c r="F135" s="972"/>
      <c r="G135" s="972"/>
      <c r="H135" s="972"/>
      <c r="I135" s="973"/>
      <c r="J135" s="974"/>
      <c r="K135" s="972"/>
      <c r="L135" s="972"/>
      <c r="M135" s="972"/>
      <c r="N135" s="973"/>
    </row>
    <row r="136" spans="1:14" x14ac:dyDescent="0.3">
      <c r="B136" s="1199" t="s">
        <v>11955</v>
      </c>
      <c r="C136" s="1199"/>
      <c r="D136" s="955"/>
      <c r="E136" s="956"/>
      <c r="G136" s="1199"/>
      <c r="H136" s="1199"/>
      <c r="I136" s="955"/>
      <c r="J136" s="956"/>
      <c r="L136" s="1199"/>
      <c r="M136" s="1199"/>
      <c r="N136" s="961"/>
    </row>
    <row r="137" spans="1:14" x14ac:dyDescent="0.3">
      <c r="B137" s="1199" t="str">
        <f>B2</f>
        <v>Групповой этап</v>
      </c>
      <c r="C137" s="1199"/>
      <c r="D137" s="955"/>
      <c r="E137" s="956"/>
      <c r="G137" s="1199"/>
      <c r="H137" s="1199"/>
      <c r="I137" s="955"/>
      <c r="J137" s="956"/>
      <c r="L137" s="1199"/>
      <c r="M137" s="1199"/>
      <c r="N137" s="961"/>
    </row>
    <row r="138" spans="1:14" x14ac:dyDescent="0.3">
      <c r="B138" s="957" t="s">
        <v>11956</v>
      </c>
      <c r="C138" s="975">
        <f>C3</f>
        <v>3</v>
      </c>
      <c r="D138" s="962"/>
      <c r="E138" s="963"/>
      <c r="G138" s="957"/>
      <c r="H138" s="958"/>
      <c r="I138" s="962"/>
      <c r="J138" s="963"/>
      <c r="L138" s="957"/>
      <c r="M138" s="958"/>
      <c r="N138" s="961"/>
    </row>
    <row r="139" spans="1:14" x14ac:dyDescent="0.3">
      <c r="B139" s="957" t="s">
        <v>11957</v>
      </c>
      <c r="C139" s="959" t="s">
        <v>1017</v>
      </c>
      <c r="D139" s="961"/>
      <c r="G139" s="957"/>
      <c r="H139" s="959"/>
      <c r="I139" s="964"/>
      <c r="J139" s="965"/>
      <c r="L139" s="957"/>
      <c r="M139" s="959"/>
      <c r="N139" s="961"/>
    </row>
    <row r="140" spans="1:14" x14ac:dyDescent="0.3">
      <c r="B140" s="960" t="str">
        <f>'гр (1-4)'!C57</f>
        <v>ПЕТРОВ Егор</v>
      </c>
      <c r="C140" s="960" t="str">
        <f>'гр (1-4)'!C59</f>
        <v/>
      </c>
      <c r="D140" s="961"/>
      <c r="E140" s="966"/>
      <c r="I140" s="961"/>
      <c r="J140" s="966"/>
      <c r="N140" s="961"/>
    </row>
    <row r="141" spans="1:14" x14ac:dyDescent="0.3">
      <c r="A141" s="967">
        <v>1</v>
      </c>
      <c r="B141" s="967"/>
      <c r="C141" s="967"/>
      <c r="D141" s="968"/>
      <c r="E141" s="969"/>
      <c r="F141" s="967"/>
      <c r="G141" s="967"/>
      <c r="H141" s="967"/>
      <c r="I141" s="968"/>
      <c r="J141" s="969"/>
      <c r="K141" s="967"/>
      <c r="L141" s="967"/>
      <c r="M141" s="967"/>
      <c r="N141" s="961"/>
    </row>
    <row r="142" spans="1:14" x14ac:dyDescent="0.3">
      <c r="A142" s="967">
        <v>2</v>
      </c>
      <c r="B142" s="967"/>
      <c r="C142" s="967"/>
      <c r="D142" s="968"/>
      <c r="E142" s="969"/>
      <c r="F142" s="967"/>
      <c r="G142" s="967"/>
      <c r="H142" s="967"/>
      <c r="I142" s="968"/>
      <c r="J142" s="969"/>
      <c r="K142" s="967"/>
      <c r="L142" s="967"/>
      <c r="M142" s="967"/>
      <c r="N142" s="961"/>
    </row>
    <row r="143" spans="1:14" x14ac:dyDescent="0.3">
      <c r="A143" s="967">
        <v>3</v>
      </c>
      <c r="B143" s="967"/>
      <c r="C143" s="967"/>
      <c r="D143" s="968"/>
      <c r="E143" s="969"/>
      <c r="F143" s="967"/>
      <c r="G143" s="967"/>
      <c r="H143" s="967"/>
      <c r="I143" s="968"/>
      <c r="J143" s="969"/>
      <c r="K143" s="967"/>
      <c r="L143" s="967"/>
      <c r="M143" s="967"/>
      <c r="N143" s="961"/>
    </row>
    <row r="144" spans="1:14" x14ac:dyDescent="0.3">
      <c r="A144" s="967">
        <v>4</v>
      </c>
      <c r="B144" s="967"/>
      <c r="C144" s="967"/>
      <c r="D144" s="968"/>
      <c r="E144" s="969"/>
      <c r="F144" s="967"/>
      <c r="G144" s="967"/>
      <c r="H144" s="967"/>
      <c r="I144" s="968"/>
      <c r="J144" s="969"/>
      <c r="K144" s="967"/>
      <c r="L144" s="967"/>
      <c r="M144" s="967"/>
      <c r="N144" s="961"/>
    </row>
    <row r="145" spans="1:14" x14ac:dyDescent="0.3">
      <c r="A145" s="967">
        <v>5</v>
      </c>
      <c r="B145" s="967"/>
      <c r="C145" s="967"/>
      <c r="D145" s="968"/>
      <c r="E145" s="969"/>
      <c r="F145" s="967"/>
      <c r="G145" s="967"/>
      <c r="H145" s="967"/>
      <c r="I145" s="968"/>
      <c r="J145" s="969"/>
      <c r="K145" s="967"/>
      <c r="L145" s="967"/>
      <c r="M145" s="967"/>
      <c r="N145" s="961"/>
    </row>
    <row r="146" spans="1:14" x14ac:dyDescent="0.3">
      <c r="D146" s="961"/>
      <c r="E146" s="966"/>
      <c r="I146" s="961"/>
      <c r="N146" s="961"/>
    </row>
    <row r="147" spans="1:14" x14ac:dyDescent="0.3">
      <c r="B147" s="970" t="s">
        <v>11961</v>
      </c>
      <c r="C147" s="971"/>
      <c r="D147" s="961"/>
      <c r="E147" s="966"/>
      <c r="G147" s="970"/>
      <c r="H147" s="971"/>
      <c r="I147" s="961"/>
      <c r="J147" s="966"/>
      <c r="L147" s="970"/>
      <c r="M147" s="971"/>
      <c r="N147" s="961"/>
    </row>
    <row r="148" spans="1:14" x14ac:dyDescent="0.3">
      <c r="D148" s="961"/>
      <c r="I148" s="961"/>
      <c r="N148" s="961"/>
    </row>
    <row r="149" spans="1:14" x14ac:dyDescent="0.3">
      <c r="B149" s="970" t="s">
        <v>11962</v>
      </c>
      <c r="C149" s="967"/>
      <c r="D149" s="961"/>
      <c r="E149" s="966"/>
      <c r="G149" s="970"/>
      <c r="H149" s="967"/>
      <c r="I149" s="961"/>
      <c r="J149" s="966"/>
      <c r="L149" s="970"/>
      <c r="M149" s="967"/>
      <c r="N149" s="961"/>
    </row>
    <row r="150" spans="1:14" x14ac:dyDescent="0.3">
      <c r="B150" s="972"/>
      <c r="C150" s="972"/>
      <c r="D150" s="973"/>
      <c r="E150" s="974"/>
      <c r="F150" s="972"/>
      <c r="G150" s="972"/>
      <c r="H150" s="972"/>
      <c r="I150" s="973"/>
      <c r="J150" s="974"/>
      <c r="K150" s="972"/>
      <c r="L150" s="972"/>
      <c r="M150" s="972"/>
      <c r="N150" s="973"/>
    </row>
  </sheetData>
  <mergeCells count="60">
    <mergeCell ref="B136:C136"/>
    <mergeCell ref="G136:H136"/>
    <mergeCell ref="L136:M136"/>
    <mergeCell ref="B137:C137"/>
    <mergeCell ref="G137:H137"/>
    <mergeCell ref="L137:M137"/>
    <mergeCell ref="B121:C121"/>
    <mergeCell ref="G121:H121"/>
    <mergeCell ref="L121:M121"/>
    <mergeCell ref="B122:C122"/>
    <mergeCell ref="G122:H122"/>
    <mergeCell ref="L122:M122"/>
    <mergeCell ref="B106:C106"/>
    <mergeCell ref="G106:H106"/>
    <mergeCell ref="L106:M106"/>
    <mergeCell ref="B107:C107"/>
    <mergeCell ref="G107:H107"/>
    <mergeCell ref="L107:M107"/>
    <mergeCell ref="B91:C91"/>
    <mergeCell ref="G91:H91"/>
    <mergeCell ref="L91:M91"/>
    <mergeCell ref="B92:C92"/>
    <mergeCell ref="G92:H92"/>
    <mergeCell ref="L92:M92"/>
    <mergeCell ref="B76:C76"/>
    <mergeCell ref="G76:H76"/>
    <mergeCell ref="L76:M76"/>
    <mergeCell ref="B77:C77"/>
    <mergeCell ref="G77:H77"/>
    <mergeCell ref="L77:M77"/>
    <mergeCell ref="B61:C61"/>
    <mergeCell ref="G61:H61"/>
    <mergeCell ref="L61:M61"/>
    <mergeCell ref="B62:C62"/>
    <mergeCell ref="G62:H62"/>
    <mergeCell ref="L62:M62"/>
    <mergeCell ref="B46:C46"/>
    <mergeCell ref="G46:H46"/>
    <mergeCell ref="L46:M46"/>
    <mergeCell ref="B47:C47"/>
    <mergeCell ref="G47:H47"/>
    <mergeCell ref="L47:M47"/>
    <mergeCell ref="B31:C31"/>
    <mergeCell ref="G31:H31"/>
    <mergeCell ref="L31:M31"/>
    <mergeCell ref="B32:C32"/>
    <mergeCell ref="G32:H32"/>
    <mergeCell ref="L32:M32"/>
    <mergeCell ref="B16:C16"/>
    <mergeCell ref="G16:H16"/>
    <mergeCell ref="L16:M16"/>
    <mergeCell ref="B17:C17"/>
    <mergeCell ref="G17:H17"/>
    <mergeCell ref="L17:M17"/>
    <mergeCell ref="B1:C1"/>
    <mergeCell ref="G1:H1"/>
    <mergeCell ref="L1:M1"/>
    <mergeCell ref="B2:C2"/>
    <mergeCell ref="G2:H2"/>
    <mergeCell ref="L2:M2"/>
  </mergeCells>
  <pageMargins left="0.7" right="0.7" top="0.75" bottom="0.75" header="0.3" footer="0.3"/>
  <pageSetup paperSize="9" scale="63" fitToHeight="0" orientation="landscape" verticalDpi="0" r:id="rId1"/>
  <rowBreaks count="4" manualBreakCount="4">
    <brk id="30" max="16383" man="1"/>
    <brk id="60" max="16383" man="1"/>
    <brk id="90" max="16383" man="1"/>
    <brk id="12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94</vt:i4>
      </vt:variant>
    </vt:vector>
  </HeadingPairs>
  <TitlesOfParts>
    <vt:vector size="168" baseType="lpstr">
      <vt:lpstr>Списки участников</vt:lpstr>
      <vt:lpstr>жеребьевка</vt:lpstr>
      <vt:lpstr>по алф с отчест</vt:lpstr>
      <vt:lpstr>гр (1-4)</vt:lpstr>
      <vt:lpstr>бег1гр</vt:lpstr>
      <vt:lpstr>бег1</vt:lpstr>
      <vt:lpstr>бег2гр</vt:lpstr>
      <vt:lpstr>бег2</vt:lpstr>
      <vt:lpstr>бег3гр</vt:lpstr>
      <vt:lpstr>бег3</vt:lpstr>
      <vt:lpstr>бег4гр</vt:lpstr>
      <vt:lpstr>бег4</vt:lpstr>
      <vt:lpstr>гр (5-8)</vt:lpstr>
      <vt:lpstr>бег5гр</vt:lpstr>
      <vt:lpstr>бег5</vt:lpstr>
      <vt:lpstr>бег6гр</vt:lpstr>
      <vt:lpstr>бег6</vt:lpstr>
      <vt:lpstr>бег7гр</vt:lpstr>
      <vt:lpstr>бег7</vt:lpstr>
      <vt:lpstr>бег8гр</vt:lpstr>
      <vt:lpstr>бег8</vt:lpstr>
      <vt:lpstr>гр (9-12)</vt:lpstr>
      <vt:lpstr>бег9гр</vt:lpstr>
      <vt:lpstr>бег9</vt:lpstr>
      <vt:lpstr>бег10гр</vt:lpstr>
      <vt:lpstr>бег10</vt:lpstr>
      <vt:lpstr>бег11гр</vt:lpstr>
      <vt:lpstr>бег11</vt:lpstr>
      <vt:lpstr>бег12гр</vt:lpstr>
      <vt:lpstr>бег12</vt:lpstr>
      <vt:lpstr>гр (13-16)</vt:lpstr>
      <vt:lpstr>бег13гр</vt:lpstr>
      <vt:lpstr>бег13</vt:lpstr>
      <vt:lpstr>бег14гр</vt:lpstr>
      <vt:lpstr>бег14</vt:lpstr>
      <vt:lpstr>бег15гр</vt:lpstr>
      <vt:lpstr>бег15</vt:lpstr>
      <vt:lpstr>бег16гр</vt:lpstr>
      <vt:lpstr>бег16</vt:lpstr>
      <vt:lpstr>2 этап</vt:lpstr>
      <vt:lpstr>Юноши 1ф</vt:lpstr>
      <vt:lpstr>Юноши 2ф</vt:lpstr>
      <vt:lpstr>Юноши 3ф</vt:lpstr>
      <vt:lpstr>Юноши 4ф</vt:lpstr>
      <vt:lpstr>утеш фин</vt:lpstr>
      <vt:lpstr>Протокол 2ф</vt:lpstr>
      <vt:lpstr>5ф</vt:lpstr>
      <vt:lpstr>Протокол 5ф</vt:lpstr>
      <vt:lpstr>16 с розыг</vt:lpstr>
      <vt:lpstr>16 (-2)</vt:lpstr>
      <vt:lpstr>Порядок встреч 1Ф</vt:lpstr>
      <vt:lpstr>Порядок встреч 2Ф</vt:lpstr>
      <vt:lpstr>Порядок встреч 3Ф</vt:lpstr>
      <vt:lpstr>Порядок встреч 4Ф</vt:lpstr>
      <vt:lpstr>св.прот дев 1ф</vt:lpstr>
      <vt:lpstr>Бегунки 1Ф</vt:lpstr>
      <vt:lpstr>Бегунки 2Ф</vt:lpstr>
      <vt:lpstr>Бегунки 3Ф</vt:lpstr>
      <vt:lpstr>Бегунки 4Ф</vt:lpstr>
      <vt:lpstr>Лист1</vt:lpstr>
      <vt:lpstr>Плейофф</vt:lpstr>
      <vt:lpstr>ОФП и СФП</vt:lpstr>
      <vt:lpstr>бег1гр2эт</vt:lpstr>
      <vt:lpstr>бег2гр2эт</vt:lpstr>
      <vt:lpstr>бег3гр2эт</vt:lpstr>
      <vt:lpstr>бег4гр2эт</vt:lpstr>
      <vt:lpstr>финалы</vt:lpstr>
      <vt:lpstr>бег1-8</vt:lpstr>
      <vt:lpstr>бег9-16</vt:lpstr>
      <vt:lpstr>бег17-24</vt:lpstr>
      <vt:lpstr>бег25-32</vt:lpstr>
      <vt:lpstr>Места в группе</vt:lpstr>
      <vt:lpstr>R-Муж</vt:lpstr>
      <vt:lpstr>рейт 1 янв</vt:lpstr>
      <vt:lpstr>№ГР1</vt:lpstr>
      <vt:lpstr>№ГР2</vt:lpstr>
      <vt:lpstr>№ГР3</vt:lpstr>
      <vt:lpstr>№ГР4</vt:lpstr>
      <vt:lpstr>№ГР5</vt:lpstr>
      <vt:lpstr>№ГР6</vt:lpstr>
      <vt:lpstr>№ГР7</vt:lpstr>
      <vt:lpstr>№ГР8</vt:lpstr>
      <vt:lpstr>№ИГР</vt:lpstr>
      <vt:lpstr>№ИГР1</vt:lpstr>
      <vt:lpstr>№ИГР10</vt:lpstr>
      <vt:lpstr>№ИГР11</vt:lpstr>
      <vt:lpstr>№ИГР12</vt:lpstr>
      <vt:lpstr>№ИГР13</vt:lpstr>
      <vt:lpstr>№ИГР14</vt:lpstr>
      <vt:lpstr>№ИГР15</vt:lpstr>
      <vt:lpstr>№ИГР16</vt:lpstr>
      <vt:lpstr>№ИГР2</vt:lpstr>
      <vt:lpstr>№ИГР3</vt:lpstr>
      <vt:lpstr>№ИГР4</vt:lpstr>
      <vt:lpstr>№ИГР5</vt:lpstr>
      <vt:lpstr>№ИГР6</vt:lpstr>
      <vt:lpstr>№ИГР7</vt:lpstr>
      <vt:lpstr>№ИГР8</vt:lpstr>
      <vt:lpstr>№ИГР9</vt:lpstr>
      <vt:lpstr>'ОФП и СФП'!БЕГ</vt:lpstr>
      <vt:lpstr>ГР10М</vt:lpstr>
      <vt:lpstr>ГР10О</vt:lpstr>
      <vt:lpstr>ГР11М</vt:lpstr>
      <vt:lpstr>ГР11О</vt:lpstr>
      <vt:lpstr>ГР12М</vt:lpstr>
      <vt:lpstr>ГР12О</vt:lpstr>
      <vt:lpstr>ГР13М</vt:lpstr>
      <vt:lpstr>ГР13О</vt:lpstr>
      <vt:lpstr>ГР14М</vt:lpstr>
      <vt:lpstr>ГР14О</vt:lpstr>
      <vt:lpstr>ГР15М</vt:lpstr>
      <vt:lpstr>ГР15О</vt:lpstr>
      <vt:lpstr>ГР16М</vt:lpstr>
      <vt:lpstr>ГР16О</vt:lpstr>
      <vt:lpstr>'гр (13-16)'!ГР1М</vt:lpstr>
      <vt:lpstr>'гр (9-12)'!ГР1М</vt:lpstr>
      <vt:lpstr>ГР1М</vt:lpstr>
      <vt:lpstr>'2 этап'!ГР1О</vt:lpstr>
      <vt:lpstr>'гр (1-4)'!ГР1О</vt:lpstr>
      <vt:lpstr>финалы!ГР1О</vt:lpstr>
      <vt:lpstr>ГР2М</vt:lpstr>
      <vt:lpstr>'2 этап'!ГР2О</vt:lpstr>
      <vt:lpstr>'гр (1-4)'!ГР2О</vt:lpstr>
      <vt:lpstr>финалы!ГР2О</vt:lpstr>
      <vt:lpstr>ГР3М</vt:lpstr>
      <vt:lpstr>'2 этап'!ГР3О</vt:lpstr>
      <vt:lpstr>'гр (1-4)'!ГР3О</vt:lpstr>
      <vt:lpstr>финалы!ГР3О</vt:lpstr>
      <vt:lpstr>ГР4М</vt:lpstr>
      <vt:lpstr>'2 этап'!ГР4О</vt:lpstr>
      <vt:lpstr>'гр (1-4)'!ГР4О</vt:lpstr>
      <vt:lpstr>финалы!ГР4О</vt:lpstr>
      <vt:lpstr>ГР5М</vt:lpstr>
      <vt:lpstr>ГР5О</vt:lpstr>
      <vt:lpstr>ГР6М</vt:lpstr>
      <vt:lpstr>ГР6О</vt:lpstr>
      <vt:lpstr>ГР7М</vt:lpstr>
      <vt:lpstr>ГР7О</vt:lpstr>
      <vt:lpstr>ГР8М</vt:lpstr>
      <vt:lpstr>ГР8О</vt:lpstr>
      <vt:lpstr>ГР9М</vt:lpstr>
      <vt:lpstr>ГР9О</vt:lpstr>
      <vt:lpstr>'ОФП и СФП'!ДЛИНА</vt:lpstr>
      <vt:lpstr>'ОФП и СФП'!КВАДР</vt:lpstr>
      <vt:lpstr>'бег17-24'!Область_печати</vt:lpstr>
      <vt:lpstr>'бег1-8'!Область_печати</vt:lpstr>
      <vt:lpstr>'бег25-32'!Область_печати</vt:lpstr>
      <vt:lpstr>бег2гр!Область_печати</vt:lpstr>
      <vt:lpstr>'бег9-16'!Область_печати</vt:lpstr>
      <vt:lpstr>'Бегунки 1Ф'!Область_печати</vt:lpstr>
      <vt:lpstr>'Бегунки 2Ф'!Область_печати</vt:lpstr>
      <vt:lpstr>'Бегунки 3Ф'!Область_печати</vt:lpstr>
      <vt:lpstr>'Бегунки 4Ф'!Область_печати</vt:lpstr>
      <vt:lpstr>'Места в группе'!Область_печати</vt:lpstr>
      <vt:lpstr>'по алф с отчест'!Область_печати</vt:lpstr>
      <vt:lpstr>'Порядок встреч 1Ф'!Область_печати</vt:lpstr>
      <vt:lpstr>'Порядок встреч 2Ф'!Область_печати</vt:lpstr>
      <vt:lpstr>'Порядок встреч 3Ф'!Область_печати</vt:lpstr>
      <vt:lpstr>'Порядок встреч 4Ф'!Область_печати</vt:lpstr>
      <vt:lpstr>'Списки участников'!Область_печати</vt:lpstr>
      <vt:lpstr>'ОФП и СФП'!ОТЖИМ</vt:lpstr>
      <vt:lpstr>'ОФП и СФП'!ПРЕСС</vt:lpstr>
      <vt:lpstr>СКАК</vt:lpstr>
      <vt:lpstr>Сумма_мест</vt:lpstr>
      <vt:lpstr>Ф1Оч</vt:lpstr>
      <vt:lpstr>Ф2Оч</vt:lpstr>
      <vt:lpstr>Ф3Оч</vt:lpstr>
      <vt:lpstr>Ф4Оч</vt:lpstr>
    </vt:vector>
  </TitlesOfParts>
  <Company>Учереждение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Name</dc:creator>
  <cp:lastModifiedBy>Анна Рожкова</cp:lastModifiedBy>
  <cp:lastPrinted>2016-05-29T14:39:30Z</cp:lastPrinted>
  <dcterms:created xsi:type="dcterms:W3CDTF">2006-02-03T19:32:29Z</dcterms:created>
  <dcterms:modified xsi:type="dcterms:W3CDTF">2016-05-29T14:44:21Z</dcterms:modified>
</cp:coreProperties>
</file>